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\\storage.slu.se\Home$\elinro\My Documents\SLU\Projekt 42 - Plan'eat\WP3\2 - Livestock\"/>
    </mc:Choice>
  </mc:AlternateContent>
  <xr:revisionPtr revIDLastSave="0" documentId="13_ncr:1_{CC0106EB-EDA6-4C60-A112-2393A2FF4F09}" xr6:coauthVersionLast="47" xr6:coauthVersionMax="47" xr10:uidLastSave="{00000000-0000-0000-0000-000000000000}"/>
  <bookViews>
    <workbookView xWindow="-110" yWindow="-110" windowWidth="19420" windowHeight="11500" firstSheet="4" xr2:uid="{00000000-000D-0000-FFFF-FFFF00000000}"/>
  </bookViews>
  <sheets>
    <sheet name="README" sheetId="18" r:id="rId1"/>
    <sheet name="Figures" sheetId="27" r:id="rId2"/>
    <sheet name="Footprints, results per kg" sheetId="35" r:id="rId3"/>
    <sheet name="GHG detailed, results per kg" sheetId="37" r:id="rId4"/>
    <sheet name="Footprints, only calves" sheetId="33" r:id="rId5"/>
    <sheet name="GHG detailed, only calves" sheetId="13" r:id="rId6"/>
    <sheet name="Footprints, mother animal" sheetId="34" r:id="rId7"/>
    <sheet name="GHG detailed, mother animal" sheetId="36" r:id="rId8"/>
    <sheet name="Production" sheetId="23" r:id="rId9"/>
    <sheet name="Parameters, country spec" sheetId="4" r:id="rId10"/>
    <sheet name="Manure" sheetId="25" r:id="rId11"/>
    <sheet name="CO2 per kg feed" sheetId="2" r:id="rId12"/>
    <sheet name="CH4 per kg feed" sheetId="15" r:id="rId13"/>
    <sheet name="N2O per kg feed" sheetId="14" r:id="rId14"/>
    <sheet name="EFP per kg feed" sheetId="16" r:id="rId15"/>
    <sheet name="Parameters, general" sheetId="20" r:id="rId16"/>
    <sheet name="Forage crops, CF" sheetId="32" r:id="rId17"/>
    <sheet name="Forage crops, footprints" sheetId="30" r:id="rId18"/>
    <sheet name="Forage, input data per ha" sheetId="31" r:id="rId19"/>
    <sheet name="Off-farm feed" sheetId="28" r:id="rId20"/>
    <sheet name="References" sheetId="21" r:id="rId21"/>
  </sheets>
  <definedNames>
    <definedName name="_xlnm._FilterDatabase" localSheetId="1" hidden="1">Figures!$A$6:$M$6</definedName>
    <definedName name="_xlnm._FilterDatabase" localSheetId="6" hidden="1">'Footprints, mother animal'!$D$6:$U$6</definedName>
    <definedName name="_xlnm._FilterDatabase" localSheetId="4" hidden="1">'Footprints, only calves'!$D$6:$U$6</definedName>
    <definedName name="_xlnm._FilterDatabase" localSheetId="2" hidden="1">'Footprints, results per kg'!$D$6:$U$6</definedName>
    <definedName name="Ability_to_perceive_handling">'Parameters, general'!#REF!</definedName>
    <definedName name="AF_beef">'Parameters, general'!#REF!</definedName>
    <definedName name="AF_calves">'Parameters, general'!#REF!</definedName>
    <definedName name="AF_milk">'Parameters, general'!#REF!</definedName>
    <definedName name="Boars_per_sow">'Parameters, country spec'!#REF!</definedName>
    <definedName name="CF_GWP_CH4_biog">'Parameters, general'!$B$25</definedName>
    <definedName name="CF_GWP_CH4_biogenic">'Parameters, general'!$B$25</definedName>
    <definedName name="CF_GWP_CH4_fossil">'Parameters, general'!$B$24</definedName>
    <definedName name="CF_GWP_N2O">'Parameters, general'!$B$26</definedName>
    <definedName name="Crop_data" localSheetId="16">'Forage crops, CF'!$A$6:$Z$80</definedName>
    <definedName name="Crop_data" localSheetId="18">'Forage, input data per ha'!#REF!</definedName>
    <definedName name="Crop_data">'Forage crops, footprints'!$A$6:$Z$22</definedName>
    <definedName name="Crop_data_codes" localSheetId="16">'Forage crops, CF'!$A$71:$A$155</definedName>
    <definedName name="Crop_data_codes" localSheetId="18">'Forage, input data per ha'!#REF!</definedName>
    <definedName name="Crop_data_codes">'Forage crops, footprints'!$A$23:$A$39</definedName>
    <definedName name="EF_biofuel_CH4">'Parameters, general'!$C$6</definedName>
    <definedName name="EF_biofuel_N2O">'Parameters, general'!$D$6</definedName>
    <definedName name="EF_biofuels_CO2">'Parameters, general'!$B$6</definedName>
    <definedName name="EF_capital_goods_CH4">'Parameters, general'!$C$10</definedName>
    <definedName name="EF_capital_goods_CO2">'Parameters, general'!$B$10</definedName>
    <definedName name="EF_capital_goods_N2O">'Parameters, general'!$D$10</definedName>
    <definedName name="EF_diesel_CH4">'Parameters, general'!$C$7</definedName>
    <definedName name="EF_diesel_CO2">'Parameters, general'!$B$7</definedName>
    <definedName name="EF_diesel_N2O">'Parameters, general'!$D$7</definedName>
    <definedName name="EF_el_CH4_DE">'Parameters, country spec'!$D$68</definedName>
    <definedName name="EF_el_CH4_DK">'Parameters, country spec'!$B$68</definedName>
    <definedName name="EF_el_CH4_ES">'Parameters, country spec'!$K$68</definedName>
    <definedName name="EF_el_CH4_FR">'Parameters, country spec'!$C$68</definedName>
    <definedName name="EF_el_CH4_GB">'Parameters, country spec'!$M$68</definedName>
    <definedName name="EF_el_CH4_GR">'Parameters, country spec'!$E$68</definedName>
    <definedName name="EF_el_CH4_HU">'Parameters, country spec'!$F$68</definedName>
    <definedName name="EF_el_CH4_IE">'Parameters, country spec'!$G$68</definedName>
    <definedName name="EF_el_CH4_IT">'Parameters, country spec'!$H$68</definedName>
    <definedName name="EF_el_CH4_NL">'Parameters, country spec'!$I$68</definedName>
    <definedName name="EF_el_CH4_PL">'Parameters, country spec'!$J$68</definedName>
    <definedName name="EF_el_CH4_SE">'Parameters, country spec'!$L$68</definedName>
    <definedName name="EF_el_CO2_DE">'Parameters, country spec'!$D$67</definedName>
    <definedName name="EF_el_CO2_DK">'Parameters, country spec'!$B$67</definedName>
    <definedName name="EF_el_CO2_ES">'Parameters, country spec'!$K$67</definedName>
    <definedName name="EF_el_CO2_FR">'Parameters, country spec'!$C$67</definedName>
    <definedName name="EF_el_CO2_GB">'Parameters, country spec'!$M$67</definedName>
    <definedName name="EF_el_CO2_GR">'Parameters, country spec'!$E$67</definedName>
    <definedName name="EF_el_CO2_HU">'Parameters, country spec'!$F$67</definedName>
    <definedName name="EF_el_CO2_IE">'Parameters, country spec'!$G$67</definedName>
    <definedName name="EF_el_CO2_IT">'Parameters, country spec'!$H$67</definedName>
    <definedName name="EF_el_CO2_NL">'Parameters, country spec'!$I$67</definedName>
    <definedName name="EF_el_CO2_PL">'Parameters, country spec'!$J$67</definedName>
    <definedName name="EF_el_CO2_SE">'Parameters, country spec'!$L$67</definedName>
    <definedName name="EF_el_N2O_DE">'Parameters, country spec'!$D$69</definedName>
    <definedName name="EF_el_N2O_DK">'Parameters, country spec'!$B$69</definedName>
    <definedName name="EF_el_N2O_ES">'Parameters, country spec'!$K$69</definedName>
    <definedName name="EF_el_N2O_FR">'Parameters, country spec'!$C$69</definedName>
    <definedName name="EF_el_N2O_GB">'Parameters, country spec'!$M$69</definedName>
    <definedName name="EF_el_N2O_GR">'Parameters, country spec'!$E$69</definedName>
    <definedName name="EF_el_N2O_HU">'Parameters, country spec'!$F$69</definedName>
    <definedName name="EF_el_N2O_IE">'Parameters, country spec'!$G$69</definedName>
    <definedName name="EF_el_N2O_IT">'Parameters, country spec'!$H$69</definedName>
    <definedName name="EF_el_N2O_NL">'Parameters, country spec'!$I$69</definedName>
    <definedName name="EF_el_N2O_PL">'Parameters, country spec'!$J$69</definedName>
    <definedName name="EF_el_N2O_SE">'Parameters, country spec'!$L$69</definedName>
    <definedName name="EF_electricity">'Parameters, country spec'!$L$66</definedName>
    <definedName name="EF_ent_ferm_DE">'Parameters, country spec'!$D$55</definedName>
    <definedName name="EF_ent_ferm_DK">'Parameters, country spec'!$B$55</definedName>
    <definedName name="EF_ent_ferm_ES">'Parameters, country spec'!$K$55</definedName>
    <definedName name="EF_ent_ferm_FR">'Parameters, country spec'!$C$55</definedName>
    <definedName name="EF_ent_ferm_GR">'Parameters, country spec'!$E$55</definedName>
    <definedName name="EF_ent_ferm_heif_DE">'Parameters, country spec'!#REF!</definedName>
    <definedName name="EF_ent_ferm_heif_DK">'Parameters, country spec'!#REF!</definedName>
    <definedName name="EF_ent_ferm_heif_ES">'Parameters, country spec'!#REF!</definedName>
    <definedName name="EF_ent_ferm_heif_FR">'Parameters, country spec'!#REF!</definedName>
    <definedName name="EF_ent_ferm_heif_GR">'Parameters, country spec'!#REF!</definedName>
    <definedName name="EF_ent_ferm_heif_HU">'Parameters, country spec'!#REF!</definedName>
    <definedName name="EF_ent_ferm_heif_IE">'Parameters, country spec'!#REF!</definedName>
    <definedName name="EF_ent_ferm_heif_IT">'Parameters, country spec'!#REF!</definedName>
    <definedName name="EF_ent_ferm_heif_NL">'Parameters, country spec'!#REF!</definedName>
    <definedName name="EF_ent_ferm_heif_PL">'Parameters, country spec'!#REF!</definedName>
    <definedName name="EF_ent_ferm_heif_SE">'Parameters, country spec'!#REF!</definedName>
    <definedName name="EF_ent_ferm_HU">'Parameters, country spec'!$F$55</definedName>
    <definedName name="EF_ent_ferm_IE">'Parameters, country spec'!$G$55</definedName>
    <definedName name="EF_ent_ferm_IT">'Parameters, country spec'!$H$55</definedName>
    <definedName name="EF_ent_ferm_NL">'Parameters, country spec'!$I$55</definedName>
    <definedName name="EF_ent_ferm_PL">'Parameters, country spec'!$J$55</definedName>
    <definedName name="EF_ent_ferm_SE">'Parameters, country spec'!$L$55</definedName>
    <definedName name="EF_GWP_CH4_biog">'Parameters, general'!$B$26</definedName>
    <definedName name="EF_indirect_N2O_DE">'Parameters, country spec'!$D$82</definedName>
    <definedName name="EF_indirect_N2O_DK">'Parameters, country spec'!$B$82</definedName>
    <definedName name="EF_indirect_N2O_ES">'Parameters, country spec'!$K$82</definedName>
    <definedName name="EF_indirect_N2O_FR">'Parameters, country spec'!$C$82</definedName>
    <definedName name="EF_indirect_N2O_GR">'Parameters, country spec'!$E$82</definedName>
    <definedName name="EF_indirect_N2O_HU">'Parameters, country spec'!$F$82</definedName>
    <definedName name="EF_indirect_N2O_IE">'Parameters, country spec'!$G$82</definedName>
    <definedName name="EF_indirect_N2O_IT">'Parameters, country spec'!$H$82</definedName>
    <definedName name="EF_indirect_N2O_NL">'Parameters, country spec'!$I$82</definedName>
    <definedName name="EF_indirect_N2O_PL">'Parameters, country spec'!$J$82</definedName>
    <definedName name="EF_indirect_N2O_SE">'Parameters, country spec'!$L$82</definedName>
    <definedName name="EF_min_fert_AN_CH4">'Parameters, general'!$C$14</definedName>
    <definedName name="EF_min_fert_AN_CO2">'Parameters, general'!$B$14</definedName>
    <definedName name="EF_min_fert_AN_N2O">'Parameters, general'!$D$14</definedName>
    <definedName name="EF_min_fert_BAT_CH4">'Parameters, general'!$C$13</definedName>
    <definedName name="EF_min_fert_BAT_CO2">'Parameters, general'!$B$13</definedName>
    <definedName name="EF_min_fert_BAT_N2O">'Parameters, general'!$D$13</definedName>
    <definedName name="EF_N2O_diff_DE">'Parameters, country spec'!$D$81</definedName>
    <definedName name="EF_N2O_diff_DK">'Parameters, country spec'!$B$81</definedName>
    <definedName name="EF_N2O_diff_ES">'Parameters, country spec'!$K$81</definedName>
    <definedName name="EF_N2O_diff_FR">'Parameters, country spec'!$C$81</definedName>
    <definedName name="EF_N2O_diff_GB">'Parameters, country spec'!$M$81</definedName>
    <definedName name="EF_N2O_diff_GR">'Parameters, country spec'!$E$81</definedName>
    <definedName name="EF_N2O_diff_HU">'Parameters, country spec'!$F$81</definedName>
    <definedName name="EF_N2O_diff_IE">'Parameters, country spec'!$G$81</definedName>
    <definedName name="EF_N2O_diff_IT">'Parameters, country spec'!$H$81</definedName>
    <definedName name="EF_N2O_diff_NL">'Parameters, country spec'!$I$81</definedName>
    <definedName name="EF_N2O_diff_PL">'Parameters, country spec'!$J$81</definedName>
    <definedName name="EF_N2O_diff_SE">'Parameters, country spec'!$L$81</definedName>
    <definedName name="EF_NH3">'Parameters, general'!$B$32</definedName>
    <definedName name="EF_oil_CH4">'Parameters, general'!$C$5</definedName>
    <definedName name="EF_oil_CO2">'Parameters, general'!$B$5</definedName>
    <definedName name="EF_oil_N2O">'Parameters, general'!$D$5</definedName>
    <definedName name="Energy_slaughter_el_DE">'Parameters, country spec'!$D$62</definedName>
    <definedName name="Energy_slaughter_el_DK">'Parameters, country spec'!$B$62</definedName>
    <definedName name="Energy_slaughter_el_ES">'Parameters, country spec'!$K$62</definedName>
    <definedName name="Energy_slaughter_el_FR">'Parameters, country spec'!$C$62</definedName>
    <definedName name="Energy_slaughter_el_GB">'Parameters, country spec'!$M$62</definedName>
    <definedName name="Energy_slaughter_el_GR">'Parameters, country spec'!$E$62</definedName>
    <definedName name="Energy_slaughter_el_HU">'Parameters, country spec'!$F$62</definedName>
    <definedName name="Energy_slaughter_el_IE">'Parameters, country spec'!$G$62</definedName>
    <definedName name="Energy_slaughter_el_IT">'Parameters, country spec'!$H$62</definedName>
    <definedName name="Energy_slaughter_el_NL">'Parameters, country spec'!$I$62</definedName>
    <definedName name="Energy_slaughter_el_PL">'Parameters, country spec'!$J$62</definedName>
    <definedName name="Energy_slaughter_el_SE">'Parameters, country spec'!$L$62</definedName>
    <definedName name="Energy_slaughter_oil_DE">'Parameters, country spec'!$D$63</definedName>
    <definedName name="Energy_slaughter_oil_DK">'Parameters, country spec'!$B$63</definedName>
    <definedName name="Energy_slaughter_oil_ES">'Parameters, country spec'!$K$63</definedName>
    <definedName name="Energy_slaughter_oil_FR">'Parameters, country spec'!$C$63</definedName>
    <definedName name="Energy_slaughter_oil_GB">'Parameters, country spec'!$M$63</definedName>
    <definedName name="Energy_slaughter_oil_GR">'Parameters, country spec'!$E$63</definedName>
    <definedName name="Energy_slaughter_oil_HU">'Parameters, country spec'!$F$63</definedName>
    <definedName name="Energy_slaughter_oil_IE">'Parameters, country spec'!$G$63</definedName>
    <definedName name="Energy_slaughter_oil_IT">'Parameters, country spec'!$H$63</definedName>
    <definedName name="Energy_slaughter_oil_NL">'Parameters, country spec'!$I$63</definedName>
    <definedName name="Energy_slaughter_oil_PL">'Parameters, country spec'!$J$63</definedName>
    <definedName name="Energy_slaughter_oil_SE">'Parameters, country spec'!$L$63</definedName>
    <definedName name="Energy_stables_DE">'Parameters, country spec'!#REF!</definedName>
    <definedName name="Energy_stables_DK">'Parameters, country spec'!#REF!</definedName>
    <definedName name="Energy_stables_ES">'Parameters, country spec'!#REF!</definedName>
    <definedName name="Energy_stables_FR">'Parameters, country spec'!#REF!</definedName>
    <definedName name="Energy_stables_GR">'Parameters, country spec'!#REF!</definedName>
    <definedName name="Energy_stables_HU">'Parameters, country spec'!#REF!</definedName>
    <definedName name="Energy_stables_IE">'Parameters, country spec'!#REF!</definedName>
    <definedName name="Energy_stables_IT">'Parameters, country spec'!#REF!</definedName>
    <definedName name="Energy_stables_NL">'Parameters, country spec'!#REF!</definedName>
    <definedName name="Energy_stables_PL">'Parameters, country spec'!#REF!</definedName>
    <definedName name="Energy_stables_SE">'Parameters, country spec'!#REF!</definedName>
    <definedName name="Excreted_N_after_losses_DE">Manure!$F$153</definedName>
    <definedName name="Excreted_N_after_losses_DK">Manure!$B$153</definedName>
    <definedName name="Excreted_N_after_losses_ES">Manure!$T$153</definedName>
    <definedName name="Excreted_N_after_losses_FR">Manure!$D$153</definedName>
    <definedName name="Excreted_N_after_losses_GB">Manure!$X$153</definedName>
    <definedName name="Excreted_N_after_losses_GR">Manure!$H$153</definedName>
    <definedName name="Excreted_N_after_losses_HU">Manure!$J$153</definedName>
    <definedName name="Excreted_N_after_losses_IE">Manure!$L$153</definedName>
    <definedName name="Excreted_N_after_losses_IT">Manure!$N$153</definedName>
    <definedName name="Excreted_N_after_losses_NL">Manure!$P$153</definedName>
    <definedName name="Excreted_N_after_losses_PL">Manure!$R$153</definedName>
    <definedName name="Excreted_N_after_losses_SE">Manure!$V$153</definedName>
    <definedName name="FCR_bonefree_incl_parents_DE">'Parameters, country spec'!#REF!</definedName>
    <definedName name="FCR_bonefree_incl_parents_DK">'Parameters, country spec'!#REF!</definedName>
    <definedName name="FCR_bonefree_incl_parents_ES">'Parameters, country spec'!#REF!</definedName>
    <definedName name="FCR_bonefree_incl_parents_FR">'Parameters, country spec'!#REF!</definedName>
    <definedName name="FCR_bonefree_incl_parents_GR">'Parameters, country spec'!#REF!</definedName>
    <definedName name="FCR_bonefree_incl_parents_HU">'Parameters, country spec'!#REF!</definedName>
    <definedName name="FCR_bonefree_incl_parents_IE">'Parameters, country spec'!#REF!</definedName>
    <definedName name="FCR_bonefree_incl_parents_IT">'Parameters, country spec'!#REF!</definedName>
    <definedName name="FCR_bonefree_incl_parents_NL">'Parameters, country spec'!#REF!</definedName>
    <definedName name="FCR_bonefree_incl_parents_PL">'Parameters, country spec'!#REF!</definedName>
    <definedName name="FCR_bonefree_incl_parents_SE">'Parameters, country spec'!#REF!</definedName>
    <definedName name="Frac_AN_DE">'Parameters, country spec'!$D$76</definedName>
    <definedName name="Frac_AN_DK">'Parameters, country spec'!$B$76</definedName>
    <definedName name="Frac_AN_ES">'Parameters, country spec'!$K$76</definedName>
    <definedName name="Frac_AN_FR">'Parameters, country spec'!$C$76</definedName>
    <definedName name="Frac_AN_GB">'Parameters, country spec'!$M$76</definedName>
    <definedName name="Frac_AN_GR">'Parameters, country spec'!$E$76</definedName>
    <definedName name="Frac_AN_HU">'Parameters, country spec'!$F$76</definedName>
    <definedName name="Frac_AN_IE">'Parameters, country spec'!$G$76</definedName>
    <definedName name="Frac_AN_IT">'Parameters, country spec'!$H$76</definedName>
    <definedName name="Frac_AN_NL">'Parameters, country spec'!$I$76</definedName>
    <definedName name="Frac_AN_NZ">#REF!</definedName>
    <definedName name="Frac_AN_PL">'Parameters, country spec'!$J$76</definedName>
    <definedName name="Frac_AN_SE">'Parameters, country spec'!$L$76</definedName>
    <definedName name="Frac_BAT_DE">'Parameters, country spec'!$D$75</definedName>
    <definedName name="Frac_BAT_DK">'Parameters, country spec'!$B$75</definedName>
    <definedName name="Frac_BAT_ES">'Parameters, country spec'!$K$75</definedName>
    <definedName name="Frac_BAT_FR">'Parameters, country spec'!$C$75</definedName>
    <definedName name="Frac_BAT_GB">'Parameters, country spec'!$M$75</definedName>
    <definedName name="Frac_BAT_GR">'Parameters, country spec'!$E$75</definedName>
    <definedName name="Frac_BAT_HU">'Parameters, country spec'!$F$75</definedName>
    <definedName name="Frac_BAT_IE">'Parameters, country spec'!$G$75</definedName>
    <definedName name="Frac_BAT_IT">'Parameters, country spec'!$H$75</definedName>
    <definedName name="Frac_BAT_NL">'Parameters, country spec'!$I$75</definedName>
    <definedName name="Frac_BAT_NZ">#REF!</definedName>
    <definedName name="Frac_BAT_PL">'Parameters, country spec'!$J$75</definedName>
    <definedName name="Frac_BAT_SE">'Parameters, country spec'!$L$75</definedName>
    <definedName name="GRAT">'Parameters, country spec'!$E$69</definedName>
    <definedName name="Heating_value_diesel">'Parameters, general'!$E$7</definedName>
    <definedName name="Manure_repl_factor_DE">'Parameters, country spec'!$D$85</definedName>
    <definedName name="Manure_repl_factor_DK">'Parameters, country spec'!$B$85</definedName>
    <definedName name="Manure_repl_factor_ES">'Parameters, country spec'!$K$85</definedName>
    <definedName name="Manure_repl_factor_FR">'Parameters, country spec'!$C$85</definedName>
    <definedName name="Manure_repl_factor_GB">'Parameters, country spec'!$M$85</definedName>
    <definedName name="Manure_repl_factor_GR">'Parameters, country spec'!$E$85</definedName>
    <definedName name="Manure_repl_factor_HU">'Parameters, country spec'!$F$85</definedName>
    <definedName name="Manure_repl_factor_IE">'Parameters, country spec'!$G$85</definedName>
    <definedName name="Manure_repl_factor_IT">'Parameters, country spec'!$H$85</definedName>
    <definedName name="Manure_repl_factor_NL">'Parameters, country spec'!$I$85</definedName>
    <definedName name="Manure_repl_factor_PL">'Parameters, country spec'!$J$85</definedName>
    <definedName name="Manure_repl_factor_SE">'Parameters, country spec'!$L$85</definedName>
    <definedName name="N_fix_DK" localSheetId="6">'Footprints, mother animal'!#REF!</definedName>
    <definedName name="N_fix_DK" localSheetId="4">'Footprints, only calves'!#REF!</definedName>
    <definedName name="N_fix_DK" localSheetId="2">'Footprints, results per kg'!#REF!</definedName>
    <definedName name="N_fix_DK">#REF!</definedName>
    <definedName name="N_leak_deni_factor">'Parameters, general'!$B$43</definedName>
    <definedName name="N_min_DK" localSheetId="6">'Footprints, mother animal'!#REF!</definedName>
    <definedName name="N_min_DK" localSheetId="4">'Footprints, only calves'!#REF!</definedName>
    <definedName name="N_min_DK" localSheetId="2">'Footprints, results per kg'!#REF!</definedName>
    <definedName name="N_min_DK">#REF!</definedName>
    <definedName name="N_to_NH3">'Parameters, general'!$B$33</definedName>
    <definedName name="N_tot_DK" localSheetId="6">'Footprints, mother animal'!#REF!</definedName>
    <definedName name="N_tot_DK" localSheetId="4">'Footprints, only calves'!#REF!</definedName>
    <definedName name="N_tot_DK" localSheetId="2">'Footprints, results per kg'!#REF!</definedName>
    <definedName name="N_tot_DK">#REF!</definedName>
    <definedName name="NH3_per_kg_DE">Manure!#REF!</definedName>
    <definedName name="NH3_per_kg_DK">Manure!#REF!</definedName>
    <definedName name="NH3_per_kg_ES">Manure!#REF!</definedName>
    <definedName name="NH3_per_kg_FR">Manure!#REF!</definedName>
    <definedName name="NH3_per_kg_GR">Manure!#REF!</definedName>
    <definedName name="NH3_per_kg_HU">Manure!#REF!</definedName>
    <definedName name="NH3_per_kg_IE">Manure!#REF!</definedName>
    <definedName name="NH3_per_kg_IT">Manure!#REF!</definedName>
    <definedName name="NH3_per_kg_NL">Manure!#REF!</definedName>
    <definedName name="NH3_per_kg_PL">Manure!#REF!</definedName>
    <definedName name="NH3_per_kg_SE">Manure!#REF!</definedName>
    <definedName name="No_species">'Parameters, general'!$B$29</definedName>
    <definedName name="Share_biofuels_DE">'Parameters, country spec'!#REF!</definedName>
    <definedName name="Share_biofuels_DK">'Parameters, country spec'!#REF!</definedName>
    <definedName name="Share_biofuels_ES">'Parameters, country spec'!#REF!</definedName>
    <definedName name="Share_biofuels_FR">'Parameters, country spec'!#REF!</definedName>
    <definedName name="Share_biofuels_GR">'Parameters, country spec'!#REF!</definedName>
    <definedName name="Share_biofuels_HU">'Parameters, country spec'!#REF!</definedName>
    <definedName name="Share_biofuels_IE">'Parameters, country spec'!#REF!</definedName>
    <definedName name="Share_biofuels_IT">'Parameters, country spec'!#REF!</definedName>
    <definedName name="Share_biofuels_NL">'Parameters, country spec'!#REF!</definedName>
    <definedName name="Share_biofuels_PL">'Parameters, country spec'!#REF!</definedName>
    <definedName name="Share_biofuels_SE">'Parameters, country spec'!#REF!</definedName>
    <definedName name="Share_heating_DE">'Parameters, country spec'!#REF!</definedName>
    <definedName name="Share_heating_DK">'Parameters, country spec'!#REF!</definedName>
    <definedName name="Share_heating_ES">'Parameters, country spec'!#REF!</definedName>
    <definedName name="Share_heating_FR">'Parameters, country spec'!#REF!</definedName>
    <definedName name="Share_heating_GR">'Parameters, country spec'!#REF!</definedName>
    <definedName name="Share_heating_HU">'Parameters, country spec'!#REF!</definedName>
    <definedName name="Share_heating_IE">'Parameters, country spec'!#REF!</definedName>
    <definedName name="Share_heating_IT">'Parameters, country spec'!#REF!</definedName>
    <definedName name="Share_heating_NL">'Parameters, country spec'!#REF!</definedName>
    <definedName name="Share_heating_PL">'Parameters, country spec'!#REF!</definedName>
    <definedName name="Share_heating_SE">'Parameters, country spec'!#REF!</definedName>
    <definedName name="Slaughter_duration_class">'Parameters, general'!#REF!</definedName>
    <definedName name="Time_piglet_system_DE">'Parameters, country spec'!#REF!</definedName>
    <definedName name="Time_piglet_system_DK">'Parameters, country spec'!#REF!</definedName>
    <definedName name="Time_piglet_system_ES">'Parameters, country spec'!#REF!</definedName>
    <definedName name="Time_piglet_system_FR">'Parameters, country spec'!#REF!</definedName>
    <definedName name="Time_piglet_system_GR">'Parameters, country spec'!#REF!</definedName>
    <definedName name="Time_piglet_system_HU">'Parameters, country spec'!#REF!</definedName>
    <definedName name="Time_piglet_system_IE">'Parameters, country spec'!#REF!</definedName>
    <definedName name="Time_piglet_system_IT">'Parameters, country spec'!#REF!</definedName>
    <definedName name="Time_piglet_system_NL">'Parameters, country spec'!#REF!</definedName>
    <definedName name="Time_piglet_system_PL">'Parameters, country spec'!#REF!</definedName>
    <definedName name="Time_piglet_system_SE">'Parameters, country spec'!#REF!</definedName>
    <definedName name="Water_stables_DE">'Parameters, country spec'!$D$88</definedName>
    <definedName name="Water_stables_DK">'Parameters, country spec'!$B$88</definedName>
    <definedName name="Water_stables_ES">'Parameters, country spec'!$K$88</definedName>
    <definedName name="Water_stables_FR">'Parameters, country spec'!$C$88</definedName>
    <definedName name="Water_stables_GR">'Parameters, country spec'!$E$88</definedName>
    <definedName name="Water_stables_HU">'Parameters, country spec'!$F$88</definedName>
    <definedName name="Water_stables_IE">'Parameters, country spec'!$G$88</definedName>
    <definedName name="Water_stables_IT">'Parameters, country spec'!$H$88</definedName>
    <definedName name="Water_stables_NL">'Parameters, country spec'!$I$88</definedName>
    <definedName name="Water_stables_PL">'Parameters, country spec'!$J$88</definedName>
    <definedName name="Water_stables_SE">'Parameters, country spec'!$L$88</definedName>
    <definedName name="Weight_ability_to_perceive_handling">'Parameters, general'!#REF!</definedName>
    <definedName name="Weight_diseases">'Parameters, general'!#REF!</definedName>
    <definedName name="Weight_mortality">'Parameters, general'!#REF!</definedName>
    <definedName name="Weight_no_of_animal">'Parameters, general'!#REF!</definedName>
    <definedName name="Weight_slaughter_duration_class">'Parameters, general'!#REF!</definedName>
    <definedName name="Weight_space">'Parameters, general'!#REF!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23" l="1"/>
  <c r="C25" i="23"/>
  <c r="D25" i="23"/>
  <c r="E25" i="23"/>
  <c r="F25" i="23"/>
  <c r="G25" i="23"/>
  <c r="H25" i="23"/>
  <c r="I25" i="23"/>
  <c r="J25" i="23"/>
  <c r="K25" i="23"/>
  <c r="L25" i="23"/>
  <c r="M25" i="23"/>
  <c r="B37" i="20"/>
  <c r="F162" i="14"/>
  <c r="F178" i="14"/>
  <c r="F194" i="14"/>
  <c r="F146" i="14"/>
  <c r="F130" i="14"/>
  <c r="F114" i="14"/>
  <c r="F98" i="14"/>
  <c r="F82" i="14"/>
  <c r="F66" i="14"/>
  <c r="F50" i="14"/>
  <c r="F34" i="14"/>
  <c r="F18" i="14"/>
  <c r="F194" i="15"/>
  <c r="F178" i="15"/>
  <c r="F162" i="15"/>
  <c r="F146" i="15"/>
  <c r="F130" i="15"/>
  <c r="F98" i="15"/>
  <c r="F114" i="15"/>
  <c r="F82" i="15"/>
  <c r="F66" i="15"/>
  <c r="F50" i="15"/>
  <c r="F34" i="15"/>
  <c r="F18" i="15"/>
  <c r="F178" i="2"/>
  <c r="F162" i="2"/>
  <c r="F146" i="2"/>
  <c r="F18" i="2"/>
  <c r="F34" i="2"/>
  <c r="F50" i="2"/>
  <c r="F66" i="2"/>
  <c r="F82" i="2"/>
  <c r="F98" i="2"/>
  <c r="R34" i="2"/>
  <c r="F130" i="2"/>
  <c r="F114" i="2"/>
  <c r="R18" i="2"/>
  <c r="S18" i="2"/>
  <c r="X18" i="31"/>
  <c r="X13" i="31"/>
  <c r="W13" i="31"/>
  <c r="V13" i="31"/>
  <c r="U13" i="31"/>
  <c r="T13" i="31"/>
  <c r="AZ23" i="31"/>
  <c r="AV23" i="31"/>
  <c r="AX21" i="31"/>
  <c r="AX23" i="31" s="1"/>
  <c r="K186" i="16"/>
  <c r="K90" i="16"/>
  <c r="I18" i="35"/>
  <c r="I18" i="33"/>
  <c r="G64" i="13"/>
  <c r="G59" i="13"/>
  <c r="G54" i="13"/>
  <c r="G49" i="13"/>
  <c r="G44" i="13"/>
  <c r="G39" i="13"/>
  <c r="G34" i="13"/>
  <c r="G29" i="13"/>
  <c r="G24" i="13"/>
  <c r="G19" i="13"/>
  <c r="G14" i="13"/>
  <c r="G9" i="13"/>
  <c r="L90" i="16" l="1"/>
  <c r="J90" i="16"/>
  <c r="I90" i="16"/>
  <c r="H90" i="16"/>
  <c r="G90" i="16"/>
  <c r="F90" i="16"/>
  <c r="Y32" i="25" l="1"/>
  <c r="Y31" i="25"/>
  <c r="X30" i="25"/>
  <c r="W33" i="25"/>
  <c r="W32" i="25"/>
  <c r="W31" i="25"/>
  <c r="W30" i="25"/>
  <c r="V33" i="25"/>
  <c r="V32" i="25"/>
  <c r="V31" i="25"/>
  <c r="V30" i="25"/>
  <c r="V27" i="25"/>
  <c r="V26" i="25"/>
  <c r="V25" i="25"/>
  <c r="V24" i="25"/>
  <c r="W27" i="25"/>
  <c r="W26" i="25"/>
  <c r="W25" i="25"/>
  <c r="W24" i="25"/>
  <c r="X65" i="37" l="1"/>
  <c r="W65" i="37"/>
  <c r="V65" i="37"/>
  <c r="U65" i="37"/>
  <c r="T65" i="37"/>
  <c r="S65" i="37"/>
  <c r="M65" i="37"/>
  <c r="X64" i="37"/>
  <c r="W64" i="37"/>
  <c r="V64" i="37"/>
  <c r="U64" i="37"/>
  <c r="T64" i="37"/>
  <c r="R64" i="37"/>
  <c r="Q64" i="37"/>
  <c r="P64" i="37"/>
  <c r="O64" i="37"/>
  <c r="N64" i="37"/>
  <c r="M64" i="37"/>
  <c r="L64" i="37"/>
  <c r="K64" i="37"/>
  <c r="J64" i="37"/>
  <c r="I64" i="37"/>
  <c r="H64" i="37"/>
  <c r="X63" i="37"/>
  <c r="X66" i="37" s="1"/>
  <c r="W63" i="37"/>
  <c r="V63" i="37"/>
  <c r="U63" i="37"/>
  <c r="T63" i="37"/>
  <c r="S63" i="37"/>
  <c r="M63" i="37"/>
  <c r="K63" i="37"/>
  <c r="J63" i="37"/>
  <c r="X62" i="37"/>
  <c r="W62" i="37"/>
  <c r="V62" i="37"/>
  <c r="U62" i="37"/>
  <c r="T62" i="37"/>
  <c r="S62" i="37"/>
  <c r="M62" i="37"/>
  <c r="K62" i="37"/>
  <c r="J62" i="37"/>
  <c r="X60" i="37"/>
  <c r="W60" i="37"/>
  <c r="V60" i="37"/>
  <c r="U60" i="37"/>
  <c r="T60" i="37"/>
  <c r="S60" i="37"/>
  <c r="M60" i="37"/>
  <c r="X59" i="37"/>
  <c r="W59" i="37"/>
  <c r="V59" i="37"/>
  <c r="R59" i="37"/>
  <c r="Q59" i="37"/>
  <c r="P59" i="37"/>
  <c r="O59" i="37"/>
  <c r="N59" i="37"/>
  <c r="M59" i="37"/>
  <c r="L59" i="37"/>
  <c r="K59" i="37"/>
  <c r="J59" i="37"/>
  <c r="I59" i="37"/>
  <c r="H59" i="37"/>
  <c r="X58" i="37"/>
  <c r="X61" i="37" s="1"/>
  <c r="L13" i="27" s="1"/>
  <c r="W58" i="37"/>
  <c r="V58" i="37"/>
  <c r="U58" i="37"/>
  <c r="T58" i="37"/>
  <c r="S58" i="37"/>
  <c r="M58" i="37"/>
  <c r="K58" i="37"/>
  <c r="J58" i="37"/>
  <c r="X57" i="37"/>
  <c r="W57" i="37"/>
  <c r="V57" i="37"/>
  <c r="U57" i="37"/>
  <c r="T57" i="37"/>
  <c r="S57" i="37"/>
  <c r="M57" i="37"/>
  <c r="K57" i="37"/>
  <c r="J57" i="37"/>
  <c r="X55" i="37"/>
  <c r="W55" i="37"/>
  <c r="V55" i="37"/>
  <c r="U55" i="37"/>
  <c r="T55" i="37"/>
  <c r="S55" i="37"/>
  <c r="M55" i="37"/>
  <c r="X54" i="37"/>
  <c r="W54" i="37"/>
  <c r="V54" i="37"/>
  <c r="U54" i="37"/>
  <c r="T54" i="37"/>
  <c r="R54" i="37"/>
  <c r="Q54" i="37"/>
  <c r="P54" i="37"/>
  <c r="O54" i="37"/>
  <c r="N54" i="37"/>
  <c r="M54" i="37"/>
  <c r="M56" i="37" s="1"/>
  <c r="L54" i="37"/>
  <c r="K54" i="37"/>
  <c r="J54" i="37"/>
  <c r="I54" i="37"/>
  <c r="H54" i="37"/>
  <c r="X53" i="37"/>
  <c r="W53" i="37"/>
  <c r="V53" i="37"/>
  <c r="U53" i="37"/>
  <c r="T53" i="37"/>
  <c r="S53" i="37"/>
  <c r="M53" i="37"/>
  <c r="K53" i="37"/>
  <c r="J53" i="37"/>
  <c r="X52" i="37"/>
  <c r="W52" i="37"/>
  <c r="V52" i="37"/>
  <c r="U52" i="37"/>
  <c r="T52" i="37"/>
  <c r="S52" i="37"/>
  <c r="M52" i="37"/>
  <c r="K52" i="37"/>
  <c r="J52" i="37"/>
  <c r="X50" i="37"/>
  <c r="W50" i="37"/>
  <c r="V50" i="37"/>
  <c r="U50" i="37"/>
  <c r="T50" i="37"/>
  <c r="S50" i="37"/>
  <c r="M50" i="37"/>
  <c r="X49" i="37"/>
  <c r="W49" i="37"/>
  <c r="V49" i="37"/>
  <c r="U49" i="37"/>
  <c r="T49" i="37"/>
  <c r="R49" i="37"/>
  <c r="Q49" i="37"/>
  <c r="P49" i="37"/>
  <c r="O49" i="37"/>
  <c r="N49" i="37"/>
  <c r="M49" i="37"/>
  <c r="L49" i="37"/>
  <c r="K49" i="37"/>
  <c r="J49" i="37"/>
  <c r="I49" i="37"/>
  <c r="H49" i="37"/>
  <c r="X48" i="37"/>
  <c r="W48" i="37"/>
  <c r="V48" i="37"/>
  <c r="U48" i="37"/>
  <c r="T48" i="37"/>
  <c r="S48" i="37"/>
  <c r="M48" i="37"/>
  <c r="M51" i="37" s="1"/>
  <c r="K48" i="37"/>
  <c r="J48" i="37"/>
  <c r="X47" i="37"/>
  <c r="W47" i="37"/>
  <c r="V47" i="37"/>
  <c r="U47" i="37"/>
  <c r="T47" i="37"/>
  <c r="S47" i="37"/>
  <c r="M47" i="37"/>
  <c r="K47" i="37"/>
  <c r="J47" i="37"/>
  <c r="X45" i="37"/>
  <c r="W45" i="37"/>
  <c r="V45" i="37"/>
  <c r="U45" i="37"/>
  <c r="T45" i="37"/>
  <c r="S45" i="37"/>
  <c r="M45" i="37"/>
  <c r="X44" i="37"/>
  <c r="W44" i="37"/>
  <c r="V44" i="37"/>
  <c r="U44" i="37"/>
  <c r="T44" i="37"/>
  <c r="R44" i="37"/>
  <c r="Q44" i="37"/>
  <c r="P44" i="37"/>
  <c r="O44" i="37"/>
  <c r="N44" i="37"/>
  <c r="M44" i="37"/>
  <c r="L44" i="37"/>
  <c r="K44" i="37"/>
  <c r="J44" i="37"/>
  <c r="I44" i="37"/>
  <c r="H44" i="37"/>
  <c r="X43" i="37"/>
  <c r="W43" i="37"/>
  <c r="V43" i="37"/>
  <c r="U43" i="37"/>
  <c r="T43" i="37"/>
  <c r="T46" i="37" s="1"/>
  <c r="J11" i="27" s="1"/>
  <c r="S43" i="37"/>
  <c r="M43" i="37"/>
  <c r="K43" i="37"/>
  <c r="J43" i="37"/>
  <c r="X42" i="37"/>
  <c r="W42" i="37"/>
  <c r="W46" i="37" s="1"/>
  <c r="K11" i="27" s="1"/>
  <c r="V42" i="37"/>
  <c r="U42" i="37"/>
  <c r="T42" i="37"/>
  <c r="S42" i="37"/>
  <c r="M42" i="37"/>
  <c r="K42" i="37"/>
  <c r="J42" i="37"/>
  <c r="X40" i="37"/>
  <c r="W40" i="37"/>
  <c r="V40" i="37"/>
  <c r="U40" i="37"/>
  <c r="T40" i="37"/>
  <c r="S40" i="37"/>
  <c r="M40" i="37"/>
  <c r="X39" i="37"/>
  <c r="W39" i="37"/>
  <c r="V39" i="37"/>
  <c r="U39" i="37"/>
  <c r="T39" i="37"/>
  <c r="R39" i="37"/>
  <c r="Q39" i="37"/>
  <c r="P39" i="37"/>
  <c r="O39" i="37"/>
  <c r="N39" i="37"/>
  <c r="M39" i="37"/>
  <c r="L39" i="37"/>
  <c r="K39" i="37"/>
  <c r="J39" i="37"/>
  <c r="I39" i="37"/>
  <c r="H39" i="37"/>
  <c r="X38" i="37"/>
  <c r="X41" i="37" s="1"/>
  <c r="L9" i="27" s="1"/>
  <c r="W38" i="37"/>
  <c r="V38" i="37"/>
  <c r="U38" i="37"/>
  <c r="T38" i="37"/>
  <c r="S38" i="37"/>
  <c r="M38" i="37"/>
  <c r="K38" i="37"/>
  <c r="J38" i="37"/>
  <c r="X37" i="37"/>
  <c r="W37" i="37"/>
  <c r="V37" i="37"/>
  <c r="U37" i="37"/>
  <c r="T37" i="37"/>
  <c r="T41" i="37" s="1"/>
  <c r="J9" i="27" s="1"/>
  <c r="S37" i="37"/>
  <c r="M37" i="37"/>
  <c r="K37" i="37"/>
  <c r="J37" i="37"/>
  <c r="X35" i="37"/>
  <c r="W35" i="37"/>
  <c r="V35" i="37"/>
  <c r="U35" i="37"/>
  <c r="T35" i="37"/>
  <c r="S35" i="37"/>
  <c r="M35" i="37"/>
  <c r="X34" i="37"/>
  <c r="W34" i="37"/>
  <c r="V34" i="37"/>
  <c r="U34" i="37"/>
  <c r="T34" i="37"/>
  <c r="R34" i="37"/>
  <c r="Q34" i="37"/>
  <c r="P34" i="37"/>
  <c r="O34" i="37"/>
  <c r="N34" i="37"/>
  <c r="M34" i="37"/>
  <c r="M36" i="37" s="1"/>
  <c r="L34" i="37"/>
  <c r="K34" i="37"/>
  <c r="J34" i="37"/>
  <c r="I34" i="37"/>
  <c r="H34" i="37"/>
  <c r="X33" i="37"/>
  <c r="W33" i="37"/>
  <c r="V33" i="37"/>
  <c r="U33" i="37"/>
  <c r="T33" i="37"/>
  <c r="S33" i="37"/>
  <c r="M33" i="37"/>
  <c r="K33" i="37"/>
  <c r="J33" i="37"/>
  <c r="X32" i="37"/>
  <c r="W32" i="37"/>
  <c r="W36" i="37" s="1"/>
  <c r="K17" i="27" s="1"/>
  <c r="V32" i="37"/>
  <c r="U32" i="37"/>
  <c r="T32" i="37"/>
  <c r="S32" i="37"/>
  <c r="M32" i="37"/>
  <c r="K32" i="37"/>
  <c r="J32" i="37"/>
  <c r="X30" i="37"/>
  <c r="W30" i="37"/>
  <c r="V30" i="37"/>
  <c r="U30" i="37"/>
  <c r="T30" i="37"/>
  <c r="S30" i="37"/>
  <c r="M30" i="37"/>
  <c r="X29" i="37"/>
  <c r="W29" i="37"/>
  <c r="V29" i="37"/>
  <c r="U29" i="37"/>
  <c r="T29" i="37"/>
  <c r="R29" i="37"/>
  <c r="Q29" i="37"/>
  <c r="P29" i="37"/>
  <c r="O29" i="37"/>
  <c r="N29" i="37"/>
  <c r="M29" i="37"/>
  <c r="L29" i="37"/>
  <c r="K29" i="37"/>
  <c r="J29" i="37"/>
  <c r="I29" i="37"/>
  <c r="H29" i="37"/>
  <c r="X28" i="37"/>
  <c r="X31" i="37" s="1"/>
  <c r="L8" i="27" s="1"/>
  <c r="W28" i="37"/>
  <c r="V28" i="37"/>
  <c r="U28" i="37"/>
  <c r="T28" i="37"/>
  <c r="S28" i="37"/>
  <c r="M28" i="37"/>
  <c r="M31" i="37" s="1"/>
  <c r="K28" i="37"/>
  <c r="J28" i="37"/>
  <c r="X27" i="37"/>
  <c r="W27" i="37"/>
  <c r="V27" i="37"/>
  <c r="U27" i="37"/>
  <c r="T27" i="37"/>
  <c r="S27" i="37"/>
  <c r="M27" i="37"/>
  <c r="K27" i="37"/>
  <c r="J27" i="37"/>
  <c r="X25" i="37"/>
  <c r="W25" i="37"/>
  <c r="V25" i="37"/>
  <c r="U25" i="37"/>
  <c r="T25" i="37"/>
  <c r="S25" i="37"/>
  <c r="M25" i="37"/>
  <c r="X24" i="37"/>
  <c r="W24" i="37"/>
  <c r="V24" i="37"/>
  <c r="U24" i="37"/>
  <c r="T24" i="37"/>
  <c r="R24" i="37"/>
  <c r="Q24" i="37"/>
  <c r="P24" i="37"/>
  <c r="O24" i="37"/>
  <c r="N24" i="37"/>
  <c r="M24" i="37"/>
  <c r="L24" i="37"/>
  <c r="K24" i="37"/>
  <c r="J24" i="37"/>
  <c r="I24" i="37"/>
  <c r="H24" i="37"/>
  <c r="X23" i="37"/>
  <c r="W23" i="37"/>
  <c r="V23" i="37"/>
  <c r="U23" i="37"/>
  <c r="T23" i="37"/>
  <c r="S23" i="37"/>
  <c r="M23" i="37"/>
  <c r="K23" i="37"/>
  <c r="J23" i="37"/>
  <c r="X22" i="37"/>
  <c r="X26" i="37" s="1"/>
  <c r="L10" i="27" s="1"/>
  <c r="W22" i="37"/>
  <c r="V22" i="37"/>
  <c r="U22" i="37"/>
  <c r="T22" i="37"/>
  <c r="S22" i="37"/>
  <c r="M22" i="37"/>
  <c r="K22" i="37"/>
  <c r="J22" i="37"/>
  <c r="X20" i="37"/>
  <c r="X21" i="37" s="1"/>
  <c r="L14" i="27" s="1"/>
  <c r="W20" i="37"/>
  <c r="V20" i="37"/>
  <c r="U20" i="37"/>
  <c r="T20" i="37"/>
  <c r="S20" i="37"/>
  <c r="M20" i="37"/>
  <c r="X19" i="37"/>
  <c r="W19" i="37"/>
  <c r="V19" i="37"/>
  <c r="U19" i="37"/>
  <c r="T19" i="37"/>
  <c r="R19" i="37"/>
  <c r="Q19" i="37"/>
  <c r="P19" i="37"/>
  <c r="O19" i="37"/>
  <c r="N19" i="37"/>
  <c r="M19" i="37"/>
  <c r="L19" i="37"/>
  <c r="K19" i="37"/>
  <c r="J19" i="37"/>
  <c r="I19" i="37"/>
  <c r="H19" i="37"/>
  <c r="X18" i="37"/>
  <c r="W18" i="37"/>
  <c r="V18" i="37"/>
  <c r="U18" i="37"/>
  <c r="T18" i="37"/>
  <c r="S18" i="37"/>
  <c r="M18" i="37"/>
  <c r="K18" i="37"/>
  <c r="J18" i="37"/>
  <c r="X17" i="37"/>
  <c r="W17" i="37"/>
  <c r="W21" i="37" s="1"/>
  <c r="K14" i="27" s="1"/>
  <c r="V17" i="37"/>
  <c r="U17" i="37"/>
  <c r="T17" i="37"/>
  <c r="S17" i="37"/>
  <c r="M17" i="37"/>
  <c r="K17" i="37"/>
  <c r="J17" i="37"/>
  <c r="X15" i="37"/>
  <c r="W15" i="37"/>
  <c r="V15" i="37"/>
  <c r="U15" i="37"/>
  <c r="T15" i="37"/>
  <c r="S15" i="37"/>
  <c r="M15" i="37"/>
  <c r="X14" i="37"/>
  <c r="W14" i="37"/>
  <c r="V14" i="37"/>
  <c r="U14" i="37"/>
  <c r="T14" i="37"/>
  <c r="R14" i="37"/>
  <c r="Q14" i="37"/>
  <c r="P14" i="37"/>
  <c r="O14" i="37"/>
  <c r="N14" i="37"/>
  <c r="M14" i="37"/>
  <c r="L14" i="37"/>
  <c r="K14" i="37"/>
  <c r="J14" i="37"/>
  <c r="I14" i="37"/>
  <c r="H14" i="37"/>
  <c r="X13" i="37"/>
  <c r="W13" i="37"/>
  <c r="V13" i="37"/>
  <c r="U13" i="37"/>
  <c r="T13" i="37"/>
  <c r="S13" i="37"/>
  <c r="M13" i="37"/>
  <c r="K13" i="37"/>
  <c r="J13" i="37"/>
  <c r="X12" i="37"/>
  <c r="W12" i="37"/>
  <c r="V12" i="37"/>
  <c r="U12" i="37"/>
  <c r="T12" i="37"/>
  <c r="S12" i="37"/>
  <c r="M12" i="37"/>
  <c r="K12" i="37"/>
  <c r="J12" i="37"/>
  <c r="W51" i="37"/>
  <c r="K7" i="27" s="1"/>
  <c r="M26" i="37"/>
  <c r="X10" i="37"/>
  <c r="W10" i="37"/>
  <c r="V10" i="37"/>
  <c r="U10" i="37"/>
  <c r="T10" i="37"/>
  <c r="S10" i="37"/>
  <c r="M10" i="37"/>
  <c r="X9" i="37"/>
  <c r="W9" i="37"/>
  <c r="V9" i="37"/>
  <c r="U9" i="37"/>
  <c r="T9" i="37"/>
  <c r="R9" i="37"/>
  <c r="Q9" i="37"/>
  <c r="P9" i="37"/>
  <c r="O9" i="37"/>
  <c r="N9" i="37"/>
  <c r="M9" i="37"/>
  <c r="L9" i="37"/>
  <c r="K9" i="37"/>
  <c r="J9" i="37"/>
  <c r="I9" i="37"/>
  <c r="H9" i="37"/>
  <c r="X8" i="37"/>
  <c r="W8" i="37"/>
  <c r="V8" i="37"/>
  <c r="U8" i="37"/>
  <c r="T8" i="37"/>
  <c r="S8" i="37"/>
  <c r="M8" i="37"/>
  <c r="K8" i="37"/>
  <c r="J8" i="37"/>
  <c r="J7" i="37"/>
  <c r="K7" i="37"/>
  <c r="M7" i="37"/>
  <c r="S7" i="37"/>
  <c r="T7" i="37"/>
  <c r="U7" i="37"/>
  <c r="V7" i="37"/>
  <c r="W7" i="37"/>
  <c r="W11" i="37" s="1"/>
  <c r="K12" i="27" s="1"/>
  <c r="X7" i="37"/>
  <c r="W61" i="37"/>
  <c r="K13" i="27" s="1"/>
  <c r="X56" i="37"/>
  <c r="L16" i="27" s="1"/>
  <c r="X46" i="37"/>
  <c r="L11" i="27" s="1"/>
  <c r="W41" i="37"/>
  <c r="K9" i="27" s="1"/>
  <c r="X36" i="37"/>
  <c r="L17" i="27" s="1"/>
  <c r="S18" i="35"/>
  <c r="S17" i="35"/>
  <c r="S16" i="35"/>
  <c r="S15" i="35"/>
  <c r="S14" i="35"/>
  <c r="S13" i="35"/>
  <c r="S12" i="35"/>
  <c r="S11" i="35"/>
  <c r="S10" i="35"/>
  <c r="S9" i="35"/>
  <c r="S8" i="35"/>
  <c r="S7" i="35"/>
  <c r="M66" i="37" l="1"/>
  <c r="W16" i="37"/>
  <c r="K15" i="27" s="1"/>
  <c r="M46" i="37"/>
  <c r="X51" i="37"/>
  <c r="L7" i="27" s="1"/>
  <c r="X16" i="37"/>
  <c r="L15" i="27" s="1"/>
  <c r="T21" i="37"/>
  <c r="J14" i="27" s="1"/>
  <c r="W26" i="37"/>
  <c r="K10" i="27" s="1"/>
  <c r="T11" i="37"/>
  <c r="J12" i="27" s="1"/>
  <c r="T16" i="37"/>
  <c r="J15" i="27" s="1"/>
  <c r="M11" i="37"/>
  <c r="W66" i="37"/>
  <c r="T36" i="37"/>
  <c r="J17" i="27" s="1"/>
  <c r="T56" i="37"/>
  <c r="J16" i="27" s="1"/>
  <c r="M61" i="37"/>
  <c r="M16" i="37"/>
  <c r="M41" i="37"/>
  <c r="W56" i="37"/>
  <c r="K16" i="27" s="1"/>
  <c r="T26" i="37"/>
  <c r="J10" i="27" s="1"/>
  <c r="M21" i="37"/>
  <c r="W31" i="37"/>
  <c r="K8" i="27" s="1"/>
  <c r="X11" i="37"/>
  <c r="L12" i="27" s="1"/>
  <c r="T31" i="37"/>
  <c r="J8" i="27" s="1"/>
  <c r="T66" i="37"/>
  <c r="T51" i="37"/>
  <c r="J7" i="27" s="1"/>
  <c r="C11" i="23" l="1"/>
  <c r="D11" i="23"/>
  <c r="E11" i="23"/>
  <c r="F11" i="23"/>
  <c r="G11" i="23"/>
  <c r="H11" i="23"/>
  <c r="I11" i="23"/>
  <c r="J11" i="23"/>
  <c r="K11" i="23"/>
  <c r="L11" i="23"/>
  <c r="M11" i="23"/>
  <c r="B11" i="23"/>
  <c r="C8" i="23" l="1"/>
  <c r="D8" i="23"/>
  <c r="E8" i="23"/>
  <c r="F8" i="23"/>
  <c r="G8" i="23"/>
  <c r="H8" i="23"/>
  <c r="I8" i="23"/>
  <c r="J8" i="23"/>
  <c r="K8" i="23"/>
  <c r="L8" i="23"/>
  <c r="M8" i="23"/>
  <c r="Q41" i="4" l="1"/>
  <c r="R37" i="4" s="1"/>
  <c r="L52" i="4" l="1"/>
  <c r="R35" i="4"/>
  <c r="L35" i="4" s="1"/>
  <c r="R36" i="4"/>
  <c r="L34" i="4" s="1"/>
  <c r="R38" i="4"/>
  <c r="L40" i="4" s="1"/>
  <c r="R39" i="4"/>
  <c r="L42" i="4" s="1"/>
  <c r="R40" i="4"/>
  <c r="L43" i="4" s="1"/>
  <c r="C10" i="4"/>
  <c r="D10" i="4"/>
  <c r="E10" i="4"/>
  <c r="F10" i="4"/>
  <c r="G10" i="4"/>
  <c r="H10" i="4"/>
  <c r="I10" i="4"/>
  <c r="J10" i="4"/>
  <c r="K10" i="4"/>
  <c r="L10" i="4"/>
  <c r="M10" i="4"/>
  <c r="B10" i="4"/>
  <c r="C58" i="4" l="1"/>
  <c r="D58" i="4"/>
  <c r="E58" i="4"/>
  <c r="F58" i="4"/>
  <c r="G58" i="4"/>
  <c r="H58" i="4"/>
  <c r="I58" i="4"/>
  <c r="J58" i="4"/>
  <c r="K58" i="4"/>
  <c r="L58" i="4"/>
  <c r="M58" i="4"/>
  <c r="C59" i="4"/>
  <c r="D59" i="4"/>
  <c r="E59" i="4"/>
  <c r="F59" i="4"/>
  <c r="G59" i="4"/>
  <c r="H59" i="4"/>
  <c r="I59" i="4"/>
  <c r="J59" i="4"/>
  <c r="K59" i="4"/>
  <c r="L59" i="4"/>
  <c r="M59" i="4"/>
  <c r="B59" i="4"/>
  <c r="B58" i="4"/>
  <c r="R46" i="25" l="1"/>
  <c r="R52" i="25" s="1"/>
  <c r="T45" i="25"/>
  <c r="T51" i="25" s="1"/>
  <c r="F37" i="31"/>
  <c r="F55" i="31" l="1"/>
  <c r="D50" i="31" l="1"/>
  <c r="Y9" i="25"/>
  <c r="Y8" i="25"/>
  <c r="Y7" i="25"/>
  <c r="Y6" i="25"/>
  <c r="X8" i="25"/>
  <c r="X7" i="25"/>
  <c r="X44" i="25" s="1"/>
  <c r="X6" i="25"/>
  <c r="X9" i="25"/>
  <c r="W6" i="25"/>
  <c r="W9" i="25"/>
  <c r="W8" i="25"/>
  <c r="W7" i="25"/>
  <c r="V9" i="25"/>
  <c r="V46" i="25" s="1"/>
  <c r="V52" i="25" s="1"/>
  <c r="V8" i="25"/>
  <c r="V45" i="25" s="1"/>
  <c r="V51" i="25" s="1"/>
  <c r="V7" i="25"/>
  <c r="V44" i="25" s="1"/>
  <c r="V50" i="25" s="1"/>
  <c r="V6" i="25"/>
  <c r="V43" i="25" s="1"/>
  <c r="V49" i="25" s="1"/>
  <c r="N24" i="25"/>
  <c r="N26" i="25"/>
  <c r="G54" i="31"/>
  <c r="C54" i="31"/>
  <c r="D34" i="31" l="1"/>
  <c r="D27" i="31"/>
  <c r="D35" i="31"/>
  <c r="D30" i="31"/>
  <c r="D33" i="31"/>
  <c r="D28" i="31"/>
  <c r="D36" i="31"/>
  <c r="D29" i="31"/>
  <c r="D37" i="31"/>
  <c r="E37" i="31" s="1"/>
  <c r="D26" i="31"/>
  <c r="D31" i="31"/>
  <c r="D32" i="31"/>
  <c r="D54" i="31"/>
  <c r="D44" i="31"/>
  <c r="D53" i="31"/>
  <c r="D46" i="31"/>
  <c r="D45" i="31"/>
  <c r="D52" i="31"/>
  <c r="D49" i="31"/>
  <c r="D48" i="31"/>
  <c r="D47" i="31"/>
  <c r="D51" i="31"/>
  <c r="I182" i="2"/>
  <c r="J182" i="2"/>
  <c r="L182" i="2"/>
  <c r="N182" i="2"/>
  <c r="O182" i="2"/>
  <c r="P182" i="2"/>
  <c r="Q182" i="2"/>
  <c r="I183" i="2"/>
  <c r="J183" i="2"/>
  <c r="L183" i="2"/>
  <c r="N183" i="2"/>
  <c r="O183" i="2"/>
  <c r="P183" i="2"/>
  <c r="Q183" i="2"/>
  <c r="S195" i="2"/>
  <c r="R195" i="2"/>
  <c r="S194" i="2"/>
  <c r="R194" i="2"/>
  <c r="S193" i="2"/>
  <c r="R193" i="2"/>
  <c r="S192" i="2"/>
  <c r="R192" i="2"/>
  <c r="S191" i="2"/>
  <c r="R191" i="2"/>
  <c r="S190" i="2"/>
  <c r="R190" i="2"/>
  <c r="S189" i="2"/>
  <c r="R189" i="2"/>
  <c r="S188" i="2"/>
  <c r="R188" i="2"/>
  <c r="S187" i="2"/>
  <c r="R187" i="2"/>
  <c r="S186" i="2"/>
  <c r="R186" i="2"/>
  <c r="S185" i="2"/>
  <c r="R185" i="2"/>
  <c r="R184" i="2"/>
  <c r="S183" i="2"/>
  <c r="R183" i="2"/>
  <c r="R182" i="2"/>
  <c r="I182" i="15"/>
  <c r="J182" i="15"/>
  <c r="L182" i="15"/>
  <c r="N182" i="15"/>
  <c r="O182" i="15"/>
  <c r="P182" i="15"/>
  <c r="Q182" i="15"/>
  <c r="I183" i="15"/>
  <c r="J183" i="15"/>
  <c r="L183" i="15"/>
  <c r="N183" i="15"/>
  <c r="O183" i="15"/>
  <c r="P183" i="15"/>
  <c r="Q183" i="15"/>
  <c r="S195" i="15"/>
  <c r="R195" i="15"/>
  <c r="S194" i="15"/>
  <c r="R194" i="15"/>
  <c r="S193" i="15"/>
  <c r="R193" i="15"/>
  <c r="S192" i="15"/>
  <c r="R192" i="15"/>
  <c r="S191" i="15"/>
  <c r="R191" i="15"/>
  <c r="S190" i="15"/>
  <c r="R190" i="15"/>
  <c r="S189" i="15"/>
  <c r="R189" i="15"/>
  <c r="S188" i="15"/>
  <c r="R188" i="15"/>
  <c r="S187" i="15"/>
  <c r="R187" i="15"/>
  <c r="S186" i="15"/>
  <c r="R186" i="15"/>
  <c r="S185" i="15"/>
  <c r="R185" i="15"/>
  <c r="R184" i="15"/>
  <c r="S183" i="15"/>
  <c r="R183" i="15"/>
  <c r="R182" i="15"/>
  <c r="F193" i="15"/>
  <c r="F192" i="15"/>
  <c r="F191" i="15"/>
  <c r="F190" i="15"/>
  <c r="F189" i="15"/>
  <c r="F188" i="15"/>
  <c r="F187" i="15"/>
  <c r="F186" i="15"/>
  <c r="F185" i="15"/>
  <c r="L183" i="14"/>
  <c r="N183" i="14"/>
  <c r="O183" i="14"/>
  <c r="P183" i="14"/>
  <c r="Q183" i="14"/>
  <c r="R183" i="14"/>
  <c r="S183" i="14"/>
  <c r="R184" i="14"/>
  <c r="R185" i="14"/>
  <c r="S185" i="14"/>
  <c r="R186" i="14"/>
  <c r="S186" i="14"/>
  <c r="R187" i="14"/>
  <c r="S187" i="14"/>
  <c r="R188" i="14"/>
  <c r="S188" i="14"/>
  <c r="R189" i="14"/>
  <c r="S189" i="14"/>
  <c r="R190" i="14"/>
  <c r="S190" i="14"/>
  <c r="R191" i="14"/>
  <c r="S191" i="14"/>
  <c r="R192" i="14"/>
  <c r="S192" i="14"/>
  <c r="R193" i="14"/>
  <c r="S193" i="14"/>
  <c r="R194" i="14"/>
  <c r="S194" i="14"/>
  <c r="R195" i="14"/>
  <c r="S195" i="14"/>
  <c r="R182" i="14"/>
  <c r="M182" i="16"/>
  <c r="L182" i="14"/>
  <c r="N182" i="14"/>
  <c r="O182" i="14"/>
  <c r="P182" i="14"/>
  <c r="Q182" i="14"/>
  <c r="Q193" i="14"/>
  <c r="P193" i="14"/>
  <c r="N193" i="14"/>
  <c r="M193" i="14"/>
  <c r="K193" i="14"/>
  <c r="J193" i="14"/>
  <c r="I193" i="14"/>
  <c r="H193" i="14"/>
  <c r="G193" i="14"/>
  <c r="Q192" i="14"/>
  <c r="N192" i="14"/>
  <c r="M192" i="14"/>
  <c r="K192" i="14"/>
  <c r="J192" i="14"/>
  <c r="I192" i="14"/>
  <c r="H192" i="14"/>
  <c r="G192" i="14"/>
  <c r="F191" i="14"/>
  <c r="F190" i="14"/>
  <c r="F189" i="14"/>
  <c r="F188" i="14"/>
  <c r="F187" i="14"/>
  <c r="F186" i="14"/>
  <c r="F185" i="14"/>
  <c r="N183" i="16"/>
  <c r="N185" i="16"/>
  <c r="N186" i="16"/>
  <c r="N187" i="16"/>
  <c r="N188" i="16"/>
  <c r="N189" i="16"/>
  <c r="N190" i="16"/>
  <c r="N191" i="16"/>
  <c r="N192" i="16"/>
  <c r="N193" i="16"/>
  <c r="N194" i="16"/>
  <c r="N195" i="16"/>
  <c r="M183" i="16"/>
  <c r="M184" i="16"/>
  <c r="M185" i="16"/>
  <c r="M186" i="16"/>
  <c r="M187" i="16"/>
  <c r="M188" i="16"/>
  <c r="M189" i="16"/>
  <c r="M190" i="16"/>
  <c r="M191" i="16"/>
  <c r="M192" i="16"/>
  <c r="M193" i="16"/>
  <c r="M194" i="16"/>
  <c r="M195" i="16"/>
  <c r="K195" i="14" l="1"/>
  <c r="K195" i="15"/>
  <c r="L195" i="15"/>
  <c r="V130" i="25"/>
  <c r="V55" i="25"/>
  <c r="V66" i="25" s="1"/>
  <c r="V57" i="25"/>
  <c r="V68" i="25" s="1"/>
  <c r="V73" i="25" s="1"/>
  <c r="V91" i="25" s="1"/>
  <c r="F193" i="14"/>
  <c r="G195" i="14"/>
  <c r="M195" i="15"/>
  <c r="N195" i="15"/>
  <c r="G195" i="15"/>
  <c r="O195" i="15"/>
  <c r="H195" i="15"/>
  <c r="P195" i="15"/>
  <c r="I195" i="15"/>
  <c r="Q195" i="15"/>
  <c r="J195" i="15"/>
  <c r="N195" i="14"/>
  <c r="O195" i="14"/>
  <c r="L195" i="14"/>
  <c r="M195" i="14"/>
  <c r="H195" i="14"/>
  <c r="I195" i="14"/>
  <c r="Q195" i="14"/>
  <c r="J195" i="14"/>
  <c r="V71" i="25" l="1"/>
  <c r="V81" i="25"/>
  <c r="V101" i="25"/>
  <c r="V56" i="25"/>
  <c r="V138" i="25"/>
  <c r="F195" i="15"/>
  <c r="V89" i="25" l="1"/>
  <c r="V79" i="25"/>
  <c r="V99" i="25"/>
  <c r="V111" i="25"/>
  <c r="V116" i="25" s="1"/>
  <c r="V137" i="25" s="1"/>
  <c r="V143" i="25"/>
  <c r="V149" i="25"/>
  <c r="V67" i="25"/>
  <c r="V72" i="25" s="1"/>
  <c r="V109" i="25" l="1"/>
  <c r="V114" i="25" s="1"/>
  <c r="V125" i="25" s="1"/>
  <c r="V142" i="25"/>
  <c r="V148" i="25"/>
  <c r="V90" i="25"/>
  <c r="V100" i="25"/>
  <c r="V80" i="25"/>
  <c r="V127" i="25"/>
  <c r="V110" i="25" l="1"/>
  <c r="V115" i="25" s="1"/>
  <c r="V126" i="25" s="1"/>
  <c r="V135" i="25"/>
  <c r="V146" i="25" l="1"/>
  <c r="V140" i="25"/>
  <c r="V136" i="25"/>
  <c r="V141" i="25" l="1"/>
  <c r="V147" i="25"/>
  <c r="G36" i="30" l="1"/>
  <c r="I37" i="31"/>
  <c r="J37" i="31"/>
  <c r="K37" i="31"/>
  <c r="L37" i="31"/>
  <c r="C37" i="31"/>
  <c r="G55" i="31"/>
  <c r="I55" i="31"/>
  <c r="J55" i="31"/>
  <c r="K19" i="31"/>
  <c r="L55" i="31"/>
  <c r="M55" i="31"/>
  <c r="C55" i="31"/>
  <c r="H53" i="30" s="1"/>
  <c r="E73" i="31"/>
  <c r="G73" i="31"/>
  <c r="I73" i="31"/>
  <c r="J73" i="31"/>
  <c r="L261" i="32"/>
  <c r="F258" i="32"/>
  <c r="M73" i="31"/>
  <c r="N73" i="31"/>
  <c r="O73" i="31"/>
  <c r="P73" i="31"/>
  <c r="Q73" i="31"/>
  <c r="R73" i="31"/>
  <c r="S73" i="31"/>
  <c r="K70" i="30"/>
  <c r="C73" i="31"/>
  <c r="F259" i="32"/>
  <c r="O262" i="32"/>
  <c r="N262" i="32"/>
  <c r="M262" i="32"/>
  <c r="K262" i="32"/>
  <c r="G261" i="32"/>
  <c r="E260" i="32"/>
  <c r="G259" i="32"/>
  <c r="G258" i="32"/>
  <c r="O197" i="32"/>
  <c r="N197" i="32"/>
  <c r="M197" i="32"/>
  <c r="K197" i="32"/>
  <c r="G196" i="32"/>
  <c r="E195" i="32"/>
  <c r="G194" i="32"/>
  <c r="G193" i="32"/>
  <c r="F129" i="32"/>
  <c r="G183" i="15" s="1"/>
  <c r="O132" i="32"/>
  <c r="N132" i="32"/>
  <c r="M132" i="32"/>
  <c r="K132" i="32"/>
  <c r="G131" i="32"/>
  <c r="H183" i="14" s="1"/>
  <c r="E130" i="32"/>
  <c r="G129" i="32"/>
  <c r="H183" i="15" s="1"/>
  <c r="G128" i="32"/>
  <c r="O67" i="32"/>
  <c r="N67" i="32"/>
  <c r="M67" i="32"/>
  <c r="K67" i="32"/>
  <c r="G66" i="32"/>
  <c r="H182" i="14" s="1"/>
  <c r="E65" i="32"/>
  <c r="G64" i="32"/>
  <c r="H182" i="15" s="1"/>
  <c r="G63" i="32"/>
  <c r="H182" i="2" s="1"/>
  <c r="F70" i="30"/>
  <c r="C89" i="31"/>
  <c r="B89" i="31"/>
  <c r="S55" i="31"/>
  <c r="R55" i="31"/>
  <c r="Q55" i="31"/>
  <c r="P55" i="31"/>
  <c r="O55" i="31"/>
  <c r="N55" i="31"/>
  <c r="Y37" i="31"/>
  <c r="Y19" i="31"/>
  <c r="J19" i="31"/>
  <c r="I19" i="31"/>
  <c r="G19" i="31"/>
  <c r="Q193" i="2"/>
  <c r="P193" i="2"/>
  <c r="O193" i="2"/>
  <c r="O195" i="2" s="1"/>
  <c r="N193" i="2"/>
  <c r="N195" i="2" s="1"/>
  <c r="M193" i="2"/>
  <c r="K193" i="2"/>
  <c r="F193" i="2" s="1"/>
  <c r="I193" i="2"/>
  <c r="H193" i="2"/>
  <c r="G193" i="2"/>
  <c r="Q192" i="2"/>
  <c r="O192" i="2"/>
  <c r="N192" i="2"/>
  <c r="M192" i="2"/>
  <c r="K192" i="2"/>
  <c r="I192" i="2"/>
  <c r="H192" i="2"/>
  <c r="G192" i="2"/>
  <c r="F191" i="2"/>
  <c r="F190" i="2"/>
  <c r="F189" i="2"/>
  <c r="F188" i="2"/>
  <c r="G195" i="2"/>
  <c r="F187" i="2"/>
  <c r="F186" i="2"/>
  <c r="K195" i="2"/>
  <c r="F185" i="2"/>
  <c r="M66" i="13"/>
  <c r="AA66" i="13" l="1"/>
  <c r="AA66" i="37"/>
  <c r="L193" i="32"/>
  <c r="D55" i="31"/>
  <c r="E55" i="31" s="1"/>
  <c r="E19" i="31" s="1"/>
  <c r="L131" i="32"/>
  <c r="M183" i="14" s="1"/>
  <c r="I53" i="30"/>
  <c r="J53" i="30"/>
  <c r="K53" i="30"/>
  <c r="K184" i="16" s="1"/>
  <c r="H70" i="30"/>
  <c r="F53" i="30"/>
  <c r="G262" i="32"/>
  <c r="G132" i="32"/>
  <c r="H183" i="2"/>
  <c r="G197" i="32"/>
  <c r="C19" i="31"/>
  <c r="L128" i="32"/>
  <c r="M183" i="2" s="1"/>
  <c r="I36" i="30"/>
  <c r="J36" i="30"/>
  <c r="L129" i="32"/>
  <c r="M183" i="15" s="1"/>
  <c r="H36" i="30"/>
  <c r="F36" i="30"/>
  <c r="K36" i="30"/>
  <c r="F131" i="32"/>
  <c r="G183" i="14" s="1"/>
  <c r="F128" i="32"/>
  <c r="L194" i="32"/>
  <c r="L196" i="32"/>
  <c r="L258" i="32"/>
  <c r="F261" i="32"/>
  <c r="F262" i="32" s="1"/>
  <c r="G70" i="30"/>
  <c r="L259" i="32"/>
  <c r="I70" i="30"/>
  <c r="G67" i="32"/>
  <c r="L195" i="2"/>
  <c r="M195" i="2"/>
  <c r="H195" i="2"/>
  <c r="I195" i="2"/>
  <c r="Q195" i="2"/>
  <c r="J195" i="2"/>
  <c r="M17" i="23" l="1"/>
  <c r="M12" i="23"/>
  <c r="F193" i="32"/>
  <c r="G53" i="30"/>
  <c r="F196" i="32"/>
  <c r="F194" i="32"/>
  <c r="L132" i="32"/>
  <c r="F19" i="30"/>
  <c r="J19" i="30"/>
  <c r="J182" i="16" s="1"/>
  <c r="L262" i="32"/>
  <c r="I19" i="30"/>
  <c r="I182" i="16" s="1"/>
  <c r="L66" i="32"/>
  <c r="M182" i="14" s="1"/>
  <c r="F64" i="32"/>
  <c r="G183" i="2"/>
  <c r="K19" i="30"/>
  <c r="K182" i="16" s="1"/>
  <c r="G19" i="30"/>
  <c r="G182" i="16" s="1"/>
  <c r="L63" i="32"/>
  <c r="M182" i="2" s="1"/>
  <c r="H19" i="30"/>
  <c r="H182" i="16" s="1"/>
  <c r="L64" i="32"/>
  <c r="M182" i="15" s="1"/>
  <c r="F66" i="32"/>
  <c r="G182" i="14" s="1"/>
  <c r="F63" i="32"/>
  <c r="G182" i="2" s="1"/>
  <c r="F194" i="2" s="1"/>
  <c r="L197" i="32"/>
  <c r="F132" i="32"/>
  <c r="M15" i="23"/>
  <c r="M18" i="23" s="1"/>
  <c r="F197" i="32" l="1"/>
  <c r="L67" i="32"/>
  <c r="F67" i="32"/>
  <c r="G182" i="15"/>
  <c r="C30" i="27"/>
  <c r="B24" i="25" l="1"/>
  <c r="E26" i="27"/>
  <c r="F26" i="27"/>
  <c r="G26" i="27"/>
  <c r="H26" i="27"/>
  <c r="I26" i="27"/>
  <c r="D26" i="27"/>
  <c r="M48" i="4" l="1"/>
  <c r="M30" i="4"/>
  <c r="J15" i="23" l="1"/>
  <c r="J18" i="23" s="1"/>
  <c r="G15" i="23"/>
  <c r="G18" i="23" s="1"/>
  <c r="F12" i="23"/>
  <c r="E15" i="23"/>
  <c r="E18" i="23" s="1"/>
  <c r="C15" i="23"/>
  <c r="C18" i="23" s="1"/>
  <c r="I15" i="23"/>
  <c r="I18" i="23" s="1"/>
  <c r="H15" i="23"/>
  <c r="H18" i="23" s="1"/>
  <c r="B12" i="23"/>
  <c r="K15" i="23"/>
  <c r="K18" i="23" s="1"/>
  <c r="D12" i="23"/>
  <c r="E12" i="23"/>
  <c r="L12" i="23"/>
  <c r="K12" i="23"/>
  <c r="J12" i="23"/>
  <c r="I12" i="23"/>
  <c r="H12" i="23"/>
  <c r="G12" i="23"/>
  <c r="C12" i="23"/>
  <c r="B8" i="23" l="1"/>
  <c r="U27" i="25"/>
  <c r="M44" i="25"/>
  <c r="O43" i="25"/>
  <c r="O24" i="25"/>
  <c r="M45" i="25"/>
  <c r="E45" i="25"/>
  <c r="S46" i="25"/>
  <c r="Y45" i="25"/>
  <c r="S25" i="25"/>
  <c r="I27" i="25"/>
  <c r="O44" i="25"/>
  <c r="I44" i="25"/>
  <c r="S24" i="25"/>
  <c r="O25" i="25"/>
  <c r="S43" i="25"/>
  <c r="Y24" i="25"/>
  <c r="W46" i="25"/>
  <c r="W52" i="25" s="1"/>
  <c r="W130" i="25" s="1"/>
  <c r="Y25" i="25"/>
  <c r="W43" i="25"/>
  <c r="W49" i="25" s="1"/>
  <c r="G25" i="25"/>
  <c r="Y26" i="25"/>
  <c r="I43" i="25"/>
  <c r="E24" i="25"/>
  <c r="E26" i="25"/>
  <c r="Y44" i="25"/>
  <c r="O27" i="25"/>
  <c r="E44" i="25"/>
  <c r="M26" i="25"/>
  <c r="I45" i="25"/>
  <c r="S26" i="25"/>
  <c r="W44" i="25"/>
  <c r="S27" i="25"/>
  <c r="U45" i="25"/>
  <c r="U51" i="25" s="1"/>
  <c r="W45" i="25"/>
  <c r="Y27" i="25"/>
  <c r="C43" i="25"/>
  <c r="O26" i="25"/>
  <c r="I24" i="25"/>
  <c r="M24" i="25"/>
  <c r="S44" i="25"/>
  <c r="O46" i="25"/>
  <c r="B15" i="23"/>
  <c r="B18" i="23" s="1"/>
  <c r="Y43" i="25"/>
  <c r="C24" i="25"/>
  <c r="I25" i="25"/>
  <c r="M25" i="25"/>
  <c r="S45" i="25"/>
  <c r="I46" i="25"/>
  <c r="I52" i="25" s="1"/>
  <c r="K27" i="25"/>
  <c r="C44" i="25"/>
  <c r="Q26" i="25"/>
  <c r="K44" i="25"/>
  <c r="C45" i="25"/>
  <c r="B17" i="23"/>
  <c r="Q27" i="25"/>
  <c r="E25" i="25"/>
  <c r="K45" i="25"/>
  <c r="G44" i="25"/>
  <c r="U44" i="25"/>
  <c r="Q43" i="25"/>
  <c r="K46" i="25"/>
  <c r="Q25" i="25"/>
  <c r="G43" i="25"/>
  <c r="U43" i="25"/>
  <c r="G27" i="25"/>
  <c r="U46" i="25"/>
  <c r="U24" i="25"/>
  <c r="C46" i="25"/>
  <c r="Q44" i="25"/>
  <c r="E46" i="25"/>
  <c r="K24" i="25"/>
  <c r="G26" i="25"/>
  <c r="G45" i="25"/>
  <c r="U25" i="25"/>
  <c r="Y46" i="25"/>
  <c r="C26" i="25"/>
  <c r="Q46" i="25"/>
  <c r="E27" i="25"/>
  <c r="M27" i="25"/>
  <c r="G46" i="25"/>
  <c r="C25" i="25"/>
  <c r="Q45" i="25"/>
  <c r="K25" i="25"/>
  <c r="M46" i="25"/>
  <c r="G24" i="25"/>
  <c r="U26" i="25"/>
  <c r="L15" i="23"/>
  <c r="L18" i="23" s="1"/>
  <c r="C27" i="25"/>
  <c r="O45" i="25"/>
  <c r="Q24" i="25"/>
  <c r="E43" i="25"/>
  <c r="I26" i="25"/>
  <c r="K43" i="25"/>
  <c r="K26" i="25"/>
  <c r="M43" i="25"/>
  <c r="F15" i="23"/>
  <c r="F18" i="23" s="1"/>
  <c r="D15" i="23"/>
  <c r="D18" i="23" s="1"/>
  <c r="M81" i="4"/>
  <c r="Q17" i="4"/>
  <c r="W34" i="25" l="1"/>
  <c r="W138" i="25"/>
  <c r="W131" i="25"/>
  <c r="W55" i="25"/>
  <c r="W66" i="25" s="1"/>
  <c r="W71" i="25" s="1"/>
  <c r="W50" i="25"/>
  <c r="W51" i="25"/>
  <c r="M20" i="23"/>
  <c r="M21" i="23"/>
  <c r="B52" i="4"/>
  <c r="Q19" i="4"/>
  <c r="M23" i="23" l="1"/>
  <c r="W56" i="25"/>
  <c r="W67" i="25" s="1"/>
  <c r="W72" i="25" s="1"/>
  <c r="W89" i="25"/>
  <c r="W99" i="25"/>
  <c r="W79" i="25"/>
  <c r="S182" i="14"/>
  <c r="N182" i="16"/>
  <c r="S182" i="15"/>
  <c r="S182" i="2"/>
  <c r="N166" i="16"/>
  <c r="W143" i="25"/>
  <c r="W149" i="25"/>
  <c r="S64" i="13"/>
  <c r="S64" i="37" s="1"/>
  <c r="G64" i="37" s="1"/>
  <c r="R17" i="4"/>
  <c r="L17" i="4" s="1"/>
  <c r="W57" i="25"/>
  <c r="W68" i="25" s="1"/>
  <c r="W73" i="25" s="1"/>
  <c r="S184" i="2"/>
  <c r="N184" i="16"/>
  <c r="S184" i="14"/>
  <c r="S184" i="15"/>
  <c r="E52" i="4"/>
  <c r="F52" i="4"/>
  <c r="I52" i="4"/>
  <c r="J52" i="4"/>
  <c r="C52" i="4"/>
  <c r="K52" i="4"/>
  <c r="D52" i="4"/>
  <c r="M52" i="4"/>
  <c r="G52" i="4"/>
  <c r="H52" i="4"/>
  <c r="R18" i="4"/>
  <c r="L15" i="4" s="1"/>
  <c r="M166" i="16" s="1"/>
  <c r="S66" i="37" l="1"/>
  <c r="X65" i="13"/>
  <c r="X63" i="13"/>
  <c r="X62" i="13"/>
  <c r="X66" i="13" s="1"/>
  <c r="W109" i="25"/>
  <c r="W114" i="25" s="1"/>
  <c r="W125" i="25" s="1"/>
  <c r="W81" i="25"/>
  <c r="W91" i="25"/>
  <c r="W101" i="25"/>
  <c r="W90" i="25"/>
  <c r="W100" i="25"/>
  <c r="W80" i="25"/>
  <c r="W58" i="25"/>
  <c r="W82" i="25" l="1"/>
  <c r="W92" i="25"/>
  <c r="W111" i="25"/>
  <c r="W116" i="25" s="1"/>
  <c r="W137" i="25" s="1"/>
  <c r="W110" i="25"/>
  <c r="W115" i="25" s="1"/>
  <c r="W136" i="25" s="1"/>
  <c r="W135" i="25"/>
  <c r="L166" i="14"/>
  <c r="N166" i="14"/>
  <c r="O166" i="14"/>
  <c r="P166" i="14"/>
  <c r="Q166" i="14"/>
  <c r="L150" i="14"/>
  <c r="N150" i="14"/>
  <c r="O150" i="14"/>
  <c r="P150" i="14"/>
  <c r="Q150" i="14"/>
  <c r="L134" i="14"/>
  <c r="N134" i="14"/>
  <c r="O134" i="14"/>
  <c r="P134" i="14"/>
  <c r="Q134" i="14"/>
  <c r="L118" i="14"/>
  <c r="N118" i="14"/>
  <c r="O118" i="14"/>
  <c r="P118" i="14"/>
  <c r="Q118" i="14"/>
  <c r="L102" i="14"/>
  <c r="N102" i="14"/>
  <c r="O102" i="14"/>
  <c r="P102" i="14"/>
  <c r="Q102" i="14"/>
  <c r="L86" i="14"/>
  <c r="N86" i="14"/>
  <c r="O86" i="14"/>
  <c r="P86" i="14"/>
  <c r="Q86" i="14"/>
  <c r="L70" i="14"/>
  <c r="N70" i="14"/>
  <c r="O70" i="14"/>
  <c r="P70" i="14"/>
  <c r="Q70" i="14"/>
  <c r="L54" i="14"/>
  <c r="N54" i="14"/>
  <c r="O54" i="14"/>
  <c r="P54" i="14"/>
  <c r="Q54" i="14"/>
  <c r="L38" i="14"/>
  <c r="N38" i="14"/>
  <c r="O38" i="14"/>
  <c r="P38" i="14"/>
  <c r="Q38" i="14"/>
  <c r="L22" i="14"/>
  <c r="N22" i="14"/>
  <c r="O22" i="14"/>
  <c r="P22" i="14"/>
  <c r="Q22" i="14"/>
  <c r="L6" i="14"/>
  <c r="N6" i="14"/>
  <c r="O6" i="14"/>
  <c r="P6" i="14"/>
  <c r="Q6" i="14"/>
  <c r="I22" i="15"/>
  <c r="J22" i="15"/>
  <c r="I38" i="15"/>
  <c r="J38" i="15"/>
  <c r="I54" i="15"/>
  <c r="J54" i="15"/>
  <c r="I70" i="15"/>
  <c r="J70" i="15"/>
  <c r="I86" i="15"/>
  <c r="J86" i="15"/>
  <c r="I102" i="15"/>
  <c r="J102" i="15"/>
  <c r="I118" i="15"/>
  <c r="J118" i="15"/>
  <c r="I134" i="15"/>
  <c r="J134" i="15"/>
  <c r="I150" i="15"/>
  <c r="J150" i="15"/>
  <c r="I166" i="15"/>
  <c r="J166" i="15"/>
  <c r="L22" i="15"/>
  <c r="L38" i="15"/>
  <c r="L54" i="15"/>
  <c r="L70" i="15"/>
  <c r="L86" i="15"/>
  <c r="L102" i="15"/>
  <c r="L118" i="15"/>
  <c r="L134" i="15"/>
  <c r="L150" i="15"/>
  <c r="L166" i="15"/>
  <c r="N166" i="15"/>
  <c r="O166" i="15"/>
  <c r="P166" i="15"/>
  <c r="Q166" i="15"/>
  <c r="N150" i="15"/>
  <c r="O150" i="15"/>
  <c r="P150" i="15"/>
  <c r="Q150" i="15"/>
  <c r="N134" i="15"/>
  <c r="O134" i="15"/>
  <c r="P134" i="15"/>
  <c r="Q134" i="15"/>
  <c r="N118" i="15"/>
  <c r="O118" i="15"/>
  <c r="P118" i="15"/>
  <c r="Q118" i="15"/>
  <c r="N102" i="15"/>
  <c r="O102" i="15"/>
  <c r="P102" i="15"/>
  <c r="Q102" i="15"/>
  <c r="N86" i="15"/>
  <c r="O86" i="15"/>
  <c r="P86" i="15"/>
  <c r="Q86" i="15"/>
  <c r="N70" i="15"/>
  <c r="O70" i="15"/>
  <c r="P70" i="15"/>
  <c r="Q70" i="15"/>
  <c r="N54" i="15"/>
  <c r="O54" i="15"/>
  <c r="P54" i="15"/>
  <c r="Q54" i="15"/>
  <c r="N38" i="15"/>
  <c r="O38" i="15"/>
  <c r="P38" i="15"/>
  <c r="Q38" i="15"/>
  <c r="N22" i="15"/>
  <c r="O22" i="15"/>
  <c r="P22" i="15"/>
  <c r="Q22" i="15"/>
  <c r="N6" i="15"/>
  <c r="P6" i="15"/>
  <c r="I166" i="2"/>
  <c r="J166" i="2"/>
  <c r="L166" i="2"/>
  <c r="N166" i="2"/>
  <c r="O166" i="2"/>
  <c r="P166" i="2"/>
  <c r="Q166" i="2"/>
  <c r="I150" i="2"/>
  <c r="J150" i="2"/>
  <c r="L150" i="2"/>
  <c r="N150" i="2"/>
  <c r="O150" i="2"/>
  <c r="P150" i="2"/>
  <c r="Q150" i="2"/>
  <c r="I134" i="2"/>
  <c r="J134" i="2"/>
  <c r="L134" i="2"/>
  <c r="N134" i="2"/>
  <c r="O134" i="2"/>
  <c r="P134" i="2"/>
  <c r="Q134" i="2"/>
  <c r="I118" i="2"/>
  <c r="J118" i="2"/>
  <c r="L118" i="2"/>
  <c r="N118" i="2"/>
  <c r="O118" i="2"/>
  <c r="P118" i="2"/>
  <c r="Q118" i="2"/>
  <c r="I102" i="2"/>
  <c r="J102" i="2"/>
  <c r="L102" i="2"/>
  <c r="N102" i="2"/>
  <c r="O102" i="2"/>
  <c r="P102" i="2"/>
  <c r="Q102" i="2"/>
  <c r="I86" i="2"/>
  <c r="J86" i="2"/>
  <c r="L86" i="2"/>
  <c r="N86" i="2"/>
  <c r="O86" i="2"/>
  <c r="P86" i="2"/>
  <c r="Q86" i="2"/>
  <c r="I70" i="2"/>
  <c r="J70" i="2"/>
  <c r="L70" i="2"/>
  <c r="N70" i="2"/>
  <c r="O70" i="2"/>
  <c r="P70" i="2"/>
  <c r="Q70" i="2"/>
  <c r="I54" i="2"/>
  <c r="J54" i="2"/>
  <c r="L54" i="2"/>
  <c r="N54" i="2"/>
  <c r="O54" i="2"/>
  <c r="P54" i="2"/>
  <c r="Q54" i="2"/>
  <c r="I38" i="2"/>
  <c r="J38" i="2"/>
  <c r="L38" i="2"/>
  <c r="N38" i="2"/>
  <c r="O38" i="2"/>
  <c r="P38" i="2"/>
  <c r="Q38" i="2"/>
  <c r="I22" i="2"/>
  <c r="J22" i="2"/>
  <c r="L22" i="2"/>
  <c r="N22" i="2"/>
  <c r="O22" i="2"/>
  <c r="P22" i="2"/>
  <c r="Q22" i="2"/>
  <c r="I6" i="2"/>
  <c r="J6" i="2"/>
  <c r="L6" i="2"/>
  <c r="N6" i="2"/>
  <c r="O6" i="2"/>
  <c r="P6" i="2"/>
  <c r="Q6" i="2"/>
  <c r="W127" i="25" l="1"/>
  <c r="W148" i="25"/>
  <c r="W142" i="25"/>
  <c r="W140" i="25"/>
  <c r="W146" i="25"/>
  <c r="W147" i="25"/>
  <c r="W141" i="25"/>
  <c r="W117" i="25"/>
  <c r="W160" i="25" s="1"/>
  <c r="W126" i="25"/>
  <c r="L61" i="32"/>
  <c r="M166" i="14" s="1"/>
  <c r="F61" i="32"/>
  <c r="G166" i="14" s="1"/>
  <c r="L59" i="32"/>
  <c r="M166" i="15" s="1"/>
  <c r="F59" i="32"/>
  <c r="G166" i="15" s="1"/>
  <c r="L58" i="32"/>
  <c r="M166" i="2" s="1"/>
  <c r="F58" i="32"/>
  <c r="O62" i="32"/>
  <c r="N62" i="32"/>
  <c r="M62" i="32"/>
  <c r="K62" i="32"/>
  <c r="O57" i="32"/>
  <c r="N57" i="32"/>
  <c r="M57" i="32"/>
  <c r="K57" i="32"/>
  <c r="O52" i="32"/>
  <c r="N52" i="32"/>
  <c r="M52" i="32"/>
  <c r="K52" i="32"/>
  <c r="G61" i="32"/>
  <c r="H166" i="14" s="1"/>
  <c r="E60" i="32"/>
  <c r="G59" i="32"/>
  <c r="H166" i="15" s="1"/>
  <c r="G58" i="32"/>
  <c r="H166" i="2" s="1"/>
  <c r="G56" i="32"/>
  <c r="H150" i="14" s="1"/>
  <c r="E55" i="32"/>
  <c r="G54" i="32"/>
  <c r="H150" i="15" s="1"/>
  <c r="G53" i="32"/>
  <c r="H150" i="2" s="1"/>
  <c r="G51" i="32"/>
  <c r="H134" i="14" s="1"/>
  <c r="E50" i="32"/>
  <c r="G49" i="32"/>
  <c r="H134" i="15" s="1"/>
  <c r="G48" i="32"/>
  <c r="O47" i="32"/>
  <c r="N47" i="32"/>
  <c r="M47" i="32"/>
  <c r="K47" i="32"/>
  <c r="O42" i="32"/>
  <c r="N42" i="32"/>
  <c r="M42" i="32"/>
  <c r="K42" i="32"/>
  <c r="O37" i="32"/>
  <c r="N37" i="32"/>
  <c r="M37" i="32"/>
  <c r="K37" i="32"/>
  <c r="O32" i="32"/>
  <c r="N32" i="32"/>
  <c r="M32" i="32"/>
  <c r="K32" i="32"/>
  <c r="O27" i="32"/>
  <c r="N27" i="32"/>
  <c r="M27" i="32"/>
  <c r="K27" i="32"/>
  <c r="O22" i="32"/>
  <c r="N22" i="32"/>
  <c r="M22" i="32"/>
  <c r="K22" i="32"/>
  <c r="O17" i="32"/>
  <c r="N17" i="32"/>
  <c r="M17" i="32"/>
  <c r="K17" i="32"/>
  <c r="O12" i="32"/>
  <c r="N12" i="32"/>
  <c r="M12" i="32"/>
  <c r="K12" i="32"/>
  <c r="G46" i="32"/>
  <c r="H118" i="14" s="1"/>
  <c r="E45" i="32"/>
  <c r="G44" i="32"/>
  <c r="H118" i="15" s="1"/>
  <c r="G43" i="32"/>
  <c r="G41" i="32"/>
  <c r="E40" i="32"/>
  <c r="G39" i="32"/>
  <c r="H102" i="15" s="1"/>
  <c r="G38" i="32"/>
  <c r="H102" i="2" s="1"/>
  <c r="G36" i="32"/>
  <c r="H86" i="14" s="1"/>
  <c r="E35" i="32"/>
  <c r="G34" i="32"/>
  <c r="G33" i="32"/>
  <c r="H86" i="2" s="1"/>
  <c r="G31" i="32"/>
  <c r="H70" i="14" s="1"/>
  <c r="E30" i="32"/>
  <c r="G29" i="32"/>
  <c r="H70" i="15" s="1"/>
  <c r="G28" i="32"/>
  <c r="G26" i="32"/>
  <c r="H54" i="14" s="1"/>
  <c r="E25" i="32"/>
  <c r="G24" i="32"/>
  <c r="H54" i="15" s="1"/>
  <c r="G23" i="32"/>
  <c r="G21" i="32"/>
  <c r="H38" i="14" s="1"/>
  <c r="E20" i="32"/>
  <c r="G19" i="32"/>
  <c r="H38" i="15" s="1"/>
  <c r="G18" i="32"/>
  <c r="G16" i="32"/>
  <c r="H22" i="14" s="1"/>
  <c r="E15" i="32"/>
  <c r="G14" i="32"/>
  <c r="H22" i="15" s="1"/>
  <c r="G13" i="32"/>
  <c r="G11" i="32"/>
  <c r="H6" i="14" s="1"/>
  <c r="E10" i="32"/>
  <c r="G9" i="32"/>
  <c r="H6" i="15" s="1"/>
  <c r="G8" i="32"/>
  <c r="H6" i="2" s="1"/>
  <c r="J18" i="30"/>
  <c r="J166" i="16" s="1"/>
  <c r="I18" i="30"/>
  <c r="I166" i="16" s="1"/>
  <c r="H18" i="30"/>
  <c r="H166" i="16" s="1"/>
  <c r="F18" i="30"/>
  <c r="L44" i="31"/>
  <c r="L45" i="31"/>
  <c r="L46" i="31"/>
  <c r="L47" i="31"/>
  <c r="L48" i="31"/>
  <c r="L50" i="31"/>
  <c r="L51" i="31"/>
  <c r="L52" i="31"/>
  <c r="L53" i="31"/>
  <c r="H51" i="31"/>
  <c r="C9" i="31"/>
  <c r="F9" i="30" s="1"/>
  <c r="G9" i="31"/>
  <c r="I9" i="31"/>
  <c r="H9" i="30" s="1"/>
  <c r="H22" i="16" s="1"/>
  <c r="J9" i="31"/>
  <c r="K9" i="31"/>
  <c r="C10" i="31"/>
  <c r="G10" i="31"/>
  <c r="I10" i="31"/>
  <c r="H10" i="30" s="1"/>
  <c r="H38" i="16" s="1"/>
  <c r="J10" i="31"/>
  <c r="K10" i="31"/>
  <c r="L18" i="32" s="1"/>
  <c r="M38" i="2" s="1"/>
  <c r="C11" i="31"/>
  <c r="G11" i="31"/>
  <c r="I11" i="31"/>
  <c r="H11" i="30" s="1"/>
  <c r="H54" i="16" s="1"/>
  <c r="J11" i="31"/>
  <c r="K11" i="31"/>
  <c r="J11" i="30"/>
  <c r="J54" i="16" s="1"/>
  <c r="C12" i="31"/>
  <c r="K12" i="30" s="1"/>
  <c r="K70" i="16" s="1"/>
  <c r="G12" i="31"/>
  <c r="I12" i="31"/>
  <c r="J12" i="31"/>
  <c r="K12" i="31"/>
  <c r="I12" i="30" s="1"/>
  <c r="I70" i="16" s="1"/>
  <c r="C13" i="31"/>
  <c r="I13" i="30" s="1"/>
  <c r="I86" i="16" s="1"/>
  <c r="G13" i="31"/>
  <c r="I13" i="31"/>
  <c r="J13" i="31"/>
  <c r="K13" i="31"/>
  <c r="C14" i="31"/>
  <c r="G14" i="31"/>
  <c r="I14" i="31"/>
  <c r="J14" i="31"/>
  <c r="K14" i="31"/>
  <c r="C15" i="31"/>
  <c r="G15" i="31"/>
  <c r="I15" i="31"/>
  <c r="J15" i="31"/>
  <c r="K15" i="31"/>
  <c r="L43" i="32" s="1"/>
  <c r="C16" i="31"/>
  <c r="K16" i="30" s="1"/>
  <c r="K134" i="16" s="1"/>
  <c r="G16" i="31"/>
  <c r="I16" i="31"/>
  <c r="H16" i="30" s="1"/>
  <c r="H134" i="16" s="1"/>
  <c r="J16" i="31"/>
  <c r="K16" i="31"/>
  <c r="C17" i="31"/>
  <c r="F17" i="30" s="1"/>
  <c r="G17" i="31"/>
  <c r="I17" i="31"/>
  <c r="J17" i="31"/>
  <c r="K17" i="31"/>
  <c r="G8" i="31"/>
  <c r="I8" i="31"/>
  <c r="J8" i="31"/>
  <c r="K8" i="31"/>
  <c r="C8" i="31"/>
  <c r="F12" i="30"/>
  <c r="K11" i="30"/>
  <c r="K54" i="16" s="1"/>
  <c r="I11" i="30"/>
  <c r="I54" i="16" s="1"/>
  <c r="F11" i="30"/>
  <c r="K10" i="30"/>
  <c r="K38" i="16" s="1"/>
  <c r="F10" i="30"/>
  <c r="I9" i="30"/>
  <c r="I22" i="16" s="1"/>
  <c r="Y18" i="31"/>
  <c r="Y17" i="31"/>
  <c r="Y16" i="31"/>
  <c r="Y15" i="31"/>
  <c r="Y14" i="31"/>
  <c r="Y13" i="31"/>
  <c r="Y12" i="31"/>
  <c r="Y11" i="31"/>
  <c r="Y10" i="31"/>
  <c r="Y9" i="31"/>
  <c r="Y8" i="31"/>
  <c r="W150" i="25" l="1"/>
  <c r="V153" i="25" s="1"/>
  <c r="K9" i="30"/>
  <c r="K22" i="16" s="1"/>
  <c r="H12" i="30"/>
  <c r="H70" i="16" s="1"/>
  <c r="J9" i="30"/>
  <c r="J22" i="16" s="1"/>
  <c r="L53" i="32"/>
  <c r="M150" i="2" s="1"/>
  <c r="L16" i="32"/>
  <c r="M22" i="14" s="1"/>
  <c r="F16" i="30"/>
  <c r="L49" i="32"/>
  <c r="M134" i="15" s="1"/>
  <c r="H17" i="30"/>
  <c r="H150" i="16" s="1"/>
  <c r="L9" i="32"/>
  <c r="M6" i="15" s="1"/>
  <c r="J13" i="30"/>
  <c r="J86" i="16" s="1"/>
  <c r="L28" i="32"/>
  <c r="M70" i="2" s="1"/>
  <c r="L24" i="32"/>
  <c r="M54" i="15" s="1"/>
  <c r="L26" i="32"/>
  <c r="M54" i="14" s="1"/>
  <c r="F14" i="30"/>
  <c r="L34" i="32"/>
  <c r="M86" i="15" s="1"/>
  <c r="J14" i="30"/>
  <c r="J102" i="16" s="1"/>
  <c r="L41" i="32"/>
  <c r="M102" i="14" s="1"/>
  <c r="J17" i="30"/>
  <c r="J150" i="16" s="1"/>
  <c r="J12" i="30"/>
  <c r="J70" i="16" s="1"/>
  <c r="I16" i="30"/>
  <c r="I134" i="16" s="1"/>
  <c r="K17" i="30"/>
  <c r="K150" i="16" s="1"/>
  <c r="L19" i="32"/>
  <c r="M38" i="15" s="1"/>
  <c r="F13" i="30"/>
  <c r="H14" i="30"/>
  <c r="H102" i="16" s="1"/>
  <c r="J16" i="30"/>
  <c r="J134" i="16" s="1"/>
  <c r="I10" i="30"/>
  <c r="I38" i="16" s="1"/>
  <c r="I14" i="30"/>
  <c r="I102" i="16" s="1"/>
  <c r="L48" i="32"/>
  <c r="M134" i="2" s="1"/>
  <c r="J10" i="30"/>
  <c r="J38" i="16" s="1"/>
  <c r="H13" i="30"/>
  <c r="H86" i="16" s="1"/>
  <c r="K14" i="30"/>
  <c r="K102" i="16" s="1"/>
  <c r="L13" i="32"/>
  <c r="M22" i="2" s="1"/>
  <c r="L11" i="32"/>
  <c r="M6" i="14" s="1"/>
  <c r="L38" i="32"/>
  <c r="M102" i="2" s="1"/>
  <c r="L44" i="32"/>
  <c r="M118" i="15" s="1"/>
  <c r="L23" i="32"/>
  <c r="M54" i="2" s="1"/>
  <c r="L29" i="32"/>
  <c r="M70" i="15" s="1"/>
  <c r="L36" i="32"/>
  <c r="M86" i="14" s="1"/>
  <c r="L54" i="32"/>
  <c r="M150" i="15" s="1"/>
  <c r="L8" i="32"/>
  <c r="M6" i="2" s="1"/>
  <c r="L14" i="32"/>
  <c r="M22" i="15" s="1"/>
  <c r="L21" i="32"/>
  <c r="M38" i="14" s="1"/>
  <c r="L33" i="32"/>
  <c r="M86" i="2" s="1"/>
  <c r="L39" i="32"/>
  <c r="M102" i="15" s="1"/>
  <c r="L46" i="32"/>
  <c r="M118" i="14" s="1"/>
  <c r="L51" i="32"/>
  <c r="M134" i="14" s="1"/>
  <c r="L31" i="32"/>
  <c r="M70" i="14" s="1"/>
  <c r="L56" i="32"/>
  <c r="M150" i="14" s="1"/>
  <c r="I17" i="30"/>
  <c r="I150" i="16" s="1"/>
  <c r="M118" i="2"/>
  <c r="G32" i="32"/>
  <c r="H70" i="2"/>
  <c r="G12" i="32"/>
  <c r="G52" i="32"/>
  <c r="H134" i="2"/>
  <c r="G42" i="32"/>
  <c r="H102" i="14"/>
  <c r="G57" i="32"/>
  <c r="G22" i="32"/>
  <c r="H38" i="2"/>
  <c r="H22" i="2"/>
  <c r="G27" i="32"/>
  <c r="H54" i="2"/>
  <c r="G37" i="32"/>
  <c r="H86" i="15"/>
  <c r="G47" i="32"/>
  <c r="H118" i="2"/>
  <c r="F62" i="32"/>
  <c r="G166" i="2"/>
  <c r="G62" i="32"/>
  <c r="L62" i="32"/>
  <c r="G17" i="32"/>
  <c r="H15" i="30"/>
  <c r="H118" i="16" s="1"/>
  <c r="I15" i="30"/>
  <c r="I118" i="16" s="1"/>
  <c r="F15" i="30"/>
  <c r="K15" i="30"/>
  <c r="K118" i="16" s="1"/>
  <c r="H8" i="30"/>
  <c r="H6" i="16" s="1"/>
  <c r="K8" i="30"/>
  <c r="K6" i="16" s="1"/>
  <c r="F8" i="30"/>
  <c r="I8" i="30"/>
  <c r="I6" i="16" s="1"/>
  <c r="L22" i="32" l="1"/>
  <c r="L52" i="32"/>
  <c r="L27" i="32"/>
  <c r="L47" i="32"/>
  <c r="K18" i="30"/>
  <c r="K166" i="16" s="1"/>
  <c r="L32" i="32"/>
  <c r="L42" i="32"/>
  <c r="K13" i="30"/>
  <c r="K86" i="16" s="1"/>
  <c r="L37" i="32"/>
  <c r="L17" i="32"/>
  <c r="L57" i="32"/>
  <c r="L12" i="32"/>
  <c r="J18" i="31" l="1"/>
  <c r="G18" i="31"/>
  <c r="G18" i="30" s="1"/>
  <c r="G166" i="16" s="1"/>
  <c r="K60" i="30" l="1"/>
  <c r="K61" i="30"/>
  <c r="K62" i="30"/>
  <c r="K63" i="30"/>
  <c r="K64" i="30"/>
  <c r="K65" i="30"/>
  <c r="K66" i="30"/>
  <c r="K67" i="30"/>
  <c r="K68" i="30"/>
  <c r="K69" i="30"/>
  <c r="K59" i="30"/>
  <c r="K43" i="30"/>
  <c r="K24" i="16" s="1"/>
  <c r="K44" i="30"/>
  <c r="K40" i="16" s="1"/>
  <c r="K45" i="30"/>
  <c r="K56" i="16" s="1"/>
  <c r="K46" i="30"/>
  <c r="K72" i="16" s="1"/>
  <c r="K47" i="30"/>
  <c r="K88" i="16" s="1"/>
  <c r="K48" i="30"/>
  <c r="K49" i="30"/>
  <c r="K120" i="16" s="1"/>
  <c r="K50" i="30"/>
  <c r="K51" i="30"/>
  <c r="K152" i="16" s="1"/>
  <c r="K52" i="30"/>
  <c r="K168" i="16" s="1"/>
  <c r="K42" i="30"/>
  <c r="K8" i="16" s="1"/>
  <c r="K26" i="30"/>
  <c r="K23" i="16" s="1"/>
  <c r="K27" i="30"/>
  <c r="K39" i="16" s="1"/>
  <c r="K28" i="30"/>
  <c r="K55" i="16" s="1"/>
  <c r="K29" i="30"/>
  <c r="K71" i="16" s="1"/>
  <c r="K30" i="30"/>
  <c r="K87" i="16" s="1"/>
  <c r="K31" i="30"/>
  <c r="K103" i="16" s="1"/>
  <c r="K32" i="30"/>
  <c r="K119" i="16" s="1"/>
  <c r="K33" i="30"/>
  <c r="K135" i="16" s="1"/>
  <c r="K34" i="30"/>
  <c r="K151" i="16" s="1"/>
  <c r="K35" i="30"/>
  <c r="K167" i="16" s="1"/>
  <c r="K25" i="30"/>
  <c r="K7" i="16" s="1"/>
  <c r="K136" i="16" l="1"/>
  <c r="K104" i="16"/>
  <c r="L30" i="4"/>
  <c r="C33" i="25" l="1"/>
  <c r="M56" i="13" l="1"/>
  <c r="B30" i="25" l="1"/>
  <c r="M11" i="13"/>
  <c r="M16" i="13"/>
  <c r="M21" i="13"/>
  <c r="M26" i="13"/>
  <c r="M31" i="13"/>
  <c r="M36" i="13"/>
  <c r="M41" i="13"/>
  <c r="M46" i="13"/>
  <c r="M51" i="13"/>
  <c r="M61" i="13"/>
  <c r="B25" i="25"/>
  <c r="B31" i="25" s="1"/>
  <c r="U49" i="25"/>
  <c r="U55" i="25" s="1"/>
  <c r="B43" i="25" l="1"/>
  <c r="X46" i="25"/>
  <c r="T46" i="25"/>
  <c r="T52" i="25" s="1"/>
  <c r="P46" i="25"/>
  <c r="N46" i="25"/>
  <c r="L46" i="25"/>
  <c r="J46" i="25"/>
  <c r="H46" i="25"/>
  <c r="F46" i="25"/>
  <c r="D46" i="25"/>
  <c r="B46" i="25"/>
  <c r="X45" i="25"/>
  <c r="R45" i="25"/>
  <c r="P45" i="25"/>
  <c r="N45" i="25"/>
  <c r="L45" i="25"/>
  <c r="J45" i="25"/>
  <c r="H45" i="25"/>
  <c r="F45" i="25"/>
  <c r="D45" i="25"/>
  <c r="B45" i="25"/>
  <c r="T44" i="25"/>
  <c r="R44" i="25"/>
  <c r="P44" i="25"/>
  <c r="N44" i="25"/>
  <c r="L44" i="25"/>
  <c r="J44" i="25"/>
  <c r="H44" i="25"/>
  <c r="F44" i="25"/>
  <c r="D44" i="25"/>
  <c r="B44" i="25"/>
  <c r="B50" i="25" s="1"/>
  <c r="X43" i="25"/>
  <c r="T43" i="25"/>
  <c r="R43" i="25"/>
  <c r="P43" i="25"/>
  <c r="N43" i="25"/>
  <c r="L43" i="25"/>
  <c r="J43" i="25"/>
  <c r="H43" i="25"/>
  <c r="F43" i="25"/>
  <c r="D43" i="25"/>
  <c r="B52" i="25" l="1"/>
  <c r="F49" i="25"/>
  <c r="H50" i="25"/>
  <c r="B51" i="25"/>
  <c r="R51" i="25"/>
  <c r="R142" i="25"/>
  <c r="L52" i="25"/>
  <c r="T130" i="25"/>
  <c r="T138" i="25" s="1"/>
  <c r="T149" i="25" s="1"/>
  <c r="O49" i="25"/>
  <c r="I50" i="25"/>
  <c r="S51" i="25"/>
  <c r="S142" i="25"/>
  <c r="U52" i="25"/>
  <c r="X52" i="25"/>
  <c r="S52" i="25"/>
  <c r="G49" i="25"/>
  <c r="Y49" i="25"/>
  <c r="Y55" i="25" s="1"/>
  <c r="Q50" i="25"/>
  <c r="K51" i="25"/>
  <c r="E52" i="25"/>
  <c r="M52" i="25"/>
  <c r="R50" i="25"/>
  <c r="L51" i="25"/>
  <c r="N52" i="25"/>
  <c r="I49" i="25"/>
  <c r="Q49" i="25"/>
  <c r="K50" i="25"/>
  <c r="S50" i="25"/>
  <c r="E51" i="25"/>
  <c r="M51" i="25"/>
  <c r="G52" i="25"/>
  <c r="O52" i="25"/>
  <c r="Y52" i="25"/>
  <c r="I51" i="25"/>
  <c r="I142" i="25"/>
  <c r="H49" i="25"/>
  <c r="P49" i="25"/>
  <c r="J50" i="25"/>
  <c r="D51" i="25"/>
  <c r="F52" i="25"/>
  <c r="J49" i="25"/>
  <c r="R49" i="25"/>
  <c r="D50" i="25"/>
  <c r="L50" i="25"/>
  <c r="L141" i="25"/>
  <c r="T50" i="25"/>
  <c r="F51" i="25"/>
  <c r="N51" i="25"/>
  <c r="N142" i="25"/>
  <c r="X51" i="25"/>
  <c r="H52" i="25"/>
  <c r="P52" i="25"/>
  <c r="B49" i="25"/>
  <c r="B55" i="25" s="1"/>
  <c r="M49" i="25"/>
  <c r="M140" i="25"/>
  <c r="G50" i="25"/>
  <c r="O50" i="25"/>
  <c r="Y50" i="25"/>
  <c r="Y56" i="25" s="1"/>
  <c r="Q51" i="25"/>
  <c r="Q142" i="25"/>
  <c r="K52" i="25"/>
  <c r="N49" i="25"/>
  <c r="K49" i="25"/>
  <c r="S49" i="25"/>
  <c r="E50" i="25"/>
  <c r="M50" i="25"/>
  <c r="M141" i="25"/>
  <c r="U50" i="25"/>
  <c r="G51" i="25"/>
  <c r="O51" i="25"/>
  <c r="O142" i="25"/>
  <c r="Y51" i="25"/>
  <c r="Y57" i="25" s="1"/>
  <c r="Q52" i="25"/>
  <c r="E49" i="25"/>
  <c r="X49" i="25"/>
  <c r="P50" i="25"/>
  <c r="J51" i="25"/>
  <c r="D52" i="25"/>
  <c r="D49" i="25"/>
  <c r="L49" i="25"/>
  <c r="L140" i="25"/>
  <c r="T49" i="25"/>
  <c r="F50" i="25"/>
  <c r="N50" i="25"/>
  <c r="X50" i="25"/>
  <c r="H51" i="25"/>
  <c r="H142" i="25"/>
  <c r="P51" i="25"/>
  <c r="J52" i="25"/>
  <c r="R130" i="25"/>
  <c r="R138" i="25" s="1"/>
  <c r="R149" i="25" s="1"/>
  <c r="B56" i="25"/>
  <c r="B67" i="25" s="1"/>
  <c r="Y33" i="25"/>
  <c r="X27" i="25"/>
  <c r="X33" i="25" s="1"/>
  <c r="U33" i="25"/>
  <c r="T27" i="25"/>
  <c r="T33" i="25" s="1"/>
  <c r="S33" i="25"/>
  <c r="R27" i="25"/>
  <c r="R33" i="25" s="1"/>
  <c r="Q33" i="25"/>
  <c r="P27" i="25"/>
  <c r="P33" i="25" s="1"/>
  <c r="O33" i="25"/>
  <c r="N27" i="25"/>
  <c r="N33" i="25" s="1"/>
  <c r="M33" i="25"/>
  <c r="L27" i="25"/>
  <c r="L33" i="25" s="1"/>
  <c r="K33" i="25"/>
  <c r="J27" i="25"/>
  <c r="J33" i="25" s="1"/>
  <c r="I33" i="25"/>
  <c r="H27" i="25"/>
  <c r="H33" i="25" s="1"/>
  <c r="G33" i="25"/>
  <c r="F27" i="25"/>
  <c r="F33" i="25" s="1"/>
  <c r="E33" i="25"/>
  <c r="D27" i="25"/>
  <c r="D33" i="25" s="1"/>
  <c r="B27" i="25"/>
  <c r="B33" i="25" s="1"/>
  <c r="B72" i="25" l="1"/>
  <c r="B90" i="25" s="1"/>
  <c r="D130" i="25"/>
  <c r="D138" i="25" s="1"/>
  <c r="D149" i="25" s="1"/>
  <c r="G130" i="25"/>
  <c r="G138" i="25" s="1"/>
  <c r="G149" i="25" s="1"/>
  <c r="S130" i="25"/>
  <c r="S138" i="25" s="1"/>
  <c r="S149" i="25" s="1"/>
  <c r="L130" i="25"/>
  <c r="L138" i="25" s="1"/>
  <c r="L149" i="25" s="1"/>
  <c r="Y130" i="25"/>
  <c r="Y138" i="25" s="1"/>
  <c r="Y149" i="25" s="1"/>
  <c r="B130" i="25"/>
  <c r="B138" i="25" s="1"/>
  <c r="B149" i="25" s="1"/>
  <c r="F130" i="25"/>
  <c r="F138" i="25" s="1"/>
  <c r="F149" i="25" s="1"/>
  <c r="X130" i="25"/>
  <c r="X138" i="25" s="1"/>
  <c r="X149" i="25" s="1"/>
  <c r="I130" i="25"/>
  <c r="I138" i="25" s="1"/>
  <c r="I149" i="25" s="1"/>
  <c r="O130" i="25"/>
  <c r="O138" i="25" s="1"/>
  <c r="O149" i="25" s="1"/>
  <c r="N130" i="25"/>
  <c r="N138" i="25" s="1"/>
  <c r="N149" i="25" s="1"/>
  <c r="K130" i="25"/>
  <c r="K138" i="25" s="1"/>
  <c r="K149" i="25" s="1"/>
  <c r="M130" i="25"/>
  <c r="M138" i="25" s="1"/>
  <c r="M149" i="25" s="1"/>
  <c r="U130" i="25"/>
  <c r="U138" i="25" s="1"/>
  <c r="U149" i="25" s="1"/>
  <c r="H130" i="25"/>
  <c r="H138" i="25" s="1"/>
  <c r="H149" i="25" s="1"/>
  <c r="P130" i="25"/>
  <c r="P138" i="25" s="1"/>
  <c r="P149" i="25" s="1"/>
  <c r="E130" i="25"/>
  <c r="E138" i="25" s="1"/>
  <c r="E149" i="25" s="1"/>
  <c r="J130" i="25"/>
  <c r="J138" i="25" s="1"/>
  <c r="J149" i="25" s="1"/>
  <c r="Q130" i="25"/>
  <c r="Q138" i="25" s="1"/>
  <c r="Q149" i="25" s="1"/>
  <c r="B57" i="25"/>
  <c r="B68" i="25" s="1"/>
  <c r="B73" i="25" s="1"/>
  <c r="O55" i="25"/>
  <c r="O66" i="25" s="1"/>
  <c r="O71" i="25" s="1"/>
  <c r="O89" i="25" s="1"/>
  <c r="T143" i="25"/>
  <c r="B66" i="25"/>
  <c r="B71" i="25" s="1"/>
  <c r="S179" i="14"/>
  <c r="S178" i="14"/>
  <c r="S177" i="14"/>
  <c r="S176" i="14"/>
  <c r="S175" i="14"/>
  <c r="S174" i="14"/>
  <c r="S173" i="14"/>
  <c r="S172" i="14"/>
  <c r="S171" i="14"/>
  <c r="S170" i="14"/>
  <c r="S169" i="14"/>
  <c r="S168" i="14"/>
  <c r="S167" i="14"/>
  <c r="S166" i="14"/>
  <c r="S163" i="14"/>
  <c r="S162" i="14"/>
  <c r="S161" i="14"/>
  <c r="S160" i="14"/>
  <c r="S159" i="14"/>
  <c r="S158" i="14"/>
  <c r="S157" i="14"/>
  <c r="S156" i="14"/>
  <c r="S155" i="14"/>
  <c r="S154" i="14"/>
  <c r="S153" i="14"/>
  <c r="S152" i="14"/>
  <c r="S151" i="14"/>
  <c r="S150" i="14"/>
  <c r="S147" i="14"/>
  <c r="S146" i="14"/>
  <c r="S145" i="14"/>
  <c r="S144" i="14"/>
  <c r="S143" i="14"/>
  <c r="S142" i="14"/>
  <c r="S141" i="14"/>
  <c r="S140" i="14"/>
  <c r="S139" i="14"/>
  <c r="S138" i="14"/>
  <c r="S137" i="14"/>
  <c r="S136" i="14"/>
  <c r="S135" i="14"/>
  <c r="S134" i="14"/>
  <c r="S131" i="14"/>
  <c r="S130" i="14"/>
  <c r="S129" i="14"/>
  <c r="S128" i="14"/>
  <c r="S127" i="14"/>
  <c r="S126" i="14"/>
  <c r="S125" i="14"/>
  <c r="S124" i="14"/>
  <c r="S123" i="14"/>
  <c r="S122" i="14"/>
  <c r="S121" i="14"/>
  <c r="S120" i="14"/>
  <c r="S119" i="14"/>
  <c r="S118" i="14"/>
  <c r="S115" i="14"/>
  <c r="S114" i="14"/>
  <c r="S113" i="14"/>
  <c r="S112" i="14"/>
  <c r="S111" i="14"/>
  <c r="S110" i="14"/>
  <c r="S109" i="14"/>
  <c r="S108" i="14"/>
  <c r="S107" i="14"/>
  <c r="S106" i="14"/>
  <c r="S105" i="14"/>
  <c r="S104" i="14"/>
  <c r="S103" i="14"/>
  <c r="S102" i="14"/>
  <c r="S99" i="14"/>
  <c r="S98" i="14"/>
  <c r="S97" i="14"/>
  <c r="S96" i="14"/>
  <c r="S95" i="14"/>
  <c r="S94" i="14"/>
  <c r="S93" i="14"/>
  <c r="S92" i="14"/>
  <c r="S91" i="14"/>
  <c r="S90" i="14"/>
  <c r="S89" i="14"/>
  <c r="S88" i="14"/>
  <c r="S87" i="14"/>
  <c r="S86" i="14"/>
  <c r="S83" i="14"/>
  <c r="S82" i="14"/>
  <c r="S81" i="14"/>
  <c r="S80" i="14"/>
  <c r="S79" i="14"/>
  <c r="S78" i="14"/>
  <c r="S77" i="14"/>
  <c r="S76" i="14"/>
  <c r="S75" i="14"/>
  <c r="S74" i="14"/>
  <c r="S73" i="14"/>
  <c r="S72" i="14"/>
  <c r="S71" i="14"/>
  <c r="S70" i="14"/>
  <c r="S67" i="14"/>
  <c r="S66" i="14"/>
  <c r="S65" i="14"/>
  <c r="S64" i="14"/>
  <c r="S63" i="14"/>
  <c r="S62" i="14"/>
  <c r="S61" i="14"/>
  <c r="S60" i="14"/>
  <c r="S59" i="14"/>
  <c r="S58" i="14"/>
  <c r="S57" i="14"/>
  <c r="S56" i="14"/>
  <c r="S55" i="14"/>
  <c r="S54" i="14"/>
  <c r="S51" i="14"/>
  <c r="S50" i="14"/>
  <c r="S49" i="14"/>
  <c r="S48" i="14"/>
  <c r="S47" i="14"/>
  <c r="S46" i="14"/>
  <c r="S45" i="14"/>
  <c r="S44" i="14"/>
  <c r="S43" i="14"/>
  <c r="S42" i="14"/>
  <c r="S41" i="14"/>
  <c r="S40" i="14"/>
  <c r="S39" i="14"/>
  <c r="S38" i="14"/>
  <c r="S35" i="14"/>
  <c r="S34" i="14"/>
  <c r="S33" i="14"/>
  <c r="S32" i="14"/>
  <c r="S31" i="14"/>
  <c r="S30" i="14"/>
  <c r="S29" i="14"/>
  <c r="S28" i="14"/>
  <c r="S27" i="14"/>
  <c r="S26" i="14"/>
  <c r="S25" i="14"/>
  <c r="S24" i="14"/>
  <c r="S23" i="14"/>
  <c r="S22" i="14"/>
  <c r="S19" i="14"/>
  <c r="S18" i="14"/>
  <c r="S17" i="14"/>
  <c r="S16" i="14"/>
  <c r="S15" i="14"/>
  <c r="S14" i="14"/>
  <c r="S13" i="14"/>
  <c r="S12" i="14"/>
  <c r="S11" i="14"/>
  <c r="S10" i="14"/>
  <c r="S9" i="14"/>
  <c r="S8" i="14"/>
  <c r="S7" i="14"/>
  <c r="S6" i="14"/>
  <c r="N167" i="14"/>
  <c r="O167" i="14"/>
  <c r="N151" i="14"/>
  <c r="O151" i="14"/>
  <c r="N135" i="14"/>
  <c r="O135" i="14"/>
  <c r="N119" i="14"/>
  <c r="O119" i="14"/>
  <c r="N103" i="14"/>
  <c r="O103" i="14"/>
  <c r="N87" i="14"/>
  <c r="O87" i="14"/>
  <c r="N71" i="14"/>
  <c r="O71" i="14"/>
  <c r="N55" i="14"/>
  <c r="N39" i="14"/>
  <c r="N23" i="14"/>
  <c r="N7" i="14"/>
  <c r="S179" i="15"/>
  <c r="S178" i="15"/>
  <c r="S177" i="15"/>
  <c r="S176" i="15"/>
  <c r="S175" i="15"/>
  <c r="S174" i="15"/>
  <c r="S173" i="15"/>
  <c r="S172" i="15"/>
  <c r="S171" i="15"/>
  <c r="S170" i="15"/>
  <c r="S169" i="15"/>
  <c r="S168" i="15"/>
  <c r="S167" i="15"/>
  <c r="S166" i="15"/>
  <c r="S163" i="15"/>
  <c r="S162" i="15"/>
  <c r="S161" i="15"/>
  <c r="S160" i="15"/>
  <c r="S159" i="15"/>
  <c r="S158" i="15"/>
  <c r="S157" i="15"/>
  <c r="S156" i="15"/>
  <c r="S155" i="15"/>
  <c r="S154" i="15"/>
  <c r="S153" i="15"/>
  <c r="S152" i="15"/>
  <c r="S151" i="15"/>
  <c r="S150" i="15"/>
  <c r="S147" i="15"/>
  <c r="S146" i="15"/>
  <c r="S145" i="15"/>
  <c r="S144" i="15"/>
  <c r="S143" i="15"/>
  <c r="S142" i="15"/>
  <c r="S141" i="15"/>
  <c r="S140" i="15"/>
  <c r="S139" i="15"/>
  <c r="S138" i="15"/>
  <c r="S137" i="15"/>
  <c r="S136" i="15"/>
  <c r="S135" i="15"/>
  <c r="S134" i="15"/>
  <c r="S131" i="15"/>
  <c r="S130" i="15"/>
  <c r="S129" i="15"/>
  <c r="S128" i="15"/>
  <c r="S127" i="15"/>
  <c r="S126" i="15"/>
  <c r="S125" i="15"/>
  <c r="S124" i="15"/>
  <c r="S123" i="15"/>
  <c r="S122" i="15"/>
  <c r="S121" i="15"/>
  <c r="S120" i="15"/>
  <c r="S119" i="15"/>
  <c r="S118" i="15"/>
  <c r="S115" i="15"/>
  <c r="S114" i="15"/>
  <c r="S113" i="15"/>
  <c r="S112" i="15"/>
  <c r="S111" i="15"/>
  <c r="S110" i="15"/>
  <c r="S109" i="15"/>
  <c r="S108" i="15"/>
  <c r="S107" i="15"/>
  <c r="S106" i="15"/>
  <c r="S105" i="15"/>
  <c r="S104" i="15"/>
  <c r="S103" i="15"/>
  <c r="S102" i="15"/>
  <c r="S99" i="15"/>
  <c r="S98" i="15"/>
  <c r="S97" i="15"/>
  <c r="S96" i="15"/>
  <c r="S95" i="15"/>
  <c r="S94" i="15"/>
  <c r="S93" i="15"/>
  <c r="S92" i="15"/>
  <c r="S91" i="15"/>
  <c r="S90" i="15"/>
  <c r="S89" i="15"/>
  <c r="S88" i="15"/>
  <c r="S87" i="15"/>
  <c r="S86" i="15"/>
  <c r="S83" i="15"/>
  <c r="S82" i="15"/>
  <c r="S81" i="15"/>
  <c r="S80" i="15"/>
  <c r="S79" i="15"/>
  <c r="S78" i="15"/>
  <c r="S77" i="15"/>
  <c r="S76" i="15"/>
  <c r="S75" i="15"/>
  <c r="S74" i="15"/>
  <c r="S73" i="15"/>
  <c r="S72" i="15"/>
  <c r="S71" i="15"/>
  <c r="S70" i="15"/>
  <c r="S67" i="15"/>
  <c r="S66" i="15"/>
  <c r="S65" i="15"/>
  <c r="S64" i="15"/>
  <c r="S63" i="15"/>
  <c r="S62" i="15"/>
  <c r="S61" i="15"/>
  <c r="S60" i="15"/>
  <c r="S59" i="15"/>
  <c r="S58" i="15"/>
  <c r="S57" i="15"/>
  <c r="S56" i="15"/>
  <c r="S55" i="15"/>
  <c r="S54" i="15"/>
  <c r="S51" i="15"/>
  <c r="S50" i="15"/>
  <c r="S49" i="15"/>
  <c r="S48" i="15"/>
  <c r="S47" i="15"/>
  <c r="S46" i="15"/>
  <c r="S45" i="15"/>
  <c r="S44" i="15"/>
  <c r="S43" i="15"/>
  <c r="S42" i="15"/>
  <c r="S41" i="15"/>
  <c r="S40" i="15"/>
  <c r="S39" i="15"/>
  <c r="S38" i="15"/>
  <c r="S35" i="15"/>
  <c r="S34" i="15"/>
  <c r="S33" i="15"/>
  <c r="S32" i="15"/>
  <c r="S31" i="15"/>
  <c r="S30" i="15"/>
  <c r="S29" i="15"/>
  <c r="S28" i="15"/>
  <c r="S27" i="15"/>
  <c r="S26" i="15"/>
  <c r="S25" i="15"/>
  <c r="S24" i="15"/>
  <c r="S23" i="15"/>
  <c r="S22" i="15"/>
  <c r="S19" i="15"/>
  <c r="S18" i="15"/>
  <c r="S17" i="15"/>
  <c r="S16" i="15"/>
  <c r="S15" i="15"/>
  <c r="S14" i="15"/>
  <c r="S13" i="15"/>
  <c r="S12" i="15"/>
  <c r="S11" i="15"/>
  <c r="S10" i="15"/>
  <c r="S9" i="15"/>
  <c r="S8" i="15"/>
  <c r="S7" i="15"/>
  <c r="S6" i="15"/>
  <c r="S179" i="2"/>
  <c r="S178" i="2"/>
  <c r="S177" i="2"/>
  <c r="S176" i="2"/>
  <c r="S175" i="2"/>
  <c r="S174" i="2"/>
  <c r="S173" i="2"/>
  <c r="S172" i="2"/>
  <c r="S171" i="2"/>
  <c r="S170" i="2"/>
  <c r="S169" i="2"/>
  <c r="S168" i="2"/>
  <c r="S167" i="2"/>
  <c r="S166" i="2"/>
  <c r="S163" i="2"/>
  <c r="S162" i="2"/>
  <c r="S161" i="2"/>
  <c r="S160" i="2"/>
  <c r="S159" i="2"/>
  <c r="S158" i="2"/>
  <c r="S157" i="2"/>
  <c r="S156" i="2"/>
  <c r="S155" i="2"/>
  <c r="S154" i="2"/>
  <c r="S153" i="2"/>
  <c r="S152" i="2"/>
  <c r="S151" i="2"/>
  <c r="S150" i="2"/>
  <c r="S147" i="2"/>
  <c r="S146" i="2"/>
  <c r="S145" i="2"/>
  <c r="S144" i="2"/>
  <c r="S143" i="2"/>
  <c r="S142" i="2"/>
  <c r="S141" i="2"/>
  <c r="S140" i="2"/>
  <c r="S139" i="2"/>
  <c r="S138" i="2"/>
  <c r="S137" i="2"/>
  <c r="S136" i="2"/>
  <c r="S135" i="2"/>
  <c r="S134" i="2"/>
  <c r="S131" i="2"/>
  <c r="S130" i="2"/>
  <c r="S129" i="2"/>
  <c r="S128" i="2"/>
  <c r="S127" i="2"/>
  <c r="S126" i="2"/>
  <c r="S125" i="2"/>
  <c r="S124" i="2"/>
  <c r="S123" i="2"/>
  <c r="S122" i="2"/>
  <c r="S121" i="2"/>
  <c r="S120" i="2"/>
  <c r="S119" i="2"/>
  <c r="S118" i="2"/>
  <c r="S115" i="2"/>
  <c r="S114" i="2"/>
  <c r="S113" i="2"/>
  <c r="S112" i="2"/>
  <c r="S111" i="2"/>
  <c r="S110" i="2"/>
  <c r="S109" i="2"/>
  <c r="S108" i="2"/>
  <c r="S107" i="2"/>
  <c r="S106" i="2"/>
  <c r="S105" i="2"/>
  <c r="S104" i="2"/>
  <c r="S103" i="2"/>
  <c r="S102" i="2"/>
  <c r="S99" i="2"/>
  <c r="S98" i="2"/>
  <c r="S97" i="2"/>
  <c r="S96" i="2"/>
  <c r="S95" i="2"/>
  <c r="S94" i="2"/>
  <c r="S93" i="2"/>
  <c r="S92" i="2"/>
  <c r="S91" i="2"/>
  <c r="S90" i="2"/>
  <c r="S89" i="2"/>
  <c r="S88" i="2"/>
  <c r="S87" i="2"/>
  <c r="S86" i="2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19" i="2"/>
  <c r="S17" i="2"/>
  <c r="S16" i="2"/>
  <c r="S15" i="2"/>
  <c r="S14" i="2"/>
  <c r="S13" i="2"/>
  <c r="S12" i="2"/>
  <c r="S11" i="2"/>
  <c r="S10" i="2"/>
  <c r="S9" i="2"/>
  <c r="S8" i="2"/>
  <c r="S7" i="2"/>
  <c r="S6" i="2"/>
  <c r="N167" i="15"/>
  <c r="N151" i="15"/>
  <c r="N135" i="15"/>
  <c r="N119" i="15"/>
  <c r="N103" i="15"/>
  <c r="N87" i="15"/>
  <c r="N71" i="15"/>
  <c r="N55" i="15"/>
  <c r="N39" i="15"/>
  <c r="N23" i="15"/>
  <c r="N7" i="15"/>
  <c r="R54" i="15"/>
  <c r="R54" i="2"/>
  <c r="I167" i="2"/>
  <c r="J167" i="2"/>
  <c r="L167" i="2"/>
  <c r="N167" i="2"/>
  <c r="O167" i="2"/>
  <c r="Q167" i="2"/>
  <c r="I151" i="2"/>
  <c r="J151" i="2"/>
  <c r="L151" i="2"/>
  <c r="N151" i="2"/>
  <c r="O151" i="2"/>
  <c r="Q151" i="2"/>
  <c r="I135" i="2"/>
  <c r="J135" i="2"/>
  <c r="L135" i="2"/>
  <c r="N135" i="2"/>
  <c r="O135" i="2"/>
  <c r="Q135" i="2"/>
  <c r="I119" i="2"/>
  <c r="J119" i="2"/>
  <c r="L119" i="2"/>
  <c r="N119" i="2"/>
  <c r="O119" i="2"/>
  <c r="Q119" i="2"/>
  <c r="I103" i="2"/>
  <c r="J103" i="2"/>
  <c r="L103" i="2"/>
  <c r="N103" i="2"/>
  <c r="O103" i="2"/>
  <c r="Q103" i="2"/>
  <c r="I87" i="2"/>
  <c r="J87" i="2"/>
  <c r="L87" i="2"/>
  <c r="N87" i="2"/>
  <c r="O87" i="2"/>
  <c r="Q87" i="2"/>
  <c r="I71" i="2"/>
  <c r="J71" i="2"/>
  <c r="L71" i="2"/>
  <c r="N71" i="2"/>
  <c r="O71" i="2"/>
  <c r="Q71" i="2"/>
  <c r="I55" i="2"/>
  <c r="J55" i="2"/>
  <c r="L55" i="2"/>
  <c r="N55" i="2"/>
  <c r="O55" i="2"/>
  <c r="Q55" i="2"/>
  <c r="I39" i="2"/>
  <c r="J39" i="2"/>
  <c r="L39" i="2"/>
  <c r="N39" i="2"/>
  <c r="O39" i="2"/>
  <c r="Q39" i="2"/>
  <c r="I23" i="2"/>
  <c r="J23" i="2"/>
  <c r="L23" i="2"/>
  <c r="N23" i="2"/>
  <c r="O23" i="2"/>
  <c r="Q23" i="2"/>
  <c r="I7" i="2"/>
  <c r="J7" i="2"/>
  <c r="L7" i="2"/>
  <c r="N7" i="2"/>
  <c r="O7" i="2"/>
  <c r="Q7" i="2"/>
  <c r="O251" i="32"/>
  <c r="O119" i="32"/>
  <c r="P151" i="15" s="1"/>
  <c r="D20" i="20"/>
  <c r="O236" i="32" s="1"/>
  <c r="C20" i="20"/>
  <c r="O249" i="32" s="1"/>
  <c r="B20" i="20"/>
  <c r="O223" i="32" s="1"/>
  <c r="L256" i="32"/>
  <c r="L254" i="32"/>
  <c r="L253" i="32"/>
  <c r="L251" i="32"/>
  <c r="L249" i="32"/>
  <c r="L248" i="32"/>
  <c r="L246" i="32"/>
  <c r="L244" i="32"/>
  <c r="L243" i="32"/>
  <c r="L241" i="32"/>
  <c r="L239" i="32"/>
  <c r="L238" i="32"/>
  <c r="L236" i="32"/>
  <c r="L234" i="32"/>
  <c r="L233" i="32"/>
  <c r="L231" i="32"/>
  <c r="L229" i="32"/>
  <c r="L228" i="32"/>
  <c r="L226" i="32"/>
  <c r="L224" i="32"/>
  <c r="L223" i="32"/>
  <c r="L221" i="32"/>
  <c r="L219" i="32"/>
  <c r="L218" i="32"/>
  <c r="L216" i="32"/>
  <c r="L214" i="32"/>
  <c r="L213" i="32"/>
  <c r="L211" i="32"/>
  <c r="L209" i="32"/>
  <c r="L208" i="32"/>
  <c r="L206" i="32"/>
  <c r="L204" i="32"/>
  <c r="L203" i="32"/>
  <c r="L191" i="32"/>
  <c r="L189" i="32"/>
  <c r="L188" i="32"/>
  <c r="L186" i="32"/>
  <c r="L184" i="32"/>
  <c r="L183" i="32"/>
  <c r="L181" i="32"/>
  <c r="L179" i="32"/>
  <c r="L178" i="32"/>
  <c r="L176" i="32"/>
  <c r="L174" i="32"/>
  <c r="L173" i="32"/>
  <c r="L171" i="32"/>
  <c r="L169" i="32"/>
  <c r="L168" i="32"/>
  <c r="L166" i="32"/>
  <c r="L164" i="32"/>
  <c r="L163" i="32"/>
  <c r="L161" i="32"/>
  <c r="L159" i="32"/>
  <c r="L158" i="32"/>
  <c r="L156" i="32"/>
  <c r="L154" i="32"/>
  <c r="L153" i="32"/>
  <c r="L151" i="32"/>
  <c r="L149" i="32"/>
  <c r="L148" i="32"/>
  <c r="L146" i="32"/>
  <c r="L144" i="32"/>
  <c r="L143" i="32"/>
  <c r="L141" i="32"/>
  <c r="L139" i="32"/>
  <c r="L138" i="32"/>
  <c r="L126" i="32"/>
  <c r="M167" i="14" s="1"/>
  <c r="L124" i="32"/>
  <c r="M167" i="15" s="1"/>
  <c r="L123" i="32"/>
  <c r="M167" i="2" s="1"/>
  <c r="L121" i="32"/>
  <c r="M151" i="14" s="1"/>
  <c r="L119" i="32"/>
  <c r="M151" i="15" s="1"/>
  <c r="L118" i="32"/>
  <c r="M151" i="2" s="1"/>
  <c r="L116" i="32"/>
  <c r="M135" i="14" s="1"/>
  <c r="L114" i="32"/>
  <c r="M135" i="15" s="1"/>
  <c r="L113" i="32"/>
  <c r="M135" i="2" s="1"/>
  <c r="L111" i="32"/>
  <c r="M119" i="14" s="1"/>
  <c r="L109" i="32"/>
  <c r="M119" i="15" s="1"/>
  <c r="L108" i="32"/>
  <c r="M119" i="2" s="1"/>
  <c r="L106" i="32"/>
  <c r="M103" i="14" s="1"/>
  <c r="L104" i="32"/>
  <c r="M103" i="15" s="1"/>
  <c r="L103" i="32"/>
  <c r="M103" i="2" s="1"/>
  <c r="L98" i="32"/>
  <c r="M87" i="2" s="1"/>
  <c r="L101" i="32"/>
  <c r="M87" i="14" s="1"/>
  <c r="L99" i="32"/>
  <c r="M87" i="15" s="1"/>
  <c r="L96" i="32"/>
  <c r="M71" i="14" s="1"/>
  <c r="L94" i="32"/>
  <c r="M71" i="15" s="1"/>
  <c r="L93" i="32"/>
  <c r="M71" i="2" s="1"/>
  <c r="L91" i="32"/>
  <c r="M55" i="14" s="1"/>
  <c r="L89" i="32"/>
  <c r="M55" i="15" s="1"/>
  <c r="L88" i="32"/>
  <c r="M55" i="2" s="1"/>
  <c r="L86" i="32"/>
  <c r="M39" i="14" s="1"/>
  <c r="L84" i="32"/>
  <c r="M39" i="15" s="1"/>
  <c r="L83" i="32"/>
  <c r="M39" i="2" s="1"/>
  <c r="L81" i="32"/>
  <c r="M23" i="14" s="1"/>
  <c r="L79" i="32"/>
  <c r="L78" i="32"/>
  <c r="M23" i="2" s="1"/>
  <c r="L76" i="32"/>
  <c r="M7" i="14" s="1"/>
  <c r="L74" i="32"/>
  <c r="M7" i="15" s="1"/>
  <c r="L73" i="32"/>
  <c r="M7" i="2" s="1"/>
  <c r="O143" i="32" l="1"/>
  <c r="O156" i="32"/>
  <c r="O169" i="32"/>
  <c r="O183" i="32"/>
  <c r="O79" i="32"/>
  <c r="P23" i="15" s="1"/>
  <c r="O211" i="32"/>
  <c r="O93" i="32"/>
  <c r="P71" i="2" s="1"/>
  <c r="O224" i="32"/>
  <c r="O106" i="32"/>
  <c r="P103" i="14" s="1"/>
  <c r="O238" i="32"/>
  <c r="U131" i="25"/>
  <c r="K131" i="25"/>
  <c r="O131" i="25"/>
  <c r="B143" i="25"/>
  <c r="Q131" i="25"/>
  <c r="E131" i="25"/>
  <c r="M131" i="25"/>
  <c r="S131" i="25"/>
  <c r="G131" i="25"/>
  <c r="I131" i="25"/>
  <c r="Y131" i="25"/>
  <c r="O81" i="32"/>
  <c r="P23" i="14" s="1"/>
  <c r="O94" i="32"/>
  <c r="P71" i="15" s="1"/>
  <c r="O108" i="32"/>
  <c r="P119" i="2" s="1"/>
  <c r="O121" i="32"/>
  <c r="P151" i="14" s="1"/>
  <c r="O144" i="32"/>
  <c r="O158" i="32"/>
  <c r="O171" i="32"/>
  <c r="O184" i="32"/>
  <c r="O213" i="32"/>
  <c r="O226" i="32"/>
  <c r="O239" i="32"/>
  <c r="O253" i="32"/>
  <c r="O83" i="32"/>
  <c r="P39" i="2" s="1"/>
  <c r="O96" i="32"/>
  <c r="P71" i="14" s="1"/>
  <c r="O109" i="32"/>
  <c r="P119" i="15" s="1"/>
  <c r="O123" i="32"/>
  <c r="P167" i="2" s="1"/>
  <c r="O146" i="32"/>
  <c r="O159" i="32"/>
  <c r="O173" i="32"/>
  <c r="O186" i="32"/>
  <c r="O214" i="32"/>
  <c r="O228" i="32"/>
  <c r="O241" i="32"/>
  <c r="O254" i="32"/>
  <c r="O84" i="32"/>
  <c r="P39" i="15" s="1"/>
  <c r="O98" i="32"/>
  <c r="P87" i="2" s="1"/>
  <c r="O111" i="32"/>
  <c r="P119" i="14" s="1"/>
  <c r="O124" i="32"/>
  <c r="P167" i="15" s="1"/>
  <c r="O148" i="32"/>
  <c r="O161" i="32"/>
  <c r="O174" i="32"/>
  <c r="O203" i="32"/>
  <c r="O216" i="32"/>
  <c r="O229" i="32"/>
  <c r="O243" i="32"/>
  <c r="O256" i="32"/>
  <c r="O73" i="32"/>
  <c r="P7" i="2" s="1"/>
  <c r="O86" i="32"/>
  <c r="P39" i="14" s="1"/>
  <c r="O99" i="32"/>
  <c r="P87" i="15" s="1"/>
  <c r="O113" i="32"/>
  <c r="P135" i="2" s="1"/>
  <c r="O126" i="32"/>
  <c r="P167" i="14" s="1"/>
  <c r="O149" i="32"/>
  <c r="O163" i="32"/>
  <c r="O176" i="32"/>
  <c r="O204" i="32"/>
  <c r="O218" i="32"/>
  <c r="O231" i="32"/>
  <c r="O244" i="32"/>
  <c r="O188" i="32"/>
  <c r="O74" i="32"/>
  <c r="P7" i="15" s="1"/>
  <c r="O88" i="32"/>
  <c r="P55" i="2" s="1"/>
  <c r="O101" i="32"/>
  <c r="P87" i="14" s="1"/>
  <c r="O114" i="32"/>
  <c r="P135" i="15" s="1"/>
  <c r="O138" i="32"/>
  <c r="O151" i="32"/>
  <c r="O164" i="32"/>
  <c r="O178" i="32"/>
  <c r="O206" i="32"/>
  <c r="O219" i="32"/>
  <c r="O233" i="32"/>
  <c r="O246" i="32"/>
  <c r="O189" i="32"/>
  <c r="O76" i="32"/>
  <c r="P7" i="14" s="1"/>
  <c r="O89" i="32"/>
  <c r="P55" i="15" s="1"/>
  <c r="O103" i="32"/>
  <c r="P103" i="2" s="1"/>
  <c r="O116" i="32"/>
  <c r="P135" i="14" s="1"/>
  <c r="O139" i="32"/>
  <c r="O153" i="32"/>
  <c r="O166" i="32"/>
  <c r="O179" i="32"/>
  <c r="O208" i="32"/>
  <c r="O221" i="32"/>
  <c r="O234" i="32"/>
  <c r="O248" i="32"/>
  <c r="O191" i="32"/>
  <c r="O78" i="32"/>
  <c r="P23" i="2" s="1"/>
  <c r="O91" i="32"/>
  <c r="P55" i="14" s="1"/>
  <c r="O104" i="32"/>
  <c r="P103" i="15" s="1"/>
  <c r="O118" i="32"/>
  <c r="P151" i="2" s="1"/>
  <c r="O141" i="32"/>
  <c r="O154" i="32"/>
  <c r="O168" i="32"/>
  <c r="O181" i="32"/>
  <c r="O209" i="32"/>
  <c r="M23" i="15"/>
  <c r="L77" i="32"/>
  <c r="B26" i="25" l="1"/>
  <c r="B32" i="25" s="1"/>
  <c r="X25" i="25"/>
  <c r="X31" i="25" s="1"/>
  <c r="X26" i="25"/>
  <c r="X32" i="25" s="1"/>
  <c r="X24" i="25"/>
  <c r="T25" i="25"/>
  <c r="T31" i="25" s="1"/>
  <c r="T26" i="25"/>
  <c r="T32" i="25" s="1"/>
  <c r="T24" i="25"/>
  <c r="T30" i="25" s="1"/>
  <c r="R25" i="25"/>
  <c r="R31" i="25" s="1"/>
  <c r="R26" i="25"/>
  <c r="R32" i="25" s="1"/>
  <c r="R24" i="25"/>
  <c r="R30" i="25" s="1"/>
  <c r="P25" i="25"/>
  <c r="P31" i="25" s="1"/>
  <c r="P26" i="25"/>
  <c r="P32" i="25" s="1"/>
  <c r="P24" i="25"/>
  <c r="P30" i="25" s="1"/>
  <c r="N25" i="25"/>
  <c r="N31" i="25" s="1"/>
  <c r="N32" i="25"/>
  <c r="N30" i="25"/>
  <c r="L25" i="25"/>
  <c r="L31" i="25" s="1"/>
  <c r="L26" i="25"/>
  <c r="L32" i="25" s="1"/>
  <c r="L24" i="25"/>
  <c r="L30" i="25" s="1"/>
  <c r="J25" i="25"/>
  <c r="J31" i="25" s="1"/>
  <c r="J26" i="25"/>
  <c r="J32" i="25" s="1"/>
  <c r="J24" i="25"/>
  <c r="J30" i="25" s="1"/>
  <c r="H25" i="25"/>
  <c r="H31" i="25" s="1"/>
  <c r="H26" i="25"/>
  <c r="H32" i="25" s="1"/>
  <c r="H24" i="25"/>
  <c r="H30" i="25" s="1"/>
  <c r="F25" i="25"/>
  <c r="F31" i="25" s="1"/>
  <c r="F26" i="25"/>
  <c r="F32" i="25" s="1"/>
  <c r="F24" i="25"/>
  <c r="F30" i="25" s="1"/>
  <c r="D25" i="25"/>
  <c r="D31" i="25" s="1"/>
  <c r="D26" i="25"/>
  <c r="D32" i="25" s="1"/>
  <c r="D24" i="25"/>
  <c r="D30" i="25" s="1"/>
  <c r="U143" i="25" l="1"/>
  <c r="M143" i="25"/>
  <c r="F143" i="25"/>
  <c r="R143" i="25"/>
  <c r="Q143" i="25"/>
  <c r="I143" i="25"/>
  <c r="S143" i="25"/>
  <c r="D143" i="25"/>
  <c r="L143" i="25"/>
  <c r="N143" i="25"/>
  <c r="J143" i="25"/>
  <c r="P143" i="25"/>
  <c r="X143" i="25"/>
  <c r="O143" i="25"/>
  <c r="K143" i="25" l="1"/>
  <c r="H143" i="25"/>
  <c r="Y143" i="25"/>
  <c r="E143" i="25"/>
  <c r="G143" i="25"/>
  <c r="E7" i="20"/>
  <c r="D7" i="20"/>
  <c r="C7" i="20"/>
  <c r="B7" i="20"/>
  <c r="G256" i="32"/>
  <c r="G254" i="32"/>
  <c r="G253" i="32"/>
  <c r="G251" i="32"/>
  <c r="G249" i="32"/>
  <c r="G248" i="32"/>
  <c r="G246" i="32"/>
  <c r="G244" i="32"/>
  <c r="G243" i="32"/>
  <c r="G241" i="32"/>
  <c r="G239" i="32"/>
  <c r="G238" i="32"/>
  <c r="G236" i="32"/>
  <c r="G234" i="32"/>
  <c r="G233" i="32"/>
  <c r="G231" i="32"/>
  <c r="G229" i="32"/>
  <c r="G228" i="32"/>
  <c r="G226" i="32"/>
  <c r="G224" i="32"/>
  <c r="G223" i="32"/>
  <c r="G221" i="32"/>
  <c r="G219" i="32"/>
  <c r="G218" i="32"/>
  <c r="G216" i="32"/>
  <c r="G214" i="32"/>
  <c r="G213" i="32"/>
  <c r="G211" i="32"/>
  <c r="G209" i="32"/>
  <c r="G208" i="32"/>
  <c r="G206" i="32"/>
  <c r="G204" i="32"/>
  <c r="G203" i="32"/>
  <c r="G191" i="32"/>
  <c r="G189" i="32"/>
  <c r="G188" i="32"/>
  <c r="G186" i="32"/>
  <c r="G184" i="32"/>
  <c r="G183" i="32"/>
  <c r="G181" i="32"/>
  <c r="G179" i="32"/>
  <c r="G178" i="32"/>
  <c r="G176" i="32"/>
  <c r="G174" i="32"/>
  <c r="G173" i="32"/>
  <c r="G171" i="32"/>
  <c r="G169" i="32"/>
  <c r="G168" i="32"/>
  <c r="G166" i="32"/>
  <c r="G164" i="32"/>
  <c r="G163" i="32"/>
  <c r="G161" i="32"/>
  <c r="G159" i="32"/>
  <c r="G158" i="32"/>
  <c r="G156" i="32"/>
  <c r="G154" i="32"/>
  <c r="G153" i="32"/>
  <c r="G151" i="32"/>
  <c r="G149" i="32"/>
  <c r="G148" i="32"/>
  <c r="G146" i="32"/>
  <c r="G144" i="32"/>
  <c r="G143" i="32"/>
  <c r="G141" i="32"/>
  <c r="G139" i="32"/>
  <c r="G138" i="32"/>
  <c r="G126" i="32"/>
  <c r="H167" i="14" s="1"/>
  <c r="G124" i="32"/>
  <c r="H167" i="15" s="1"/>
  <c r="G123" i="32"/>
  <c r="H167" i="2" s="1"/>
  <c r="G121" i="32"/>
  <c r="H151" i="14" s="1"/>
  <c r="G119" i="32"/>
  <c r="H151" i="15" s="1"/>
  <c r="G118" i="32"/>
  <c r="H151" i="2" s="1"/>
  <c r="G116" i="32"/>
  <c r="H135" i="14" s="1"/>
  <c r="G114" i="32"/>
  <c r="H135" i="15" s="1"/>
  <c r="G113" i="32"/>
  <c r="H135" i="2" s="1"/>
  <c r="G111" i="32"/>
  <c r="H119" i="14" s="1"/>
  <c r="G109" i="32"/>
  <c r="H119" i="15" s="1"/>
  <c r="G108" i="32"/>
  <c r="H119" i="2" s="1"/>
  <c r="G106" i="32"/>
  <c r="H103" i="14" s="1"/>
  <c r="G104" i="32"/>
  <c r="H103" i="15" s="1"/>
  <c r="G103" i="32"/>
  <c r="H103" i="2" s="1"/>
  <c r="G101" i="32"/>
  <c r="H87" i="14" s="1"/>
  <c r="G99" i="32"/>
  <c r="H87" i="15" s="1"/>
  <c r="G98" i="32"/>
  <c r="H87" i="2" s="1"/>
  <c r="G96" i="32"/>
  <c r="H71" i="14" s="1"/>
  <c r="G94" i="32"/>
  <c r="H71" i="15" s="1"/>
  <c r="G93" i="32"/>
  <c r="H71" i="2" s="1"/>
  <c r="G91" i="32"/>
  <c r="H55" i="14" s="1"/>
  <c r="G89" i="32"/>
  <c r="H55" i="15" s="1"/>
  <c r="G88" i="32"/>
  <c r="H55" i="2" s="1"/>
  <c r="G86" i="32"/>
  <c r="H39" i="14" s="1"/>
  <c r="G84" i="32"/>
  <c r="H39" i="15" s="1"/>
  <c r="G83" i="32"/>
  <c r="H39" i="2" s="1"/>
  <c r="G81" i="32"/>
  <c r="H23" i="14" s="1"/>
  <c r="G79" i="32"/>
  <c r="G78" i="32"/>
  <c r="H23" i="2" s="1"/>
  <c r="G76" i="32"/>
  <c r="H7" i="14" s="1"/>
  <c r="G74" i="32"/>
  <c r="H7" i="15" s="1"/>
  <c r="G73" i="32"/>
  <c r="H7" i="2" s="1"/>
  <c r="F256" i="32"/>
  <c r="F254" i="32"/>
  <c r="F253" i="32"/>
  <c r="F251" i="32"/>
  <c r="F249" i="32"/>
  <c r="F248" i="32"/>
  <c r="F246" i="32"/>
  <c r="F244" i="32"/>
  <c r="F243" i="32"/>
  <c r="F241" i="32"/>
  <c r="F239" i="32"/>
  <c r="F238" i="32"/>
  <c r="F236" i="32"/>
  <c r="F234" i="32"/>
  <c r="F233" i="32"/>
  <c r="F231" i="32"/>
  <c r="F229" i="32"/>
  <c r="F228" i="32"/>
  <c r="F226" i="32"/>
  <c r="F224" i="32"/>
  <c r="F223" i="32"/>
  <c r="F221" i="32"/>
  <c r="F219" i="32"/>
  <c r="F218" i="32"/>
  <c r="F216" i="32"/>
  <c r="F214" i="32"/>
  <c r="F213" i="32"/>
  <c r="F211" i="32"/>
  <c r="F209" i="32"/>
  <c r="F208" i="32"/>
  <c r="F206" i="32"/>
  <c r="F204" i="32"/>
  <c r="F203" i="32"/>
  <c r="P257" i="32"/>
  <c r="O257" i="32"/>
  <c r="N257" i="32"/>
  <c r="M257" i="32"/>
  <c r="L257" i="32"/>
  <c r="K257" i="32"/>
  <c r="E255" i="32"/>
  <c r="P252" i="32"/>
  <c r="O252" i="32"/>
  <c r="N252" i="32"/>
  <c r="M252" i="32"/>
  <c r="L252" i="32"/>
  <c r="K252" i="32"/>
  <c r="E250" i="32"/>
  <c r="P247" i="32"/>
  <c r="O247" i="32"/>
  <c r="N247" i="32"/>
  <c r="M247" i="32"/>
  <c r="L247" i="32"/>
  <c r="K247" i="32"/>
  <c r="E245" i="32"/>
  <c r="P242" i="32"/>
  <c r="O242" i="32"/>
  <c r="N242" i="32"/>
  <c r="M242" i="32"/>
  <c r="L242" i="32"/>
  <c r="K242" i="32"/>
  <c r="E240" i="32"/>
  <c r="P237" i="32"/>
  <c r="O237" i="32"/>
  <c r="N237" i="32"/>
  <c r="M237" i="32"/>
  <c r="L237" i="32"/>
  <c r="K237" i="32"/>
  <c r="E235" i="32"/>
  <c r="P232" i="32"/>
  <c r="O232" i="32"/>
  <c r="N232" i="32"/>
  <c r="M232" i="32"/>
  <c r="L232" i="32"/>
  <c r="K232" i="32"/>
  <c r="E230" i="32"/>
  <c r="P227" i="32"/>
  <c r="O227" i="32"/>
  <c r="N227" i="32"/>
  <c r="M227" i="32"/>
  <c r="L227" i="32"/>
  <c r="K227" i="32"/>
  <c r="E225" i="32"/>
  <c r="P222" i="32"/>
  <c r="O222" i="32"/>
  <c r="N222" i="32"/>
  <c r="M222" i="32"/>
  <c r="L222" i="32"/>
  <c r="K222" i="32"/>
  <c r="E220" i="32"/>
  <c r="P217" i="32"/>
  <c r="O217" i="32"/>
  <c r="N217" i="32"/>
  <c r="M217" i="32"/>
  <c r="L217" i="32"/>
  <c r="K217" i="32"/>
  <c r="E215" i="32"/>
  <c r="P212" i="32"/>
  <c r="O212" i="32"/>
  <c r="N212" i="32"/>
  <c r="M212" i="32"/>
  <c r="L212" i="32"/>
  <c r="K212" i="32"/>
  <c r="E210" i="32"/>
  <c r="P207" i="32"/>
  <c r="O207" i="32"/>
  <c r="N207" i="32"/>
  <c r="M207" i="32"/>
  <c r="L207" i="32"/>
  <c r="K207" i="32"/>
  <c r="E205" i="32"/>
  <c r="L177" i="32"/>
  <c r="P192" i="32"/>
  <c r="O192" i="32"/>
  <c r="N192" i="32"/>
  <c r="M192" i="32"/>
  <c r="L192" i="32"/>
  <c r="K192" i="32"/>
  <c r="P187" i="32"/>
  <c r="O187" i="32"/>
  <c r="N187" i="32"/>
  <c r="M187" i="32"/>
  <c r="L187" i="32"/>
  <c r="K187" i="32"/>
  <c r="P182" i="32"/>
  <c r="O182" i="32"/>
  <c r="N182" i="32"/>
  <c r="M182" i="32"/>
  <c r="L182" i="32"/>
  <c r="K182" i="32"/>
  <c r="P177" i="32"/>
  <c r="O177" i="32"/>
  <c r="N177" i="32"/>
  <c r="M177" i="32"/>
  <c r="K177" i="32"/>
  <c r="P172" i="32"/>
  <c r="O172" i="32"/>
  <c r="N172" i="32"/>
  <c r="M172" i="32"/>
  <c r="L172" i="32"/>
  <c r="K172" i="32"/>
  <c r="P167" i="32"/>
  <c r="O167" i="32"/>
  <c r="N167" i="32"/>
  <c r="M167" i="32"/>
  <c r="L167" i="32"/>
  <c r="K167" i="32"/>
  <c r="P162" i="32"/>
  <c r="O162" i="32"/>
  <c r="N162" i="32"/>
  <c r="M162" i="32"/>
  <c r="L162" i="32"/>
  <c r="K162" i="32"/>
  <c r="P157" i="32"/>
  <c r="O157" i="32"/>
  <c r="N157" i="32"/>
  <c r="M157" i="32"/>
  <c r="L157" i="32"/>
  <c r="K157" i="32"/>
  <c r="P152" i="32"/>
  <c r="O152" i="32"/>
  <c r="N152" i="32"/>
  <c r="M152" i="32"/>
  <c r="L152" i="32"/>
  <c r="K152" i="32"/>
  <c r="P147" i="32"/>
  <c r="O147" i="32"/>
  <c r="N147" i="32"/>
  <c r="M147" i="32"/>
  <c r="L147" i="32"/>
  <c r="K147" i="32"/>
  <c r="P142" i="32"/>
  <c r="O142" i="32"/>
  <c r="N142" i="32"/>
  <c r="M142" i="32"/>
  <c r="L142" i="32"/>
  <c r="K142" i="32"/>
  <c r="O127" i="32"/>
  <c r="N127" i="32"/>
  <c r="M127" i="32"/>
  <c r="L127" i="32"/>
  <c r="K127" i="32"/>
  <c r="O122" i="32"/>
  <c r="N122" i="32"/>
  <c r="M122" i="32"/>
  <c r="L122" i="32"/>
  <c r="K122" i="32"/>
  <c r="O117" i="32"/>
  <c r="N117" i="32"/>
  <c r="M117" i="32"/>
  <c r="L117" i="32"/>
  <c r="K117" i="32"/>
  <c r="O112" i="32"/>
  <c r="N112" i="32"/>
  <c r="M112" i="32"/>
  <c r="L112" i="32"/>
  <c r="K112" i="32"/>
  <c r="O107" i="32"/>
  <c r="N107" i="32"/>
  <c r="M107" i="32"/>
  <c r="L107" i="32"/>
  <c r="K107" i="32"/>
  <c r="O102" i="32"/>
  <c r="N102" i="32"/>
  <c r="M102" i="32"/>
  <c r="L102" i="32"/>
  <c r="K102" i="32"/>
  <c r="O97" i="32"/>
  <c r="N97" i="32"/>
  <c r="M97" i="32"/>
  <c r="L97" i="32"/>
  <c r="K97" i="32"/>
  <c r="O92" i="32"/>
  <c r="N92" i="32"/>
  <c r="M92" i="32"/>
  <c r="L92" i="32"/>
  <c r="K92" i="32"/>
  <c r="O87" i="32"/>
  <c r="N87" i="32"/>
  <c r="M87" i="32"/>
  <c r="L87" i="32"/>
  <c r="K87" i="32"/>
  <c r="O82" i="32"/>
  <c r="N82" i="32"/>
  <c r="M82" i="32"/>
  <c r="L82" i="32"/>
  <c r="K82" i="32"/>
  <c r="K77" i="32"/>
  <c r="M77" i="32"/>
  <c r="N77" i="32"/>
  <c r="O77" i="32"/>
  <c r="W65" i="13" l="1"/>
  <c r="W63" i="13"/>
  <c r="W62" i="13"/>
  <c r="J219" i="32"/>
  <c r="J194" i="32"/>
  <c r="E194" i="32" s="1"/>
  <c r="J129" i="32"/>
  <c r="J259" i="32"/>
  <c r="J64" i="32"/>
  <c r="J9" i="32"/>
  <c r="J49" i="32"/>
  <c r="J19" i="32"/>
  <c r="J44" i="32"/>
  <c r="J34" i="32"/>
  <c r="J39" i="32"/>
  <c r="J14" i="32"/>
  <c r="J24" i="32"/>
  <c r="J54" i="32"/>
  <c r="J29" i="32"/>
  <c r="J59" i="32"/>
  <c r="J246" i="32"/>
  <c r="J196" i="32"/>
  <c r="J261" i="32"/>
  <c r="J131" i="32"/>
  <c r="K183" i="14" s="1"/>
  <c r="J66" i="32"/>
  <c r="K182" i="14" s="1"/>
  <c r="J26" i="32"/>
  <c r="K54" i="14" s="1"/>
  <c r="J51" i="32"/>
  <c r="K134" i="14" s="1"/>
  <c r="J16" i="32"/>
  <c r="K22" i="14" s="1"/>
  <c r="J46" i="32"/>
  <c r="K118" i="14" s="1"/>
  <c r="J56" i="32"/>
  <c r="K150" i="14" s="1"/>
  <c r="J31" i="32"/>
  <c r="K70" i="14" s="1"/>
  <c r="J21" i="32"/>
  <c r="K38" i="14" s="1"/>
  <c r="J36" i="32"/>
  <c r="K86" i="14" s="1"/>
  <c r="J11" i="32"/>
  <c r="K6" i="14" s="1"/>
  <c r="J41" i="32"/>
  <c r="K102" i="14" s="1"/>
  <c r="J61" i="32"/>
  <c r="K166" i="14" s="1"/>
  <c r="J233" i="32"/>
  <c r="J193" i="32"/>
  <c r="J128" i="32"/>
  <c r="J258" i="32"/>
  <c r="E258" i="32" s="1"/>
  <c r="J63" i="32"/>
  <c r="J33" i="32"/>
  <c r="J23" i="32"/>
  <c r="J28" i="32"/>
  <c r="J48" i="32"/>
  <c r="J53" i="32"/>
  <c r="J13" i="32"/>
  <c r="J38" i="32"/>
  <c r="J43" i="32"/>
  <c r="J18" i="32"/>
  <c r="J8" i="32"/>
  <c r="J58" i="32"/>
  <c r="H23" i="15"/>
  <c r="J81" i="32"/>
  <c r="K23" i="14" s="1"/>
  <c r="J94" i="32"/>
  <c r="K71" i="15" s="1"/>
  <c r="J108" i="32"/>
  <c r="K119" i="2" s="1"/>
  <c r="J121" i="32"/>
  <c r="K151" i="14" s="1"/>
  <c r="J144" i="32"/>
  <c r="J158" i="32"/>
  <c r="J171" i="32"/>
  <c r="J184" i="32"/>
  <c r="J208" i="32"/>
  <c r="E208" i="32" s="1"/>
  <c r="J221" i="32"/>
  <c r="J234" i="32"/>
  <c r="E234" i="32" s="1"/>
  <c r="J248" i="32"/>
  <c r="E248" i="32" s="1"/>
  <c r="J83" i="32"/>
  <c r="K39" i="2" s="1"/>
  <c r="J96" i="32"/>
  <c r="K71" i="14" s="1"/>
  <c r="J109" i="32"/>
  <c r="K119" i="15" s="1"/>
  <c r="J123" i="32"/>
  <c r="J146" i="32"/>
  <c r="J159" i="32"/>
  <c r="J173" i="32"/>
  <c r="J186" i="32"/>
  <c r="J209" i="32"/>
  <c r="J223" i="32"/>
  <c r="J236" i="32"/>
  <c r="J249" i="32"/>
  <c r="J84" i="32"/>
  <c r="K39" i="15" s="1"/>
  <c r="J98" i="32"/>
  <c r="K87" i="2" s="1"/>
  <c r="J111" i="32"/>
  <c r="K119" i="14" s="1"/>
  <c r="J124" i="32"/>
  <c r="K167" i="15" s="1"/>
  <c r="J148" i="32"/>
  <c r="J161" i="32"/>
  <c r="J174" i="32"/>
  <c r="J188" i="32"/>
  <c r="J211" i="32"/>
  <c r="J224" i="32"/>
  <c r="E224" i="32" s="1"/>
  <c r="J238" i="32"/>
  <c r="J251" i="32"/>
  <c r="J73" i="32"/>
  <c r="K7" i="2" s="1"/>
  <c r="J86" i="32"/>
  <c r="K39" i="14" s="1"/>
  <c r="J99" i="32"/>
  <c r="K87" i="15" s="1"/>
  <c r="J113" i="32"/>
  <c r="K135" i="2" s="1"/>
  <c r="J126" i="32"/>
  <c r="K167" i="14" s="1"/>
  <c r="J149" i="32"/>
  <c r="J163" i="32"/>
  <c r="J176" i="32"/>
  <c r="J189" i="32"/>
  <c r="J213" i="32"/>
  <c r="E213" i="32" s="1"/>
  <c r="J226" i="32"/>
  <c r="J239" i="32"/>
  <c r="E239" i="32" s="1"/>
  <c r="J253" i="32"/>
  <c r="E253" i="32" s="1"/>
  <c r="J74" i="32"/>
  <c r="K7" i="15" s="1"/>
  <c r="J88" i="32"/>
  <c r="K55" i="2" s="1"/>
  <c r="J101" i="32"/>
  <c r="K87" i="14" s="1"/>
  <c r="J114" i="32"/>
  <c r="K135" i="15" s="1"/>
  <c r="J138" i="32"/>
  <c r="J151" i="32"/>
  <c r="J164" i="32"/>
  <c r="J178" i="32"/>
  <c r="J191" i="32"/>
  <c r="J214" i="32"/>
  <c r="E214" i="32" s="1"/>
  <c r="J228" i="32"/>
  <c r="E228" i="32" s="1"/>
  <c r="J241" i="32"/>
  <c r="J254" i="32"/>
  <c r="E254" i="32" s="1"/>
  <c r="J76" i="32"/>
  <c r="K7" i="14" s="1"/>
  <c r="J89" i="32"/>
  <c r="K55" i="15" s="1"/>
  <c r="J103" i="32"/>
  <c r="K103" i="2" s="1"/>
  <c r="J116" i="32"/>
  <c r="K135" i="14" s="1"/>
  <c r="J139" i="32"/>
  <c r="J153" i="32"/>
  <c r="J166" i="32"/>
  <c r="J179" i="32"/>
  <c r="J203" i="32"/>
  <c r="E203" i="32" s="1"/>
  <c r="J216" i="32"/>
  <c r="J229" i="32"/>
  <c r="E229" i="32" s="1"/>
  <c r="J243" i="32"/>
  <c r="E243" i="32" s="1"/>
  <c r="J256" i="32"/>
  <c r="J78" i="32"/>
  <c r="K23" i="2" s="1"/>
  <c r="J91" i="32"/>
  <c r="K55" i="14" s="1"/>
  <c r="J104" i="32"/>
  <c r="J118" i="32"/>
  <c r="K151" i="2" s="1"/>
  <c r="J141" i="32"/>
  <c r="J154" i="32"/>
  <c r="J168" i="32"/>
  <c r="J181" i="32"/>
  <c r="J204" i="32"/>
  <c r="E204" i="32" s="1"/>
  <c r="J218" i="32"/>
  <c r="E218" i="32" s="1"/>
  <c r="J231" i="32"/>
  <c r="J244" i="32"/>
  <c r="E244" i="32" s="1"/>
  <c r="J79" i="32"/>
  <c r="J93" i="32"/>
  <c r="K71" i="2" s="1"/>
  <c r="J106" i="32"/>
  <c r="K103" i="14" s="1"/>
  <c r="J119" i="32"/>
  <c r="K151" i="15" s="1"/>
  <c r="J143" i="32"/>
  <c r="J156" i="32"/>
  <c r="J169" i="32"/>
  <c r="J183" i="32"/>
  <c r="J206" i="32"/>
  <c r="G122" i="32"/>
  <c r="G147" i="32"/>
  <c r="G107" i="32"/>
  <c r="G192" i="32"/>
  <c r="G182" i="32"/>
  <c r="G92" i="32"/>
  <c r="G142" i="32"/>
  <c r="G117" i="32"/>
  <c r="G247" i="32"/>
  <c r="G97" i="32"/>
  <c r="G187" i="32"/>
  <c r="G87" i="32"/>
  <c r="G102" i="32"/>
  <c r="G127" i="32"/>
  <c r="G152" i="32"/>
  <c r="G162" i="32"/>
  <c r="G217" i="32"/>
  <c r="G232" i="32"/>
  <c r="G257" i="32"/>
  <c r="G82" i="32"/>
  <c r="G222" i="32"/>
  <c r="G237" i="32"/>
  <c r="G112" i="32"/>
  <c r="G177" i="32"/>
  <c r="G172" i="32"/>
  <c r="G242" i="32"/>
  <c r="E233" i="32"/>
  <c r="E238" i="32"/>
  <c r="G167" i="32"/>
  <c r="G157" i="32"/>
  <c r="G207" i="32"/>
  <c r="G252" i="32"/>
  <c r="G212" i="32"/>
  <c r="G227" i="32"/>
  <c r="E219" i="32"/>
  <c r="G77" i="32"/>
  <c r="F232" i="32"/>
  <c r="F207" i="32"/>
  <c r="F252" i="32"/>
  <c r="F247" i="32"/>
  <c r="F227" i="32"/>
  <c r="F212" i="32"/>
  <c r="F257" i="32"/>
  <c r="F242" i="32"/>
  <c r="F237" i="32"/>
  <c r="F222" i="32"/>
  <c r="F217" i="32"/>
  <c r="W66" i="13" l="1"/>
  <c r="K70" i="2"/>
  <c r="J32" i="32"/>
  <c r="K6" i="2"/>
  <c r="J12" i="32"/>
  <c r="K54" i="2"/>
  <c r="J27" i="32"/>
  <c r="K70" i="15"/>
  <c r="K134" i="15"/>
  <c r="K38" i="15"/>
  <c r="K38" i="2"/>
  <c r="J22" i="32"/>
  <c r="K86" i="2"/>
  <c r="J37" i="32"/>
  <c r="K150" i="15"/>
  <c r="K6" i="15"/>
  <c r="K118" i="2"/>
  <c r="J47" i="32"/>
  <c r="K182" i="2"/>
  <c r="J67" i="32"/>
  <c r="E63" i="32"/>
  <c r="K54" i="15"/>
  <c r="K182" i="15"/>
  <c r="F182" i="15" s="1"/>
  <c r="E64" i="32"/>
  <c r="K166" i="2"/>
  <c r="E58" i="32"/>
  <c r="J62" i="32"/>
  <c r="K102" i="2"/>
  <c r="J42" i="32"/>
  <c r="K22" i="15"/>
  <c r="J262" i="32"/>
  <c r="E259" i="32"/>
  <c r="K22" i="2"/>
  <c r="J17" i="32"/>
  <c r="K183" i="2"/>
  <c r="F183" i="2" s="1"/>
  <c r="J132" i="32"/>
  <c r="E128" i="32"/>
  <c r="K102" i="15"/>
  <c r="K183" i="15"/>
  <c r="F183" i="15" s="1"/>
  <c r="E129" i="32"/>
  <c r="K150" i="2"/>
  <c r="J57" i="32"/>
  <c r="J197" i="32"/>
  <c r="E193" i="32"/>
  <c r="K86" i="15"/>
  <c r="K166" i="15"/>
  <c r="E59" i="32"/>
  <c r="K134" i="2"/>
  <c r="J52" i="32"/>
  <c r="K118" i="15"/>
  <c r="K23" i="15"/>
  <c r="F182" i="2"/>
  <c r="K167" i="2"/>
  <c r="J232" i="32"/>
  <c r="J107" i="32"/>
  <c r="K103" i="15"/>
  <c r="J157" i="32"/>
  <c r="J212" i="32"/>
  <c r="E209" i="32"/>
  <c r="J122" i="32"/>
  <c r="J102" i="32"/>
  <c r="J177" i="32"/>
  <c r="J112" i="32"/>
  <c r="J207" i="32"/>
  <c r="J82" i="32"/>
  <c r="J192" i="32"/>
  <c r="J252" i="32"/>
  <c r="J187" i="32"/>
  <c r="J247" i="32"/>
  <c r="J237" i="32"/>
  <c r="J172" i="32"/>
  <c r="J182" i="32"/>
  <c r="J127" i="32"/>
  <c r="J227" i="32"/>
  <c r="J97" i="32"/>
  <c r="J162" i="32"/>
  <c r="J92" i="32"/>
  <c r="J167" i="32"/>
  <c r="J242" i="32"/>
  <c r="J117" i="32"/>
  <c r="J77" i="32"/>
  <c r="J152" i="32"/>
  <c r="J87" i="32"/>
  <c r="J147" i="32"/>
  <c r="E249" i="32"/>
  <c r="J222" i="32"/>
  <c r="J257" i="32"/>
  <c r="J142" i="32"/>
  <c r="J217" i="32"/>
  <c r="E223" i="32"/>
  <c r="N167" i="16" l="1"/>
  <c r="N168" i="16"/>
  <c r="N169" i="16"/>
  <c r="N170" i="16"/>
  <c r="N171" i="16"/>
  <c r="N172" i="16"/>
  <c r="N173" i="16"/>
  <c r="N174" i="16"/>
  <c r="N175" i="16"/>
  <c r="N176" i="16"/>
  <c r="N177" i="16"/>
  <c r="N178" i="16"/>
  <c r="N179" i="16"/>
  <c r="N151" i="16"/>
  <c r="N152" i="16"/>
  <c r="N153" i="16"/>
  <c r="N154" i="16"/>
  <c r="N155" i="16"/>
  <c r="N156" i="16"/>
  <c r="N157" i="16"/>
  <c r="N158" i="16"/>
  <c r="N159" i="16"/>
  <c r="N160" i="16"/>
  <c r="N161" i="16"/>
  <c r="N162" i="16"/>
  <c r="N163" i="16"/>
  <c r="N135" i="16"/>
  <c r="N136" i="16"/>
  <c r="N137" i="16"/>
  <c r="N138" i="16"/>
  <c r="N139" i="16"/>
  <c r="N140" i="16"/>
  <c r="N141" i="16"/>
  <c r="N142" i="16"/>
  <c r="N143" i="16"/>
  <c r="N144" i="16"/>
  <c r="N145" i="16"/>
  <c r="N146" i="16"/>
  <c r="N147" i="16"/>
  <c r="N119" i="16"/>
  <c r="N120" i="16"/>
  <c r="N121" i="16"/>
  <c r="N122" i="16"/>
  <c r="N123" i="16"/>
  <c r="N124" i="16"/>
  <c r="N125" i="16"/>
  <c r="N126" i="16"/>
  <c r="N127" i="16"/>
  <c r="N128" i="16"/>
  <c r="N129" i="16"/>
  <c r="N130" i="16"/>
  <c r="N131" i="16"/>
  <c r="N103" i="16"/>
  <c r="N104" i="16"/>
  <c r="N105" i="16"/>
  <c r="N106" i="16"/>
  <c r="N107" i="16"/>
  <c r="N108" i="16"/>
  <c r="N109" i="16"/>
  <c r="N110" i="16"/>
  <c r="N111" i="16"/>
  <c r="N112" i="16"/>
  <c r="N113" i="16"/>
  <c r="N114" i="16"/>
  <c r="N115" i="16"/>
  <c r="N87" i="16"/>
  <c r="N88" i="16"/>
  <c r="N89" i="16"/>
  <c r="N90" i="16"/>
  <c r="N91" i="16"/>
  <c r="N92" i="16"/>
  <c r="N93" i="16"/>
  <c r="N94" i="16"/>
  <c r="N95" i="16"/>
  <c r="N96" i="16"/>
  <c r="N97" i="16"/>
  <c r="N98" i="16"/>
  <c r="N99" i="16"/>
  <c r="N71" i="16"/>
  <c r="N72" i="16"/>
  <c r="N73" i="16"/>
  <c r="N74" i="16"/>
  <c r="N75" i="16"/>
  <c r="N76" i="16"/>
  <c r="N77" i="16"/>
  <c r="N78" i="16"/>
  <c r="N79" i="16"/>
  <c r="N80" i="16"/>
  <c r="N81" i="16"/>
  <c r="N82" i="16"/>
  <c r="N83" i="16"/>
  <c r="N55" i="16"/>
  <c r="N56" i="16"/>
  <c r="N57" i="16"/>
  <c r="N58" i="16"/>
  <c r="N59" i="16"/>
  <c r="N60" i="16"/>
  <c r="N61" i="16"/>
  <c r="N62" i="16"/>
  <c r="N63" i="16"/>
  <c r="N64" i="16"/>
  <c r="N65" i="16"/>
  <c r="N66" i="16"/>
  <c r="N67" i="16"/>
  <c r="N39" i="16"/>
  <c r="N40" i="16"/>
  <c r="N41" i="16"/>
  <c r="N42" i="16"/>
  <c r="N43" i="16"/>
  <c r="N44" i="16"/>
  <c r="N45" i="16"/>
  <c r="N46" i="16"/>
  <c r="N47" i="16"/>
  <c r="N48" i="16"/>
  <c r="N49" i="16"/>
  <c r="N50" i="16"/>
  <c r="N51" i="16"/>
  <c r="N150" i="16"/>
  <c r="N134" i="16"/>
  <c r="N118" i="16"/>
  <c r="N102" i="16"/>
  <c r="N86" i="16"/>
  <c r="N70" i="16"/>
  <c r="N54" i="16"/>
  <c r="N38" i="16"/>
  <c r="N22" i="16"/>
  <c r="N23" i="16"/>
  <c r="N24" i="16"/>
  <c r="N25" i="16"/>
  <c r="N26" i="16"/>
  <c r="N27" i="16"/>
  <c r="N28" i="16"/>
  <c r="N29" i="16"/>
  <c r="N30" i="16"/>
  <c r="N31" i="16"/>
  <c r="N32" i="16"/>
  <c r="N33" i="16"/>
  <c r="N34" i="16"/>
  <c r="N35" i="16"/>
  <c r="N6" i="16"/>
  <c r="N7" i="16"/>
  <c r="N8" i="16"/>
  <c r="N9" i="16"/>
  <c r="N10" i="16"/>
  <c r="N11" i="16"/>
  <c r="N12" i="16"/>
  <c r="N13" i="16"/>
  <c r="N14" i="16"/>
  <c r="N15" i="16"/>
  <c r="N16" i="16"/>
  <c r="N17" i="16"/>
  <c r="N18" i="16"/>
  <c r="N19" i="16"/>
  <c r="L48" i="4"/>
  <c r="K48" i="4"/>
  <c r="J48" i="4"/>
  <c r="I48" i="4"/>
  <c r="H48" i="4"/>
  <c r="G48" i="4"/>
  <c r="F48" i="4"/>
  <c r="E48" i="4"/>
  <c r="D48" i="4"/>
  <c r="C48" i="4"/>
  <c r="B48" i="4"/>
  <c r="E79" i="31" l="1"/>
  <c r="G79" i="31"/>
  <c r="E80" i="31"/>
  <c r="G80" i="31"/>
  <c r="E81" i="31"/>
  <c r="G81" i="31"/>
  <c r="E82" i="31"/>
  <c r="E89" i="31" s="1"/>
  <c r="G82" i="31"/>
  <c r="G89" i="31" s="1"/>
  <c r="E83" i="31"/>
  <c r="G83" i="31"/>
  <c r="E84" i="31"/>
  <c r="G84" i="31"/>
  <c r="E85" i="31"/>
  <c r="G85" i="31"/>
  <c r="E86" i="31"/>
  <c r="G86" i="31"/>
  <c r="E87" i="31"/>
  <c r="G87" i="31"/>
  <c r="E88" i="31"/>
  <c r="G88" i="31"/>
  <c r="G78" i="31"/>
  <c r="E78" i="31"/>
  <c r="I184" i="2" l="1"/>
  <c r="O184" i="15"/>
  <c r="L184" i="14"/>
  <c r="Q184" i="14"/>
  <c r="J184" i="2"/>
  <c r="P184" i="15"/>
  <c r="N184" i="14"/>
  <c r="Q184" i="15"/>
  <c r="O184" i="14"/>
  <c r="G184" i="16"/>
  <c r="J184" i="15"/>
  <c r="N184" i="15"/>
  <c r="L184" i="2"/>
  <c r="I184" i="15"/>
  <c r="P184" i="14"/>
  <c r="H184" i="16"/>
  <c r="N184" i="2"/>
  <c r="F184" i="16"/>
  <c r="O184" i="2"/>
  <c r="P184" i="2"/>
  <c r="L184" i="15"/>
  <c r="Q184" i="2"/>
  <c r="K184" i="14"/>
  <c r="H184" i="14"/>
  <c r="H184" i="2"/>
  <c r="K184" i="2"/>
  <c r="K184" i="15"/>
  <c r="H184" i="15"/>
  <c r="G184" i="14"/>
  <c r="M184" i="14"/>
  <c r="I184" i="16"/>
  <c r="M184" i="15"/>
  <c r="G184" i="2"/>
  <c r="G184" i="15"/>
  <c r="M184" i="2"/>
  <c r="O152" i="14"/>
  <c r="Q152" i="2"/>
  <c r="I152" i="2"/>
  <c r="N152" i="15"/>
  <c r="J152" i="2"/>
  <c r="L152" i="2"/>
  <c r="N152" i="2"/>
  <c r="N152" i="14"/>
  <c r="O152" i="2"/>
  <c r="M152" i="15"/>
  <c r="P152" i="14"/>
  <c r="M152" i="14"/>
  <c r="M152" i="2"/>
  <c r="P152" i="15"/>
  <c r="P152" i="2"/>
  <c r="H152" i="15"/>
  <c r="H152" i="2"/>
  <c r="H152" i="14"/>
  <c r="K152" i="15"/>
  <c r="K152" i="2"/>
  <c r="K152" i="14"/>
  <c r="Q88" i="2"/>
  <c r="I88" i="2"/>
  <c r="N88" i="15"/>
  <c r="J88" i="2"/>
  <c r="L88" i="2"/>
  <c r="N88" i="2"/>
  <c r="N88" i="14"/>
  <c r="O88" i="2"/>
  <c r="O88" i="14"/>
  <c r="M88" i="2"/>
  <c r="M88" i="15"/>
  <c r="P88" i="15"/>
  <c r="M88" i="14"/>
  <c r="P88" i="2"/>
  <c r="P88" i="14"/>
  <c r="H88" i="14"/>
  <c r="H88" i="2"/>
  <c r="H88" i="15"/>
  <c r="K88" i="2"/>
  <c r="K88" i="15"/>
  <c r="K88" i="14"/>
  <c r="L72" i="2"/>
  <c r="N72" i="2"/>
  <c r="J72" i="2"/>
  <c r="N72" i="14"/>
  <c r="O72" i="2"/>
  <c r="O72" i="14"/>
  <c r="Q72" i="2"/>
  <c r="N72" i="15"/>
  <c r="I72" i="2"/>
  <c r="M72" i="15"/>
  <c r="P72" i="2"/>
  <c r="P72" i="15"/>
  <c r="M72" i="14"/>
  <c r="P72" i="14"/>
  <c r="M72" i="2"/>
  <c r="H72" i="14"/>
  <c r="H72" i="15"/>
  <c r="H72" i="2"/>
  <c r="K72" i="2"/>
  <c r="K72" i="15"/>
  <c r="K72" i="14"/>
  <c r="Q120" i="2"/>
  <c r="I120" i="2"/>
  <c r="J120" i="2"/>
  <c r="O120" i="14"/>
  <c r="N120" i="15"/>
  <c r="L120" i="2"/>
  <c r="N120" i="2"/>
  <c r="N120" i="14"/>
  <c r="O120" i="2"/>
  <c r="P120" i="15"/>
  <c r="M120" i="14"/>
  <c r="M120" i="15"/>
  <c r="M120" i="2"/>
  <c r="P120" i="14"/>
  <c r="P120" i="2"/>
  <c r="H120" i="14"/>
  <c r="H120" i="15"/>
  <c r="H120" i="2"/>
  <c r="K120" i="14"/>
  <c r="K120" i="15"/>
  <c r="K120" i="2"/>
  <c r="L8" i="2"/>
  <c r="N8" i="2"/>
  <c r="J8" i="2"/>
  <c r="O8" i="2"/>
  <c r="N8" i="14"/>
  <c r="Q8" i="2"/>
  <c r="N8" i="15"/>
  <c r="I8" i="2"/>
  <c r="P8" i="2"/>
  <c r="M8" i="15"/>
  <c r="M8" i="2"/>
  <c r="P8" i="15"/>
  <c r="M8" i="14"/>
  <c r="P8" i="14"/>
  <c r="H8" i="2"/>
  <c r="H8" i="14"/>
  <c r="H8" i="15"/>
  <c r="K8" i="14"/>
  <c r="K8" i="2"/>
  <c r="K8" i="15"/>
  <c r="L40" i="2"/>
  <c r="J40" i="2"/>
  <c r="N40" i="15"/>
  <c r="N40" i="2"/>
  <c r="O40" i="2"/>
  <c r="Q40" i="2"/>
  <c r="N40" i="14"/>
  <c r="I40" i="2"/>
  <c r="M40" i="15"/>
  <c r="M40" i="14"/>
  <c r="P40" i="14"/>
  <c r="P40" i="15"/>
  <c r="M40" i="2"/>
  <c r="P40" i="2"/>
  <c r="H40" i="2"/>
  <c r="H40" i="15"/>
  <c r="H40" i="14"/>
  <c r="K40" i="14"/>
  <c r="K40" i="15"/>
  <c r="K40" i="2"/>
  <c r="N24" i="14"/>
  <c r="I24" i="2"/>
  <c r="N24" i="15"/>
  <c r="J24" i="2"/>
  <c r="L24" i="2"/>
  <c r="N24" i="2"/>
  <c r="O24" i="2"/>
  <c r="Q24" i="2"/>
  <c r="M24" i="14"/>
  <c r="M24" i="2"/>
  <c r="P24" i="15"/>
  <c r="P24" i="14"/>
  <c r="P24" i="2"/>
  <c r="M24" i="15"/>
  <c r="H24" i="2"/>
  <c r="H24" i="14"/>
  <c r="H24" i="15"/>
  <c r="K24" i="15"/>
  <c r="K24" i="2"/>
  <c r="K24" i="14"/>
  <c r="L136" i="2"/>
  <c r="J136" i="2"/>
  <c r="N136" i="2"/>
  <c r="N136" i="14"/>
  <c r="O136" i="2"/>
  <c r="O136" i="14"/>
  <c r="Q136" i="2"/>
  <c r="N136" i="15"/>
  <c r="I136" i="2"/>
  <c r="M136" i="14"/>
  <c r="P136" i="2"/>
  <c r="P136" i="15"/>
  <c r="M136" i="15"/>
  <c r="M136" i="2"/>
  <c r="P136" i="14"/>
  <c r="H136" i="15"/>
  <c r="H136" i="2"/>
  <c r="H136" i="14"/>
  <c r="K136" i="14"/>
  <c r="K136" i="2"/>
  <c r="K136" i="15"/>
  <c r="Q56" i="2"/>
  <c r="I56" i="2"/>
  <c r="J56" i="2"/>
  <c r="L56" i="2"/>
  <c r="N56" i="14"/>
  <c r="N56" i="2"/>
  <c r="N56" i="15"/>
  <c r="O56" i="2"/>
  <c r="M56" i="2"/>
  <c r="M56" i="14"/>
  <c r="M56" i="15"/>
  <c r="P56" i="15"/>
  <c r="P56" i="14"/>
  <c r="P56" i="2"/>
  <c r="H56" i="2"/>
  <c r="H56" i="15"/>
  <c r="H56" i="14"/>
  <c r="K56" i="14"/>
  <c r="K56" i="15"/>
  <c r="K56" i="2"/>
  <c r="L168" i="2"/>
  <c r="N168" i="15"/>
  <c r="N168" i="2"/>
  <c r="N168" i="14"/>
  <c r="O168" i="2"/>
  <c r="O168" i="14"/>
  <c r="Q168" i="2"/>
  <c r="I168" i="2"/>
  <c r="J168" i="2"/>
  <c r="M168" i="2"/>
  <c r="M168" i="15"/>
  <c r="M168" i="14"/>
  <c r="P168" i="14"/>
  <c r="P168" i="2"/>
  <c r="P168" i="15"/>
  <c r="H168" i="15"/>
  <c r="H168" i="2"/>
  <c r="H168" i="14"/>
  <c r="K168" i="14"/>
  <c r="K168" i="2"/>
  <c r="K168" i="15"/>
  <c r="L104" i="2"/>
  <c r="N104" i="15"/>
  <c r="N104" i="2"/>
  <c r="N104" i="14"/>
  <c r="O104" i="2"/>
  <c r="O104" i="14"/>
  <c r="Q104" i="2"/>
  <c r="J104" i="2"/>
  <c r="I104" i="2"/>
  <c r="P104" i="15"/>
  <c r="M104" i="2"/>
  <c r="M104" i="15"/>
  <c r="M104" i="14"/>
  <c r="P104" i="2"/>
  <c r="P104" i="14"/>
  <c r="H104" i="14"/>
  <c r="H104" i="2"/>
  <c r="H104" i="15"/>
  <c r="K104" i="15"/>
  <c r="K104" i="2"/>
  <c r="K104" i="14"/>
  <c r="M24" i="16"/>
  <c r="M25" i="16"/>
  <c r="F60" i="30"/>
  <c r="G60" i="30"/>
  <c r="H60" i="30"/>
  <c r="I60" i="30"/>
  <c r="F61" i="30"/>
  <c r="G61" i="30"/>
  <c r="H61" i="30"/>
  <c r="I61" i="30"/>
  <c r="F62" i="30"/>
  <c r="G62" i="30"/>
  <c r="H62" i="30"/>
  <c r="I62" i="30"/>
  <c r="F63" i="30"/>
  <c r="G63" i="30"/>
  <c r="H63" i="30"/>
  <c r="I63" i="30"/>
  <c r="F64" i="30"/>
  <c r="G64" i="30"/>
  <c r="H64" i="30"/>
  <c r="I64" i="30"/>
  <c r="F65" i="30"/>
  <c r="G65" i="30"/>
  <c r="H65" i="30"/>
  <c r="I65" i="30"/>
  <c r="F66" i="30"/>
  <c r="G66" i="30"/>
  <c r="H66" i="30"/>
  <c r="I66" i="30"/>
  <c r="F67" i="30"/>
  <c r="G67" i="30"/>
  <c r="H67" i="30"/>
  <c r="I67" i="30"/>
  <c r="F68" i="30"/>
  <c r="G68" i="30"/>
  <c r="H68" i="30"/>
  <c r="I68" i="30"/>
  <c r="F69" i="30"/>
  <c r="G69" i="30"/>
  <c r="H69" i="30"/>
  <c r="I69" i="30"/>
  <c r="J69" i="30"/>
  <c r="I59" i="30"/>
  <c r="H59" i="30"/>
  <c r="G59" i="30"/>
  <c r="F59" i="30"/>
  <c r="F43" i="30"/>
  <c r="H43" i="30"/>
  <c r="I43" i="30"/>
  <c r="F44" i="30"/>
  <c r="H44" i="30"/>
  <c r="I44" i="30"/>
  <c r="F45" i="30"/>
  <c r="H45" i="30"/>
  <c r="I45" i="30"/>
  <c r="F46" i="30"/>
  <c r="H46" i="30"/>
  <c r="I46" i="30"/>
  <c r="F47" i="30"/>
  <c r="H47" i="30"/>
  <c r="I47" i="30"/>
  <c r="J47" i="30"/>
  <c r="F48" i="30"/>
  <c r="H48" i="30"/>
  <c r="I48" i="30"/>
  <c r="F49" i="30"/>
  <c r="H49" i="30"/>
  <c r="I49" i="30"/>
  <c r="F50" i="30"/>
  <c r="H50" i="30"/>
  <c r="I50" i="30"/>
  <c r="F51" i="30"/>
  <c r="H51" i="30"/>
  <c r="I51" i="30"/>
  <c r="F52" i="30"/>
  <c r="H52" i="30"/>
  <c r="I52" i="30"/>
  <c r="J52" i="30"/>
  <c r="I42" i="30"/>
  <c r="H42" i="30"/>
  <c r="F42" i="30"/>
  <c r="I26" i="30"/>
  <c r="I23" i="16" s="1"/>
  <c r="J26" i="30"/>
  <c r="J23" i="16" s="1"/>
  <c r="I27" i="30"/>
  <c r="I39" i="16" s="1"/>
  <c r="J27" i="30"/>
  <c r="J39" i="16" s="1"/>
  <c r="I28" i="30"/>
  <c r="I55" i="16" s="1"/>
  <c r="I29" i="30"/>
  <c r="I71" i="16" s="1"/>
  <c r="I30" i="30"/>
  <c r="I87" i="16" s="1"/>
  <c r="J30" i="30"/>
  <c r="J87" i="16" s="1"/>
  <c r="I31" i="30"/>
  <c r="I103" i="16" s="1"/>
  <c r="I32" i="30"/>
  <c r="I119" i="16" s="1"/>
  <c r="J32" i="30"/>
  <c r="J119" i="16" s="1"/>
  <c r="I33" i="30"/>
  <c r="I135" i="16" s="1"/>
  <c r="I34" i="30"/>
  <c r="I151" i="16" s="1"/>
  <c r="I35" i="30"/>
  <c r="I167" i="16" s="1"/>
  <c r="J35" i="30"/>
  <c r="J167" i="16" s="1"/>
  <c r="B33" i="20"/>
  <c r="J25" i="30"/>
  <c r="J7" i="16" s="1"/>
  <c r="I25" i="30"/>
  <c r="I7" i="16" s="1"/>
  <c r="H26" i="30"/>
  <c r="H23" i="16" s="1"/>
  <c r="H27" i="30"/>
  <c r="H39" i="16" s="1"/>
  <c r="H28" i="30"/>
  <c r="H55" i="16" s="1"/>
  <c r="H29" i="30"/>
  <c r="H71" i="16" s="1"/>
  <c r="H30" i="30"/>
  <c r="H87" i="16" s="1"/>
  <c r="H31" i="30"/>
  <c r="H103" i="16" s="1"/>
  <c r="H32" i="30"/>
  <c r="H119" i="16" s="1"/>
  <c r="H33" i="30"/>
  <c r="H135" i="16" s="1"/>
  <c r="H34" i="30"/>
  <c r="H151" i="16" s="1"/>
  <c r="H35" i="30"/>
  <c r="H167" i="16" s="1"/>
  <c r="H25" i="30"/>
  <c r="H7" i="16" s="1"/>
  <c r="F26" i="30"/>
  <c r="F23" i="16" s="1"/>
  <c r="F27" i="30"/>
  <c r="F39" i="16" s="1"/>
  <c r="F28" i="30"/>
  <c r="F55" i="16" s="1"/>
  <c r="F29" i="30"/>
  <c r="F71" i="16" s="1"/>
  <c r="F30" i="30"/>
  <c r="F87" i="16" s="1"/>
  <c r="F31" i="30"/>
  <c r="F103" i="16" s="1"/>
  <c r="F32" i="30"/>
  <c r="F119" i="16" s="1"/>
  <c r="F33" i="30"/>
  <c r="F135" i="16" s="1"/>
  <c r="F34" i="30"/>
  <c r="F151" i="16" s="1"/>
  <c r="F35" i="30"/>
  <c r="F167" i="16" s="1"/>
  <c r="F25" i="30"/>
  <c r="F7" i="16" s="1"/>
  <c r="E190" i="32"/>
  <c r="E185" i="32"/>
  <c r="E180" i="32"/>
  <c r="E175" i="32"/>
  <c r="E170" i="32"/>
  <c r="E165" i="32"/>
  <c r="E160" i="32"/>
  <c r="E155" i="32"/>
  <c r="E150" i="32"/>
  <c r="E145" i="32"/>
  <c r="E140" i="32"/>
  <c r="E125" i="32"/>
  <c r="E120" i="32"/>
  <c r="E115" i="32"/>
  <c r="E110" i="32"/>
  <c r="E105" i="32"/>
  <c r="E100" i="32"/>
  <c r="E95" i="32"/>
  <c r="E90" i="32"/>
  <c r="E85" i="32"/>
  <c r="E80" i="32"/>
  <c r="E75" i="32"/>
  <c r="L65" i="30" l="1"/>
  <c r="L70" i="30"/>
  <c r="L53" i="30"/>
  <c r="L19" i="30"/>
  <c r="L182" i="16" s="1"/>
  <c r="L18" i="30"/>
  <c r="L166" i="16" s="1"/>
  <c r="H196" i="15"/>
  <c r="H197" i="15"/>
  <c r="L196" i="15"/>
  <c r="L197" i="15"/>
  <c r="I196" i="15"/>
  <c r="I197" i="15"/>
  <c r="N196" i="14"/>
  <c r="N197" i="14"/>
  <c r="G196" i="14"/>
  <c r="G197" i="14"/>
  <c r="M196" i="2"/>
  <c r="M197" i="2"/>
  <c r="K197" i="15"/>
  <c r="K196" i="15"/>
  <c r="L197" i="2"/>
  <c r="L196" i="2"/>
  <c r="P197" i="15"/>
  <c r="P196" i="15"/>
  <c r="G196" i="15"/>
  <c r="G197" i="15"/>
  <c r="K196" i="2"/>
  <c r="K197" i="2"/>
  <c r="O197" i="2"/>
  <c r="O196" i="2"/>
  <c r="N197" i="15"/>
  <c r="N196" i="15"/>
  <c r="J197" i="2"/>
  <c r="J196" i="2"/>
  <c r="G196" i="2"/>
  <c r="G197" i="2"/>
  <c r="F184" i="2"/>
  <c r="H196" i="2"/>
  <c r="H197" i="2"/>
  <c r="Q196" i="14"/>
  <c r="Q197" i="14"/>
  <c r="F184" i="15"/>
  <c r="M196" i="15"/>
  <c r="M197" i="15"/>
  <c r="H197" i="14"/>
  <c r="H196" i="14"/>
  <c r="J196" i="15"/>
  <c r="J197" i="15"/>
  <c r="L197" i="14"/>
  <c r="L196" i="14"/>
  <c r="Q197" i="15"/>
  <c r="Q196" i="15"/>
  <c r="K197" i="14"/>
  <c r="K196" i="14"/>
  <c r="N196" i="2"/>
  <c r="N197" i="2"/>
  <c r="O197" i="15"/>
  <c r="O196" i="15"/>
  <c r="M196" i="14"/>
  <c r="M197" i="14"/>
  <c r="Q196" i="2"/>
  <c r="Q197" i="2"/>
  <c r="O196" i="14"/>
  <c r="O197" i="14"/>
  <c r="I197" i="2"/>
  <c r="I196" i="2"/>
  <c r="I120" i="16"/>
  <c r="I168" i="16"/>
  <c r="I104" i="16"/>
  <c r="I40" i="16"/>
  <c r="H120" i="16"/>
  <c r="F120" i="16"/>
  <c r="F168" i="16"/>
  <c r="H136" i="16"/>
  <c r="F166" i="15"/>
  <c r="F166" i="2"/>
  <c r="I8" i="16"/>
  <c r="F8" i="16"/>
  <c r="J168" i="16"/>
  <c r="F104" i="16"/>
  <c r="H56" i="16"/>
  <c r="H152" i="16"/>
  <c r="F136" i="16"/>
  <c r="H88" i="16"/>
  <c r="F72" i="16"/>
  <c r="H8" i="16"/>
  <c r="H72" i="16"/>
  <c r="I56" i="16"/>
  <c r="I152" i="16"/>
  <c r="I88" i="16"/>
  <c r="I24" i="16"/>
  <c r="F56" i="16"/>
  <c r="F40" i="16"/>
  <c r="I136" i="16"/>
  <c r="I72" i="16"/>
  <c r="H24" i="16"/>
  <c r="H168" i="16"/>
  <c r="F152" i="16"/>
  <c r="H104" i="16"/>
  <c r="F88" i="16"/>
  <c r="H40" i="16"/>
  <c r="F24" i="16"/>
  <c r="L68" i="30"/>
  <c r="L59" i="30"/>
  <c r="L60" i="30"/>
  <c r="L66" i="30"/>
  <c r="L67" i="30"/>
  <c r="L69" i="30"/>
  <c r="L61" i="30"/>
  <c r="L62" i="30"/>
  <c r="L63" i="30"/>
  <c r="L64" i="30"/>
  <c r="P62" i="13" l="1"/>
  <c r="P62" i="37" s="1"/>
  <c r="N62" i="13"/>
  <c r="N62" i="37" s="1"/>
  <c r="R63" i="13"/>
  <c r="R63" i="37" s="1"/>
  <c r="L63" i="13"/>
  <c r="L63" i="37" s="1"/>
  <c r="P63" i="13"/>
  <c r="P63" i="37" s="1"/>
  <c r="L184" i="16"/>
  <c r="I62" i="13"/>
  <c r="I62" i="37" s="1"/>
  <c r="R62" i="13"/>
  <c r="R62" i="37" s="1"/>
  <c r="N65" i="13"/>
  <c r="N65" i="37" s="1"/>
  <c r="L62" i="13"/>
  <c r="L62" i="37" s="1"/>
  <c r="O65" i="13"/>
  <c r="O65" i="37" s="1"/>
  <c r="P65" i="13"/>
  <c r="P65" i="37" s="1"/>
  <c r="R65" i="13"/>
  <c r="R65" i="37" s="1"/>
  <c r="F196" i="15"/>
  <c r="F197" i="15"/>
  <c r="O62" i="13"/>
  <c r="O62" i="37" s="1"/>
  <c r="H63" i="13"/>
  <c r="L65" i="13"/>
  <c r="L65" i="37" s="1"/>
  <c r="I65" i="13"/>
  <c r="I65" i="37" s="1"/>
  <c r="O63" i="13"/>
  <c r="O63" i="37" s="1"/>
  <c r="Q63" i="13"/>
  <c r="Q63" i="37" s="1"/>
  <c r="N63" i="13"/>
  <c r="N63" i="37" s="1"/>
  <c r="H62" i="13"/>
  <c r="H65" i="13"/>
  <c r="I63" i="13"/>
  <c r="I63" i="37" s="1"/>
  <c r="H65" i="37" l="1"/>
  <c r="H63" i="37"/>
  <c r="G63" i="13"/>
  <c r="H18" i="33" s="1"/>
  <c r="H62" i="37"/>
  <c r="G63" i="37"/>
  <c r="H18" i="35" s="1"/>
  <c r="R66" i="37"/>
  <c r="P66" i="37"/>
  <c r="L66" i="37"/>
  <c r="N66" i="37"/>
  <c r="I66" i="37"/>
  <c r="O66" i="37"/>
  <c r="I66" i="13"/>
  <c r="N66" i="13"/>
  <c r="P66" i="13"/>
  <c r="R66" i="13"/>
  <c r="L66" i="13"/>
  <c r="H66" i="13"/>
  <c r="O66" i="13"/>
  <c r="H72" i="31"/>
  <c r="H256" i="32" s="1"/>
  <c r="L71" i="31"/>
  <c r="J68" i="30" s="1"/>
  <c r="H71" i="31"/>
  <c r="H251" i="32" s="1"/>
  <c r="L70" i="31"/>
  <c r="J67" i="30" s="1"/>
  <c r="H70" i="31"/>
  <c r="H246" i="32" s="1"/>
  <c r="L69" i="31"/>
  <c r="J66" i="30" s="1"/>
  <c r="H69" i="31"/>
  <c r="H241" i="32" s="1"/>
  <c r="L68" i="31"/>
  <c r="J65" i="30" s="1"/>
  <c r="H68" i="31"/>
  <c r="H236" i="32" s="1"/>
  <c r="L67" i="31"/>
  <c r="H67" i="31"/>
  <c r="L66" i="31"/>
  <c r="J63" i="30" s="1"/>
  <c r="H66" i="31"/>
  <c r="H226" i="32" s="1"/>
  <c r="L65" i="31"/>
  <c r="J62" i="30" s="1"/>
  <c r="H65" i="31"/>
  <c r="H221" i="32" s="1"/>
  <c r="L64" i="31"/>
  <c r="J61" i="30" s="1"/>
  <c r="H64" i="31"/>
  <c r="H216" i="32" s="1"/>
  <c r="L63" i="31"/>
  <c r="J60" i="30" s="1"/>
  <c r="H63" i="31"/>
  <c r="H211" i="32" s="1"/>
  <c r="L62" i="31"/>
  <c r="J59" i="30" s="1"/>
  <c r="H62" i="31"/>
  <c r="H206" i="32" s="1"/>
  <c r="H54" i="31"/>
  <c r="J51" i="30"/>
  <c r="H53" i="31"/>
  <c r="J50" i="30"/>
  <c r="H52" i="31"/>
  <c r="J48" i="30"/>
  <c r="H50" i="31"/>
  <c r="H49" i="31"/>
  <c r="J46" i="30"/>
  <c r="J72" i="16" s="1"/>
  <c r="H48" i="31"/>
  <c r="J45" i="30"/>
  <c r="H47" i="31"/>
  <c r="J44" i="30"/>
  <c r="H46" i="31"/>
  <c r="J43" i="30"/>
  <c r="H45" i="31"/>
  <c r="H44" i="31"/>
  <c r="H36" i="31"/>
  <c r="L35" i="31"/>
  <c r="J34" i="30" s="1"/>
  <c r="J151" i="16" s="1"/>
  <c r="H35" i="31"/>
  <c r="L34" i="31"/>
  <c r="J33" i="30" s="1"/>
  <c r="J135" i="16" s="1"/>
  <c r="H34" i="31"/>
  <c r="H33" i="31"/>
  <c r="L32" i="31"/>
  <c r="J31" i="30" s="1"/>
  <c r="J103" i="16" s="1"/>
  <c r="H32" i="31"/>
  <c r="H31" i="31"/>
  <c r="L30" i="31"/>
  <c r="J29" i="30" s="1"/>
  <c r="J71" i="16" s="1"/>
  <c r="H30" i="31"/>
  <c r="L29" i="31"/>
  <c r="J28" i="30" s="1"/>
  <c r="J55" i="16" s="1"/>
  <c r="H29" i="31"/>
  <c r="H28" i="31"/>
  <c r="H27" i="31"/>
  <c r="H26" i="31"/>
  <c r="H66" i="37" l="1"/>
  <c r="H16" i="31"/>
  <c r="H11" i="31"/>
  <c r="J64" i="30"/>
  <c r="J88" i="16" s="1"/>
  <c r="L73" i="31"/>
  <c r="J70" i="30" s="1"/>
  <c r="J184" i="16" s="1"/>
  <c r="H17" i="31"/>
  <c r="H37" i="31"/>
  <c r="H131" i="32" s="1"/>
  <c r="H12" i="31"/>
  <c r="H9" i="31"/>
  <c r="H55" i="31"/>
  <c r="H13" i="31"/>
  <c r="H14" i="31"/>
  <c r="H10" i="31"/>
  <c r="H231" i="32"/>
  <c r="H232" i="32" s="1"/>
  <c r="H73" i="31"/>
  <c r="H261" i="32" s="1"/>
  <c r="H18" i="31"/>
  <c r="H61" i="32" s="1"/>
  <c r="J49" i="30"/>
  <c r="J120" i="16" s="1"/>
  <c r="J15" i="30"/>
  <c r="J118" i="16" s="1"/>
  <c r="H15" i="31"/>
  <c r="J42" i="30"/>
  <c r="J8" i="16" s="1"/>
  <c r="J8" i="30"/>
  <c r="J6" i="16" s="1"/>
  <c r="H8" i="31"/>
  <c r="J56" i="16"/>
  <c r="J136" i="16"/>
  <c r="J152" i="16"/>
  <c r="J24" i="16"/>
  <c r="H222" i="32"/>
  <c r="I221" i="32"/>
  <c r="I222" i="32" s="1"/>
  <c r="J104" i="16"/>
  <c r="H227" i="32"/>
  <c r="I226" i="32"/>
  <c r="I227" i="32" s="1"/>
  <c r="H247" i="32"/>
  <c r="I246" i="32"/>
  <c r="I247" i="32" s="1"/>
  <c r="H212" i="32"/>
  <c r="I211" i="32"/>
  <c r="I212" i="32" s="1"/>
  <c r="I251" i="32"/>
  <c r="I252" i="32" s="1"/>
  <c r="H252" i="32"/>
  <c r="J40" i="16"/>
  <c r="H217" i="32"/>
  <c r="I216" i="32"/>
  <c r="I217" i="32" s="1"/>
  <c r="I236" i="32"/>
  <c r="I237" i="32" s="1"/>
  <c r="H237" i="32"/>
  <c r="I256" i="32"/>
  <c r="I257" i="32" s="1"/>
  <c r="H257" i="32"/>
  <c r="I241" i="32"/>
  <c r="I242" i="32" s="1"/>
  <c r="H242" i="32"/>
  <c r="H207" i="32"/>
  <c r="I206" i="32"/>
  <c r="I207" i="32" s="1"/>
  <c r="M168" i="16"/>
  <c r="M167" i="16"/>
  <c r="M152" i="16"/>
  <c r="M151" i="16"/>
  <c r="M150" i="16"/>
  <c r="M136" i="16"/>
  <c r="M135" i="16"/>
  <c r="M134" i="16"/>
  <c r="M120" i="16"/>
  <c r="M119" i="16"/>
  <c r="M118" i="16"/>
  <c r="M104" i="16"/>
  <c r="M103" i="16"/>
  <c r="M102" i="16"/>
  <c r="M88" i="16"/>
  <c r="M87" i="16"/>
  <c r="M86" i="16"/>
  <c r="M72" i="16"/>
  <c r="M71" i="16"/>
  <c r="M70" i="16"/>
  <c r="M56" i="16"/>
  <c r="M55" i="16"/>
  <c r="M54" i="16"/>
  <c r="M40" i="16"/>
  <c r="M39" i="16"/>
  <c r="M38" i="16"/>
  <c r="M23" i="16"/>
  <c r="M22" i="16"/>
  <c r="M8" i="16"/>
  <c r="M7" i="16"/>
  <c r="M6" i="16"/>
  <c r="M9" i="16"/>
  <c r="M10" i="16"/>
  <c r="M11" i="16"/>
  <c r="M12" i="16"/>
  <c r="M13" i="16"/>
  <c r="M14" i="16"/>
  <c r="M15" i="16"/>
  <c r="M16" i="16"/>
  <c r="M17" i="16"/>
  <c r="M18" i="16"/>
  <c r="M19" i="16"/>
  <c r="M26" i="16"/>
  <c r="M27" i="16"/>
  <c r="M28" i="16"/>
  <c r="M29" i="16"/>
  <c r="M30" i="16"/>
  <c r="M31" i="16"/>
  <c r="M32" i="16"/>
  <c r="M33" i="16"/>
  <c r="M34" i="16"/>
  <c r="M35" i="16"/>
  <c r="M41" i="16"/>
  <c r="M42" i="16"/>
  <c r="M43" i="16"/>
  <c r="M44" i="16"/>
  <c r="M45" i="16"/>
  <c r="M46" i="16"/>
  <c r="M47" i="16"/>
  <c r="M48" i="16"/>
  <c r="M49" i="16"/>
  <c r="M50" i="16"/>
  <c r="M51" i="16"/>
  <c r="M57" i="16"/>
  <c r="M58" i="16"/>
  <c r="M59" i="16"/>
  <c r="M60" i="16"/>
  <c r="M61" i="16"/>
  <c r="M62" i="16"/>
  <c r="M63" i="16"/>
  <c r="M64" i="16"/>
  <c r="M65" i="16"/>
  <c r="M66" i="16"/>
  <c r="M67" i="16"/>
  <c r="M73" i="16"/>
  <c r="M74" i="16"/>
  <c r="M75" i="16"/>
  <c r="M76" i="16"/>
  <c r="M77" i="16"/>
  <c r="M78" i="16"/>
  <c r="M79" i="16"/>
  <c r="M80" i="16"/>
  <c r="M81" i="16"/>
  <c r="M82" i="16"/>
  <c r="M83" i="16"/>
  <c r="M89" i="16"/>
  <c r="M90" i="16"/>
  <c r="M91" i="16"/>
  <c r="M92" i="16"/>
  <c r="M93" i="16"/>
  <c r="M94" i="16"/>
  <c r="M95" i="16"/>
  <c r="M96" i="16"/>
  <c r="M97" i="16"/>
  <c r="M98" i="16"/>
  <c r="M99" i="16"/>
  <c r="M105" i="16"/>
  <c r="M106" i="16"/>
  <c r="M107" i="16"/>
  <c r="M108" i="16"/>
  <c r="M109" i="16"/>
  <c r="M110" i="16"/>
  <c r="M111" i="16"/>
  <c r="M112" i="16"/>
  <c r="M113" i="16"/>
  <c r="M114" i="16"/>
  <c r="M115" i="16"/>
  <c r="M121" i="16"/>
  <c r="M122" i="16"/>
  <c r="M123" i="16"/>
  <c r="M124" i="16"/>
  <c r="M125" i="16"/>
  <c r="M126" i="16"/>
  <c r="M127" i="16"/>
  <c r="M128" i="16"/>
  <c r="M129" i="16"/>
  <c r="M130" i="16"/>
  <c r="M131" i="16"/>
  <c r="M137" i="16"/>
  <c r="M138" i="16"/>
  <c r="M139" i="16"/>
  <c r="M140" i="16"/>
  <c r="M141" i="16"/>
  <c r="M142" i="16"/>
  <c r="M143" i="16"/>
  <c r="M144" i="16"/>
  <c r="M145" i="16"/>
  <c r="M146" i="16"/>
  <c r="M147" i="16"/>
  <c r="M153" i="16"/>
  <c r="M154" i="16"/>
  <c r="M155" i="16"/>
  <c r="M156" i="16"/>
  <c r="M157" i="16"/>
  <c r="M158" i="16"/>
  <c r="M159" i="16"/>
  <c r="M160" i="16"/>
  <c r="M161" i="16"/>
  <c r="M162" i="16"/>
  <c r="M163" i="16"/>
  <c r="M169" i="16"/>
  <c r="M170" i="16"/>
  <c r="M171" i="16"/>
  <c r="M172" i="16"/>
  <c r="M173" i="16"/>
  <c r="M174" i="16"/>
  <c r="M175" i="16"/>
  <c r="M176" i="16"/>
  <c r="M177" i="16"/>
  <c r="M178" i="16"/>
  <c r="M179" i="16"/>
  <c r="R179" i="14"/>
  <c r="R178" i="14"/>
  <c r="R177" i="14"/>
  <c r="R176" i="14"/>
  <c r="R175" i="14"/>
  <c r="R174" i="14"/>
  <c r="R173" i="14"/>
  <c r="R172" i="14"/>
  <c r="R171" i="14"/>
  <c r="R170" i="14"/>
  <c r="R169" i="14"/>
  <c r="R168" i="14"/>
  <c r="R167" i="14"/>
  <c r="R166" i="14"/>
  <c r="R163" i="14"/>
  <c r="R162" i="14"/>
  <c r="R161" i="14"/>
  <c r="R160" i="14"/>
  <c r="R159" i="14"/>
  <c r="R158" i="14"/>
  <c r="R157" i="14"/>
  <c r="R156" i="14"/>
  <c r="R155" i="14"/>
  <c r="R154" i="14"/>
  <c r="R153" i="14"/>
  <c r="R152" i="14"/>
  <c r="R151" i="14"/>
  <c r="R150" i="14"/>
  <c r="R147" i="14"/>
  <c r="R146" i="14"/>
  <c r="R145" i="14"/>
  <c r="R144" i="14"/>
  <c r="R143" i="14"/>
  <c r="R142" i="14"/>
  <c r="R141" i="14"/>
  <c r="R140" i="14"/>
  <c r="R139" i="14"/>
  <c r="R138" i="14"/>
  <c r="R137" i="14"/>
  <c r="R136" i="14"/>
  <c r="R135" i="14"/>
  <c r="R134" i="14"/>
  <c r="R131" i="14"/>
  <c r="R130" i="14"/>
  <c r="R129" i="14"/>
  <c r="R128" i="14"/>
  <c r="R127" i="14"/>
  <c r="R126" i="14"/>
  <c r="R125" i="14"/>
  <c r="R124" i="14"/>
  <c r="R123" i="14"/>
  <c r="R122" i="14"/>
  <c r="R121" i="14"/>
  <c r="R120" i="14"/>
  <c r="R119" i="14"/>
  <c r="R118" i="14"/>
  <c r="R115" i="14"/>
  <c r="R114" i="14"/>
  <c r="R113" i="14"/>
  <c r="R112" i="14"/>
  <c r="R111" i="14"/>
  <c r="R110" i="14"/>
  <c r="R109" i="14"/>
  <c r="R108" i="14"/>
  <c r="R107" i="14"/>
  <c r="R106" i="14"/>
  <c r="R105" i="14"/>
  <c r="R104" i="14"/>
  <c r="R103" i="14"/>
  <c r="R102" i="14"/>
  <c r="R99" i="14"/>
  <c r="R98" i="14"/>
  <c r="R97" i="14"/>
  <c r="R96" i="14"/>
  <c r="R95" i="14"/>
  <c r="R94" i="14"/>
  <c r="R93" i="14"/>
  <c r="R92" i="14"/>
  <c r="R91" i="14"/>
  <c r="R90" i="14"/>
  <c r="R89" i="14"/>
  <c r="R88" i="14"/>
  <c r="R87" i="14"/>
  <c r="R86" i="14"/>
  <c r="R83" i="14"/>
  <c r="R82" i="14"/>
  <c r="R81" i="14"/>
  <c r="R80" i="14"/>
  <c r="R79" i="14"/>
  <c r="R78" i="14"/>
  <c r="R77" i="14"/>
  <c r="R76" i="14"/>
  <c r="R75" i="14"/>
  <c r="R74" i="14"/>
  <c r="R73" i="14"/>
  <c r="R72" i="14"/>
  <c r="R71" i="14"/>
  <c r="R70" i="14"/>
  <c r="R67" i="14"/>
  <c r="R66" i="14"/>
  <c r="R65" i="14"/>
  <c r="R64" i="14"/>
  <c r="R63" i="14"/>
  <c r="R62" i="14"/>
  <c r="R61" i="14"/>
  <c r="R60" i="14"/>
  <c r="R59" i="14"/>
  <c r="R58" i="14"/>
  <c r="R57" i="14"/>
  <c r="R56" i="14"/>
  <c r="R55" i="14"/>
  <c r="R54" i="14"/>
  <c r="R51" i="14"/>
  <c r="R50" i="14"/>
  <c r="R49" i="14"/>
  <c r="R48" i="14"/>
  <c r="R47" i="14"/>
  <c r="R46" i="14"/>
  <c r="R45" i="14"/>
  <c r="R44" i="14"/>
  <c r="R43" i="14"/>
  <c r="R42" i="14"/>
  <c r="R41" i="14"/>
  <c r="R40" i="14"/>
  <c r="R39" i="14"/>
  <c r="R38" i="14"/>
  <c r="R35" i="14"/>
  <c r="R34" i="14"/>
  <c r="R33" i="14"/>
  <c r="R32" i="14"/>
  <c r="R31" i="14"/>
  <c r="R30" i="14"/>
  <c r="R29" i="14"/>
  <c r="R28" i="14"/>
  <c r="R27" i="14"/>
  <c r="R26" i="14"/>
  <c r="R25" i="14"/>
  <c r="R24" i="14"/>
  <c r="R23" i="14"/>
  <c r="R22" i="14"/>
  <c r="R19" i="14"/>
  <c r="R18" i="14"/>
  <c r="R17" i="14"/>
  <c r="R16" i="14"/>
  <c r="R15" i="14"/>
  <c r="R14" i="14"/>
  <c r="R13" i="14"/>
  <c r="R12" i="14"/>
  <c r="R11" i="14"/>
  <c r="R10" i="14"/>
  <c r="R9" i="14"/>
  <c r="R8" i="14"/>
  <c r="R7" i="14"/>
  <c r="R6" i="14"/>
  <c r="R179" i="15"/>
  <c r="R178" i="15"/>
  <c r="R177" i="15"/>
  <c r="R176" i="15"/>
  <c r="R175" i="15"/>
  <c r="R174" i="15"/>
  <c r="R173" i="15"/>
  <c r="R172" i="15"/>
  <c r="R171" i="15"/>
  <c r="R170" i="15"/>
  <c r="R169" i="15"/>
  <c r="R168" i="15"/>
  <c r="R167" i="15"/>
  <c r="R166" i="15"/>
  <c r="R163" i="15"/>
  <c r="R162" i="15"/>
  <c r="R161" i="15"/>
  <c r="R160" i="15"/>
  <c r="R159" i="15"/>
  <c r="R158" i="15"/>
  <c r="R157" i="15"/>
  <c r="R156" i="15"/>
  <c r="R155" i="15"/>
  <c r="R154" i="15"/>
  <c r="R153" i="15"/>
  <c r="R152" i="15"/>
  <c r="R151" i="15"/>
  <c r="R150" i="15"/>
  <c r="R147" i="15"/>
  <c r="R146" i="15"/>
  <c r="R145" i="15"/>
  <c r="R144" i="15"/>
  <c r="R143" i="15"/>
  <c r="R142" i="15"/>
  <c r="R141" i="15"/>
  <c r="R140" i="15"/>
  <c r="R139" i="15"/>
  <c r="R138" i="15"/>
  <c r="R137" i="15"/>
  <c r="R136" i="15"/>
  <c r="R135" i="15"/>
  <c r="R134" i="15"/>
  <c r="R131" i="15"/>
  <c r="R130" i="15"/>
  <c r="R129" i="15"/>
  <c r="R128" i="15"/>
  <c r="R127" i="15"/>
  <c r="R126" i="15"/>
  <c r="R125" i="15"/>
  <c r="R124" i="15"/>
  <c r="R123" i="15"/>
  <c r="R122" i="15"/>
  <c r="R121" i="15"/>
  <c r="R120" i="15"/>
  <c r="R119" i="15"/>
  <c r="R118" i="15"/>
  <c r="R115" i="15"/>
  <c r="R114" i="15"/>
  <c r="R113" i="15"/>
  <c r="R112" i="15"/>
  <c r="R111" i="15"/>
  <c r="R110" i="15"/>
  <c r="R109" i="15"/>
  <c r="R108" i="15"/>
  <c r="R107" i="15"/>
  <c r="R106" i="15"/>
  <c r="R105" i="15"/>
  <c r="R104" i="15"/>
  <c r="R103" i="15"/>
  <c r="R102" i="15"/>
  <c r="R99" i="15"/>
  <c r="R98" i="15"/>
  <c r="R97" i="15"/>
  <c r="R96" i="15"/>
  <c r="R95" i="15"/>
  <c r="R94" i="15"/>
  <c r="R93" i="15"/>
  <c r="R92" i="15"/>
  <c r="R91" i="15"/>
  <c r="R90" i="15"/>
  <c r="R89" i="15"/>
  <c r="R88" i="15"/>
  <c r="R87" i="15"/>
  <c r="R86" i="15"/>
  <c r="R83" i="15"/>
  <c r="R82" i="15"/>
  <c r="R81" i="15"/>
  <c r="R80" i="15"/>
  <c r="R79" i="15"/>
  <c r="R78" i="15"/>
  <c r="R77" i="15"/>
  <c r="R76" i="15"/>
  <c r="R75" i="15"/>
  <c r="R74" i="15"/>
  <c r="R73" i="15"/>
  <c r="R72" i="15"/>
  <c r="R71" i="15"/>
  <c r="R70" i="15"/>
  <c r="R67" i="15"/>
  <c r="R66" i="15"/>
  <c r="R65" i="15"/>
  <c r="R64" i="15"/>
  <c r="R63" i="15"/>
  <c r="R62" i="15"/>
  <c r="R61" i="15"/>
  <c r="R60" i="15"/>
  <c r="R59" i="15"/>
  <c r="R58" i="15"/>
  <c r="R57" i="15"/>
  <c r="R56" i="15"/>
  <c r="R55" i="15"/>
  <c r="R51" i="15"/>
  <c r="R50" i="15"/>
  <c r="R49" i="15"/>
  <c r="R48" i="15"/>
  <c r="R47" i="15"/>
  <c r="R46" i="15"/>
  <c r="R45" i="15"/>
  <c r="R44" i="15"/>
  <c r="R43" i="15"/>
  <c r="R42" i="15"/>
  <c r="R41" i="15"/>
  <c r="R40" i="15"/>
  <c r="R39" i="15"/>
  <c r="R38" i="15"/>
  <c r="R35" i="15"/>
  <c r="R34" i="15"/>
  <c r="R33" i="15"/>
  <c r="R32" i="15"/>
  <c r="R31" i="15"/>
  <c r="R30" i="15"/>
  <c r="R29" i="15"/>
  <c r="R28" i="15"/>
  <c r="R27" i="15"/>
  <c r="R26" i="15"/>
  <c r="R25" i="15"/>
  <c r="R24" i="15"/>
  <c r="R23" i="15"/>
  <c r="R22" i="15"/>
  <c r="R19" i="15"/>
  <c r="R18" i="15"/>
  <c r="R17" i="15"/>
  <c r="R16" i="15"/>
  <c r="R15" i="15"/>
  <c r="R14" i="15"/>
  <c r="R13" i="15"/>
  <c r="R12" i="15"/>
  <c r="R11" i="15"/>
  <c r="R10" i="15"/>
  <c r="R9" i="15"/>
  <c r="R8" i="15"/>
  <c r="R7" i="15"/>
  <c r="R6" i="15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66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22" i="2"/>
  <c r="R23" i="2"/>
  <c r="R24" i="2"/>
  <c r="R25" i="2"/>
  <c r="R26" i="2"/>
  <c r="R27" i="2"/>
  <c r="R28" i="2"/>
  <c r="R29" i="2"/>
  <c r="R30" i="2"/>
  <c r="R31" i="2"/>
  <c r="R32" i="2"/>
  <c r="R33" i="2"/>
  <c r="R35" i="2"/>
  <c r="R6" i="2"/>
  <c r="R7" i="2"/>
  <c r="R8" i="2"/>
  <c r="R9" i="2"/>
  <c r="R10" i="2"/>
  <c r="R11" i="2"/>
  <c r="R12" i="2"/>
  <c r="R13" i="2"/>
  <c r="R14" i="2"/>
  <c r="R15" i="2"/>
  <c r="R16" i="2"/>
  <c r="R17" i="2"/>
  <c r="R19" i="2"/>
  <c r="C30" i="4"/>
  <c r="D30" i="4"/>
  <c r="E30" i="4"/>
  <c r="F30" i="4"/>
  <c r="G30" i="4"/>
  <c r="H30" i="4"/>
  <c r="I30" i="4"/>
  <c r="J30" i="4"/>
  <c r="K30" i="4"/>
  <c r="B30" i="4"/>
  <c r="I231" i="32" l="1"/>
  <c r="I232" i="32" s="1"/>
  <c r="H262" i="32"/>
  <c r="I261" i="32"/>
  <c r="I262" i="32" s="1"/>
  <c r="H19" i="31"/>
  <c r="H66" i="32" s="1"/>
  <c r="H196" i="32"/>
  <c r="H132" i="32"/>
  <c r="I183" i="14"/>
  <c r="I131" i="32"/>
  <c r="E131" i="32" s="1"/>
  <c r="H62" i="32"/>
  <c r="I166" i="14"/>
  <c r="I61" i="32"/>
  <c r="E61" i="32" s="1"/>
  <c r="J67" i="2"/>
  <c r="J69" i="2" s="1"/>
  <c r="Q67" i="2"/>
  <c r="Q69" i="2" s="1"/>
  <c r="I67" i="2"/>
  <c r="I69" i="2" s="1"/>
  <c r="H67" i="2"/>
  <c r="H69" i="2" s="1"/>
  <c r="O67" i="2"/>
  <c r="O69" i="2" s="1"/>
  <c r="G67" i="2"/>
  <c r="K67" i="2"/>
  <c r="K69" i="2" s="1"/>
  <c r="N67" i="2"/>
  <c r="N69" i="2" s="1"/>
  <c r="M67" i="2"/>
  <c r="M69" i="2" s="1"/>
  <c r="L67" i="2"/>
  <c r="L69" i="2" s="1"/>
  <c r="J83" i="15"/>
  <c r="J85" i="15" s="1"/>
  <c r="I83" i="15"/>
  <c r="I85" i="15" s="1"/>
  <c r="L83" i="15"/>
  <c r="L85" i="15" s="1"/>
  <c r="M83" i="15"/>
  <c r="M85" i="15" s="1"/>
  <c r="K83" i="15"/>
  <c r="K85" i="15" s="1"/>
  <c r="H83" i="15"/>
  <c r="H85" i="15" s="1"/>
  <c r="G83" i="15"/>
  <c r="N83" i="15"/>
  <c r="N85" i="15" s="1"/>
  <c r="Q83" i="15"/>
  <c r="Q85" i="15" s="1"/>
  <c r="P83" i="15"/>
  <c r="P85" i="15" s="1"/>
  <c r="O83" i="15"/>
  <c r="O85" i="15" s="1"/>
  <c r="L147" i="15"/>
  <c r="L149" i="15" s="1"/>
  <c r="I147" i="15"/>
  <c r="I149" i="15" s="1"/>
  <c r="J147" i="15"/>
  <c r="J149" i="15" s="1"/>
  <c r="M147" i="15"/>
  <c r="M149" i="15" s="1"/>
  <c r="N147" i="15"/>
  <c r="N149" i="15" s="1"/>
  <c r="K147" i="15"/>
  <c r="K149" i="15" s="1"/>
  <c r="H147" i="15"/>
  <c r="H149" i="15" s="1"/>
  <c r="G147" i="15"/>
  <c r="Q147" i="15"/>
  <c r="Q149" i="15" s="1"/>
  <c r="P147" i="15"/>
  <c r="P149" i="15" s="1"/>
  <c r="O147" i="15"/>
  <c r="O149" i="15" s="1"/>
  <c r="O35" i="14"/>
  <c r="O37" i="14" s="1"/>
  <c r="L35" i="14"/>
  <c r="L37" i="14" s="1"/>
  <c r="L99" i="14"/>
  <c r="L101" i="14" s="1"/>
  <c r="O99" i="14"/>
  <c r="O101" i="14" s="1"/>
  <c r="O163" i="14"/>
  <c r="O165" i="14" s="1"/>
  <c r="L163" i="14"/>
  <c r="L165" i="14" s="1"/>
  <c r="Q115" i="2"/>
  <c r="Q117" i="2" s="1"/>
  <c r="I115" i="2"/>
  <c r="I117" i="2" s="1"/>
  <c r="H115" i="2"/>
  <c r="H117" i="2" s="1"/>
  <c r="O115" i="2"/>
  <c r="O117" i="2" s="1"/>
  <c r="G115" i="2"/>
  <c r="J115" i="2"/>
  <c r="J117" i="2" s="1"/>
  <c r="N115" i="2"/>
  <c r="N117" i="2" s="1"/>
  <c r="M115" i="2"/>
  <c r="M117" i="2" s="1"/>
  <c r="L115" i="2"/>
  <c r="L117" i="2" s="1"/>
  <c r="K115" i="2"/>
  <c r="K117" i="2" s="1"/>
  <c r="M51" i="2"/>
  <c r="M53" i="2" s="1"/>
  <c r="L51" i="2"/>
  <c r="L53" i="2" s="1"/>
  <c r="K51" i="2"/>
  <c r="K53" i="2" s="1"/>
  <c r="J51" i="2"/>
  <c r="J53" i="2" s="1"/>
  <c r="Q51" i="2"/>
  <c r="Q53" i="2" s="1"/>
  <c r="I51" i="2"/>
  <c r="I53" i="2" s="1"/>
  <c r="H51" i="2"/>
  <c r="H53" i="2" s="1"/>
  <c r="O51" i="2"/>
  <c r="O53" i="2" s="1"/>
  <c r="G51" i="2"/>
  <c r="N51" i="2"/>
  <c r="N53" i="2" s="1"/>
  <c r="J68" i="2"/>
  <c r="M68" i="2"/>
  <c r="N179" i="2"/>
  <c r="N181" i="2" s="1"/>
  <c r="M179" i="2"/>
  <c r="M181" i="2" s="1"/>
  <c r="L179" i="2"/>
  <c r="L181" i="2" s="1"/>
  <c r="K179" i="2"/>
  <c r="K181" i="2" s="1"/>
  <c r="H179" i="2"/>
  <c r="H181" i="2" s="1"/>
  <c r="J179" i="2"/>
  <c r="J181" i="2" s="1"/>
  <c r="O179" i="2"/>
  <c r="O181" i="2" s="1"/>
  <c r="Q179" i="2"/>
  <c r="Q181" i="2" s="1"/>
  <c r="I179" i="2"/>
  <c r="I181" i="2" s="1"/>
  <c r="G179" i="2"/>
  <c r="L67" i="15"/>
  <c r="L69" i="15" s="1"/>
  <c r="I67" i="15"/>
  <c r="I69" i="15" s="1"/>
  <c r="J67" i="15"/>
  <c r="J69" i="15" s="1"/>
  <c r="M67" i="15"/>
  <c r="M69" i="15" s="1"/>
  <c r="K67" i="15"/>
  <c r="K69" i="15" s="1"/>
  <c r="H67" i="15"/>
  <c r="H69" i="15" s="1"/>
  <c r="N67" i="15"/>
  <c r="N69" i="15" s="1"/>
  <c r="G67" i="15"/>
  <c r="Q67" i="15"/>
  <c r="Q69" i="15" s="1"/>
  <c r="P67" i="15"/>
  <c r="P69" i="15" s="1"/>
  <c r="O67" i="15"/>
  <c r="O69" i="15" s="1"/>
  <c r="I131" i="15"/>
  <c r="I133" i="15" s="1"/>
  <c r="L131" i="15"/>
  <c r="L133" i="15" s="1"/>
  <c r="J131" i="15"/>
  <c r="J133" i="15" s="1"/>
  <c r="M131" i="15"/>
  <c r="M133" i="15" s="1"/>
  <c r="K131" i="15"/>
  <c r="K133" i="15" s="1"/>
  <c r="H131" i="15"/>
  <c r="H133" i="15" s="1"/>
  <c r="G131" i="15"/>
  <c r="Q131" i="15"/>
  <c r="Q133" i="15" s="1"/>
  <c r="P131" i="15"/>
  <c r="P133" i="15" s="1"/>
  <c r="O131" i="15"/>
  <c r="O133" i="15" s="1"/>
  <c r="N131" i="15"/>
  <c r="N133" i="15" s="1"/>
  <c r="O19" i="14"/>
  <c r="O21" i="14" s="1"/>
  <c r="L19" i="14"/>
  <c r="L21" i="14" s="1"/>
  <c r="L83" i="14"/>
  <c r="L85" i="14" s="1"/>
  <c r="O83" i="14"/>
  <c r="O85" i="14" s="1"/>
  <c r="O147" i="14"/>
  <c r="O149" i="14" s="1"/>
  <c r="L147" i="14"/>
  <c r="L149" i="14" s="1"/>
  <c r="N131" i="2"/>
  <c r="N133" i="2" s="1"/>
  <c r="M131" i="2"/>
  <c r="M133" i="2" s="1"/>
  <c r="G131" i="2"/>
  <c r="L131" i="2"/>
  <c r="L133" i="2" s="1"/>
  <c r="K131" i="2"/>
  <c r="K133" i="2" s="1"/>
  <c r="O131" i="2"/>
  <c r="O133" i="2" s="1"/>
  <c r="J131" i="2"/>
  <c r="J133" i="2" s="1"/>
  <c r="Q131" i="2"/>
  <c r="Q133" i="2" s="1"/>
  <c r="I131" i="2"/>
  <c r="I133" i="2" s="1"/>
  <c r="H131" i="2"/>
  <c r="H133" i="2" s="1"/>
  <c r="I35" i="15"/>
  <c r="I37" i="15" s="1"/>
  <c r="J35" i="15"/>
  <c r="J37" i="15" s="1"/>
  <c r="L35" i="15"/>
  <c r="L37" i="15" s="1"/>
  <c r="M35" i="15"/>
  <c r="M37" i="15" s="1"/>
  <c r="K35" i="15"/>
  <c r="K37" i="15" s="1"/>
  <c r="H35" i="15"/>
  <c r="H37" i="15" s="1"/>
  <c r="G35" i="15"/>
  <c r="N35" i="15"/>
  <c r="N37" i="15" s="1"/>
  <c r="Q35" i="15"/>
  <c r="Q37" i="15" s="1"/>
  <c r="O35" i="15"/>
  <c r="O37" i="15" s="1"/>
  <c r="L84" i="14"/>
  <c r="L99" i="2"/>
  <c r="L101" i="2" s="1"/>
  <c r="K99" i="2"/>
  <c r="K101" i="2" s="1"/>
  <c r="J99" i="2"/>
  <c r="J101" i="2" s="1"/>
  <c r="Q99" i="2"/>
  <c r="Q101" i="2" s="1"/>
  <c r="I99" i="2"/>
  <c r="I101" i="2" s="1"/>
  <c r="H99" i="2"/>
  <c r="H101" i="2" s="1"/>
  <c r="M99" i="2"/>
  <c r="M101" i="2" s="1"/>
  <c r="O99" i="2"/>
  <c r="O101" i="2" s="1"/>
  <c r="G99" i="2"/>
  <c r="N99" i="2"/>
  <c r="N101" i="2" s="1"/>
  <c r="H163" i="2"/>
  <c r="H165" i="2" s="1"/>
  <c r="Q163" i="2"/>
  <c r="Q165" i="2" s="1"/>
  <c r="O163" i="2"/>
  <c r="O165" i="2" s="1"/>
  <c r="G163" i="2"/>
  <c r="N163" i="2"/>
  <c r="N165" i="2" s="1"/>
  <c r="M163" i="2"/>
  <c r="M165" i="2" s="1"/>
  <c r="L163" i="2"/>
  <c r="L165" i="2" s="1"/>
  <c r="K163" i="2"/>
  <c r="K165" i="2" s="1"/>
  <c r="I163" i="2"/>
  <c r="I165" i="2" s="1"/>
  <c r="J163" i="2"/>
  <c r="J165" i="2" s="1"/>
  <c r="L19" i="15"/>
  <c r="L21" i="15" s="1"/>
  <c r="I19" i="15"/>
  <c r="I21" i="15" s="1"/>
  <c r="J19" i="15"/>
  <c r="N19" i="15"/>
  <c r="N21" i="15" s="1"/>
  <c r="M19" i="15"/>
  <c r="M21" i="15" s="1"/>
  <c r="K19" i="15"/>
  <c r="K21" i="15" s="1"/>
  <c r="O19" i="15"/>
  <c r="O21" i="15" s="1"/>
  <c r="H19" i="15"/>
  <c r="H21" i="15" s="1"/>
  <c r="G19" i="15"/>
  <c r="Q19" i="15"/>
  <c r="Q21" i="15" s="1"/>
  <c r="G35" i="2"/>
  <c r="I35" i="2"/>
  <c r="I37" i="2" s="1"/>
  <c r="Q35" i="2"/>
  <c r="Q37" i="2" s="1"/>
  <c r="H35" i="2"/>
  <c r="H37" i="2" s="1"/>
  <c r="K35" i="2"/>
  <c r="K37" i="2" s="1"/>
  <c r="O35" i="2"/>
  <c r="O37" i="2" s="1"/>
  <c r="N35" i="2"/>
  <c r="N37" i="2" s="1"/>
  <c r="J35" i="2"/>
  <c r="J37" i="2" s="1"/>
  <c r="M35" i="2"/>
  <c r="M37" i="2" s="1"/>
  <c r="L35" i="2"/>
  <c r="L37" i="2" s="1"/>
  <c r="O116" i="2"/>
  <c r="M116" i="2"/>
  <c r="J116" i="2"/>
  <c r="K36" i="15"/>
  <c r="I115" i="15"/>
  <c r="I117" i="15" s="1"/>
  <c r="J115" i="15"/>
  <c r="J117" i="15" s="1"/>
  <c r="L115" i="15"/>
  <c r="L117" i="15" s="1"/>
  <c r="M115" i="15"/>
  <c r="M117" i="15" s="1"/>
  <c r="K115" i="15"/>
  <c r="K117" i="15" s="1"/>
  <c r="H115" i="15"/>
  <c r="H117" i="15" s="1"/>
  <c r="G115" i="15"/>
  <c r="Q115" i="15"/>
  <c r="Q117" i="15" s="1"/>
  <c r="N115" i="15"/>
  <c r="N117" i="15" s="1"/>
  <c r="P115" i="15"/>
  <c r="P117" i="15" s="1"/>
  <c r="O115" i="15"/>
  <c r="O117" i="15" s="1"/>
  <c r="I179" i="15"/>
  <c r="I181" i="15" s="1"/>
  <c r="L179" i="15"/>
  <c r="L181" i="15" s="1"/>
  <c r="J179" i="15"/>
  <c r="J181" i="15" s="1"/>
  <c r="N179" i="15"/>
  <c r="N181" i="15" s="1"/>
  <c r="M179" i="15"/>
  <c r="M181" i="15" s="1"/>
  <c r="K179" i="15"/>
  <c r="K181" i="15" s="1"/>
  <c r="O179" i="15"/>
  <c r="O181" i="15" s="1"/>
  <c r="H179" i="15"/>
  <c r="H181" i="15" s="1"/>
  <c r="G179" i="15"/>
  <c r="Q179" i="15"/>
  <c r="Q181" i="15" s="1"/>
  <c r="P179" i="15"/>
  <c r="P181" i="15" s="1"/>
  <c r="O67" i="14"/>
  <c r="O69" i="14" s="1"/>
  <c r="L67" i="14"/>
  <c r="L69" i="14" s="1"/>
  <c r="L131" i="14"/>
  <c r="L133" i="14" s="1"/>
  <c r="O131" i="14"/>
  <c r="O133" i="14" s="1"/>
  <c r="L52" i="2"/>
  <c r="O83" i="2"/>
  <c r="O85" i="2" s="1"/>
  <c r="G83" i="2"/>
  <c r="N83" i="2"/>
  <c r="N85" i="2" s="1"/>
  <c r="M83" i="2"/>
  <c r="M85" i="2" s="1"/>
  <c r="L83" i="2"/>
  <c r="L85" i="2" s="1"/>
  <c r="K83" i="2"/>
  <c r="K85" i="2" s="1"/>
  <c r="J83" i="2"/>
  <c r="J85" i="2" s="1"/>
  <c r="H83" i="2"/>
  <c r="H85" i="2" s="1"/>
  <c r="Q83" i="2"/>
  <c r="Q85" i="2" s="1"/>
  <c r="I83" i="2"/>
  <c r="I85" i="2" s="1"/>
  <c r="L147" i="2"/>
  <c r="L149" i="2" s="1"/>
  <c r="K147" i="2"/>
  <c r="K149" i="2" s="1"/>
  <c r="G147" i="2"/>
  <c r="J147" i="2"/>
  <c r="J149" i="2" s="1"/>
  <c r="Q147" i="2"/>
  <c r="Q149" i="2" s="1"/>
  <c r="I147" i="2"/>
  <c r="I149" i="2" s="1"/>
  <c r="H147" i="2"/>
  <c r="H149" i="2" s="1"/>
  <c r="O147" i="2"/>
  <c r="O149" i="2" s="1"/>
  <c r="N147" i="2"/>
  <c r="N149" i="2" s="1"/>
  <c r="M147" i="2"/>
  <c r="M149" i="2" s="1"/>
  <c r="I51" i="15"/>
  <c r="I53" i="15" s="1"/>
  <c r="J51" i="15"/>
  <c r="J53" i="15" s="1"/>
  <c r="L51" i="15"/>
  <c r="L53" i="15" s="1"/>
  <c r="M51" i="15"/>
  <c r="M53" i="15" s="1"/>
  <c r="K51" i="15"/>
  <c r="K53" i="15" s="1"/>
  <c r="H51" i="15"/>
  <c r="H53" i="15" s="1"/>
  <c r="G51" i="15"/>
  <c r="Q51" i="15"/>
  <c r="Q53" i="15" s="1"/>
  <c r="P51" i="15"/>
  <c r="P53" i="15" s="1"/>
  <c r="O51" i="15"/>
  <c r="O53" i="15" s="1"/>
  <c r="N51" i="15"/>
  <c r="N53" i="15" s="1"/>
  <c r="I84" i="15"/>
  <c r="P84" i="15"/>
  <c r="Q148" i="15"/>
  <c r="H148" i="15"/>
  <c r="P148" i="15"/>
  <c r="N148" i="15"/>
  <c r="H180" i="2"/>
  <c r="L19" i="2"/>
  <c r="L21" i="2" s="1"/>
  <c r="K19" i="2"/>
  <c r="K21" i="2" s="1"/>
  <c r="M19" i="2"/>
  <c r="M21" i="2" s="1"/>
  <c r="G19" i="2"/>
  <c r="N19" i="2"/>
  <c r="N21" i="2" s="1"/>
  <c r="Q19" i="2"/>
  <c r="Q21" i="2" s="1"/>
  <c r="O19" i="2"/>
  <c r="O21" i="2" s="1"/>
  <c r="H19" i="2"/>
  <c r="H21" i="2" s="1"/>
  <c r="I19" i="2"/>
  <c r="I21" i="2" s="1"/>
  <c r="J19" i="2"/>
  <c r="J21" i="2" s="1"/>
  <c r="I100" i="2"/>
  <c r="J99" i="15"/>
  <c r="J101" i="15" s="1"/>
  <c r="L99" i="15"/>
  <c r="L101" i="15" s="1"/>
  <c r="I99" i="15"/>
  <c r="I101" i="15" s="1"/>
  <c r="M99" i="15"/>
  <c r="M101" i="15" s="1"/>
  <c r="K99" i="15"/>
  <c r="K101" i="15" s="1"/>
  <c r="N99" i="15"/>
  <c r="N101" i="15" s="1"/>
  <c r="H99" i="15"/>
  <c r="H101" i="15" s="1"/>
  <c r="G99" i="15"/>
  <c r="Q99" i="15"/>
  <c r="Q101" i="15" s="1"/>
  <c r="P99" i="15"/>
  <c r="P101" i="15" s="1"/>
  <c r="O99" i="15"/>
  <c r="O101" i="15" s="1"/>
  <c r="I163" i="15"/>
  <c r="I165" i="15" s="1"/>
  <c r="J163" i="15"/>
  <c r="J165" i="15" s="1"/>
  <c r="L163" i="15"/>
  <c r="L165" i="15" s="1"/>
  <c r="M163" i="15"/>
  <c r="M165" i="15" s="1"/>
  <c r="K163" i="15"/>
  <c r="K165" i="15" s="1"/>
  <c r="H163" i="15"/>
  <c r="H165" i="15" s="1"/>
  <c r="G163" i="15"/>
  <c r="Q163" i="15"/>
  <c r="Q165" i="15" s="1"/>
  <c r="P163" i="15"/>
  <c r="P165" i="15" s="1"/>
  <c r="N163" i="15"/>
  <c r="N165" i="15" s="1"/>
  <c r="O163" i="15"/>
  <c r="O165" i="15" s="1"/>
  <c r="L51" i="14"/>
  <c r="L53" i="14" s="1"/>
  <c r="O51" i="14"/>
  <c r="O53" i="14" s="1"/>
  <c r="O115" i="14"/>
  <c r="O117" i="14" s="1"/>
  <c r="L115" i="14"/>
  <c r="L117" i="14" s="1"/>
  <c r="L179" i="14"/>
  <c r="L181" i="14" s="1"/>
  <c r="O179" i="14"/>
  <c r="O181" i="14" s="1"/>
  <c r="E222" i="32"/>
  <c r="E226" i="32"/>
  <c r="E217" i="32"/>
  <c r="E221" i="32"/>
  <c r="E246" i="32"/>
  <c r="E256" i="32"/>
  <c r="E257" i="32"/>
  <c r="E237" i="32"/>
  <c r="E211" i="32"/>
  <c r="E216" i="32"/>
  <c r="E251" i="32"/>
  <c r="E212" i="32"/>
  <c r="E227" i="32"/>
  <c r="E252" i="32"/>
  <c r="E231" i="32"/>
  <c r="E236" i="32"/>
  <c r="E232" i="32"/>
  <c r="E247" i="32"/>
  <c r="E242" i="32"/>
  <c r="E241" i="32"/>
  <c r="E207" i="32"/>
  <c r="E206" i="32"/>
  <c r="N180" i="2" l="1"/>
  <c r="Q180" i="2"/>
  <c r="Q20" i="15"/>
  <c r="I20" i="15"/>
  <c r="I180" i="2"/>
  <c r="Q84" i="15"/>
  <c r="N52" i="2"/>
  <c r="I68" i="2"/>
  <c r="K52" i="2"/>
  <c r="M36" i="15"/>
  <c r="Q68" i="2"/>
  <c r="N84" i="15"/>
  <c r="L68" i="2"/>
  <c r="J100" i="2"/>
  <c r="E261" i="32"/>
  <c r="E262" i="32"/>
  <c r="I132" i="32"/>
  <c r="E132" i="32" s="1"/>
  <c r="J183" i="14"/>
  <c r="F183" i="14" s="1"/>
  <c r="I184" i="14"/>
  <c r="I196" i="32"/>
  <c r="E196" i="32" s="1"/>
  <c r="H197" i="32"/>
  <c r="I66" i="32"/>
  <c r="E66" i="32" s="1"/>
  <c r="I182" i="14"/>
  <c r="H67" i="32"/>
  <c r="J166" i="14"/>
  <c r="I62" i="32"/>
  <c r="E62" i="32" s="1"/>
  <c r="L164" i="2"/>
  <c r="O20" i="14"/>
  <c r="J52" i="2"/>
  <c r="I52" i="2"/>
  <c r="Q116" i="2"/>
  <c r="L36" i="14"/>
  <c r="O180" i="2"/>
  <c r="L148" i="15"/>
  <c r="O164" i="14"/>
  <c r="M84" i="15"/>
  <c r="H52" i="2"/>
  <c r="L100" i="14"/>
  <c r="L100" i="2"/>
  <c r="Q36" i="15"/>
  <c r="N116" i="15"/>
  <c r="H20" i="15"/>
  <c r="L36" i="15"/>
  <c r="I36" i="15"/>
  <c r="O84" i="14"/>
  <c r="I116" i="15"/>
  <c r="O20" i="15"/>
  <c r="O132" i="14"/>
  <c r="O36" i="15"/>
  <c r="K100" i="2"/>
  <c r="L68" i="14"/>
  <c r="M180" i="2"/>
  <c r="J36" i="15"/>
  <c r="K164" i="2"/>
  <c r="N100" i="2"/>
  <c r="L20" i="14"/>
  <c r="O116" i="15"/>
  <c r="O100" i="2"/>
  <c r="O68" i="14"/>
  <c r="L116" i="15"/>
  <c r="M164" i="2"/>
  <c r="O148" i="15"/>
  <c r="H84" i="15"/>
  <c r="M100" i="2"/>
  <c r="L132" i="14"/>
  <c r="K84" i="15"/>
  <c r="M20" i="15"/>
  <c r="N164" i="2"/>
  <c r="J148" i="15"/>
  <c r="N68" i="2"/>
  <c r="I148" i="15"/>
  <c r="K68" i="2"/>
  <c r="M52" i="2"/>
  <c r="H116" i="2"/>
  <c r="I36" i="2"/>
  <c r="I52" i="15"/>
  <c r="I68" i="15"/>
  <c r="Q164" i="2"/>
  <c r="L180" i="2"/>
  <c r="H116" i="15"/>
  <c r="N36" i="15"/>
  <c r="L180" i="15"/>
  <c r="K52" i="15"/>
  <c r="O36" i="14"/>
  <c r="L116" i="14"/>
  <c r="L100" i="15"/>
  <c r="H52" i="15"/>
  <c r="M68" i="15"/>
  <c r="O52" i="14"/>
  <c r="J148" i="2"/>
  <c r="O52" i="2"/>
  <c r="O36" i="2"/>
  <c r="H132" i="15"/>
  <c r="K84" i="2"/>
  <c r="J164" i="2"/>
  <c r="M148" i="15"/>
  <c r="I20" i="2"/>
  <c r="N36" i="2"/>
  <c r="M164" i="15"/>
  <c r="M132" i="2"/>
  <c r="H68" i="2"/>
  <c r="O132" i="15"/>
  <c r="L20" i="15"/>
  <c r="Q100" i="2"/>
  <c r="K116" i="15"/>
  <c r="Q20" i="2"/>
  <c r="K116" i="2"/>
  <c r="Q164" i="15"/>
  <c r="M180" i="15"/>
  <c r="K132" i="2"/>
  <c r="M116" i="15"/>
  <c r="H20" i="2"/>
  <c r="P100" i="15"/>
  <c r="K180" i="15"/>
  <c r="O68" i="2"/>
  <c r="Q36" i="2"/>
  <c r="J52" i="15"/>
  <c r="I132" i="2"/>
  <c r="M148" i="2"/>
  <c r="K20" i="15"/>
  <c r="H100" i="2"/>
  <c r="K148" i="15"/>
  <c r="Q116" i="15"/>
  <c r="O20" i="2"/>
  <c r="K36" i="2"/>
  <c r="L52" i="14"/>
  <c r="O164" i="15"/>
  <c r="M100" i="15"/>
  <c r="P180" i="15"/>
  <c r="I180" i="15"/>
  <c r="N52" i="15"/>
  <c r="L52" i="15"/>
  <c r="Q132" i="15"/>
  <c r="J68" i="15"/>
  <c r="K148" i="2"/>
  <c r="Q84" i="2"/>
  <c r="J132" i="15"/>
  <c r="Q148" i="2"/>
  <c r="J84" i="2"/>
  <c r="L84" i="2"/>
  <c r="H164" i="2"/>
  <c r="O84" i="15"/>
  <c r="J116" i="15"/>
  <c r="J20" i="2"/>
  <c r="J20" i="15"/>
  <c r="J21" i="15"/>
  <c r="H36" i="2"/>
  <c r="J164" i="15"/>
  <c r="K100" i="15"/>
  <c r="H180" i="15"/>
  <c r="P52" i="15"/>
  <c r="Q132" i="2"/>
  <c r="K132" i="15"/>
  <c r="L132" i="15"/>
  <c r="H68" i="15"/>
  <c r="Q68" i="15"/>
  <c r="H84" i="2"/>
  <c r="I84" i="2"/>
  <c r="J84" i="15"/>
  <c r="N20" i="2"/>
  <c r="L116" i="2"/>
  <c r="O116" i="14"/>
  <c r="K164" i="15"/>
  <c r="L164" i="15"/>
  <c r="O100" i="15"/>
  <c r="N180" i="15"/>
  <c r="O132" i="2"/>
  <c r="N132" i="15"/>
  <c r="I132" i="15"/>
  <c r="N68" i="15"/>
  <c r="L68" i="15"/>
  <c r="L148" i="2"/>
  <c r="O84" i="2"/>
  <c r="O164" i="2"/>
  <c r="J180" i="2"/>
  <c r="Q52" i="2"/>
  <c r="P116" i="15"/>
  <c r="L20" i="2"/>
  <c r="N116" i="2"/>
  <c r="M36" i="2"/>
  <c r="O180" i="14"/>
  <c r="H164" i="15"/>
  <c r="I164" i="15"/>
  <c r="Q100" i="15"/>
  <c r="Q180" i="15"/>
  <c r="M52" i="15"/>
  <c r="H132" i="2"/>
  <c r="P132" i="15"/>
  <c r="K68" i="15"/>
  <c r="O68" i="15"/>
  <c r="L36" i="2"/>
  <c r="N20" i="15"/>
  <c r="I164" i="2"/>
  <c r="L164" i="14"/>
  <c r="L84" i="15"/>
  <c r="K20" i="2"/>
  <c r="H36" i="15"/>
  <c r="I116" i="2"/>
  <c r="J36" i="2"/>
  <c r="N164" i="15"/>
  <c r="H100" i="15"/>
  <c r="J100" i="15"/>
  <c r="O180" i="15"/>
  <c r="Q52" i="15"/>
  <c r="L132" i="2"/>
  <c r="P68" i="15"/>
  <c r="O148" i="2"/>
  <c r="I148" i="2"/>
  <c r="M84" i="2"/>
  <c r="L148" i="14"/>
  <c r="K180" i="2"/>
  <c r="O100" i="14"/>
  <c r="M20" i="2"/>
  <c r="L180" i="14"/>
  <c r="P164" i="15"/>
  <c r="N100" i="15"/>
  <c r="I100" i="15"/>
  <c r="J180" i="15"/>
  <c r="O52" i="15"/>
  <c r="J132" i="2"/>
  <c r="N132" i="2"/>
  <c r="M132" i="15"/>
  <c r="N148" i="2"/>
  <c r="H148" i="2"/>
  <c r="N84" i="2"/>
  <c r="O148" i="14"/>
  <c r="E55" i="28"/>
  <c r="E10" i="28"/>
  <c r="I177" i="16"/>
  <c r="J176" i="16"/>
  <c r="J160" i="16"/>
  <c r="I160" i="16"/>
  <c r="I144" i="16"/>
  <c r="H144" i="16"/>
  <c r="I128" i="16"/>
  <c r="H128" i="16"/>
  <c r="I113" i="16"/>
  <c r="I112" i="16"/>
  <c r="H112" i="16"/>
  <c r="H96" i="16"/>
  <c r="G96" i="16"/>
  <c r="I49" i="16"/>
  <c r="L16" i="16"/>
  <c r="Q177" i="14"/>
  <c r="P177" i="14"/>
  <c r="N177" i="14"/>
  <c r="M177" i="14"/>
  <c r="K177" i="14"/>
  <c r="J177" i="14"/>
  <c r="I177" i="14"/>
  <c r="H177" i="14"/>
  <c r="G177" i="14"/>
  <c r="Q176" i="14"/>
  <c r="Q179" i="14" s="1"/>
  <c r="Q181" i="14" s="1"/>
  <c r="N176" i="14"/>
  <c r="N179" i="14" s="1"/>
  <c r="N181" i="14" s="1"/>
  <c r="M176" i="14"/>
  <c r="M179" i="14" s="1"/>
  <c r="M181" i="14" s="1"/>
  <c r="K176" i="14"/>
  <c r="K179" i="14" s="1"/>
  <c r="K181" i="14" s="1"/>
  <c r="J176" i="14"/>
  <c r="J179" i="14" s="1"/>
  <c r="I176" i="14"/>
  <c r="I179" i="14" s="1"/>
  <c r="H176" i="14"/>
  <c r="H179" i="14" s="1"/>
  <c r="H181" i="14" s="1"/>
  <c r="G176" i="14"/>
  <c r="G179" i="14" s="1"/>
  <c r="Q161" i="14"/>
  <c r="P161" i="14"/>
  <c r="N161" i="14"/>
  <c r="M161" i="14"/>
  <c r="K161" i="14"/>
  <c r="J161" i="14"/>
  <c r="I161" i="14"/>
  <c r="H161" i="14"/>
  <c r="G161" i="14"/>
  <c r="Q160" i="14"/>
  <c r="N160" i="14"/>
  <c r="M160" i="14"/>
  <c r="M163" i="14" s="1"/>
  <c r="M165" i="14" s="1"/>
  <c r="K160" i="14"/>
  <c r="J160" i="14"/>
  <c r="J163" i="14" s="1"/>
  <c r="I160" i="14"/>
  <c r="I163" i="14" s="1"/>
  <c r="H160" i="14"/>
  <c r="H163" i="14" s="1"/>
  <c r="H165" i="14" s="1"/>
  <c r="G160" i="14"/>
  <c r="G163" i="14" s="1"/>
  <c r="Q145" i="14"/>
  <c r="P145" i="14"/>
  <c r="N145" i="14"/>
  <c r="M145" i="14"/>
  <c r="K145" i="14"/>
  <c r="J145" i="14"/>
  <c r="I145" i="14"/>
  <c r="H145" i="14"/>
  <c r="G145" i="14"/>
  <c r="Q144" i="14"/>
  <c r="Q147" i="14" s="1"/>
  <c r="Q149" i="14" s="1"/>
  <c r="N144" i="14"/>
  <c r="N147" i="14" s="1"/>
  <c r="N149" i="14" s="1"/>
  <c r="M144" i="14"/>
  <c r="K144" i="14"/>
  <c r="K147" i="14" s="1"/>
  <c r="K149" i="14" s="1"/>
  <c r="J144" i="14"/>
  <c r="J147" i="14" s="1"/>
  <c r="I144" i="14"/>
  <c r="I147" i="14" s="1"/>
  <c r="H144" i="14"/>
  <c r="H147" i="14" s="1"/>
  <c r="H149" i="14" s="1"/>
  <c r="G144" i="14"/>
  <c r="G147" i="14" s="1"/>
  <c r="Q129" i="14"/>
  <c r="P129" i="14"/>
  <c r="N129" i="14"/>
  <c r="M129" i="14"/>
  <c r="K129" i="14"/>
  <c r="J129" i="14"/>
  <c r="I129" i="14"/>
  <c r="H129" i="14"/>
  <c r="G129" i="14"/>
  <c r="Q128" i="14"/>
  <c r="Q131" i="14" s="1"/>
  <c r="Q133" i="14" s="1"/>
  <c r="N128" i="14"/>
  <c r="M128" i="14"/>
  <c r="M131" i="14" s="1"/>
  <c r="M133" i="14" s="1"/>
  <c r="K128" i="14"/>
  <c r="K131" i="14" s="1"/>
  <c r="K133" i="14" s="1"/>
  <c r="J128" i="14"/>
  <c r="J131" i="14" s="1"/>
  <c r="I128" i="14"/>
  <c r="I131" i="14" s="1"/>
  <c r="H128" i="14"/>
  <c r="H131" i="14" s="1"/>
  <c r="H133" i="14" s="1"/>
  <c r="G128" i="14"/>
  <c r="G131" i="14" s="1"/>
  <c r="Q113" i="14"/>
  <c r="P113" i="14"/>
  <c r="N113" i="14"/>
  <c r="M113" i="14"/>
  <c r="K113" i="14"/>
  <c r="J113" i="14"/>
  <c r="I113" i="14"/>
  <c r="H113" i="14"/>
  <c r="G113" i="14"/>
  <c r="Q112" i="14"/>
  <c r="Q115" i="14" s="1"/>
  <c r="Q117" i="14" s="1"/>
  <c r="N112" i="14"/>
  <c r="N115" i="14" s="1"/>
  <c r="N117" i="14" s="1"/>
  <c r="M112" i="14"/>
  <c r="M115" i="14" s="1"/>
  <c r="M117" i="14" s="1"/>
  <c r="K112" i="14"/>
  <c r="K115" i="14" s="1"/>
  <c r="K117" i="14" s="1"/>
  <c r="J112" i="14"/>
  <c r="J115" i="14" s="1"/>
  <c r="I112" i="14"/>
  <c r="I115" i="14" s="1"/>
  <c r="H112" i="14"/>
  <c r="H115" i="14" s="1"/>
  <c r="H117" i="14" s="1"/>
  <c r="G112" i="14"/>
  <c r="G115" i="14" s="1"/>
  <c r="Q97" i="14"/>
  <c r="P97" i="14"/>
  <c r="N97" i="14"/>
  <c r="M97" i="14"/>
  <c r="K97" i="14"/>
  <c r="J97" i="14"/>
  <c r="I97" i="14"/>
  <c r="H97" i="14"/>
  <c r="G97" i="14"/>
  <c r="Q96" i="14"/>
  <c r="N96" i="14"/>
  <c r="M96" i="14"/>
  <c r="K96" i="14"/>
  <c r="J96" i="14"/>
  <c r="J99" i="14" s="1"/>
  <c r="I96" i="14"/>
  <c r="I99" i="14" s="1"/>
  <c r="H96" i="14"/>
  <c r="H99" i="14" s="1"/>
  <c r="H101" i="14" s="1"/>
  <c r="G96" i="14"/>
  <c r="Q81" i="14"/>
  <c r="P81" i="14"/>
  <c r="N81" i="14"/>
  <c r="M81" i="14"/>
  <c r="K81" i="14"/>
  <c r="J81" i="14"/>
  <c r="I81" i="14"/>
  <c r="H81" i="14"/>
  <c r="G81" i="14"/>
  <c r="Q80" i="14"/>
  <c r="N80" i="14"/>
  <c r="N83" i="14" s="1"/>
  <c r="N85" i="14" s="1"/>
  <c r="M80" i="14"/>
  <c r="K80" i="14"/>
  <c r="K83" i="14" s="1"/>
  <c r="K85" i="14" s="1"/>
  <c r="J80" i="14"/>
  <c r="J83" i="14" s="1"/>
  <c r="I80" i="14"/>
  <c r="I83" i="14" s="1"/>
  <c r="H80" i="14"/>
  <c r="G80" i="14"/>
  <c r="G83" i="14" s="1"/>
  <c r="Q65" i="14"/>
  <c r="P65" i="14"/>
  <c r="N65" i="14"/>
  <c r="M65" i="14"/>
  <c r="K65" i="14"/>
  <c r="J65" i="14"/>
  <c r="I65" i="14"/>
  <c r="H65" i="14"/>
  <c r="G65" i="14"/>
  <c r="Q64" i="14"/>
  <c r="Q67" i="14" s="1"/>
  <c r="Q69" i="14" s="1"/>
  <c r="N64" i="14"/>
  <c r="N67" i="14" s="1"/>
  <c r="N69" i="14" s="1"/>
  <c r="M64" i="14"/>
  <c r="K64" i="14"/>
  <c r="J64" i="14"/>
  <c r="J67" i="14" s="1"/>
  <c r="I64" i="14"/>
  <c r="I67" i="14" s="1"/>
  <c r="H64" i="14"/>
  <c r="H67" i="14" s="1"/>
  <c r="H69" i="14" s="1"/>
  <c r="G64" i="14"/>
  <c r="G67" i="14" s="1"/>
  <c r="Q49" i="14"/>
  <c r="P49" i="14"/>
  <c r="N49" i="14"/>
  <c r="M49" i="14"/>
  <c r="K49" i="14"/>
  <c r="J49" i="14"/>
  <c r="I49" i="14"/>
  <c r="H49" i="14"/>
  <c r="G49" i="14"/>
  <c r="Q48" i="14"/>
  <c r="N48" i="14"/>
  <c r="N51" i="14" s="1"/>
  <c r="N53" i="14" s="1"/>
  <c r="M48" i="14"/>
  <c r="M51" i="14" s="1"/>
  <c r="M53" i="14" s="1"/>
  <c r="K48" i="14"/>
  <c r="K51" i="14" s="1"/>
  <c r="K53" i="14" s="1"/>
  <c r="J48" i="14"/>
  <c r="J51" i="14" s="1"/>
  <c r="I48" i="14"/>
  <c r="I51" i="14" s="1"/>
  <c r="H48" i="14"/>
  <c r="H51" i="14" s="1"/>
  <c r="H53" i="14" s="1"/>
  <c r="G48" i="14"/>
  <c r="G51" i="14" s="1"/>
  <c r="Q33" i="14"/>
  <c r="P33" i="14"/>
  <c r="N33" i="14"/>
  <c r="M33" i="14"/>
  <c r="K33" i="14"/>
  <c r="J33" i="14"/>
  <c r="I33" i="14"/>
  <c r="H33" i="14"/>
  <c r="G33" i="14"/>
  <c r="Q32" i="14"/>
  <c r="N32" i="14"/>
  <c r="N35" i="14" s="1"/>
  <c r="N37" i="14" s="1"/>
  <c r="M32" i="14"/>
  <c r="K32" i="14"/>
  <c r="K35" i="14" s="1"/>
  <c r="K37" i="14" s="1"/>
  <c r="J32" i="14"/>
  <c r="J35" i="14" s="1"/>
  <c r="I32" i="14"/>
  <c r="H32" i="14"/>
  <c r="G32" i="14"/>
  <c r="Q17" i="14"/>
  <c r="P17" i="14"/>
  <c r="N17" i="14"/>
  <c r="M17" i="14"/>
  <c r="K17" i="14"/>
  <c r="J17" i="14"/>
  <c r="I17" i="14"/>
  <c r="H17" i="14"/>
  <c r="G17" i="14"/>
  <c r="Q16" i="14"/>
  <c r="Q19" i="14" s="1"/>
  <c r="Q21" i="14" s="1"/>
  <c r="N16" i="14"/>
  <c r="N19" i="14" s="1"/>
  <c r="N21" i="14" s="1"/>
  <c r="M16" i="14"/>
  <c r="M19" i="14" s="1"/>
  <c r="M21" i="14" s="1"/>
  <c r="K16" i="14"/>
  <c r="K19" i="14" s="1"/>
  <c r="K21" i="14" s="1"/>
  <c r="J16" i="14"/>
  <c r="J19" i="14" s="1"/>
  <c r="I16" i="14"/>
  <c r="I19" i="14" s="1"/>
  <c r="H16" i="14"/>
  <c r="G16" i="14"/>
  <c r="Q33" i="15"/>
  <c r="P33" i="15"/>
  <c r="N33" i="15"/>
  <c r="M33" i="15"/>
  <c r="K33" i="15"/>
  <c r="H33" i="15"/>
  <c r="G33" i="15"/>
  <c r="Q32" i="15"/>
  <c r="N32" i="15"/>
  <c r="M32" i="15"/>
  <c r="K32" i="15"/>
  <c r="H32" i="15"/>
  <c r="G32" i="15"/>
  <c r="Q17" i="15"/>
  <c r="P17" i="15"/>
  <c r="N17" i="15"/>
  <c r="M17" i="15"/>
  <c r="K17" i="15"/>
  <c r="H17" i="15"/>
  <c r="G17" i="15"/>
  <c r="Q16" i="15"/>
  <c r="N16" i="15"/>
  <c r="M16" i="15"/>
  <c r="K16" i="15"/>
  <c r="H16" i="15"/>
  <c r="G16" i="15"/>
  <c r="Q177" i="2"/>
  <c r="P177" i="2"/>
  <c r="O177" i="2"/>
  <c r="N177" i="2"/>
  <c r="M177" i="2"/>
  <c r="K177" i="2"/>
  <c r="H177" i="2"/>
  <c r="G177" i="2"/>
  <c r="Q176" i="2"/>
  <c r="O176" i="2"/>
  <c r="N176" i="2"/>
  <c r="M176" i="2"/>
  <c r="K176" i="2"/>
  <c r="H176" i="2"/>
  <c r="G176" i="2"/>
  <c r="Q161" i="2"/>
  <c r="P161" i="2"/>
  <c r="O161" i="2"/>
  <c r="N161" i="2"/>
  <c r="M161" i="2"/>
  <c r="K161" i="2"/>
  <c r="H161" i="2"/>
  <c r="G161" i="2"/>
  <c r="Q160" i="2"/>
  <c r="O160" i="2"/>
  <c r="N160" i="2"/>
  <c r="M160" i="2"/>
  <c r="K160" i="2"/>
  <c r="H160" i="2"/>
  <c r="G160" i="2"/>
  <c r="Q145" i="2"/>
  <c r="P145" i="2"/>
  <c r="O145" i="2"/>
  <c r="N145" i="2"/>
  <c r="M145" i="2"/>
  <c r="K145" i="2"/>
  <c r="H145" i="2"/>
  <c r="G145" i="2"/>
  <c r="Q144" i="2"/>
  <c r="O144" i="2"/>
  <c r="N144" i="2"/>
  <c r="M144" i="2"/>
  <c r="K144" i="2"/>
  <c r="H144" i="2"/>
  <c r="G144" i="2"/>
  <c r="Q129" i="2"/>
  <c r="P129" i="2"/>
  <c r="O129" i="2"/>
  <c r="N129" i="2"/>
  <c r="M129" i="2"/>
  <c r="K129" i="2"/>
  <c r="H129" i="2"/>
  <c r="G129" i="2"/>
  <c r="Q128" i="2"/>
  <c r="O128" i="2"/>
  <c r="N128" i="2"/>
  <c r="M128" i="2"/>
  <c r="K128" i="2"/>
  <c r="H128" i="2"/>
  <c r="G128" i="2"/>
  <c r="Q113" i="2"/>
  <c r="P113" i="2"/>
  <c r="O113" i="2"/>
  <c r="N113" i="2"/>
  <c r="M113" i="2"/>
  <c r="K113" i="2"/>
  <c r="H113" i="2"/>
  <c r="G113" i="2"/>
  <c r="Q112" i="2"/>
  <c r="O112" i="2"/>
  <c r="N112" i="2"/>
  <c r="M112" i="2"/>
  <c r="K112" i="2"/>
  <c r="H112" i="2"/>
  <c r="G112" i="2"/>
  <c r="Q97" i="2"/>
  <c r="P97" i="2"/>
  <c r="O97" i="2"/>
  <c r="N97" i="2"/>
  <c r="M97" i="2"/>
  <c r="K97" i="2"/>
  <c r="H97" i="2"/>
  <c r="G97" i="2"/>
  <c r="Q96" i="2"/>
  <c r="O96" i="2"/>
  <c r="N96" i="2"/>
  <c r="M96" i="2"/>
  <c r="K96" i="2"/>
  <c r="H96" i="2"/>
  <c r="G96" i="2"/>
  <c r="Q81" i="2"/>
  <c r="P81" i="2"/>
  <c r="O81" i="2"/>
  <c r="N81" i="2"/>
  <c r="M81" i="2"/>
  <c r="K81" i="2"/>
  <c r="H81" i="2"/>
  <c r="G81" i="2"/>
  <c r="Q80" i="2"/>
  <c r="O80" i="2"/>
  <c r="N80" i="2"/>
  <c r="M80" i="2"/>
  <c r="K80" i="2"/>
  <c r="H80" i="2"/>
  <c r="G80" i="2"/>
  <c r="Q65" i="2"/>
  <c r="P65" i="2"/>
  <c r="O65" i="2"/>
  <c r="N65" i="2"/>
  <c r="M65" i="2"/>
  <c r="K65" i="2"/>
  <c r="H65" i="2"/>
  <c r="G65" i="2"/>
  <c r="Q64" i="2"/>
  <c r="O64" i="2"/>
  <c r="N64" i="2"/>
  <c r="M64" i="2"/>
  <c r="K64" i="2"/>
  <c r="H64" i="2"/>
  <c r="G64" i="2"/>
  <c r="Q49" i="2"/>
  <c r="P49" i="2"/>
  <c r="O49" i="2"/>
  <c r="N49" i="2"/>
  <c r="M49" i="2"/>
  <c r="K49" i="2"/>
  <c r="H49" i="2"/>
  <c r="G49" i="2"/>
  <c r="Q48" i="2"/>
  <c r="O48" i="2"/>
  <c r="N48" i="2"/>
  <c r="M48" i="2"/>
  <c r="K48" i="2"/>
  <c r="H48" i="2"/>
  <c r="G48" i="2"/>
  <c r="Q33" i="2"/>
  <c r="P33" i="2"/>
  <c r="O33" i="2"/>
  <c r="N33" i="2"/>
  <c r="M33" i="2"/>
  <c r="K33" i="2"/>
  <c r="H33" i="2"/>
  <c r="G33" i="2"/>
  <c r="Q32" i="2"/>
  <c r="O32" i="2"/>
  <c r="N32" i="2"/>
  <c r="M32" i="2"/>
  <c r="K32" i="2"/>
  <c r="H32" i="2"/>
  <c r="G32" i="2"/>
  <c r="Q17" i="2"/>
  <c r="P17" i="2"/>
  <c r="O17" i="2"/>
  <c r="N17" i="2"/>
  <c r="M17" i="2"/>
  <c r="K17" i="2"/>
  <c r="I17" i="2"/>
  <c r="H17" i="2"/>
  <c r="G17" i="2"/>
  <c r="Q16" i="2"/>
  <c r="O16" i="2"/>
  <c r="N16" i="2"/>
  <c r="M16" i="2"/>
  <c r="K16" i="2"/>
  <c r="H16" i="2"/>
  <c r="G16" i="2"/>
  <c r="L88" i="28"/>
  <c r="L192" i="16" s="1"/>
  <c r="K88" i="28"/>
  <c r="J88" i="28"/>
  <c r="J192" i="16" s="1"/>
  <c r="I88" i="28"/>
  <c r="I192" i="16" s="1"/>
  <c r="H88" i="28"/>
  <c r="H192" i="16" s="1"/>
  <c r="G88" i="28"/>
  <c r="G192" i="16" s="1"/>
  <c r="F88" i="28"/>
  <c r="F192" i="16" s="1"/>
  <c r="P77" i="28"/>
  <c r="O77" i="28"/>
  <c r="M77" i="28"/>
  <c r="L77" i="28"/>
  <c r="J77" i="28"/>
  <c r="I77" i="28"/>
  <c r="H77" i="28"/>
  <c r="G77" i="28"/>
  <c r="F77" i="28"/>
  <c r="P75" i="28"/>
  <c r="O75" i="28"/>
  <c r="P16" i="15" s="1"/>
  <c r="M75" i="28"/>
  <c r="L75" i="28"/>
  <c r="J75" i="28"/>
  <c r="G75" i="28"/>
  <c r="F75" i="28"/>
  <c r="O74" i="28"/>
  <c r="M74" i="28"/>
  <c r="L74" i="28"/>
  <c r="J74" i="28"/>
  <c r="I144" i="2"/>
  <c r="G74" i="28"/>
  <c r="F74" i="28"/>
  <c r="E71" i="28"/>
  <c r="E70" i="28"/>
  <c r="E69" i="28"/>
  <c r="E68" i="28"/>
  <c r="E65" i="28"/>
  <c r="E64" i="28"/>
  <c r="E63" i="28"/>
  <c r="E62" i="28"/>
  <c r="E59" i="28"/>
  <c r="E58" i="28"/>
  <c r="E57" i="28"/>
  <c r="E56" i="28"/>
  <c r="L36" i="28"/>
  <c r="L193" i="16" s="1"/>
  <c r="K36" i="28"/>
  <c r="J36" i="28"/>
  <c r="J193" i="16" s="1"/>
  <c r="I36" i="28"/>
  <c r="I193" i="16" s="1"/>
  <c r="I195" i="16" s="1"/>
  <c r="H36" i="28"/>
  <c r="H193" i="16" s="1"/>
  <c r="H195" i="16" s="1"/>
  <c r="G36" i="28"/>
  <c r="G193" i="16" s="1"/>
  <c r="F36" i="28"/>
  <c r="F193" i="16" s="1"/>
  <c r="P26" i="28"/>
  <c r="M26" i="28"/>
  <c r="L26" i="28"/>
  <c r="J26" i="28"/>
  <c r="I26" i="28"/>
  <c r="H26" i="28"/>
  <c r="G26" i="28"/>
  <c r="F26" i="28"/>
  <c r="E26" i="28"/>
  <c r="E25" i="28"/>
  <c r="P24" i="28"/>
  <c r="M24" i="28"/>
  <c r="L24" i="28"/>
  <c r="J24" i="28"/>
  <c r="G24" i="28"/>
  <c r="F24" i="28"/>
  <c r="E24" i="28"/>
  <c r="N23" i="28"/>
  <c r="M23" i="28"/>
  <c r="L23" i="28"/>
  <c r="J23" i="28"/>
  <c r="I129" i="2"/>
  <c r="G23" i="28"/>
  <c r="F23" i="28"/>
  <c r="E20" i="28"/>
  <c r="E19" i="28"/>
  <c r="E18" i="28"/>
  <c r="E17" i="28"/>
  <c r="E14" i="28"/>
  <c r="E13" i="28"/>
  <c r="E12" i="28"/>
  <c r="E11" i="28"/>
  <c r="K192" i="16" l="1"/>
  <c r="K128" i="16"/>
  <c r="K96" i="16"/>
  <c r="K64" i="16"/>
  <c r="K112" i="16"/>
  <c r="K144" i="16"/>
  <c r="K176" i="16"/>
  <c r="K80" i="16"/>
  <c r="K48" i="16"/>
  <c r="K16" i="16"/>
  <c r="K32" i="16"/>
  <c r="K160" i="16"/>
  <c r="K161" i="16"/>
  <c r="K33" i="16"/>
  <c r="K81" i="16"/>
  <c r="K129" i="16"/>
  <c r="K177" i="16"/>
  <c r="K49" i="16"/>
  <c r="K97" i="16"/>
  <c r="K145" i="16"/>
  <c r="K17" i="16"/>
  <c r="K65" i="16"/>
  <c r="K193" i="16"/>
  <c r="K113" i="16"/>
  <c r="G48" i="16"/>
  <c r="F16" i="16"/>
  <c r="G32" i="16"/>
  <c r="H48" i="16"/>
  <c r="H64" i="16"/>
  <c r="H80" i="16"/>
  <c r="I96" i="16"/>
  <c r="J112" i="16"/>
  <c r="J128" i="16"/>
  <c r="J144" i="16"/>
  <c r="L176" i="16"/>
  <c r="F80" i="16"/>
  <c r="F32" i="16"/>
  <c r="F35" i="16" s="1"/>
  <c r="G16" i="16"/>
  <c r="H32" i="16"/>
  <c r="I48" i="16"/>
  <c r="I64" i="16"/>
  <c r="I80" i="16"/>
  <c r="J96" i="16"/>
  <c r="L160" i="16"/>
  <c r="F48" i="16"/>
  <c r="H16" i="16"/>
  <c r="I32" i="16"/>
  <c r="J48" i="16"/>
  <c r="J64" i="16"/>
  <c r="J80" i="16"/>
  <c r="L112" i="16"/>
  <c r="L128" i="16"/>
  <c r="L144" i="16"/>
  <c r="F176" i="16"/>
  <c r="G80" i="16"/>
  <c r="I16" i="16"/>
  <c r="J32" i="16"/>
  <c r="L96" i="16"/>
  <c r="F160" i="16"/>
  <c r="G176" i="16"/>
  <c r="J16" i="16"/>
  <c r="L48" i="16"/>
  <c r="L64" i="16"/>
  <c r="L80" i="16"/>
  <c r="F112" i="16"/>
  <c r="F128" i="16"/>
  <c r="F144" i="16"/>
  <c r="G160" i="16"/>
  <c r="H176" i="16"/>
  <c r="F64" i="16"/>
  <c r="G64" i="16"/>
  <c r="J195" i="16"/>
  <c r="L195" i="16"/>
  <c r="F195" i="16"/>
  <c r="G195" i="16"/>
  <c r="L32" i="16"/>
  <c r="F96" i="16"/>
  <c r="G112" i="16"/>
  <c r="G128" i="16"/>
  <c r="G144" i="16"/>
  <c r="H160" i="16"/>
  <c r="I176" i="16"/>
  <c r="H33" i="16"/>
  <c r="J49" i="16"/>
  <c r="L65" i="16"/>
  <c r="F81" i="16"/>
  <c r="H97" i="16"/>
  <c r="J113" i="16"/>
  <c r="L129" i="16"/>
  <c r="F145" i="16"/>
  <c r="H161" i="16"/>
  <c r="J177" i="16"/>
  <c r="F17" i="16"/>
  <c r="I33" i="16"/>
  <c r="G81" i="16"/>
  <c r="I97" i="16"/>
  <c r="G145" i="16"/>
  <c r="I161" i="16"/>
  <c r="G17" i="16"/>
  <c r="J33" i="16"/>
  <c r="L49" i="16"/>
  <c r="F65" i="16"/>
  <c r="H81" i="16"/>
  <c r="J97" i="16"/>
  <c r="L113" i="16"/>
  <c r="F129" i="16"/>
  <c r="H145" i="16"/>
  <c r="J161" i="16"/>
  <c r="L177" i="16"/>
  <c r="G33" i="16"/>
  <c r="G161" i="16"/>
  <c r="H17" i="16"/>
  <c r="G65" i="16"/>
  <c r="I81" i="16"/>
  <c r="G129" i="16"/>
  <c r="I145" i="16"/>
  <c r="I17" i="16"/>
  <c r="L33" i="16"/>
  <c r="F49" i="16"/>
  <c r="H65" i="16"/>
  <c r="J81" i="16"/>
  <c r="L97" i="16"/>
  <c r="F113" i="16"/>
  <c r="H129" i="16"/>
  <c r="J145" i="16"/>
  <c r="L161" i="16"/>
  <c r="F177" i="16"/>
  <c r="G97" i="16"/>
  <c r="J17" i="16"/>
  <c r="G49" i="16"/>
  <c r="I65" i="16"/>
  <c r="G113" i="16"/>
  <c r="I129" i="16"/>
  <c r="G177" i="16"/>
  <c r="L17" i="16"/>
  <c r="F33" i="16"/>
  <c r="H49" i="16"/>
  <c r="J65" i="16"/>
  <c r="L81" i="16"/>
  <c r="F97" i="16"/>
  <c r="H113" i="16"/>
  <c r="J129" i="16"/>
  <c r="L145" i="16"/>
  <c r="F161" i="16"/>
  <c r="H177" i="16"/>
  <c r="K148" i="14"/>
  <c r="N148" i="14"/>
  <c r="N116" i="14"/>
  <c r="F19" i="16"/>
  <c r="F21" i="16" s="1"/>
  <c r="G19" i="16"/>
  <c r="P160" i="14"/>
  <c r="P163" i="14" s="1"/>
  <c r="P165" i="14" s="1"/>
  <c r="P192" i="14"/>
  <c r="P176" i="2"/>
  <c r="P192" i="2"/>
  <c r="I197" i="14"/>
  <c r="I196" i="14"/>
  <c r="J182" i="14"/>
  <c r="I67" i="32"/>
  <c r="E67" i="32" s="1"/>
  <c r="J184" i="14"/>
  <c r="F184" i="14" s="1"/>
  <c r="I197" i="32"/>
  <c r="E197" i="32" s="1"/>
  <c r="H83" i="14"/>
  <c r="H85" i="14" s="1"/>
  <c r="M147" i="14"/>
  <c r="M149" i="14" s="1"/>
  <c r="M35" i="14"/>
  <c r="M37" i="14" s="1"/>
  <c r="K180" i="14"/>
  <c r="H180" i="14"/>
  <c r="Q68" i="14"/>
  <c r="K67" i="14"/>
  <c r="K69" i="14" s="1"/>
  <c r="N163" i="14"/>
  <c r="N165" i="14" s="1"/>
  <c r="H164" i="14"/>
  <c r="H148" i="14"/>
  <c r="Q180" i="14"/>
  <c r="K84" i="14"/>
  <c r="M164" i="14"/>
  <c r="G19" i="14"/>
  <c r="Q35" i="14"/>
  <c r="Q37" i="14" s="1"/>
  <c r="M67" i="14"/>
  <c r="M69" i="14" s="1"/>
  <c r="Q163" i="14"/>
  <c r="Q165" i="14" s="1"/>
  <c r="N52" i="14"/>
  <c r="M180" i="14"/>
  <c r="H52" i="14"/>
  <c r="N84" i="14"/>
  <c r="Q132" i="14"/>
  <c r="N131" i="14"/>
  <c r="N133" i="14" s="1"/>
  <c r="K163" i="14"/>
  <c r="K165" i="14" s="1"/>
  <c r="H19" i="14"/>
  <c r="H21" i="14" s="1"/>
  <c r="G35" i="14"/>
  <c r="Q51" i="14"/>
  <c r="Q53" i="14" s="1"/>
  <c r="M83" i="14"/>
  <c r="M85" i="14" s="1"/>
  <c r="K99" i="14"/>
  <c r="K101" i="14" s="1"/>
  <c r="Q148" i="14"/>
  <c r="H116" i="14"/>
  <c r="K20" i="14"/>
  <c r="K116" i="14"/>
  <c r="K52" i="14"/>
  <c r="N36" i="14"/>
  <c r="H35" i="14"/>
  <c r="H37" i="14" s="1"/>
  <c r="M99" i="14"/>
  <c r="M101" i="14" s="1"/>
  <c r="N180" i="14"/>
  <c r="H68" i="14"/>
  <c r="Q20" i="14"/>
  <c r="N68" i="14"/>
  <c r="N20" i="14"/>
  <c r="K132" i="14"/>
  <c r="H100" i="14"/>
  <c r="K36" i="14"/>
  <c r="I35" i="14"/>
  <c r="Q83" i="14"/>
  <c r="N99" i="14"/>
  <c r="N101" i="14" s="1"/>
  <c r="M20" i="14"/>
  <c r="Q116" i="14"/>
  <c r="G99" i="14"/>
  <c r="Q99" i="14"/>
  <c r="Q101" i="14" s="1"/>
  <c r="H132" i="14"/>
  <c r="M52" i="14"/>
  <c r="M132" i="14"/>
  <c r="M116" i="14"/>
  <c r="P19" i="15"/>
  <c r="P20" i="15" s="1"/>
  <c r="F166" i="14"/>
  <c r="F131" i="16"/>
  <c r="F132" i="16" s="1"/>
  <c r="I16" i="2"/>
  <c r="I32" i="2"/>
  <c r="I64" i="2"/>
  <c r="I80" i="2"/>
  <c r="I96" i="2"/>
  <c r="I112" i="2"/>
  <c r="I160" i="2"/>
  <c r="I176" i="2"/>
  <c r="I128" i="2"/>
  <c r="I48" i="2"/>
  <c r="I81" i="2"/>
  <c r="I113" i="2"/>
  <c r="I145" i="2"/>
  <c r="I33" i="2"/>
  <c r="I161" i="2"/>
  <c r="I49" i="2"/>
  <c r="I177" i="2"/>
  <c r="E23" i="28"/>
  <c r="I65" i="2"/>
  <c r="I97" i="2"/>
  <c r="E75" i="28"/>
  <c r="P80" i="2"/>
  <c r="P64" i="14"/>
  <c r="E77" i="28"/>
  <c r="P16" i="2"/>
  <c r="P176" i="14"/>
  <c r="E74" i="28"/>
  <c r="P128" i="2"/>
  <c r="P112" i="14"/>
  <c r="P64" i="2"/>
  <c r="P144" i="2"/>
  <c r="P48" i="14"/>
  <c r="P128" i="14"/>
  <c r="P32" i="2"/>
  <c r="P96" i="2"/>
  <c r="P160" i="2"/>
  <c r="P32" i="15"/>
  <c r="P16" i="14"/>
  <c r="P80" i="14"/>
  <c r="P144" i="14"/>
  <c r="P48" i="2"/>
  <c r="P112" i="2"/>
  <c r="P32" i="14"/>
  <c r="P96" i="14"/>
  <c r="K195" i="16" l="1"/>
  <c r="K147" i="16"/>
  <c r="K148" i="16" s="1"/>
  <c r="K149" i="16" s="1"/>
  <c r="K99" i="16"/>
  <c r="K100" i="16"/>
  <c r="K101" i="16" s="1"/>
  <c r="K115" i="16"/>
  <c r="K116" i="16" s="1"/>
  <c r="K132" i="16"/>
  <c r="K133" i="16" s="1"/>
  <c r="K131" i="16"/>
  <c r="K51" i="16"/>
  <c r="K52" i="16" s="1"/>
  <c r="K53" i="16" s="1"/>
  <c r="K83" i="16"/>
  <c r="K84" i="16" s="1"/>
  <c r="K85" i="16" s="1"/>
  <c r="K179" i="16"/>
  <c r="K180" i="16"/>
  <c r="K181" i="16" s="1"/>
  <c r="K67" i="16"/>
  <c r="K68" i="16"/>
  <c r="K69" i="16" s="1"/>
  <c r="K35" i="16"/>
  <c r="K36" i="16"/>
  <c r="K183" i="16" s="1"/>
  <c r="K196" i="16" s="1"/>
  <c r="K197" i="16" s="1"/>
  <c r="K19" i="16"/>
  <c r="K20" i="16" s="1"/>
  <c r="K21" i="16" s="1"/>
  <c r="K163" i="16"/>
  <c r="K164" i="16" s="1"/>
  <c r="K165" i="16" s="1"/>
  <c r="P179" i="2"/>
  <c r="P180" i="2" s="1"/>
  <c r="N164" i="14"/>
  <c r="M84" i="14"/>
  <c r="M148" i="14"/>
  <c r="H20" i="14"/>
  <c r="M100" i="14"/>
  <c r="K100" i="14"/>
  <c r="Q164" i="14"/>
  <c r="M68" i="14"/>
  <c r="N100" i="14"/>
  <c r="Q36" i="14"/>
  <c r="K68" i="14"/>
  <c r="H84" i="14"/>
  <c r="F20" i="16"/>
  <c r="L7" i="33" s="1"/>
  <c r="L7" i="35" s="1"/>
  <c r="F133" i="16"/>
  <c r="F36" i="16"/>
  <c r="J65" i="13"/>
  <c r="F192" i="2"/>
  <c r="P195" i="2"/>
  <c r="F195" i="2" s="1"/>
  <c r="F192" i="14"/>
  <c r="P195" i="14"/>
  <c r="F195" i="14" s="1"/>
  <c r="J196" i="14"/>
  <c r="J197" i="14"/>
  <c r="F182" i="14"/>
  <c r="H36" i="14"/>
  <c r="M36" i="14"/>
  <c r="K164" i="14"/>
  <c r="N132" i="14"/>
  <c r="Q52" i="14"/>
  <c r="Q85" i="14"/>
  <c r="Q84" i="14"/>
  <c r="Q100" i="14"/>
  <c r="P164" i="14"/>
  <c r="P181" i="2"/>
  <c r="P21" i="15"/>
  <c r="P83" i="14"/>
  <c r="P85" i="14" s="1"/>
  <c r="P131" i="14"/>
  <c r="P133" i="14" s="1"/>
  <c r="P19" i="2"/>
  <c r="P20" i="2" s="1"/>
  <c r="P19" i="14"/>
  <c r="P21" i="14" s="1"/>
  <c r="P147" i="2"/>
  <c r="P149" i="2" s="1"/>
  <c r="P51" i="14"/>
  <c r="P53" i="14" s="1"/>
  <c r="P83" i="2"/>
  <c r="P85" i="2" s="1"/>
  <c r="P147" i="14"/>
  <c r="P148" i="14" s="1"/>
  <c r="P35" i="15"/>
  <c r="P37" i="15" s="1"/>
  <c r="P99" i="2"/>
  <c r="P100" i="2" s="1"/>
  <c r="P115" i="14"/>
  <c r="P117" i="14" s="1"/>
  <c r="P67" i="14"/>
  <c r="P69" i="14" s="1"/>
  <c r="P99" i="14"/>
  <c r="P100" i="14" s="1"/>
  <c r="P35" i="14"/>
  <c r="P37" i="14" s="1"/>
  <c r="P35" i="2"/>
  <c r="P37" i="2" s="1"/>
  <c r="P131" i="2"/>
  <c r="P133" i="2" s="1"/>
  <c r="P179" i="14"/>
  <c r="P181" i="14" s="1"/>
  <c r="P163" i="2"/>
  <c r="P164" i="2" s="1"/>
  <c r="P67" i="2"/>
  <c r="P69" i="2" s="1"/>
  <c r="P115" i="2"/>
  <c r="P117" i="2" s="1"/>
  <c r="P51" i="2"/>
  <c r="P52" i="2" s="1"/>
  <c r="K117" i="16" l="1"/>
  <c r="K37" i="16"/>
  <c r="K65" i="13"/>
  <c r="J65" i="37"/>
  <c r="P197" i="2"/>
  <c r="J66" i="13"/>
  <c r="F183" i="16"/>
  <c r="F196" i="16" s="1"/>
  <c r="F197" i="16" s="1"/>
  <c r="L18" i="33" s="1"/>
  <c r="L18" i="35" s="1"/>
  <c r="F37" i="16"/>
  <c r="P196" i="2"/>
  <c r="P196" i="14"/>
  <c r="F197" i="2"/>
  <c r="F196" i="2"/>
  <c r="P197" i="14"/>
  <c r="F196" i="14"/>
  <c r="F197" i="14"/>
  <c r="P132" i="2"/>
  <c r="P116" i="14"/>
  <c r="P132" i="14"/>
  <c r="P53" i="2"/>
  <c r="P68" i="14"/>
  <c r="P68" i="2"/>
  <c r="P52" i="14"/>
  <c r="P21" i="2"/>
  <c r="P36" i="2"/>
  <c r="P180" i="14"/>
  <c r="P148" i="2"/>
  <c r="P149" i="14"/>
  <c r="P20" i="14"/>
  <c r="P116" i="2"/>
  <c r="P165" i="2"/>
  <c r="P101" i="2"/>
  <c r="P84" i="2"/>
  <c r="P101" i="14"/>
  <c r="P36" i="14"/>
  <c r="P36" i="15"/>
  <c r="P84" i="14"/>
  <c r="C31" i="25"/>
  <c r="C50" i="25"/>
  <c r="Y30" i="25"/>
  <c r="I31" i="25"/>
  <c r="I32" i="25"/>
  <c r="I30" i="25"/>
  <c r="G31" i="25"/>
  <c r="G32" i="25"/>
  <c r="G30" i="25"/>
  <c r="S32" i="25"/>
  <c r="S31" i="25"/>
  <c r="S30" i="25"/>
  <c r="U31" i="25"/>
  <c r="U32" i="25"/>
  <c r="U30" i="25"/>
  <c r="Q30" i="25"/>
  <c r="Q31" i="25"/>
  <c r="Q32" i="25"/>
  <c r="M31" i="25"/>
  <c r="M32" i="25"/>
  <c r="M30" i="25"/>
  <c r="K32" i="25"/>
  <c r="K30" i="25"/>
  <c r="K31" i="25"/>
  <c r="C32" i="25"/>
  <c r="C30" i="25"/>
  <c r="E31" i="25"/>
  <c r="E32" i="25"/>
  <c r="E30" i="25"/>
  <c r="O31" i="25"/>
  <c r="O30" i="25"/>
  <c r="O32" i="25"/>
  <c r="F10" i="2"/>
  <c r="F92" i="14"/>
  <c r="F93" i="14"/>
  <c r="F91" i="2"/>
  <c r="F92" i="2"/>
  <c r="F31" i="2"/>
  <c r="F25" i="2"/>
  <c r="J66" i="37" l="1"/>
  <c r="K66" i="13"/>
  <c r="K65" i="37"/>
  <c r="K66" i="37" s="1"/>
  <c r="Q62" i="13"/>
  <c r="G62" i="13" s="1"/>
  <c r="G18" i="33" s="1"/>
  <c r="Q65" i="13"/>
  <c r="Q65" i="37" s="1"/>
  <c r="I34" i="25"/>
  <c r="C56" i="25"/>
  <c r="C34" i="25"/>
  <c r="C51" i="25"/>
  <c r="C52" i="25"/>
  <c r="C49" i="25"/>
  <c r="G65" i="13" l="1"/>
  <c r="J18" i="33" s="1"/>
  <c r="G65" i="37"/>
  <c r="J18" i="35" s="1"/>
  <c r="Q62" i="37"/>
  <c r="G62" i="37" s="1"/>
  <c r="G18" i="35" s="1"/>
  <c r="Q66" i="13"/>
  <c r="Z66" i="13" s="1"/>
  <c r="C130" i="25"/>
  <c r="C138" i="25" s="1"/>
  <c r="J17" i="23"/>
  <c r="K17" i="23"/>
  <c r="C17" i="23"/>
  <c r="I17" i="23"/>
  <c r="E17" i="23"/>
  <c r="F17" i="23"/>
  <c r="H17" i="23"/>
  <c r="G17" i="23"/>
  <c r="C55" i="25"/>
  <c r="C66" i="25" s="1"/>
  <c r="C71" i="25" s="1"/>
  <c r="C67" i="25"/>
  <c r="C72" i="25" s="1"/>
  <c r="C57" i="25"/>
  <c r="C68" i="25" s="1"/>
  <c r="C73" i="25" s="1"/>
  <c r="L17" i="23"/>
  <c r="D17" i="23"/>
  <c r="Q66" i="37" l="1"/>
  <c r="C131" i="25"/>
  <c r="S66" i="13"/>
  <c r="C58" i="25"/>
  <c r="C90" i="25"/>
  <c r="C80" i="25"/>
  <c r="C100" i="25"/>
  <c r="C89" i="25"/>
  <c r="C99" i="25"/>
  <c r="C79" i="25"/>
  <c r="C149" i="25"/>
  <c r="C143" i="25"/>
  <c r="C81" i="25"/>
  <c r="C101" i="25"/>
  <c r="C91" i="25"/>
  <c r="I66" i="4"/>
  <c r="G66" i="37" l="1"/>
  <c r="F18" i="35" s="1"/>
  <c r="Z66" i="37"/>
  <c r="C111" i="25"/>
  <c r="C116" i="25" s="1"/>
  <c r="C137" i="25" s="1"/>
  <c r="C109" i="25"/>
  <c r="C114" i="25" s="1"/>
  <c r="C135" i="25" s="1"/>
  <c r="C110" i="25"/>
  <c r="C142" i="25" l="1"/>
  <c r="C148" i="25"/>
  <c r="C127" i="25"/>
  <c r="C115" i="25"/>
  <c r="C136" i="25" s="1"/>
  <c r="C125" i="25"/>
  <c r="C146" i="25"/>
  <c r="C140" i="25"/>
  <c r="I81" i="4"/>
  <c r="K21" i="23"/>
  <c r="B21" i="23" l="1"/>
  <c r="B20" i="23"/>
  <c r="C21" i="23"/>
  <c r="I20" i="23"/>
  <c r="I21" i="23"/>
  <c r="H20" i="23"/>
  <c r="H21" i="23"/>
  <c r="J20" i="23"/>
  <c r="J21" i="23"/>
  <c r="E20" i="23"/>
  <c r="E21" i="23"/>
  <c r="G20" i="23"/>
  <c r="G21" i="23"/>
  <c r="F20" i="23"/>
  <c r="F21" i="23"/>
  <c r="D20" i="23"/>
  <c r="D21" i="23"/>
  <c r="C126" i="25"/>
  <c r="C141" i="25"/>
  <c r="C147" i="25"/>
  <c r="K20" i="23"/>
  <c r="K23" i="23" s="1"/>
  <c r="C20" i="23"/>
  <c r="C23" i="23" s="1"/>
  <c r="R56" i="25"/>
  <c r="R67" i="25" s="1"/>
  <c r="R72" i="25" s="1"/>
  <c r="P56" i="25"/>
  <c r="D55" i="25"/>
  <c r="N56" i="25"/>
  <c r="N67" i="25" s="1"/>
  <c r="N72" i="25" s="1"/>
  <c r="T56" i="25"/>
  <c r="J55" i="25"/>
  <c r="H55" i="25"/>
  <c r="F55" i="25"/>
  <c r="X13" i="13" l="1"/>
  <c r="X12" i="13"/>
  <c r="X15" i="13"/>
  <c r="W13" i="13"/>
  <c r="W12" i="13"/>
  <c r="W15" i="13"/>
  <c r="X55" i="13"/>
  <c r="X52" i="13"/>
  <c r="X53" i="13"/>
  <c r="W55" i="13"/>
  <c r="W53" i="13"/>
  <c r="W52" i="13"/>
  <c r="R12" i="13"/>
  <c r="R12" i="37" s="1"/>
  <c r="R13" i="13"/>
  <c r="R13" i="37" s="1"/>
  <c r="R15" i="13"/>
  <c r="R15" i="37" s="1"/>
  <c r="R53" i="13"/>
  <c r="R53" i="37" s="1"/>
  <c r="R52" i="13"/>
  <c r="R52" i="37" s="1"/>
  <c r="R55" i="13"/>
  <c r="R55" i="37" s="1"/>
  <c r="S14" i="13"/>
  <c r="L15" i="13"/>
  <c r="L15" i="37" s="1"/>
  <c r="Q12" i="13"/>
  <c r="Q12" i="37" s="1"/>
  <c r="L13" i="13"/>
  <c r="L13" i="37" s="1"/>
  <c r="P15" i="13"/>
  <c r="P15" i="37" s="1"/>
  <c r="L8" i="33"/>
  <c r="L8" i="35" s="1"/>
  <c r="L12" i="13"/>
  <c r="L12" i="37" s="1"/>
  <c r="P13" i="13"/>
  <c r="P13" i="37" s="1"/>
  <c r="I15" i="13"/>
  <c r="I15" i="37" s="1"/>
  <c r="P12" i="13"/>
  <c r="P12" i="37" s="1"/>
  <c r="I12" i="13"/>
  <c r="I12" i="37" s="1"/>
  <c r="I13" i="13"/>
  <c r="I13" i="37" s="1"/>
  <c r="O13" i="13"/>
  <c r="O13" i="37" s="1"/>
  <c r="N15" i="13"/>
  <c r="N15" i="37" s="1"/>
  <c r="O12" i="13"/>
  <c r="O12" i="37" s="1"/>
  <c r="N13" i="13"/>
  <c r="N13" i="37" s="1"/>
  <c r="O15" i="13"/>
  <c r="O15" i="37" s="1"/>
  <c r="Q15" i="13"/>
  <c r="Q15" i="37" s="1"/>
  <c r="N12" i="13"/>
  <c r="N12" i="37" s="1"/>
  <c r="Q13" i="13"/>
  <c r="Q13" i="37" s="1"/>
  <c r="S54" i="13"/>
  <c r="L53" i="13"/>
  <c r="L53" i="37" s="1"/>
  <c r="P55" i="13"/>
  <c r="P55" i="37" s="1"/>
  <c r="L52" i="13"/>
  <c r="L52" i="37" s="1"/>
  <c r="P53" i="13"/>
  <c r="P53" i="37" s="1"/>
  <c r="O52" i="13"/>
  <c r="O52" i="37" s="1"/>
  <c r="P52" i="13"/>
  <c r="P52" i="37" s="1"/>
  <c r="I52" i="13"/>
  <c r="I52" i="37" s="1"/>
  <c r="I55" i="13"/>
  <c r="I55" i="37" s="1"/>
  <c r="O53" i="13"/>
  <c r="O53" i="37" s="1"/>
  <c r="Q53" i="13"/>
  <c r="Q53" i="37" s="1"/>
  <c r="N55" i="13"/>
  <c r="N55" i="37" s="1"/>
  <c r="I53" i="13"/>
  <c r="I53" i="37" s="1"/>
  <c r="Q55" i="13"/>
  <c r="Q55" i="37" s="1"/>
  <c r="N53" i="13"/>
  <c r="N53" i="37" s="1"/>
  <c r="N52" i="13"/>
  <c r="N52" i="37" s="1"/>
  <c r="Q52" i="13"/>
  <c r="Q52" i="37" s="1"/>
  <c r="L55" i="13"/>
  <c r="L55" i="37" s="1"/>
  <c r="O55" i="13"/>
  <c r="O55" i="37" s="1"/>
  <c r="J23" i="23"/>
  <c r="B23" i="23"/>
  <c r="E23" i="23"/>
  <c r="H23" i="23"/>
  <c r="D23" i="23"/>
  <c r="F23" i="23"/>
  <c r="G23" i="23"/>
  <c r="I23" i="23"/>
  <c r="O34" i="25"/>
  <c r="M34" i="25"/>
  <c r="E34" i="25"/>
  <c r="F66" i="25"/>
  <c r="F71" i="25" s="1"/>
  <c r="F99" i="25" s="1"/>
  <c r="H66" i="25"/>
  <c r="H71" i="25" s="1"/>
  <c r="H89" i="25" s="1"/>
  <c r="G34" i="25"/>
  <c r="U34" i="25"/>
  <c r="K34" i="25"/>
  <c r="S34" i="25"/>
  <c r="Q34" i="25"/>
  <c r="T57" i="25"/>
  <c r="T68" i="25" s="1"/>
  <c r="T73" i="25" s="1"/>
  <c r="J56" i="25"/>
  <c r="L55" i="25"/>
  <c r="D56" i="25"/>
  <c r="F56" i="25"/>
  <c r="J57" i="25"/>
  <c r="J68" i="25" s="1"/>
  <c r="J73" i="25" s="1"/>
  <c r="J81" i="25" s="1"/>
  <c r="P57" i="25"/>
  <c r="N57" i="25"/>
  <c r="N68" i="25" s="1"/>
  <c r="N73" i="25" s="1"/>
  <c r="N101" i="25" s="1"/>
  <c r="R57" i="25"/>
  <c r="D57" i="25"/>
  <c r="D68" i="25" s="1"/>
  <c r="D73" i="25" s="1"/>
  <c r="D91" i="25" s="1"/>
  <c r="R55" i="25"/>
  <c r="H56" i="25"/>
  <c r="N55" i="25"/>
  <c r="H57" i="25"/>
  <c r="H68" i="25" s="1"/>
  <c r="H73" i="25" s="1"/>
  <c r="F57" i="25"/>
  <c r="T55" i="25"/>
  <c r="P55" i="25"/>
  <c r="P67" i="25"/>
  <c r="P72" i="25" s="1"/>
  <c r="T67" i="25"/>
  <c r="T72" i="25" s="1"/>
  <c r="R80" i="25"/>
  <c r="R90" i="25"/>
  <c r="R100" i="25"/>
  <c r="N80" i="25"/>
  <c r="N100" i="25"/>
  <c r="N90" i="25"/>
  <c r="L56" i="25"/>
  <c r="J66" i="25"/>
  <c r="J71" i="25" s="1"/>
  <c r="D66" i="25"/>
  <c r="D71" i="25" s="1"/>
  <c r="R56" i="37" l="1"/>
  <c r="H16" i="27" s="1"/>
  <c r="O16" i="37"/>
  <c r="R16" i="37"/>
  <c r="H15" i="27" s="1"/>
  <c r="P16" i="37"/>
  <c r="G15" i="27" s="1"/>
  <c r="N56" i="37"/>
  <c r="I56" i="37"/>
  <c r="C16" i="27" s="1"/>
  <c r="I16" i="37"/>
  <c r="C15" i="27" s="1"/>
  <c r="L16" i="37"/>
  <c r="Q56" i="37"/>
  <c r="P56" i="37"/>
  <c r="G16" i="27" s="1"/>
  <c r="Q16" i="37"/>
  <c r="O56" i="37"/>
  <c r="N16" i="37"/>
  <c r="L56" i="37"/>
  <c r="S16" i="13"/>
  <c r="S14" i="37"/>
  <c r="G14" i="37" s="1"/>
  <c r="S56" i="13"/>
  <c r="S54" i="37"/>
  <c r="G54" i="37" s="1"/>
  <c r="X18" i="13"/>
  <c r="X20" i="13"/>
  <c r="X17" i="13"/>
  <c r="W17" i="13"/>
  <c r="W20" i="13"/>
  <c r="W18" i="13"/>
  <c r="X32" i="13"/>
  <c r="X35" i="13"/>
  <c r="X33" i="13"/>
  <c r="W35" i="13"/>
  <c r="W32" i="13"/>
  <c r="W33" i="13"/>
  <c r="X40" i="13"/>
  <c r="X38" i="13"/>
  <c r="X37" i="13"/>
  <c r="W38" i="13"/>
  <c r="W37" i="13"/>
  <c r="W40" i="13"/>
  <c r="X23" i="13"/>
  <c r="X22" i="13"/>
  <c r="X25" i="13"/>
  <c r="W25" i="13"/>
  <c r="W22" i="13"/>
  <c r="W23" i="13"/>
  <c r="X50" i="13"/>
  <c r="X48" i="13"/>
  <c r="X47" i="13"/>
  <c r="W47" i="13"/>
  <c r="W48" i="13"/>
  <c r="W50" i="13"/>
  <c r="X27" i="13"/>
  <c r="X28" i="13"/>
  <c r="X30" i="13"/>
  <c r="W30" i="13"/>
  <c r="W27" i="13"/>
  <c r="W28" i="13"/>
  <c r="X43" i="13"/>
  <c r="X42" i="13"/>
  <c r="X45" i="13"/>
  <c r="W42" i="13"/>
  <c r="W45" i="13"/>
  <c r="W43" i="13"/>
  <c r="X7" i="13"/>
  <c r="X10" i="13"/>
  <c r="X8" i="13"/>
  <c r="K35" i="25"/>
  <c r="W10" i="13"/>
  <c r="W8" i="13"/>
  <c r="W7" i="13"/>
  <c r="X16" i="13"/>
  <c r="R48" i="13"/>
  <c r="R48" i="37" s="1"/>
  <c r="R47" i="13"/>
  <c r="R47" i="37" s="1"/>
  <c r="R50" i="13"/>
  <c r="R50" i="37" s="1"/>
  <c r="R28" i="13"/>
  <c r="R28" i="37" s="1"/>
  <c r="R27" i="13"/>
  <c r="R27" i="37" s="1"/>
  <c r="R30" i="13"/>
  <c r="R30" i="37" s="1"/>
  <c r="R18" i="13"/>
  <c r="R18" i="37" s="1"/>
  <c r="R17" i="13"/>
  <c r="R17" i="37" s="1"/>
  <c r="R20" i="13"/>
  <c r="R20" i="37" s="1"/>
  <c r="R43" i="13"/>
  <c r="R43" i="37" s="1"/>
  <c r="R42" i="13"/>
  <c r="R42" i="37" s="1"/>
  <c r="R46" i="37" s="1"/>
  <c r="H11" i="27" s="1"/>
  <c r="R45" i="13"/>
  <c r="R45" i="37" s="1"/>
  <c r="R32" i="13"/>
  <c r="R32" i="37" s="1"/>
  <c r="R33" i="13"/>
  <c r="R33" i="37" s="1"/>
  <c r="R35" i="13"/>
  <c r="R35" i="37" s="1"/>
  <c r="W16" i="13"/>
  <c r="R38" i="13"/>
  <c r="R38" i="37" s="1"/>
  <c r="R37" i="13"/>
  <c r="R37" i="37" s="1"/>
  <c r="R40" i="13"/>
  <c r="R40" i="37" s="1"/>
  <c r="R22" i="13"/>
  <c r="R22" i="37" s="1"/>
  <c r="R26" i="37" s="1"/>
  <c r="H10" i="27" s="1"/>
  <c r="R23" i="13"/>
  <c r="R23" i="37" s="1"/>
  <c r="R25" i="13"/>
  <c r="R25" i="37" s="1"/>
  <c r="I35" i="25"/>
  <c r="M35" i="25"/>
  <c r="W56" i="13"/>
  <c r="R8" i="13"/>
  <c r="R8" i="37" s="1"/>
  <c r="R10" i="13"/>
  <c r="R10" i="37" s="1"/>
  <c r="R7" i="13"/>
  <c r="R7" i="37" s="1"/>
  <c r="C35" i="25"/>
  <c r="U19" i="13"/>
  <c r="T19" i="13" s="1"/>
  <c r="G35" i="25"/>
  <c r="U14" i="13"/>
  <c r="T14" i="13" s="1"/>
  <c r="E35" i="25"/>
  <c r="U44" i="13"/>
  <c r="T44" i="13" s="1"/>
  <c r="Q35" i="25"/>
  <c r="U54" i="13"/>
  <c r="T54" i="13" s="1"/>
  <c r="U35" i="25"/>
  <c r="U49" i="13"/>
  <c r="T49" i="13" s="1"/>
  <c r="S35" i="25"/>
  <c r="U39" i="13"/>
  <c r="T39" i="13" s="1"/>
  <c r="O35" i="25"/>
  <c r="R56" i="13"/>
  <c r="U29" i="13"/>
  <c r="T29" i="13" s="1"/>
  <c r="S44" i="13"/>
  <c r="N45" i="13"/>
  <c r="N45" i="37" s="1"/>
  <c r="I43" i="13"/>
  <c r="I43" i="37" s="1"/>
  <c r="N43" i="13"/>
  <c r="N43" i="37" s="1"/>
  <c r="I42" i="13"/>
  <c r="I42" i="37" s="1"/>
  <c r="Q45" i="13"/>
  <c r="Q45" i="37" s="1"/>
  <c r="N42" i="13"/>
  <c r="N42" i="37" s="1"/>
  <c r="O45" i="13"/>
  <c r="O45" i="37" s="1"/>
  <c r="Q43" i="13"/>
  <c r="Q43" i="37" s="1"/>
  <c r="L45" i="13"/>
  <c r="L45" i="37" s="1"/>
  <c r="Q42" i="13"/>
  <c r="Q42" i="37" s="1"/>
  <c r="L42" i="13"/>
  <c r="L42" i="37" s="1"/>
  <c r="P45" i="13"/>
  <c r="P45" i="37" s="1"/>
  <c r="L43" i="13"/>
  <c r="L43" i="37" s="1"/>
  <c r="O42" i="13"/>
  <c r="O42" i="37" s="1"/>
  <c r="L14" i="33"/>
  <c r="L14" i="35" s="1"/>
  <c r="O43" i="13"/>
  <c r="O43" i="37" s="1"/>
  <c r="P43" i="13"/>
  <c r="P43" i="37" s="1"/>
  <c r="I45" i="13"/>
  <c r="I45" i="37" s="1"/>
  <c r="P42" i="13"/>
  <c r="P42" i="37" s="1"/>
  <c r="S49" i="13"/>
  <c r="L48" i="13"/>
  <c r="L48" i="37" s="1"/>
  <c r="P50" i="13"/>
  <c r="P50" i="37" s="1"/>
  <c r="L47" i="13"/>
  <c r="L47" i="37" s="1"/>
  <c r="P48" i="13"/>
  <c r="P48" i="37" s="1"/>
  <c r="O50" i="13"/>
  <c r="O50" i="37" s="1"/>
  <c r="P47" i="13"/>
  <c r="P47" i="37" s="1"/>
  <c r="Q48" i="13"/>
  <c r="Q48" i="37" s="1"/>
  <c r="I50" i="13"/>
  <c r="I50" i="37" s="1"/>
  <c r="O47" i="13"/>
  <c r="O47" i="37" s="1"/>
  <c r="N48" i="13"/>
  <c r="N48" i="37" s="1"/>
  <c r="N50" i="13"/>
  <c r="N50" i="37" s="1"/>
  <c r="I48" i="13"/>
  <c r="I48" i="37" s="1"/>
  <c r="Q50" i="13"/>
  <c r="Q50" i="37" s="1"/>
  <c r="N47" i="13"/>
  <c r="N47" i="37" s="1"/>
  <c r="Q47" i="13"/>
  <c r="Q47" i="37" s="1"/>
  <c r="I47" i="13"/>
  <c r="I47" i="37" s="1"/>
  <c r="L50" i="13"/>
  <c r="L50" i="37" s="1"/>
  <c r="O48" i="13"/>
  <c r="O48" i="37" s="1"/>
  <c r="S34" i="13"/>
  <c r="O35" i="13"/>
  <c r="O35" i="37" s="1"/>
  <c r="P33" i="13"/>
  <c r="P33" i="37" s="1"/>
  <c r="I35" i="13"/>
  <c r="I35" i="37" s="1"/>
  <c r="P32" i="13"/>
  <c r="P32" i="37" s="1"/>
  <c r="N35" i="13"/>
  <c r="N35" i="37" s="1"/>
  <c r="I33" i="13"/>
  <c r="I33" i="37" s="1"/>
  <c r="L35" i="13"/>
  <c r="L35" i="37" s="1"/>
  <c r="Q32" i="13"/>
  <c r="Q32" i="37" s="1"/>
  <c r="N33" i="13"/>
  <c r="N33" i="37" s="1"/>
  <c r="I32" i="13"/>
  <c r="I32" i="37" s="1"/>
  <c r="Q35" i="13"/>
  <c r="Q35" i="37" s="1"/>
  <c r="N32" i="13"/>
  <c r="N32" i="37" s="1"/>
  <c r="Q33" i="13"/>
  <c r="Q33" i="37" s="1"/>
  <c r="L33" i="13"/>
  <c r="L33" i="37" s="1"/>
  <c r="O33" i="13"/>
  <c r="O33" i="37" s="1"/>
  <c r="O32" i="13"/>
  <c r="O32" i="37" s="1"/>
  <c r="L32" i="13"/>
  <c r="L32" i="37" s="1"/>
  <c r="P35" i="13"/>
  <c r="P35" i="37" s="1"/>
  <c r="X56" i="13"/>
  <c r="Q56" i="13"/>
  <c r="S29" i="13"/>
  <c r="O27" i="13"/>
  <c r="O27" i="37" s="1"/>
  <c r="I30" i="13"/>
  <c r="I30" i="37" s="1"/>
  <c r="P27" i="13"/>
  <c r="P27" i="37" s="1"/>
  <c r="N30" i="13"/>
  <c r="N30" i="37" s="1"/>
  <c r="I28" i="13"/>
  <c r="I28" i="37" s="1"/>
  <c r="Q27" i="13"/>
  <c r="Q27" i="37" s="1"/>
  <c r="N28" i="13"/>
  <c r="N28" i="37" s="1"/>
  <c r="I27" i="13"/>
  <c r="I27" i="37" s="1"/>
  <c r="Q30" i="13"/>
  <c r="Q30" i="37" s="1"/>
  <c r="N27" i="13"/>
  <c r="N27" i="37" s="1"/>
  <c r="O30" i="13"/>
  <c r="O30" i="37" s="1"/>
  <c r="Q28" i="13"/>
  <c r="Q28" i="37" s="1"/>
  <c r="L30" i="13"/>
  <c r="L30" i="37" s="1"/>
  <c r="L28" i="13"/>
  <c r="L28" i="37" s="1"/>
  <c r="O28" i="13"/>
  <c r="O28" i="37" s="1"/>
  <c r="L27" i="13"/>
  <c r="L27" i="37" s="1"/>
  <c r="P28" i="13"/>
  <c r="P28" i="37" s="1"/>
  <c r="P30" i="13"/>
  <c r="P30" i="37" s="1"/>
  <c r="Q16" i="13"/>
  <c r="S19" i="13"/>
  <c r="N18" i="13"/>
  <c r="N18" i="37" s="1"/>
  <c r="I17" i="13"/>
  <c r="I17" i="37" s="1"/>
  <c r="Q20" i="13"/>
  <c r="Q20" i="37" s="1"/>
  <c r="N17" i="13"/>
  <c r="N17" i="37" s="1"/>
  <c r="Q18" i="13"/>
  <c r="Q18" i="37" s="1"/>
  <c r="L20" i="13"/>
  <c r="L20" i="37" s="1"/>
  <c r="Q17" i="13"/>
  <c r="Q17" i="37" s="1"/>
  <c r="P18" i="13"/>
  <c r="P18" i="37" s="1"/>
  <c r="L18" i="13"/>
  <c r="L18" i="37" s="1"/>
  <c r="O20" i="13"/>
  <c r="O20" i="37" s="1"/>
  <c r="L17" i="13"/>
  <c r="L17" i="37" s="1"/>
  <c r="O17" i="13"/>
  <c r="O17" i="37" s="1"/>
  <c r="P20" i="13"/>
  <c r="P20" i="37" s="1"/>
  <c r="O18" i="13"/>
  <c r="O18" i="37" s="1"/>
  <c r="I20" i="13"/>
  <c r="I20" i="37" s="1"/>
  <c r="P17" i="13"/>
  <c r="P17" i="37" s="1"/>
  <c r="N20" i="13"/>
  <c r="N20" i="37" s="1"/>
  <c r="I18" i="13"/>
  <c r="I18" i="37" s="1"/>
  <c r="R16" i="13"/>
  <c r="S39" i="13"/>
  <c r="I40" i="13"/>
  <c r="I40" i="37" s="1"/>
  <c r="O37" i="13"/>
  <c r="O37" i="37" s="1"/>
  <c r="N40" i="13"/>
  <c r="N40" i="37" s="1"/>
  <c r="I38" i="13"/>
  <c r="I38" i="37" s="1"/>
  <c r="O40" i="13"/>
  <c r="O40" i="37" s="1"/>
  <c r="N38" i="13"/>
  <c r="N38" i="37" s="1"/>
  <c r="I37" i="13"/>
  <c r="I37" i="37" s="1"/>
  <c r="Q40" i="13"/>
  <c r="Q40" i="37" s="1"/>
  <c r="N37" i="13"/>
  <c r="N37" i="37" s="1"/>
  <c r="Q38" i="13"/>
  <c r="Q38" i="37" s="1"/>
  <c r="L40" i="13"/>
  <c r="L40" i="37" s="1"/>
  <c r="O38" i="13"/>
  <c r="O38" i="37" s="1"/>
  <c r="Q37" i="13"/>
  <c r="Q37" i="37" s="1"/>
  <c r="P40" i="13"/>
  <c r="P40" i="37" s="1"/>
  <c r="L38" i="13"/>
  <c r="L38" i="37" s="1"/>
  <c r="P38" i="13"/>
  <c r="P38" i="37" s="1"/>
  <c r="L37" i="13"/>
  <c r="L37" i="37" s="1"/>
  <c r="P37" i="13"/>
  <c r="P37" i="37" s="1"/>
  <c r="S24" i="13"/>
  <c r="N22" i="13"/>
  <c r="N22" i="37" s="1"/>
  <c r="Q23" i="13"/>
  <c r="Q23" i="37" s="1"/>
  <c r="O25" i="13"/>
  <c r="O25" i="37" s="1"/>
  <c r="O22" i="13"/>
  <c r="O22" i="37" s="1"/>
  <c r="Q22" i="13"/>
  <c r="Q22" i="37" s="1"/>
  <c r="L25" i="13"/>
  <c r="L25" i="37" s="1"/>
  <c r="P25" i="13"/>
  <c r="P25" i="37" s="1"/>
  <c r="I25" i="13"/>
  <c r="I25" i="37" s="1"/>
  <c r="L23" i="13"/>
  <c r="L23" i="37" s="1"/>
  <c r="P23" i="13"/>
  <c r="P23" i="37" s="1"/>
  <c r="L22" i="13"/>
  <c r="L22" i="37" s="1"/>
  <c r="P22" i="13"/>
  <c r="P22" i="37" s="1"/>
  <c r="N25" i="13"/>
  <c r="N25" i="37" s="1"/>
  <c r="I23" i="13"/>
  <c r="I23" i="37" s="1"/>
  <c r="O23" i="13"/>
  <c r="O23" i="37" s="1"/>
  <c r="I22" i="13"/>
  <c r="I22" i="37" s="1"/>
  <c r="N23" i="13"/>
  <c r="N23" i="37" s="1"/>
  <c r="Q25" i="13"/>
  <c r="Q25" i="37" s="1"/>
  <c r="U24" i="13"/>
  <c r="T24" i="13" s="1"/>
  <c r="U34" i="13"/>
  <c r="T34" i="13" s="1"/>
  <c r="S9" i="13"/>
  <c r="L8" i="13"/>
  <c r="L8" i="37" s="1"/>
  <c r="P10" i="13"/>
  <c r="P10" i="37" s="1"/>
  <c r="L7" i="13"/>
  <c r="L7" i="37" s="1"/>
  <c r="P8" i="13"/>
  <c r="P8" i="37" s="1"/>
  <c r="O10" i="13"/>
  <c r="O10" i="37" s="1"/>
  <c r="P7" i="13"/>
  <c r="P7" i="37" s="1"/>
  <c r="N7" i="13"/>
  <c r="N7" i="37" s="1"/>
  <c r="Q8" i="13"/>
  <c r="Q8" i="37" s="1"/>
  <c r="N10" i="13"/>
  <c r="N10" i="37" s="1"/>
  <c r="I10" i="13"/>
  <c r="I10" i="37" s="1"/>
  <c r="N8" i="13"/>
  <c r="N8" i="37" s="1"/>
  <c r="I8" i="13"/>
  <c r="I8" i="37" s="1"/>
  <c r="Q10" i="13"/>
  <c r="Q10" i="37" s="1"/>
  <c r="I7" i="13"/>
  <c r="I7" i="37" s="1"/>
  <c r="O7" i="13"/>
  <c r="O7" i="37" s="1"/>
  <c r="Q7" i="13"/>
  <c r="Q7" i="37" s="1"/>
  <c r="L10" i="13"/>
  <c r="L10" i="37" s="1"/>
  <c r="O8" i="13"/>
  <c r="O8" i="37" s="1"/>
  <c r="U9" i="13"/>
  <c r="T9" i="13" s="1"/>
  <c r="P56" i="13"/>
  <c r="P16" i="13"/>
  <c r="P90" i="25"/>
  <c r="P100" i="25"/>
  <c r="B91" i="25"/>
  <c r="B81" i="25"/>
  <c r="B101" i="25"/>
  <c r="H79" i="25"/>
  <c r="F89" i="25"/>
  <c r="F79" i="25"/>
  <c r="H99" i="25"/>
  <c r="R66" i="25"/>
  <c r="R71" i="25" s="1"/>
  <c r="R89" i="25" s="1"/>
  <c r="L66" i="25"/>
  <c r="L71" i="25" s="1"/>
  <c r="L79" i="25" s="1"/>
  <c r="N66" i="25"/>
  <c r="N71" i="25" s="1"/>
  <c r="N79" i="25" s="1"/>
  <c r="F67" i="25"/>
  <c r="F72" i="25" s="1"/>
  <c r="F90" i="25" s="1"/>
  <c r="D67" i="25"/>
  <c r="D72" i="25" s="1"/>
  <c r="D80" i="25" s="1"/>
  <c r="F68" i="25"/>
  <c r="F73" i="25" s="1"/>
  <c r="F91" i="25" s="1"/>
  <c r="J101" i="25"/>
  <c r="N81" i="25"/>
  <c r="H67" i="25"/>
  <c r="H72" i="25" s="1"/>
  <c r="H100" i="25" s="1"/>
  <c r="N91" i="25"/>
  <c r="P66" i="25"/>
  <c r="P71" i="25" s="1"/>
  <c r="P79" i="25" s="1"/>
  <c r="J91" i="25"/>
  <c r="L67" i="25"/>
  <c r="L72" i="25" s="1"/>
  <c r="L90" i="25" s="1"/>
  <c r="J67" i="25"/>
  <c r="J72" i="25" s="1"/>
  <c r="J100" i="25" s="1"/>
  <c r="T66" i="25"/>
  <c r="T71" i="25" s="1"/>
  <c r="T99" i="25" s="1"/>
  <c r="P68" i="25"/>
  <c r="P73" i="25" s="1"/>
  <c r="P101" i="25" s="1"/>
  <c r="P80" i="25"/>
  <c r="H81" i="25"/>
  <c r="H91" i="25"/>
  <c r="H101" i="25"/>
  <c r="R110" i="25"/>
  <c r="R115" i="25" s="1"/>
  <c r="R136" i="25" s="1"/>
  <c r="N110" i="25"/>
  <c r="N115" i="25" s="1"/>
  <c r="N136" i="25" s="1"/>
  <c r="T80" i="25"/>
  <c r="T90" i="25"/>
  <c r="T100" i="25"/>
  <c r="T101" i="25"/>
  <c r="T91" i="25"/>
  <c r="T81" i="25"/>
  <c r="R68" i="25"/>
  <c r="R73" i="25" s="1"/>
  <c r="L57" i="25"/>
  <c r="J79" i="25"/>
  <c r="J89" i="25"/>
  <c r="J99" i="25"/>
  <c r="D79" i="25"/>
  <c r="D89" i="25"/>
  <c r="D99" i="25"/>
  <c r="D81" i="25"/>
  <c r="D101" i="25"/>
  <c r="R31" i="37" l="1"/>
  <c r="H8" i="27" s="1"/>
  <c r="F15" i="27"/>
  <c r="R51" i="37"/>
  <c r="H7" i="27" s="1"/>
  <c r="R36" i="37"/>
  <c r="H17" i="27" s="1"/>
  <c r="R41" i="37"/>
  <c r="H9" i="27" s="1"/>
  <c r="P26" i="37"/>
  <c r="G10" i="27" s="1"/>
  <c r="P21" i="37"/>
  <c r="G14" i="27" s="1"/>
  <c r="R21" i="37"/>
  <c r="H14" i="27" s="1"/>
  <c r="P11" i="37"/>
  <c r="G12" i="27" s="1"/>
  <c r="R11" i="37"/>
  <c r="H12" i="27" s="1"/>
  <c r="E15" i="27"/>
  <c r="I51" i="37"/>
  <c r="C7" i="27" s="1"/>
  <c r="O41" i="37"/>
  <c r="O46" i="37"/>
  <c r="F11" i="27" s="1"/>
  <c r="E16" i="27"/>
  <c r="L26" i="37"/>
  <c r="Q31" i="37"/>
  <c r="I41" i="37"/>
  <c r="C9" i="27" s="1"/>
  <c r="I26" i="37"/>
  <c r="C10" i="27" s="1"/>
  <c r="L51" i="37"/>
  <c r="Q46" i="37"/>
  <c r="L11" i="37"/>
  <c r="Q21" i="37"/>
  <c r="Q36" i="37"/>
  <c r="N36" i="37"/>
  <c r="P41" i="37"/>
  <c r="G9" i="27" s="1"/>
  <c r="N31" i="37"/>
  <c r="N46" i="37"/>
  <c r="L41" i="37"/>
  <c r="N41" i="37"/>
  <c r="O31" i="37"/>
  <c r="O51" i="37"/>
  <c r="Q11" i="37"/>
  <c r="Q26" i="37"/>
  <c r="O21" i="37"/>
  <c r="N21" i="37"/>
  <c r="L31" i="37"/>
  <c r="I31" i="37"/>
  <c r="C8" i="27" s="1"/>
  <c r="I46" i="37"/>
  <c r="C11" i="27" s="1"/>
  <c r="N11" i="37"/>
  <c r="O26" i="37"/>
  <c r="L21" i="37"/>
  <c r="E14" i="27" s="1"/>
  <c r="P36" i="37"/>
  <c r="G17" i="27" s="1"/>
  <c r="Q51" i="37"/>
  <c r="P46" i="37"/>
  <c r="G11" i="27" s="1"/>
  <c r="L46" i="37"/>
  <c r="E11" i="27" s="1"/>
  <c r="I21" i="37"/>
  <c r="C14" i="27" s="1"/>
  <c r="N51" i="37"/>
  <c r="P51" i="37"/>
  <c r="G7" i="27" s="1"/>
  <c r="F16" i="27"/>
  <c r="I11" i="37"/>
  <c r="C12" i="27" s="1"/>
  <c r="Q41" i="37"/>
  <c r="I36" i="37"/>
  <c r="C17" i="27" s="1"/>
  <c r="O11" i="37"/>
  <c r="N26" i="37"/>
  <c r="L36" i="37"/>
  <c r="P31" i="37"/>
  <c r="G8" i="27" s="1"/>
  <c r="O36" i="37"/>
  <c r="F17" i="27" s="1"/>
  <c r="S41" i="13"/>
  <c r="S39" i="37"/>
  <c r="G39" i="37" s="1"/>
  <c r="S31" i="13"/>
  <c r="S29" i="37"/>
  <c r="G29" i="37" s="1"/>
  <c r="S51" i="13"/>
  <c r="S49" i="37"/>
  <c r="G49" i="37" s="1"/>
  <c r="S21" i="13"/>
  <c r="S19" i="37"/>
  <c r="G19" i="37" s="1"/>
  <c r="S46" i="13"/>
  <c r="S44" i="37"/>
  <c r="G44" i="37" s="1"/>
  <c r="I8" i="35"/>
  <c r="S16" i="37"/>
  <c r="I15" i="27" s="1"/>
  <c r="S26" i="13"/>
  <c r="S24" i="37"/>
  <c r="G24" i="37" s="1"/>
  <c r="S36" i="13"/>
  <c r="S34" i="37"/>
  <c r="G34" i="37" s="1"/>
  <c r="S11" i="13"/>
  <c r="S9" i="37"/>
  <c r="G9" i="37" s="1"/>
  <c r="S56" i="37"/>
  <c r="I16" i="27" s="1"/>
  <c r="I16" i="35"/>
  <c r="W31" i="13"/>
  <c r="R11" i="13"/>
  <c r="W41" i="13"/>
  <c r="W51" i="13"/>
  <c r="X21" i="13"/>
  <c r="B111" i="25"/>
  <c r="B116" i="25" s="1"/>
  <c r="B137" i="25" s="1"/>
  <c r="B148" i="25" s="1"/>
  <c r="B89" i="25"/>
  <c r="B99" i="25"/>
  <c r="X46" i="13"/>
  <c r="X31" i="13"/>
  <c r="X41" i="13"/>
  <c r="Q46" i="13"/>
  <c r="Q11" i="13"/>
  <c r="W26" i="13"/>
  <c r="W21" i="13"/>
  <c r="Q51" i="13"/>
  <c r="Q31" i="13"/>
  <c r="X51" i="13"/>
  <c r="W11" i="13"/>
  <c r="X36" i="13"/>
  <c r="P11" i="13"/>
  <c r="Q21" i="13"/>
  <c r="W46" i="13"/>
  <c r="X11" i="13"/>
  <c r="X26" i="13"/>
  <c r="Q41" i="13"/>
  <c r="Q36" i="13"/>
  <c r="W36" i="13"/>
  <c r="Q26" i="13"/>
  <c r="R141" i="25"/>
  <c r="R147" i="25"/>
  <c r="N141" i="25"/>
  <c r="N147" i="25"/>
  <c r="B79" i="25"/>
  <c r="F109" i="25"/>
  <c r="F114" i="25" s="1"/>
  <c r="B100" i="25"/>
  <c r="H109" i="25"/>
  <c r="H114" i="25" s="1"/>
  <c r="R79" i="25"/>
  <c r="L89" i="25"/>
  <c r="L99" i="25"/>
  <c r="R99" i="25"/>
  <c r="N89" i="25"/>
  <c r="N99" i="25"/>
  <c r="F80" i="25"/>
  <c r="F100" i="25"/>
  <c r="D100" i="25"/>
  <c r="N111" i="25"/>
  <c r="N116" i="25" s="1"/>
  <c r="N137" i="25" s="1"/>
  <c r="N148" i="25" s="1"/>
  <c r="F101" i="25"/>
  <c r="F81" i="25"/>
  <c r="J111" i="25"/>
  <c r="J116" i="25" s="1"/>
  <c r="J137" i="25" s="1"/>
  <c r="D90" i="25"/>
  <c r="H80" i="25"/>
  <c r="H90" i="25"/>
  <c r="T79" i="25"/>
  <c r="P99" i="25"/>
  <c r="P89" i="25"/>
  <c r="P91" i="25"/>
  <c r="L80" i="25"/>
  <c r="P81" i="25"/>
  <c r="L100" i="25"/>
  <c r="T89" i="25"/>
  <c r="J90" i="25"/>
  <c r="J80" i="25"/>
  <c r="P110" i="25"/>
  <c r="P115" i="25" s="1"/>
  <c r="P136" i="25" s="1"/>
  <c r="H111" i="25"/>
  <c r="H116" i="25" s="1"/>
  <c r="H127" i="25" s="1"/>
  <c r="D111" i="25"/>
  <c r="D116" i="25" s="1"/>
  <c r="D137" i="25" s="1"/>
  <c r="N126" i="25"/>
  <c r="R126" i="25"/>
  <c r="T111" i="25"/>
  <c r="T110" i="25"/>
  <c r="R101" i="25"/>
  <c r="R91" i="25"/>
  <c r="R81" i="25"/>
  <c r="L68" i="25"/>
  <c r="L73" i="25" s="1"/>
  <c r="J109" i="25"/>
  <c r="D109" i="25"/>
  <c r="F9" i="27" l="1"/>
  <c r="E17" i="27"/>
  <c r="E7" i="27"/>
  <c r="E10" i="27"/>
  <c r="F12" i="27"/>
  <c r="F8" i="27"/>
  <c r="E9" i="27"/>
  <c r="F14" i="27"/>
  <c r="E12" i="27"/>
  <c r="F7" i="27"/>
  <c r="F10" i="27"/>
  <c r="E8" i="27"/>
  <c r="I9" i="35"/>
  <c r="S21" i="37"/>
  <c r="I14" i="27" s="1"/>
  <c r="S26" i="37"/>
  <c r="I10" i="27" s="1"/>
  <c r="I10" i="35"/>
  <c r="S51" i="37"/>
  <c r="I7" i="27" s="1"/>
  <c r="I15" i="35"/>
  <c r="I11" i="35"/>
  <c r="S31" i="37"/>
  <c r="I8" i="27" s="1"/>
  <c r="S46" i="37"/>
  <c r="I11" i="27" s="1"/>
  <c r="I14" i="35"/>
  <c r="S41" i="37"/>
  <c r="I9" i="27" s="1"/>
  <c r="I13" i="35"/>
  <c r="I12" i="35"/>
  <c r="S36" i="37"/>
  <c r="I17" i="27" s="1"/>
  <c r="S11" i="37"/>
  <c r="I12" i="27" s="1"/>
  <c r="I7" i="35"/>
  <c r="B109" i="25"/>
  <c r="B127" i="25"/>
  <c r="D142" i="25"/>
  <c r="D148" i="25"/>
  <c r="P141" i="25"/>
  <c r="P147" i="25"/>
  <c r="J142" i="25"/>
  <c r="J148" i="25"/>
  <c r="B80" i="25"/>
  <c r="C82" i="25" s="1"/>
  <c r="C92" i="25"/>
  <c r="F135" i="25"/>
  <c r="F125" i="25"/>
  <c r="R109" i="25"/>
  <c r="R114" i="25" s="1"/>
  <c r="L109" i="25"/>
  <c r="L114" i="25" s="1"/>
  <c r="N109" i="25"/>
  <c r="N114" i="25" s="1"/>
  <c r="F111" i="25"/>
  <c r="F116" i="25" s="1"/>
  <c r="F127" i="25" s="1"/>
  <c r="F110" i="25"/>
  <c r="F115" i="25" s="1"/>
  <c r="F136" i="25" s="1"/>
  <c r="D110" i="25"/>
  <c r="D115" i="25" s="1"/>
  <c r="D136" i="25" s="1"/>
  <c r="N127" i="25"/>
  <c r="J127" i="25"/>
  <c r="H110" i="25"/>
  <c r="H115" i="25" s="1"/>
  <c r="H136" i="25" s="1"/>
  <c r="P109" i="25"/>
  <c r="P114" i="25" s="1"/>
  <c r="T109" i="25"/>
  <c r="T114" i="25" s="1"/>
  <c r="P111" i="25"/>
  <c r="P116" i="25" s="1"/>
  <c r="P137" i="25" s="1"/>
  <c r="L110" i="25"/>
  <c r="L115" i="25" s="1"/>
  <c r="L136" i="25" s="1"/>
  <c r="L147" i="25" s="1"/>
  <c r="J110" i="25"/>
  <c r="J115" i="25" s="1"/>
  <c r="J126" i="25" s="1"/>
  <c r="H137" i="25"/>
  <c r="H148" i="25" s="1"/>
  <c r="D127" i="25"/>
  <c r="P126" i="25"/>
  <c r="T115" i="25"/>
  <c r="T136" i="25" s="1"/>
  <c r="T116" i="25"/>
  <c r="T137" i="25" s="1"/>
  <c r="R111" i="25"/>
  <c r="L81" i="25"/>
  <c r="L101" i="25"/>
  <c r="L91" i="25"/>
  <c r="J114" i="25"/>
  <c r="H135" i="25"/>
  <c r="H125" i="25"/>
  <c r="D114" i="25"/>
  <c r="U10" i="13" l="1"/>
  <c r="C93" i="25"/>
  <c r="L111" i="25"/>
  <c r="L116" i="25" s="1"/>
  <c r="L127" i="25" s="1"/>
  <c r="H141" i="25"/>
  <c r="H147" i="25"/>
  <c r="B142" i="25"/>
  <c r="D141" i="25"/>
  <c r="D147" i="25"/>
  <c r="T142" i="25"/>
  <c r="T148" i="25"/>
  <c r="F141" i="25"/>
  <c r="F147" i="25"/>
  <c r="P142" i="25"/>
  <c r="P148" i="25"/>
  <c r="T141" i="25"/>
  <c r="T147" i="25"/>
  <c r="F140" i="25"/>
  <c r="F146" i="25"/>
  <c r="H140" i="25"/>
  <c r="H146" i="25"/>
  <c r="B110" i="25"/>
  <c r="R125" i="25"/>
  <c r="L135" i="25"/>
  <c r="L146" i="25" s="1"/>
  <c r="B114" i="25"/>
  <c r="B135" i="25" s="1"/>
  <c r="B140" i="25" s="1"/>
  <c r="R135" i="25"/>
  <c r="L125" i="25"/>
  <c r="T125" i="25"/>
  <c r="P125" i="25"/>
  <c r="J125" i="25"/>
  <c r="N125" i="25"/>
  <c r="F126" i="25"/>
  <c r="F137" i="25"/>
  <c r="H126" i="25"/>
  <c r="T135" i="25"/>
  <c r="J136" i="25"/>
  <c r="P127" i="25"/>
  <c r="T126" i="25"/>
  <c r="T127" i="25"/>
  <c r="R116" i="25"/>
  <c r="P135" i="25"/>
  <c r="N135" i="25"/>
  <c r="L126" i="25"/>
  <c r="J135" i="25"/>
  <c r="D135" i="25"/>
  <c r="D126" i="25"/>
  <c r="D125" i="25"/>
  <c r="B146" i="25" l="1"/>
  <c r="B125" i="25"/>
  <c r="B115" i="25"/>
  <c r="B136" i="25" s="1"/>
  <c r="B141" i="25" s="1"/>
  <c r="P140" i="25"/>
  <c r="P146" i="25"/>
  <c r="F142" i="25"/>
  <c r="F148" i="25"/>
  <c r="N140" i="25"/>
  <c r="N146" i="25"/>
  <c r="J141" i="25"/>
  <c r="J147" i="25"/>
  <c r="D140" i="25"/>
  <c r="D146" i="25"/>
  <c r="T140" i="25"/>
  <c r="T146" i="25"/>
  <c r="J140" i="25"/>
  <c r="J146" i="25"/>
  <c r="R140" i="25"/>
  <c r="R146" i="25"/>
  <c r="L137" i="25"/>
  <c r="R137" i="25"/>
  <c r="R148" i="25" s="1"/>
  <c r="R127" i="25"/>
  <c r="C117" i="25" l="1"/>
  <c r="B126" i="25"/>
  <c r="B147" i="25"/>
  <c r="C150" i="25" s="1"/>
  <c r="L142" i="25"/>
  <c r="L148" i="25"/>
  <c r="C160" i="25" l="1"/>
  <c r="B153" i="25"/>
  <c r="C157" i="25" s="1"/>
  <c r="B154" i="25" l="1"/>
  <c r="E44" i="31" s="1"/>
  <c r="V10" i="13"/>
  <c r="T10" i="13" s="1"/>
  <c r="T11" i="13" s="1"/>
  <c r="E26" i="31" l="1"/>
  <c r="G25" i="30" s="1"/>
  <c r="G7" i="16" s="1"/>
  <c r="E8" i="31"/>
  <c r="G42" i="30"/>
  <c r="G8" i="16" s="1"/>
  <c r="F139" i="32"/>
  <c r="F141" i="32"/>
  <c r="G8" i="14" s="1"/>
  <c r="F138" i="32"/>
  <c r="L42" i="30"/>
  <c r="L8" i="16" s="1"/>
  <c r="H141" i="32"/>
  <c r="L20" i="23"/>
  <c r="L21" i="23"/>
  <c r="Y34" i="25"/>
  <c r="X55" i="25"/>
  <c r="M57" i="25"/>
  <c r="M68" i="25" s="1"/>
  <c r="M73" i="25" s="1"/>
  <c r="M55" i="25"/>
  <c r="K56" i="25"/>
  <c r="K67" i="25" s="1"/>
  <c r="K72" i="25" s="1"/>
  <c r="I55" i="25"/>
  <c r="E57" i="25"/>
  <c r="E68" i="25" s="1"/>
  <c r="E73" i="25" s="1"/>
  <c r="O57" i="25"/>
  <c r="O68" i="25" s="1"/>
  <c r="O73" i="25" s="1"/>
  <c r="E55" i="25"/>
  <c r="S55" i="25"/>
  <c r="I57" i="25"/>
  <c r="I68" i="25" s="1"/>
  <c r="I73" i="25" s="1"/>
  <c r="S57" i="25"/>
  <c r="S68" i="25" s="1"/>
  <c r="S73" i="25" s="1"/>
  <c r="G56" i="25"/>
  <c r="G67" i="25" s="1"/>
  <c r="G72" i="25" s="1"/>
  <c r="G55" i="25"/>
  <c r="X57" i="25"/>
  <c r="X68" i="25" s="1"/>
  <c r="X73" i="25" s="1"/>
  <c r="X91" i="25" s="1"/>
  <c r="X56" i="25"/>
  <c r="H76" i="32" l="1"/>
  <c r="I76" i="32" s="1"/>
  <c r="L25" i="30"/>
  <c r="L7" i="16" s="1"/>
  <c r="F74" i="32"/>
  <c r="G7" i="15" s="1"/>
  <c r="F7" i="15" s="1"/>
  <c r="F76" i="32"/>
  <c r="G7" i="14" s="1"/>
  <c r="F73" i="32"/>
  <c r="G7" i="2" s="1"/>
  <c r="F7" i="2" s="1"/>
  <c r="F9" i="32"/>
  <c r="F11" i="32"/>
  <c r="G6" i="14" s="1"/>
  <c r="F8" i="32"/>
  <c r="G8" i="30"/>
  <c r="G6" i="16" s="1"/>
  <c r="G20" i="16" s="1"/>
  <c r="L8" i="30"/>
  <c r="L6" i="16" s="1"/>
  <c r="H11" i="32"/>
  <c r="H142" i="32"/>
  <c r="I8" i="14"/>
  <c r="I141" i="32"/>
  <c r="F142" i="32"/>
  <c r="G8" i="2"/>
  <c r="F8" i="2" s="1"/>
  <c r="E138" i="32"/>
  <c r="E139" i="32"/>
  <c r="G8" i="15"/>
  <c r="F8" i="15" s="1"/>
  <c r="U64" i="13"/>
  <c r="T64" i="13" s="1"/>
  <c r="Y35" i="25"/>
  <c r="L23" i="23"/>
  <c r="Y58" i="25"/>
  <c r="G66" i="25"/>
  <c r="G71" i="25" s="1"/>
  <c r="G99" i="25" s="1"/>
  <c r="S101" i="25"/>
  <c r="S81" i="25"/>
  <c r="S91" i="25"/>
  <c r="I81" i="25"/>
  <c r="I101" i="25"/>
  <c r="I91" i="25"/>
  <c r="K55" i="25"/>
  <c r="K100" i="25"/>
  <c r="K90" i="25"/>
  <c r="K80" i="25"/>
  <c r="M56" i="25"/>
  <c r="M67" i="25" s="1"/>
  <c r="M72" i="25" s="1"/>
  <c r="Q56" i="25"/>
  <c r="Q67" i="25" s="1"/>
  <c r="Q72" i="25" s="1"/>
  <c r="Q90" i="25" s="1"/>
  <c r="O81" i="25"/>
  <c r="O101" i="25"/>
  <c r="O91" i="25"/>
  <c r="I66" i="25"/>
  <c r="I71" i="25" s="1"/>
  <c r="E91" i="25"/>
  <c r="E101" i="25"/>
  <c r="E81" i="25"/>
  <c r="O56" i="25"/>
  <c r="O67" i="25" s="1"/>
  <c r="O72" i="25" s="1"/>
  <c r="Q57" i="25"/>
  <c r="Q68" i="25" s="1"/>
  <c r="Q73" i="25" s="1"/>
  <c r="U57" i="25"/>
  <c r="U68" i="25" s="1"/>
  <c r="U73" i="25" s="1"/>
  <c r="Q55" i="25"/>
  <c r="G100" i="25"/>
  <c r="G80" i="25"/>
  <c r="G90" i="25"/>
  <c r="G57" i="25"/>
  <c r="G68" i="25" s="1"/>
  <c r="G73" i="25" s="1"/>
  <c r="U56" i="25"/>
  <c r="E66" i="25"/>
  <c r="E71" i="25" s="1"/>
  <c r="E56" i="25"/>
  <c r="E67" i="25" s="1"/>
  <c r="E72" i="25" s="1"/>
  <c r="M66" i="25"/>
  <c r="M71" i="25" s="1"/>
  <c r="S56" i="25"/>
  <c r="S67" i="25" s="1"/>
  <c r="S72" i="25" s="1"/>
  <c r="M81" i="25"/>
  <c r="M91" i="25"/>
  <c r="M101" i="25"/>
  <c r="K57" i="25"/>
  <c r="K68" i="25" s="1"/>
  <c r="K73" i="25" s="1"/>
  <c r="I56" i="25"/>
  <c r="I67" i="25" s="1"/>
  <c r="I72" i="25" s="1"/>
  <c r="S66" i="25"/>
  <c r="S71" i="25" s="1"/>
  <c r="X101" i="25"/>
  <c r="X81" i="25"/>
  <c r="Y67" i="25"/>
  <c r="Y72" i="25" s="1"/>
  <c r="Y90" i="25" s="1"/>
  <c r="X66" i="25"/>
  <c r="X71" i="25" s="1"/>
  <c r="X89" i="25" s="1"/>
  <c r="Y66" i="25"/>
  <c r="Y71" i="25" s="1"/>
  <c r="X67" i="25"/>
  <c r="X72" i="25" s="1"/>
  <c r="Y68" i="25"/>
  <c r="Y73" i="25" s="1"/>
  <c r="X57" i="13" l="1"/>
  <c r="X60" i="13"/>
  <c r="X58" i="13"/>
  <c r="W60" i="13"/>
  <c r="W57" i="13"/>
  <c r="W58" i="13"/>
  <c r="E74" i="32"/>
  <c r="U59" i="13"/>
  <c r="U59" i="37" s="1"/>
  <c r="W35" i="25"/>
  <c r="U60" i="13"/>
  <c r="W93" i="25"/>
  <c r="V60" i="13"/>
  <c r="R58" i="13"/>
  <c r="R58" i="37" s="1"/>
  <c r="R57" i="13"/>
  <c r="R57" i="37" s="1"/>
  <c r="R60" i="13"/>
  <c r="R60" i="37" s="1"/>
  <c r="E73" i="32"/>
  <c r="F77" i="32"/>
  <c r="I7" i="14"/>
  <c r="H77" i="32"/>
  <c r="I11" i="32"/>
  <c r="H12" i="32"/>
  <c r="I6" i="14"/>
  <c r="G21" i="16"/>
  <c r="M7" i="33" s="1"/>
  <c r="M7" i="35" s="1"/>
  <c r="E141" i="32"/>
  <c r="J8" i="14"/>
  <c r="F8" i="14" s="1"/>
  <c r="I142" i="32"/>
  <c r="E142" i="32" s="1"/>
  <c r="G6" i="2"/>
  <c r="F12" i="32"/>
  <c r="E8" i="32"/>
  <c r="G20" i="14"/>
  <c r="G21" i="14"/>
  <c r="E76" i="32"/>
  <c r="J7" i="14"/>
  <c r="I77" i="32"/>
  <c r="G6" i="15"/>
  <c r="E9" i="32"/>
  <c r="I57" i="13"/>
  <c r="I57" i="37" s="1"/>
  <c r="P60" i="13"/>
  <c r="P60" i="37" s="1"/>
  <c r="L60" i="13"/>
  <c r="L60" i="37" s="1"/>
  <c r="O57" i="13"/>
  <c r="O57" i="37" s="1"/>
  <c r="P58" i="13"/>
  <c r="P58" i="37" s="1"/>
  <c r="O60" i="13"/>
  <c r="O60" i="37" s="1"/>
  <c r="P57" i="13"/>
  <c r="P57" i="37" s="1"/>
  <c r="N60" i="13"/>
  <c r="N60" i="37" s="1"/>
  <c r="Q57" i="13"/>
  <c r="Q57" i="37" s="1"/>
  <c r="L57" i="13"/>
  <c r="L57" i="37" s="1"/>
  <c r="Q58" i="13"/>
  <c r="Q58" i="37" s="1"/>
  <c r="N57" i="13"/>
  <c r="N57" i="37" s="1"/>
  <c r="O58" i="13"/>
  <c r="O58" i="37" s="1"/>
  <c r="Q60" i="13"/>
  <c r="Q60" i="37" s="1"/>
  <c r="S59" i="13"/>
  <c r="I58" i="13"/>
  <c r="I58" i="37" s="1"/>
  <c r="N58" i="13"/>
  <c r="N58" i="37" s="1"/>
  <c r="I60" i="13"/>
  <c r="I60" i="37" s="1"/>
  <c r="L58" i="13"/>
  <c r="L58" i="37" s="1"/>
  <c r="E58" i="25"/>
  <c r="U67" i="25"/>
  <c r="U72" i="25" s="1"/>
  <c r="Q58" i="25"/>
  <c r="M58" i="25"/>
  <c r="O58" i="25"/>
  <c r="U58" i="25"/>
  <c r="K58" i="25"/>
  <c r="I58" i="25"/>
  <c r="G58" i="25"/>
  <c r="S58" i="25"/>
  <c r="G89" i="25"/>
  <c r="G79" i="25"/>
  <c r="K66" i="25"/>
  <c r="K71" i="25" s="1"/>
  <c r="K79" i="25" s="1"/>
  <c r="U66" i="25"/>
  <c r="U71" i="25" s="1"/>
  <c r="U99" i="25" s="1"/>
  <c r="Q66" i="25"/>
  <c r="Q71" i="25" s="1"/>
  <c r="Q89" i="25" s="1"/>
  <c r="G110" i="25"/>
  <c r="G115" i="25" s="1"/>
  <c r="G136" i="25" s="1"/>
  <c r="M111" i="25"/>
  <c r="M116" i="25" s="1"/>
  <c r="M127" i="25" s="1"/>
  <c r="O111" i="25"/>
  <c r="O116" i="25" s="1"/>
  <c r="O137" i="25" s="1"/>
  <c r="O148" i="25" s="1"/>
  <c r="E111" i="25"/>
  <c r="E116" i="25" s="1"/>
  <c r="E137" i="25" s="1"/>
  <c r="K110" i="25"/>
  <c r="I111" i="25"/>
  <c r="I116" i="25" s="1"/>
  <c r="I137" i="25" s="1"/>
  <c r="I148" i="25" s="1"/>
  <c r="S111" i="25"/>
  <c r="S116" i="25" s="1"/>
  <c r="I80" i="25"/>
  <c r="I90" i="25"/>
  <c r="I100" i="25"/>
  <c r="K91" i="25"/>
  <c r="K81" i="25"/>
  <c r="K101" i="25"/>
  <c r="G81" i="25"/>
  <c r="G91" i="25"/>
  <c r="G101" i="25"/>
  <c r="Q100" i="25"/>
  <c r="Q80" i="25"/>
  <c r="S90" i="25"/>
  <c r="S80" i="25"/>
  <c r="S100" i="25"/>
  <c r="E79" i="25"/>
  <c r="E89" i="25"/>
  <c r="E99" i="25"/>
  <c r="S89" i="25"/>
  <c r="S99" i="25"/>
  <c r="S79" i="25"/>
  <c r="M99" i="25"/>
  <c r="M89" i="25"/>
  <c r="M79" i="25"/>
  <c r="U91" i="25"/>
  <c r="U101" i="25"/>
  <c r="U81" i="25"/>
  <c r="M100" i="25"/>
  <c r="M90" i="25"/>
  <c r="M80" i="25"/>
  <c r="E100" i="25"/>
  <c r="E80" i="25"/>
  <c r="E90" i="25"/>
  <c r="Q81" i="25"/>
  <c r="Q101" i="25"/>
  <c r="Q91" i="25"/>
  <c r="I99" i="25"/>
  <c r="I79" i="25"/>
  <c r="I89" i="25"/>
  <c r="O90" i="25"/>
  <c r="O92" i="25" s="1"/>
  <c r="O93" i="25" s="1"/>
  <c r="O80" i="25"/>
  <c r="O100" i="25"/>
  <c r="X79" i="25"/>
  <c r="X111" i="25"/>
  <c r="X116" i="25" s="1"/>
  <c r="X137" i="25" s="1"/>
  <c r="Y81" i="25"/>
  <c r="Y101" i="25"/>
  <c r="Y91" i="25"/>
  <c r="X90" i="25"/>
  <c r="X80" i="25"/>
  <c r="X100" i="25"/>
  <c r="Y89" i="25"/>
  <c r="Y79" i="25"/>
  <c r="Y99" i="25"/>
  <c r="X99" i="25"/>
  <c r="Y80" i="25"/>
  <c r="Y100" i="25"/>
  <c r="R61" i="37" l="1"/>
  <c r="H13" i="27" s="1"/>
  <c r="O61" i="37"/>
  <c r="L61" i="37"/>
  <c r="E13" i="27" s="1"/>
  <c r="N61" i="37"/>
  <c r="I61" i="37"/>
  <c r="C13" i="27" s="1"/>
  <c r="Q61" i="37"/>
  <c r="P61" i="37"/>
  <c r="G13" i="27" s="1"/>
  <c r="S61" i="13"/>
  <c r="D27" i="27" s="1"/>
  <c r="S59" i="37"/>
  <c r="F7" i="14"/>
  <c r="I109" i="25"/>
  <c r="E77" i="32"/>
  <c r="H10" i="13"/>
  <c r="I20" i="14"/>
  <c r="I21" i="14"/>
  <c r="F6" i="15"/>
  <c r="G21" i="15"/>
  <c r="G20" i="15"/>
  <c r="F6" i="2"/>
  <c r="G21" i="2"/>
  <c r="G20" i="2"/>
  <c r="E11" i="32"/>
  <c r="I12" i="32"/>
  <c r="E12" i="32" s="1"/>
  <c r="J6" i="14"/>
  <c r="Q61" i="13"/>
  <c r="X61" i="13"/>
  <c r="W61" i="13"/>
  <c r="I92" i="25"/>
  <c r="U40" i="13"/>
  <c r="Y92" i="25"/>
  <c r="M92" i="25"/>
  <c r="S92" i="25"/>
  <c r="G92" i="25"/>
  <c r="E92" i="25"/>
  <c r="Q92" i="25"/>
  <c r="S82" i="25"/>
  <c r="U80" i="25"/>
  <c r="U100" i="25"/>
  <c r="U90" i="25"/>
  <c r="I82" i="25"/>
  <c r="E142" i="25"/>
  <c r="E148" i="25"/>
  <c r="G141" i="25"/>
  <c r="G147" i="25"/>
  <c r="X142" i="25"/>
  <c r="X148" i="25"/>
  <c r="E82" i="25"/>
  <c r="M82" i="25"/>
  <c r="K82" i="25"/>
  <c r="Y82" i="25"/>
  <c r="G82" i="25"/>
  <c r="Q79" i="25"/>
  <c r="Q82" i="25" s="1"/>
  <c r="G109" i="25"/>
  <c r="G114" i="25" s="1"/>
  <c r="K89" i="25"/>
  <c r="K92" i="25" s="1"/>
  <c r="K99" i="25"/>
  <c r="O79" i="25"/>
  <c r="O82" i="25" s="1"/>
  <c r="O99" i="25"/>
  <c r="U89" i="25"/>
  <c r="U79" i="25"/>
  <c r="Q99" i="25"/>
  <c r="M137" i="25"/>
  <c r="M109" i="25"/>
  <c r="M114" i="25" s="1"/>
  <c r="M135" i="25" s="1"/>
  <c r="K115" i="25"/>
  <c r="K136" i="25" s="1"/>
  <c r="Q110" i="25"/>
  <c r="Q115" i="25" s="1"/>
  <c r="Q136" i="25" s="1"/>
  <c r="E109" i="25"/>
  <c r="E114" i="25" s="1"/>
  <c r="O110" i="25"/>
  <c r="O115" i="25" s="1"/>
  <c r="O136" i="25" s="1"/>
  <c r="M110" i="25"/>
  <c r="S110" i="25"/>
  <c r="S115" i="25" s="1"/>
  <c r="S126" i="25" s="1"/>
  <c r="S137" i="25"/>
  <c r="S148" i="25" s="1"/>
  <c r="S127" i="25"/>
  <c r="Q111" i="25"/>
  <c r="Q116" i="25" s="1"/>
  <c r="Q137" i="25" s="1"/>
  <c r="Q148" i="25" s="1"/>
  <c r="E110" i="25"/>
  <c r="E115" i="25" s="1"/>
  <c r="E136" i="25" s="1"/>
  <c r="I110" i="25"/>
  <c r="I115" i="25" s="1"/>
  <c r="I136" i="25" s="1"/>
  <c r="U111" i="25"/>
  <c r="U116" i="25" s="1"/>
  <c r="U137" i="25" s="1"/>
  <c r="S109" i="25"/>
  <c r="S114" i="25" s="1"/>
  <c r="O127" i="25"/>
  <c r="G111" i="25"/>
  <c r="K111" i="25"/>
  <c r="E127" i="25"/>
  <c r="G126" i="25"/>
  <c r="I127" i="25"/>
  <c r="X127" i="25"/>
  <c r="X110" i="25"/>
  <c r="Y110" i="25"/>
  <c r="Y111" i="25"/>
  <c r="Y109" i="25"/>
  <c r="X109" i="25"/>
  <c r="H10" i="37" l="1"/>
  <c r="F13" i="27"/>
  <c r="S61" i="37"/>
  <c r="I13" i="27" s="1"/>
  <c r="H8" i="13"/>
  <c r="H8" i="37" s="1"/>
  <c r="G8" i="37" s="1"/>
  <c r="H7" i="35" s="1"/>
  <c r="J10" i="13"/>
  <c r="J10" i="37" s="1"/>
  <c r="J11" i="37" s="1"/>
  <c r="H7" i="13"/>
  <c r="H7" i="37" s="1"/>
  <c r="G7" i="37" s="1"/>
  <c r="G7" i="35" s="1"/>
  <c r="J21" i="14"/>
  <c r="J20" i="14"/>
  <c r="F6" i="14"/>
  <c r="U25" i="13"/>
  <c r="I93" i="25"/>
  <c r="U45" i="13"/>
  <c r="Q93" i="25"/>
  <c r="U15" i="13"/>
  <c r="E93" i="25"/>
  <c r="U20" i="13"/>
  <c r="G93" i="25"/>
  <c r="U35" i="13"/>
  <c r="M93" i="25"/>
  <c r="U30" i="13"/>
  <c r="K93" i="25"/>
  <c r="U50" i="13"/>
  <c r="S93" i="25"/>
  <c r="U65" i="13"/>
  <c r="Y93" i="25"/>
  <c r="U92" i="25"/>
  <c r="I8" i="33"/>
  <c r="Q109" i="25"/>
  <c r="Q114" i="25" s="1"/>
  <c r="Q117" i="25" s="1"/>
  <c r="Q160" i="25" s="1"/>
  <c r="U110" i="25"/>
  <c r="U115" i="25" s="1"/>
  <c r="U126" i="25" s="1"/>
  <c r="U82" i="25"/>
  <c r="M115" i="25"/>
  <c r="M126" i="25" s="1"/>
  <c r="Q141" i="25"/>
  <c r="Q147" i="25"/>
  <c r="K141" i="25"/>
  <c r="K147" i="25"/>
  <c r="M142" i="25"/>
  <c r="M148" i="25"/>
  <c r="E141" i="25"/>
  <c r="E147" i="25"/>
  <c r="U142" i="25"/>
  <c r="U148" i="25"/>
  <c r="I141" i="25"/>
  <c r="I147" i="25"/>
  <c r="O141" i="25"/>
  <c r="O147" i="25"/>
  <c r="E117" i="25"/>
  <c r="E160" i="25" s="1"/>
  <c r="S117" i="25"/>
  <c r="S160" i="25" s="1"/>
  <c r="K109" i="25"/>
  <c r="K114" i="25" s="1"/>
  <c r="U109" i="25"/>
  <c r="U114" i="25" s="1"/>
  <c r="O109" i="25"/>
  <c r="M125" i="25"/>
  <c r="E125" i="25"/>
  <c r="G125" i="25"/>
  <c r="S136" i="25"/>
  <c r="O126" i="25"/>
  <c r="Q127" i="25"/>
  <c r="K126" i="25"/>
  <c r="S125" i="25"/>
  <c r="Q126" i="25"/>
  <c r="S135" i="25"/>
  <c r="E135" i="25"/>
  <c r="M146" i="25"/>
  <c r="I114" i="25"/>
  <c r="I117" i="25" s="1"/>
  <c r="I160" i="25" s="1"/>
  <c r="K116" i="25"/>
  <c r="K137" i="25" s="1"/>
  <c r="U127" i="25"/>
  <c r="G135" i="25"/>
  <c r="G116" i="25"/>
  <c r="G137" i="25" s="1"/>
  <c r="I126" i="25"/>
  <c r="E126" i="25"/>
  <c r="Y114" i="25"/>
  <c r="Y135" i="25" s="1"/>
  <c r="Y115" i="25"/>
  <c r="Y136" i="25" s="1"/>
  <c r="X114" i="25"/>
  <c r="Y116" i="25"/>
  <c r="Y137" i="25" s="1"/>
  <c r="X115" i="25"/>
  <c r="X136" i="25" s="1"/>
  <c r="H11" i="37" l="1"/>
  <c r="B12" i="27" s="1"/>
  <c r="O114" i="25"/>
  <c r="O117" i="25" s="1"/>
  <c r="O160" i="25" s="1"/>
  <c r="V40" i="13" s="1"/>
  <c r="T40" i="13" s="1"/>
  <c r="T41" i="13" s="1"/>
  <c r="U55" i="13"/>
  <c r="U93" i="25"/>
  <c r="V25" i="13"/>
  <c r="T25" i="13" s="1"/>
  <c r="T26" i="13" s="1"/>
  <c r="V50" i="13"/>
  <c r="T50" i="13" s="1"/>
  <c r="T51" i="13" s="1"/>
  <c r="V15" i="13"/>
  <c r="T15" i="13" s="1"/>
  <c r="T16" i="13" s="1"/>
  <c r="V45" i="13"/>
  <c r="T45" i="13" s="1"/>
  <c r="T46" i="13" s="1"/>
  <c r="I11" i="33"/>
  <c r="U136" i="25"/>
  <c r="U147" i="25" s="1"/>
  <c r="U117" i="25"/>
  <c r="U160" i="25" s="1"/>
  <c r="Q125" i="25"/>
  <c r="Q135" i="25"/>
  <c r="Q140" i="25" s="1"/>
  <c r="M136" i="25"/>
  <c r="M147" i="25" s="1"/>
  <c r="M150" i="25" s="1"/>
  <c r="M117" i="25"/>
  <c r="M160" i="25" s="1"/>
  <c r="Y142" i="25"/>
  <c r="Y148" i="25"/>
  <c r="E140" i="25"/>
  <c r="E146" i="25"/>
  <c r="E150" i="25" s="1"/>
  <c r="D153" i="25" s="1"/>
  <c r="D154" i="25" s="1"/>
  <c r="G140" i="25"/>
  <c r="G146" i="25"/>
  <c r="Y141" i="25"/>
  <c r="Y147" i="25"/>
  <c r="S140" i="25"/>
  <c r="S146" i="25"/>
  <c r="Y140" i="25"/>
  <c r="Y146" i="25"/>
  <c r="X141" i="25"/>
  <c r="X147" i="25"/>
  <c r="G142" i="25"/>
  <c r="G148" i="25"/>
  <c r="K142" i="25"/>
  <c r="K148" i="25"/>
  <c r="S141" i="25"/>
  <c r="S147" i="25"/>
  <c r="K117" i="25"/>
  <c r="K160" i="25" s="1"/>
  <c r="G117" i="25"/>
  <c r="G160" i="25" s="1"/>
  <c r="K135" i="25"/>
  <c r="Y117" i="25"/>
  <c r="Y160" i="25" s="1"/>
  <c r="K125" i="25"/>
  <c r="U125" i="25"/>
  <c r="O125" i="25"/>
  <c r="I125" i="25"/>
  <c r="G127" i="25"/>
  <c r="K127" i="25"/>
  <c r="U135" i="25"/>
  <c r="I135" i="25"/>
  <c r="X135" i="25"/>
  <c r="X125" i="25"/>
  <c r="Y126" i="25"/>
  <c r="Y125" i="25"/>
  <c r="Y127" i="25"/>
  <c r="X126" i="25"/>
  <c r="O135" i="25" l="1"/>
  <c r="O140" i="25" s="1"/>
  <c r="E45" i="31"/>
  <c r="E27" i="31"/>
  <c r="V65" i="13"/>
  <c r="T65" i="13" s="1"/>
  <c r="V20" i="13"/>
  <c r="T20" i="13" s="1"/>
  <c r="T21" i="13" s="1"/>
  <c r="V35" i="13"/>
  <c r="T35" i="13" s="1"/>
  <c r="T36" i="13" s="1"/>
  <c r="E157" i="25"/>
  <c r="V55" i="13"/>
  <c r="T55" i="13" s="1"/>
  <c r="T56" i="13" s="1"/>
  <c r="V30" i="13"/>
  <c r="T30" i="13" s="1"/>
  <c r="T31" i="13" s="1"/>
  <c r="U141" i="25"/>
  <c r="Q146" i="25"/>
  <c r="Q150" i="25" s="1"/>
  <c r="P153" i="25" s="1"/>
  <c r="P154" i="25" s="1"/>
  <c r="X140" i="25"/>
  <c r="X146" i="25"/>
  <c r="Y150" i="25" s="1"/>
  <c r="X153" i="25" s="1"/>
  <c r="X154" i="25" s="1"/>
  <c r="G150" i="25"/>
  <c r="F153" i="25" s="1"/>
  <c r="I140" i="25"/>
  <c r="I146" i="25"/>
  <c r="I150" i="25" s="1"/>
  <c r="H153" i="25" s="1"/>
  <c r="S150" i="25"/>
  <c r="R153" i="25" s="1"/>
  <c r="U140" i="25"/>
  <c r="U146" i="25"/>
  <c r="U150" i="25" s="1"/>
  <c r="T153" i="25" s="1"/>
  <c r="K140" i="25"/>
  <c r="K146" i="25"/>
  <c r="K150" i="25" s="1"/>
  <c r="J153" i="25" s="1"/>
  <c r="L153" i="25"/>
  <c r="O146" i="25" l="1"/>
  <c r="O150" i="25" s="1"/>
  <c r="N153" i="25" s="1"/>
  <c r="O157" i="25" s="1"/>
  <c r="E33" i="31"/>
  <c r="E51" i="31"/>
  <c r="E9" i="31"/>
  <c r="F143" i="32"/>
  <c r="F146" i="32"/>
  <c r="G24" i="14" s="1"/>
  <c r="F144" i="32"/>
  <c r="G43" i="30"/>
  <c r="G24" i="16" s="1"/>
  <c r="L43" i="30"/>
  <c r="L24" i="16" s="1"/>
  <c r="H146" i="32"/>
  <c r="F81" i="32"/>
  <c r="G23" i="14" s="1"/>
  <c r="F78" i="32"/>
  <c r="F79" i="32"/>
  <c r="G26" i="30"/>
  <c r="G23" i="16" s="1"/>
  <c r="L26" i="30"/>
  <c r="L23" i="16" s="1"/>
  <c r="H81" i="32"/>
  <c r="T66" i="13"/>
  <c r="G66" i="13" s="1"/>
  <c r="W157" i="25"/>
  <c r="Y157" i="25"/>
  <c r="S157" i="25"/>
  <c r="K157" i="25"/>
  <c r="M157" i="25"/>
  <c r="G157" i="25"/>
  <c r="I157" i="25"/>
  <c r="Q157" i="25"/>
  <c r="U157" i="25"/>
  <c r="F18" i="33" l="1"/>
  <c r="H147" i="32"/>
  <c r="I146" i="32"/>
  <c r="I24" i="14"/>
  <c r="G23" i="15"/>
  <c r="F23" i="15" s="1"/>
  <c r="E79" i="32"/>
  <c r="G24" i="15"/>
  <c r="F24" i="15" s="1"/>
  <c r="E144" i="32"/>
  <c r="E15" i="31"/>
  <c r="F174" i="32"/>
  <c r="F176" i="32"/>
  <c r="G120" i="14" s="1"/>
  <c r="F173" i="32"/>
  <c r="G49" i="30"/>
  <c r="G120" i="16" s="1"/>
  <c r="L49" i="30"/>
  <c r="L120" i="16" s="1"/>
  <c r="H176" i="32"/>
  <c r="H82" i="32"/>
  <c r="I23" i="14"/>
  <c r="I81" i="32"/>
  <c r="G23" i="2"/>
  <c r="F23" i="2" s="1"/>
  <c r="F82" i="32"/>
  <c r="E78" i="32"/>
  <c r="F111" i="32"/>
  <c r="G119" i="14" s="1"/>
  <c r="F109" i="32"/>
  <c r="F108" i="32"/>
  <c r="G32" i="30"/>
  <c r="G119" i="16" s="1"/>
  <c r="L32" i="30"/>
  <c r="L119" i="16" s="1"/>
  <c r="H111" i="32"/>
  <c r="F147" i="32"/>
  <c r="E143" i="32"/>
  <c r="G24" i="2"/>
  <c r="F24" i="2" s="1"/>
  <c r="F13" i="32"/>
  <c r="F14" i="32"/>
  <c r="F16" i="32"/>
  <c r="G9" i="30"/>
  <c r="G22" i="16" s="1"/>
  <c r="L9" i="30"/>
  <c r="L22" i="16" s="1"/>
  <c r="H16" i="32"/>
  <c r="T59" i="13"/>
  <c r="T59" i="37" s="1"/>
  <c r="G59" i="37" s="1"/>
  <c r="T61" i="37" l="1"/>
  <c r="J13" i="27" s="1"/>
  <c r="F177" i="32"/>
  <c r="G120" i="2"/>
  <c r="F120" i="2" s="1"/>
  <c r="E173" i="32"/>
  <c r="I111" i="32"/>
  <c r="I119" i="14"/>
  <c r="H112" i="32"/>
  <c r="E81" i="32"/>
  <c r="I82" i="32"/>
  <c r="E82" i="32" s="1"/>
  <c r="J23" i="14"/>
  <c r="F23" i="14" s="1"/>
  <c r="G120" i="15"/>
  <c r="F120" i="15" s="1"/>
  <c r="E174" i="32"/>
  <c r="H17" i="32"/>
  <c r="I16" i="32"/>
  <c r="I22" i="14"/>
  <c r="G22" i="14"/>
  <c r="G15" i="30"/>
  <c r="G118" i="16" s="1"/>
  <c r="F46" i="32"/>
  <c r="F43" i="32"/>
  <c r="F44" i="32"/>
  <c r="L15" i="30"/>
  <c r="L118" i="16" s="1"/>
  <c r="H46" i="32"/>
  <c r="G22" i="15"/>
  <c r="E14" i="32"/>
  <c r="G22" i="2"/>
  <c r="F17" i="32"/>
  <c r="E13" i="32"/>
  <c r="G119" i="2"/>
  <c r="F119" i="2" s="1"/>
  <c r="F112" i="32"/>
  <c r="E108" i="32"/>
  <c r="I120" i="14"/>
  <c r="I176" i="32"/>
  <c r="H177" i="32"/>
  <c r="G119" i="15"/>
  <c r="F119" i="15" s="1"/>
  <c r="E109" i="32"/>
  <c r="E146" i="32"/>
  <c r="J24" i="14"/>
  <c r="F24" i="14" s="1"/>
  <c r="I147" i="32"/>
  <c r="E147" i="32" s="1"/>
  <c r="T60" i="13"/>
  <c r="T61" i="13" s="1"/>
  <c r="L163" i="16"/>
  <c r="J163" i="16"/>
  <c r="I163" i="16"/>
  <c r="H163" i="16"/>
  <c r="G163" i="16"/>
  <c r="F163" i="16"/>
  <c r="F164" i="16" s="1"/>
  <c r="L147" i="16"/>
  <c r="J147" i="16"/>
  <c r="J148" i="16" s="1"/>
  <c r="I147" i="16"/>
  <c r="H147" i="16"/>
  <c r="G147" i="16"/>
  <c r="F147" i="16"/>
  <c r="L131" i="16"/>
  <c r="J131" i="16"/>
  <c r="I131" i="16"/>
  <c r="H131" i="16"/>
  <c r="G131" i="16"/>
  <c r="L115" i="16"/>
  <c r="J115" i="16"/>
  <c r="I115" i="16"/>
  <c r="H115" i="16"/>
  <c r="G115" i="16"/>
  <c r="F115" i="16"/>
  <c r="L99" i="16"/>
  <c r="J99" i="16"/>
  <c r="I99" i="16"/>
  <c r="H99" i="16"/>
  <c r="G99" i="16"/>
  <c r="F99" i="16"/>
  <c r="L83" i="16"/>
  <c r="J83" i="16"/>
  <c r="I83" i="16"/>
  <c r="H83" i="16"/>
  <c r="G83" i="16"/>
  <c r="F83" i="16"/>
  <c r="L67" i="16"/>
  <c r="J67" i="16"/>
  <c r="I67" i="16"/>
  <c r="H67" i="16"/>
  <c r="G67" i="16"/>
  <c r="F67" i="16"/>
  <c r="L51" i="16"/>
  <c r="J51" i="16"/>
  <c r="I51" i="16"/>
  <c r="H51" i="16"/>
  <c r="G51" i="16"/>
  <c r="F51" i="16"/>
  <c r="L35" i="16"/>
  <c r="J35" i="16"/>
  <c r="I35" i="16"/>
  <c r="H35" i="16"/>
  <c r="G35" i="16"/>
  <c r="L19" i="16"/>
  <c r="J19" i="16"/>
  <c r="I19" i="16"/>
  <c r="H19" i="16"/>
  <c r="L179" i="16"/>
  <c r="J179" i="16"/>
  <c r="I179" i="16"/>
  <c r="H179" i="16"/>
  <c r="G179" i="16"/>
  <c r="F179" i="16"/>
  <c r="F181" i="16" s="1"/>
  <c r="I17" i="35" l="1"/>
  <c r="E111" i="32"/>
  <c r="I112" i="32"/>
  <c r="E112" i="32" s="1"/>
  <c r="J119" i="14"/>
  <c r="F119" i="14" s="1"/>
  <c r="F22" i="15"/>
  <c r="G36" i="15"/>
  <c r="G37" i="15"/>
  <c r="H47" i="32"/>
  <c r="I46" i="32"/>
  <c r="E46" i="32" s="1"/>
  <c r="I118" i="14"/>
  <c r="E176" i="32"/>
  <c r="I177" i="32"/>
  <c r="E177" i="32" s="1"/>
  <c r="J120" i="14"/>
  <c r="F120" i="14" s="1"/>
  <c r="G118" i="14"/>
  <c r="I17" i="32"/>
  <c r="E17" i="32" s="1"/>
  <c r="J22" i="14"/>
  <c r="G118" i="15"/>
  <c r="E44" i="32"/>
  <c r="E16" i="32"/>
  <c r="F22" i="2"/>
  <c r="G37" i="2"/>
  <c r="G36" i="2"/>
  <c r="G118" i="2"/>
  <c r="F47" i="32"/>
  <c r="E43" i="32"/>
  <c r="G37" i="14"/>
  <c r="G36" i="14"/>
  <c r="I36" i="14"/>
  <c r="I37" i="14"/>
  <c r="F165" i="16"/>
  <c r="L16" i="33" s="1"/>
  <c r="L16" i="35" s="1"/>
  <c r="I180" i="16"/>
  <c r="I181" i="16" s="1"/>
  <c r="L20" i="16"/>
  <c r="H68" i="16"/>
  <c r="H69" i="16" s="1"/>
  <c r="I84" i="16"/>
  <c r="F148" i="16"/>
  <c r="G36" i="16"/>
  <c r="I52" i="16"/>
  <c r="I53" i="16" s="1"/>
  <c r="J68" i="16"/>
  <c r="G132" i="16"/>
  <c r="H148" i="16"/>
  <c r="H149" i="16" s="1"/>
  <c r="I164" i="16"/>
  <c r="I165" i="16" s="1"/>
  <c r="J116" i="16"/>
  <c r="J117" i="16" s="1"/>
  <c r="H164" i="16"/>
  <c r="H165" i="16" s="1"/>
  <c r="H36" i="16"/>
  <c r="I36" i="16"/>
  <c r="I37" i="16" s="1"/>
  <c r="J52" i="16"/>
  <c r="J53" i="16" s="1"/>
  <c r="F116" i="16"/>
  <c r="H132" i="16"/>
  <c r="H133" i="16" s="1"/>
  <c r="I148" i="16"/>
  <c r="J164" i="16"/>
  <c r="J165" i="16" s="1"/>
  <c r="H52" i="16"/>
  <c r="H53" i="16" s="1"/>
  <c r="I132" i="16"/>
  <c r="I133" i="16" s="1"/>
  <c r="J149" i="16"/>
  <c r="P15" i="33" s="1"/>
  <c r="P15" i="35" s="1"/>
  <c r="Q16" i="33"/>
  <c r="Q16" i="35" s="1"/>
  <c r="H180" i="16"/>
  <c r="H181" i="16" s="1"/>
  <c r="H84" i="16"/>
  <c r="H85" i="16" s="1"/>
  <c r="J180" i="16"/>
  <c r="J84" i="16"/>
  <c r="H20" i="16"/>
  <c r="H21" i="16" s="1"/>
  <c r="F180" i="16"/>
  <c r="I20" i="16"/>
  <c r="I21" i="16" s="1"/>
  <c r="F84" i="16"/>
  <c r="H116" i="16"/>
  <c r="H117" i="16" s="1"/>
  <c r="J132" i="16"/>
  <c r="J133" i="16" s="1"/>
  <c r="F52" i="16"/>
  <c r="L132" i="16"/>
  <c r="I68" i="16"/>
  <c r="I69" i="16" s="1"/>
  <c r="J36" i="16"/>
  <c r="J37" i="16" s="1"/>
  <c r="J20" i="16"/>
  <c r="J21" i="16" s="1"/>
  <c r="L36" i="16"/>
  <c r="F68" i="16"/>
  <c r="I116" i="16"/>
  <c r="I117" i="16" s="1"/>
  <c r="J100" i="16"/>
  <c r="I100" i="16"/>
  <c r="H100" i="16"/>
  <c r="F100" i="16"/>
  <c r="Q17" i="33" l="1"/>
  <c r="Q17" i="35" s="1"/>
  <c r="Q14" i="33"/>
  <c r="Q14" i="35" s="1"/>
  <c r="Q15" i="33"/>
  <c r="Q15" i="35" s="1"/>
  <c r="Q8" i="33"/>
  <c r="Q8" i="35" s="1"/>
  <c r="L37" i="16"/>
  <c r="R8" i="33" s="1"/>
  <c r="R8" i="35" s="1"/>
  <c r="L133" i="16"/>
  <c r="R14" i="33" s="1"/>
  <c r="R14" i="35" s="1"/>
  <c r="G133" i="16"/>
  <c r="F53" i="16"/>
  <c r="F154" i="25" s="1"/>
  <c r="F117" i="16"/>
  <c r="N154" i="25" s="1"/>
  <c r="F85" i="16"/>
  <c r="J154" i="25" s="1"/>
  <c r="T154" i="25"/>
  <c r="H15" i="13"/>
  <c r="H12" i="13"/>
  <c r="H13" i="13"/>
  <c r="J15" i="13"/>
  <c r="J15" i="37" s="1"/>
  <c r="G132" i="14"/>
  <c r="G133" i="14"/>
  <c r="F118" i="2"/>
  <c r="G132" i="2"/>
  <c r="G133" i="2"/>
  <c r="F118" i="15"/>
  <c r="G132" i="15"/>
  <c r="G133" i="15"/>
  <c r="I132" i="14"/>
  <c r="I133" i="14"/>
  <c r="J118" i="14"/>
  <c r="I47" i="32"/>
  <c r="E47" i="32" s="1"/>
  <c r="F22" i="14"/>
  <c r="J37" i="14"/>
  <c r="J36" i="14"/>
  <c r="V154" i="25"/>
  <c r="L17" i="33"/>
  <c r="L17" i="35" s="1"/>
  <c r="O13" i="33"/>
  <c r="O13" i="35" s="1"/>
  <c r="P7" i="33"/>
  <c r="P7" i="35" s="1"/>
  <c r="P14" i="33"/>
  <c r="P14" i="35" s="1"/>
  <c r="N7" i="33"/>
  <c r="N7" i="35" s="1"/>
  <c r="N17" i="33"/>
  <c r="N17" i="35" s="1"/>
  <c r="I183" i="16"/>
  <c r="I196" i="16" s="1"/>
  <c r="O8" i="33"/>
  <c r="O8" i="35" s="1"/>
  <c r="F149" i="16"/>
  <c r="L15" i="33" s="1"/>
  <c r="L15" i="35" s="1"/>
  <c r="P13" i="33"/>
  <c r="P13" i="35" s="1"/>
  <c r="J85" i="16"/>
  <c r="P11" i="33" s="1"/>
  <c r="P11" i="35" s="1"/>
  <c r="P16" i="33"/>
  <c r="P16" i="35" s="1"/>
  <c r="Q7" i="33"/>
  <c r="Q7" i="35" s="1"/>
  <c r="Q11" i="33"/>
  <c r="Q11" i="35" s="1"/>
  <c r="Q13" i="33"/>
  <c r="Q13" i="35" s="1"/>
  <c r="L21" i="16"/>
  <c r="R7" i="33" s="1"/>
  <c r="R7" i="35" s="1"/>
  <c r="O7" i="33"/>
  <c r="O7" i="35" s="1"/>
  <c r="H183" i="16"/>
  <c r="H196" i="16" s="1"/>
  <c r="G183" i="16"/>
  <c r="G196" i="16" s="1"/>
  <c r="F69" i="16"/>
  <c r="L10" i="33" s="1"/>
  <c r="L10" i="35" s="1"/>
  <c r="J183" i="16"/>
  <c r="P8" i="33"/>
  <c r="P8" i="35" s="1"/>
  <c r="L11" i="33"/>
  <c r="L11" i="35" s="1"/>
  <c r="J181" i="16"/>
  <c r="P17" i="33" s="1"/>
  <c r="P17" i="35" s="1"/>
  <c r="I149" i="16"/>
  <c r="O15" i="33" s="1"/>
  <c r="O15" i="35" s="1"/>
  <c r="Q10" i="33"/>
  <c r="Q10" i="35" s="1"/>
  <c r="H37" i="16"/>
  <c r="N8" i="33" s="1"/>
  <c r="N8" i="35" s="1"/>
  <c r="O16" i="33"/>
  <c r="O16" i="35" s="1"/>
  <c r="J69" i="16"/>
  <c r="P10" i="33" s="1"/>
  <c r="P10" i="35" s="1"/>
  <c r="G37" i="16"/>
  <c r="M8" i="33" s="1"/>
  <c r="M8" i="35" s="1"/>
  <c r="I85" i="16"/>
  <c r="O11" i="33" s="1"/>
  <c r="O11" i="35" s="1"/>
  <c r="O17" i="33"/>
  <c r="O17" i="35" s="1"/>
  <c r="N13" i="33"/>
  <c r="N13" i="35" s="1"/>
  <c r="L183" i="16"/>
  <c r="L196" i="16" s="1"/>
  <c r="O10" i="33"/>
  <c r="O10" i="35" s="1"/>
  <c r="N9" i="33"/>
  <c r="N9" i="35" s="1"/>
  <c r="N14" i="33"/>
  <c r="N14" i="35" s="1"/>
  <c r="N15" i="33"/>
  <c r="N15" i="35" s="1"/>
  <c r="N10" i="33"/>
  <c r="N10" i="35" s="1"/>
  <c r="N11" i="33"/>
  <c r="N11" i="35" s="1"/>
  <c r="O14" i="33"/>
  <c r="O14" i="35" s="1"/>
  <c r="P9" i="33"/>
  <c r="P9" i="35" s="1"/>
  <c r="N16" i="33"/>
  <c r="N16" i="35" s="1"/>
  <c r="O9" i="33"/>
  <c r="O9" i="35" s="1"/>
  <c r="H101" i="16"/>
  <c r="N12" i="33" s="1"/>
  <c r="N12" i="35" s="1"/>
  <c r="I101" i="16"/>
  <c r="O12" i="33" s="1"/>
  <c r="O12" i="35" s="1"/>
  <c r="F101" i="16"/>
  <c r="L12" i="33" s="1"/>
  <c r="L12" i="35" s="1"/>
  <c r="Q12" i="33"/>
  <c r="Q12" i="35" s="1"/>
  <c r="J101" i="16"/>
  <c r="P12" i="33" s="1"/>
  <c r="P12" i="35" s="1"/>
  <c r="H15" i="37" l="1"/>
  <c r="H13" i="37"/>
  <c r="G13" i="37" s="1"/>
  <c r="H8" i="35" s="1"/>
  <c r="G13" i="13"/>
  <c r="H12" i="37"/>
  <c r="G12" i="37" s="1"/>
  <c r="G8" i="35" s="1"/>
  <c r="G12" i="13"/>
  <c r="J16" i="37"/>
  <c r="H42" i="13"/>
  <c r="M14" i="33"/>
  <c r="M14" i="35" s="1"/>
  <c r="Q9" i="33"/>
  <c r="Q9" i="35" s="1"/>
  <c r="L13" i="33"/>
  <c r="L13" i="35" s="1"/>
  <c r="L9" i="33"/>
  <c r="L9" i="35" s="1"/>
  <c r="E30" i="31"/>
  <c r="E48" i="31"/>
  <c r="H154" i="25"/>
  <c r="E50" i="31"/>
  <c r="E32" i="31"/>
  <c r="E28" i="31"/>
  <c r="E46" i="31"/>
  <c r="E35" i="31"/>
  <c r="E53" i="31"/>
  <c r="R154" i="25"/>
  <c r="L154" i="25"/>
  <c r="J45" i="13"/>
  <c r="J45" i="37" s="1"/>
  <c r="J46" i="37" s="1"/>
  <c r="H45" i="13"/>
  <c r="H43" i="13"/>
  <c r="J133" i="14"/>
  <c r="J132" i="14"/>
  <c r="F118" i="14"/>
  <c r="E36" i="31"/>
  <c r="E54" i="31"/>
  <c r="G52" i="30" s="1"/>
  <c r="G168" i="16" s="1"/>
  <c r="L197" i="16"/>
  <c r="R18" i="33" s="1"/>
  <c r="R18" i="35" s="1"/>
  <c r="H197" i="16"/>
  <c r="N18" i="33" s="1"/>
  <c r="N18" i="35" s="1"/>
  <c r="J196" i="16"/>
  <c r="J197" i="16" s="1"/>
  <c r="P18" i="33" s="1"/>
  <c r="P18" i="35" s="1"/>
  <c r="I197" i="16"/>
  <c r="O18" i="33" s="1"/>
  <c r="O18" i="35" s="1"/>
  <c r="C35" i="27"/>
  <c r="G197" i="16"/>
  <c r="M18" i="33" s="1" a="1"/>
  <c r="M18" i="33" s="1"/>
  <c r="M18" i="35" s="1"/>
  <c r="F175" i="14"/>
  <c r="F174" i="14"/>
  <c r="F173" i="14"/>
  <c r="F172" i="14"/>
  <c r="F171" i="14"/>
  <c r="F170" i="14"/>
  <c r="F169" i="14"/>
  <c r="F159" i="14"/>
  <c r="F158" i="14"/>
  <c r="F157" i="14"/>
  <c r="F156" i="14"/>
  <c r="F155" i="14"/>
  <c r="F154" i="14"/>
  <c r="F153" i="14"/>
  <c r="F143" i="14"/>
  <c r="F142" i="14"/>
  <c r="F141" i="14"/>
  <c r="F140" i="14"/>
  <c r="F139" i="14"/>
  <c r="F138" i="14"/>
  <c r="F137" i="14"/>
  <c r="F127" i="14"/>
  <c r="F126" i="14"/>
  <c r="F125" i="14"/>
  <c r="F124" i="14"/>
  <c r="F123" i="14"/>
  <c r="F122" i="14"/>
  <c r="F121" i="14"/>
  <c r="F111" i="14"/>
  <c r="F110" i="14"/>
  <c r="F109" i="14"/>
  <c r="F108" i="14"/>
  <c r="F107" i="14"/>
  <c r="F106" i="14"/>
  <c r="F105" i="14"/>
  <c r="F95" i="14"/>
  <c r="F94" i="14"/>
  <c r="F91" i="14"/>
  <c r="F89" i="14"/>
  <c r="F79" i="14"/>
  <c r="F78" i="14"/>
  <c r="F77" i="14"/>
  <c r="F76" i="14"/>
  <c r="F75" i="14"/>
  <c r="F74" i="14"/>
  <c r="F73" i="14"/>
  <c r="F63" i="14"/>
  <c r="F62" i="14"/>
  <c r="F61" i="14"/>
  <c r="F60" i="14"/>
  <c r="F59" i="14"/>
  <c r="F58" i="14"/>
  <c r="F57" i="14"/>
  <c r="F47" i="14"/>
  <c r="F46" i="14"/>
  <c r="F45" i="14"/>
  <c r="F44" i="14"/>
  <c r="F43" i="14"/>
  <c r="F42" i="14"/>
  <c r="F41" i="14"/>
  <c r="F31" i="14"/>
  <c r="F30" i="14"/>
  <c r="F29" i="14"/>
  <c r="F28" i="14"/>
  <c r="F27" i="14"/>
  <c r="F26" i="14"/>
  <c r="F25" i="14"/>
  <c r="F15" i="14"/>
  <c r="F14" i="14"/>
  <c r="F13" i="14"/>
  <c r="F12" i="14"/>
  <c r="F11" i="14"/>
  <c r="F10" i="14"/>
  <c r="F9" i="14"/>
  <c r="F159" i="15"/>
  <c r="F158" i="15"/>
  <c r="F157" i="15"/>
  <c r="F156" i="15"/>
  <c r="F155" i="15"/>
  <c r="F154" i="15"/>
  <c r="F153" i="15"/>
  <c r="F143" i="15"/>
  <c r="F142" i="15"/>
  <c r="F141" i="15"/>
  <c r="F140" i="15"/>
  <c r="F139" i="15"/>
  <c r="F138" i="15"/>
  <c r="F137" i="15"/>
  <c r="F127" i="15"/>
  <c r="F126" i="15"/>
  <c r="F125" i="15"/>
  <c r="F124" i="15"/>
  <c r="F123" i="15"/>
  <c r="F122" i="15"/>
  <c r="F121" i="15"/>
  <c r="F111" i="15"/>
  <c r="F110" i="15"/>
  <c r="F109" i="15"/>
  <c r="F108" i="15"/>
  <c r="F107" i="15"/>
  <c r="F106" i="15"/>
  <c r="F105" i="15"/>
  <c r="F95" i="15"/>
  <c r="F94" i="15"/>
  <c r="F93" i="15"/>
  <c r="F92" i="15"/>
  <c r="F91" i="15"/>
  <c r="F90" i="15"/>
  <c r="F89" i="15"/>
  <c r="F79" i="15"/>
  <c r="F78" i="15"/>
  <c r="F77" i="15"/>
  <c r="F76" i="15"/>
  <c r="F75" i="15"/>
  <c r="F74" i="15"/>
  <c r="F73" i="15"/>
  <c r="F63" i="15"/>
  <c r="F62" i="15"/>
  <c r="F61" i="15"/>
  <c r="F60" i="15"/>
  <c r="F59" i="15"/>
  <c r="F58" i="15"/>
  <c r="F57" i="15"/>
  <c r="F47" i="15"/>
  <c r="F46" i="15"/>
  <c r="F45" i="15"/>
  <c r="F44" i="15"/>
  <c r="F43" i="15"/>
  <c r="F42" i="15"/>
  <c r="F41" i="15"/>
  <c r="F31" i="15"/>
  <c r="F30" i="15"/>
  <c r="F29" i="15"/>
  <c r="F28" i="15"/>
  <c r="F27" i="15"/>
  <c r="F26" i="15"/>
  <c r="F25" i="15"/>
  <c r="F15" i="15"/>
  <c r="F14" i="15"/>
  <c r="F13" i="15"/>
  <c r="F12" i="15"/>
  <c r="F11" i="15"/>
  <c r="F10" i="15"/>
  <c r="F9" i="15"/>
  <c r="F159" i="2"/>
  <c r="F158" i="2"/>
  <c r="F157" i="2"/>
  <c r="F156" i="2"/>
  <c r="F155" i="2"/>
  <c r="F154" i="2"/>
  <c r="F153" i="2"/>
  <c r="F143" i="2"/>
  <c r="F142" i="2"/>
  <c r="F141" i="2"/>
  <c r="F140" i="2"/>
  <c r="F139" i="2"/>
  <c r="F138" i="2"/>
  <c r="F137" i="2"/>
  <c r="F127" i="2"/>
  <c r="F126" i="2"/>
  <c r="F125" i="2"/>
  <c r="F124" i="2"/>
  <c r="F123" i="2"/>
  <c r="F122" i="2"/>
  <c r="F121" i="2"/>
  <c r="F111" i="2"/>
  <c r="F110" i="2"/>
  <c r="F109" i="2"/>
  <c r="F108" i="2"/>
  <c r="F107" i="2"/>
  <c r="F106" i="2"/>
  <c r="F105" i="2"/>
  <c r="F95" i="2"/>
  <c r="F94" i="2"/>
  <c r="F93" i="2"/>
  <c r="F89" i="2"/>
  <c r="F79" i="2"/>
  <c r="F78" i="2"/>
  <c r="F77" i="2"/>
  <c r="F76" i="2"/>
  <c r="F75" i="2"/>
  <c r="F74" i="2"/>
  <c r="F73" i="2"/>
  <c r="F63" i="2"/>
  <c r="F62" i="2"/>
  <c r="F61" i="2"/>
  <c r="F60" i="2"/>
  <c r="F59" i="2"/>
  <c r="F58" i="2"/>
  <c r="F57" i="2"/>
  <c r="F47" i="2"/>
  <c r="F46" i="2"/>
  <c r="F45" i="2"/>
  <c r="F44" i="2"/>
  <c r="F43" i="2"/>
  <c r="F42" i="2"/>
  <c r="F41" i="2"/>
  <c r="F30" i="2"/>
  <c r="F29" i="2"/>
  <c r="F28" i="2"/>
  <c r="F27" i="2"/>
  <c r="F26" i="2"/>
  <c r="F15" i="2"/>
  <c r="F14" i="2"/>
  <c r="F13" i="2"/>
  <c r="F12" i="2"/>
  <c r="F11" i="2"/>
  <c r="F9" i="2"/>
  <c r="F175" i="15"/>
  <c r="F174" i="15"/>
  <c r="F173" i="15"/>
  <c r="F172" i="15"/>
  <c r="F171" i="15"/>
  <c r="F170" i="15"/>
  <c r="F169" i="15"/>
  <c r="F170" i="2"/>
  <c r="F171" i="2"/>
  <c r="F172" i="2"/>
  <c r="F173" i="2"/>
  <c r="F174" i="2"/>
  <c r="F175" i="2"/>
  <c r="F169" i="2"/>
  <c r="H45" i="37" l="1"/>
  <c r="H43" i="37"/>
  <c r="G43" i="37" s="1"/>
  <c r="H14" i="35" s="1"/>
  <c r="G43" i="13"/>
  <c r="H42" i="37"/>
  <c r="G42" i="37" s="1"/>
  <c r="G14" i="35" s="1"/>
  <c r="G42" i="13"/>
  <c r="H16" i="37"/>
  <c r="B15" i="27" s="1"/>
  <c r="Q18" i="33"/>
  <c r="Q18" i="35" s="1"/>
  <c r="F118" i="32"/>
  <c r="F119" i="32"/>
  <c r="G34" i="30"/>
  <c r="G151" i="16" s="1"/>
  <c r="F121" i="32"/>
  <c r="L34" i="30"/>
  <c r="L151" i="16" s="1"/>
  <c r="H121" i="32"/>
  <c r="F148" i="32"/>
  <c r="F151" i="32"/>
  <c r="G44" i="30"/>
  <c r="G40" i="16" s="1"/>
  <c r="F149" i="32"/>
  <c r="L44" i="30"/>
  <c r="L40" i="16" s="1"/>
  <c r="H151" i="32"/>
  <c r="E10" i="31"/>
  <c r="F83" i="32"/>
  <c r="F84" i="32"/>
  <c r="H86" i="32"/>
  <c r="F86" i="32"/>
  <c r="G27" i="30"/>
  <c r="G39" i="16" s="1"/>
  <c r="L27" i="30"/>
  <c r="L39" i="16" s="1"/>
  <c r="F104" i="32"/>
  <c r="L31" i="30"/>
  <c r="L103" i="16" s="1"/>
  <c r="F103" i="32"/>
  <c r="H106" i="32"/>
  <c r="F106" i="32"/>
  <c r="G103" i="14" s="1"/>
  <c r="G31" i="30"/>
  <c r="G103" i="16" s="1"/>
  <c r="E14" i="31"/>
  <c r="F168" i="32"/>
  <c r="G48" i="30"/>
  <c r="G104" i="16" s="1"/>
  <c r="F171" i="32"/>
  <c r="L48" i="30"/>
  <c r="L104" i="16" s="1"/>
  <c r="F169" i="32"/>
  <c r="H171" i="32"/>
  <c r="E31" i="31"/>
  <c r="E49" i="31"/>
  <c r="E47" i="31"/>
  <c r="E29" i="31"/>
  <c r="E52" i="31"/>
  <c r="E34" i="31"/>
  <c r="E12" i="31"/>
  <c r="F161" i="32"/>
  <c r="F159" i="32"/>
  <c r="F158" i="32"/>
  <c r="G46" i="30"/>
  <c r="G72" i="16" s="1"/>
  <c r="L46" i="30"/>
  <c r="L72" i="16" s="1"/>
  <c r="H161" i="32"/>
  <c r="E17" i="31"/>
  <c r="F183" i="32"/>
  <c r="F186" i="32"/>
  <c r="L51" i="30"/>
  <c r="L152" i="16" s="1"/>
  <c r="G51" i="30"/>
  <c r="G152" i="16" s="1"/>
  <c r="H186" i="32"/>
  <c r="F184" i="32"/>
  <c r="F96" i="32"/>
  <c r="F94" i="32"/>
  <c r="F93" i="32"/>
  <c r="G29" i="30"/>
  <c r="G71" i="16" s="1"/>
  <c r="L29" i="30"/>
  <c r="L71" i="16" s="1"/>
  <c r="H96" i="32"/>
  <c r="H191" i="32"/>
  <c r="H192" i="32" s="1"/>
  <c r="L52" i="30"/>
  <c r="L168" i="16" s="1"/>
  <c r="F189" i="32"/>
  <c r="G168" i="15" s="1"/>
  <c r="F191" i="32"/>
  <c r="G168" i="14" s="1"/>
  <c r="F188" i="32"/>
  <c r="E188" i="32" s="1"/>
  <c r="F126" i="32"/>
  <c r="G167" i="14" s="1"/>
  <c r="F124" i="32"/>
  <c r="F123" i="32"/>
  <c r="G35" i="30"/>
  <c r="G167" i="16" s="1"/>
  <c r="G180" i="16" s="1"/>
  <c r="L35" i="30"/>
  <c r="L167" i="16" s="1"/>
  <c r="L36" i="30"/>
  <c r="H126" i="32"/>
  <c r="R41" i="13"/>
  <c r="P41" i="13"/>
  <c r="B66" i="4"/>
  <c r="C66" i="4"/>
  <c r="D66" i="4"/>
  <c r="E66" i="4"/>
  <c r="F66" i="4"/>
  <c r="G66" i="4"/>
  <c r="H66" i="4"/>
  <c r="J66" i="4"/>
  <c r="K66" i="4"/>
  <c r="L66" i="4"/>
  <c r="H46" i="37" l="1"/>
  <c r="B11" i="27" s="1"/>
  <c r="G181" i="16"/>
  <c r="M17" i="33" s="1"/>
  <c r="M17" i="35" s="1"/>
  <c r="E159" i="32"/>
  <c r="G72" i="15"/>
  <c r="F72" i="15" s="1"/>
  <c r="G152" i="14"/>
  <c r="G72" i="14"/>
  <c r="I104" i="14"/>
  <c r="I171" i="32"/>
  <c r="H172" i="32"/>
  <c r="I39" i="14"/>
  <c r="H87" i="32"/>
  <c r="I86" i="32"/>
  <c r="G40" i="14"/>
  <c r="G71" i="2"/>
  <c r="F71" i="2" s="1"/>
  <c r="F97" i="32"/>
  <c r="E93" i="32"/>
  <c r="F187" i="32"/>
  <c r="E183" i="32"/>
  <c r="G152" i="2"/>
  <c r="F152" i="2" s="1"/>
  <c r="F31" i="32"/>
  <c r="G70" i="14" s="1"/>
  <c r="F28" i="32"/>
  <c r="F29" i="32"/>
  <c r="L12" i="30"/>
  <c r="L70" i="16" s="1"/>
  <c r="L84" i="16" s="1"/>
  <c r="H31" i="32"/>
  <c r="G12" i="30"/>
  <c r="G70" i="16" s="1"/>
  <c r="G84" i="16" s="1"/>
  <c r="G104" i="15"/>
  <c r="F104" i="15" s="1"/>
  <c r="E169" i="32"/>
  <c r="I106" i="32"/>
  <c r="I103" i="14"/>
  <c r="H107" i="32"/>
  <c r="G39" i="15"/>
  <c r="F39" i="15" s="1"/>
  <c r="E84" i="32"/>
  <c r="G40" i="2"/>
  <c r="F40" i="2" s="1"/>
  <c r="F152" i="32"/>
  <c r="E148" i="32"/>
  <c r="G71" i="15"/>
  <c r="F71" i="15" s="1"/>
  <c r="E94" i="32"/>
  <c r="F53" i="32"/>
  <c r="F56" i="32"/>
  <c r="G17" i="30"/>
  <c r="G150" i="16" s="1"/>
  <c r="G164" i="16" s="1"/>
  <c r="L17" i="30"/>
  <c r="L150" i="16" s="1"/>
  <c r="L164" i="16" s="1"/>
  <c r="F54" i="32"/>
  <c r="H56" i="32"/>
  <c r="L33" i="30"/>
  <c r="L135" i="16" s="1"/>
  <c r="F116" i="32"/>
  <c r="H116" i="32"/>
  <c r="F114" i="32"/>
  <c r="F113" i="32"/>
  <c r="G33" i="30"/>
  <c r="G135" i="16" s="1"/>
  <c r="G103" i="2"/>
  <c r="F103" i="2" s="1"/>
  <c r="F107" i="32"/>
  <c r="E103" i="32"/>
  <c r="G39" i="2"/>
  <c r="F39" i="2" s="1"/>
  <c r="F87" i="32"/>
  <c r="E83" i="32"/>
  <c r="I151" i="14"/>
  <c r="H122" i="32"/>
  <c r="I121" i="32"/>
  <c r="E121" i="32" s="1"/>
  <c r="F178" i="32"/>
  <c r="H181" i="32"/>
  <c r="E16" i="31"/>
  <c r="L50" i="30"/>
  <c r="L136" i="16" s="1"/>
  <c r="G50" i="30"/>
  <c r="G136" i="16" s="1"/>
  <c r="F179" i="32"/>
  <c r="F181" i="32"/>
  <c r="G104" i="14"/>
  <c r="H21" i="32"/>
  <c r="F21" i="32"/>
  <c r="F19" i="32"/>
  <c r="G10" i="30"/>
  <c r="G38" i="16" s="1"/>
  <c r="F18" i="32"/>
  <c r="L10" i="30"/>
  <c r="L38" i="16" s="1"/>
  <c r="L52" i="16" s="1"/>
  <c r="G71" i="14"/>
  <c r="H162" i="32"/>
  <c r="I161" i="32"/>
  <c r="I72" i="14"/>
  <c r="E184" i="32"/>
  <c r="G152" i="15"/>
  <c r="F152" i="15" s="1"/>
  <c r="F89" i="32"/>
  <c r="F91" i="32"/>
  <c r="F88" i="32"/>
  <c r="G28" i="30"/>
  <c r="G55" i="16" s="1"/>
  <c r="L28" i="30"/>
  <c r="L55" i="16" s="1"/>
  <c r="H91" i="32"/>
  <c r="G103" i="15"/>
  <c r="F103" i="15" s="1"/>
  <c r="E104" i="32"/>
  <c r="I40" i="14"/>
  <c r="H152" i="32"/>
  <c r="I151" i="32"/>
  <c r="E151" i="32" s="1"/>
  <c r="G151" i="14"/>
  <c r="H187" i="32"/>
  <c r="I186" i="32"/>
  <c r="I152" i="14"/>
  <c r="F156" i="32"/>
  <c r="G45" i="30"/>
  <c r="G56" i="16" s="1"/>
  <c r="H156" i="32"/>
  <c r="E11" i="31"/>
  <c r="F153" i="32"/>
  <c r="F154" i="32"/>
  <c r="L45" i="30"/>
  <c r="L56" i="16" s="1"/>
  <c r="F172" i="32"/>
  <c r="E168" i="32"/>
  <c r="G104" i="2"/>
  <c r="F104" i="2" s="1"/>
  <c r="H97" i="32"/>
  <c r="I71" i="14"/>
  <c r="I96" i="32"/>
  <c r="G72" i="2"/>
  <c r="F72" i="2" s="1"/>
  <c r="F162" i="32"/>
  <c r="E158" i="32"/>
  <c r="G47" i="30"/>
  <c r="G88" i="16" s="1"/>
  <c r="H166" i="32"/>
  <c r="E13" i="31"/>
  <c r="F166" i="32"/>
  <c r="F164" i="32"/>
  <c r="F163" i="32"/>
  <c r="L47" i="30"/>
  <c r="L88" i="16" s="1"/>
  <c r="F39" i="32"/>
  <c r="G14" i="30"/>
  <c r="G102" i="16" s="1"/>
  <c r="G116" i="16" s="1"/>
  <c r="F38" i="32"/>
  <c r="L14" i="30"/>
  <c r="L102" i="16" s="1"/>
  <c r="H41" i="32"/>
  <c r="F41" i="32"/>
  <c r="G40" i="15"/>
  <c r="F40" i="15" s="1"/>
  <c r="E149" i="32"/>
  <c r="G151" i="15"/>
  <c r="F151" i="15" s="1"/>
  <c r="E119" i="32"/>
  <c r="F98" i="32"/>
  <c r="G30" i="30"/>
  <c r="G87" i="16" s="1"/>
  <c r="F99" i="32"/>
  <c r="F101" i="32"/>
  <c r="L30" i="30"/>
  <c r="L87" i="16" s="1"/>
  <c r="H101" i="32"/>
  <c r="G39" i="14"/>
  <c r="E86" i="32"/>
  <c r="G151" i="2"/>
  <c r="F151" i="2" s="1"/>
  <c r="E118" i="32"/>
  <c r="F122" i="32"/>
  <c r="I168" i="14"/>
  <c r="I191" i="32"/>
  <c r="E191" i="32" s="1"/>
  <c r="G168" i="2"/>
  <c r="F168" i="2" s="1"/>
  <c r="G180" i="14"/>
  <c r="F192" i="32"/>
  <c r="E189" i="32"/>
  <c r="G181" i="14"/>
  <c r="G167" i="15"/>
  <c r="F167" i="15" s="1"/>
  <c r="E124" i="32"/>
  <c r="G167" i="2"/>
  <c r="F167" i="2" s="1"/>
  <c r="F127" i="32"/>
  <c r="E123" i="32"/>
  <c r="I126" i="32"/>
  <c r="H127" i="32"/>
  <c r="I167" i="14"/>
  <c r="L180" i="16"/>
  <c r="F168" i="15"/>
  <c r="L165" i="16" l="1"/>
  <c r="R16" i="33" s="1"/>
  <c r="R16" i="35" s="1"/>
  <c r="L181" i="16"/>
  <c r="R17" i="33" s="1"/>
  <c r="H60" i="13"/>
  <c r="I192" i="32"/>
  <c r="I180" i="14"/>
  <c r="G135" i="15"/>
  <c r="F135" i="15" s="1"/>
  <c r="E114" i="32"/>
  <c r="E163" i="32"/>
  <c r="F167" i="32"/>
  <c r="G88" i="2"/>
  <c r="F88" i="2" s="1"/>
  <c r="E154" i="32"/>
  <c r="G56" i="15"/>
  <c r="F56" i="15" s="1"/>
  <c r="H92" i="32"/>
  <c r="I91" i="32"/>
  <c r="E91" i="32" s="1"/>
  <c r="I55" i="14"/>
  <c r="G38" i="15"/>
  <c r="E19" i="32"/>
  <c r="H117" i="32"/>
  <c r="I116" i="32"/>
  <c r="E116" i="32" s="1"/>
  <c r="I135" i="14"/>
  <c r="G150" i="2"/>
  <c r="F57" i="32"/>
  <c r="E53" i="32"/>
  <c r="G70" i="15"/>
  <c r="E29" i="32"/>
  <c r="G150" i="14"/>
  <c r="J168" i="14"/>
  <c r="F168" i="14" s="1"/>
  <c r="G87" i="14"/>
  <c r="G102" i="14"/>
  <c r="G88" i="15"/>
  <c r="F88" i="15" s="1"/>
  <c r="E164" i="32"/>
  <c r="I97" i="32"/>
  <c r="E97" i="32" s="1"/>
  <c r="J71" i="14"/>
  <c r="F71" i="14" s="1"/>
  <c r="F157" i="32"/>
  <c r="E153" i="32"/>
  <c r="G56" i="2"/>
  <c r="F56" i="2" s="1"/>
  <c r="I162" i="32"/>
  <c r="E162" i="32" s="1"/>
  <c r="J72" i="14"/>
  <c r="F72" i="14" s="1"/>
  <c r="G38" i="14"/>
  <c r="L16" i="30"/>
  <c r="L134" i="16" s="1"/>
  <c r="L148" i="16" s="1"/>
  <c r="H51" i="32"/>
  <c r="F49" i="32"/>
  <c r="F48" i="32"/>
  <c r="F51" i="32"/>
  <c r="G16" i="30"/>
  <c r="G134" i="16" s="1"/>
  <c r="G135" i="14"/>
  <c r="G70" i="2"/>
  <c r="F32" i="32"/>
  <c r="E28" i="32"/>
  <c r="E161" i="32"/>
  <c r="L85" i="16"/>
  <c r="R11" i="33" s="1"/>
  <c r="R11" i="35" s="1"/>
  <c r="I172" i="32"/>
  <c r="E172" i="32" s="1"/>
  <c r="J104" i="14"/>
  <c r="F104" i="14" s="1"/>
  <c r="G87" i="15"/>
  <c r="F87" i="15" s="1"/>
  <c r="E99" i="32"/>
  <c r="H42" i="32"/>
  <c r="I41" i="32"/>
  <c r="E41" i="32" s="1"/>
  <c r="I102" i="14"/>
  <c r="G88" i="14"/>
  <c r="L11" i="30"/>
  <c r="L54" i="16" s="1"/>
  <c r="L68" i="16" s="1"/>
  <c r="H26" i="32"/>
  <c r="F26" i="32"/>
  <c r="F24" i="32"/>
  <c r="G11" i="30"/>
  <c r="G54" i="16" s="1"/>
  <c r="G68" i="16" s="1"/>
  <c r="F23" i="32"/>
  <c r="I38" i="14"/>
  <c r="H22" i="32"/>
  <c r="I21" i="32"/>
  <c r="H182" i="32"/>
  <c r="I181" i="32"/>
  <c r="I136" i="14"/>
  <c r="E106" i="32"/>
  <c r="J103" i="14"/>
  <c r="F103" i="14" s="1"/>
  <c r="I107" i="32"/>
  <c r="E107" i="32" s="1"/>
  <c r="G85" i="14"/>
  <c r="G84" i="14"/>
  <c r="I187" i="32"/>
  <c r="E187" i="32" s="1"/>
  <c r="J152" i="14"/>
  <c r="F152" i="14" s="1"/>
  <c r="L116" i="16"/>
  <c r="F33" i="32"/>
  <c r="F36" i="32"/>
  <c r="L13" i="30"/>
  <c r="L86" i="16" s="1"/>
  <c r="H36" i="32"/>
  <c r="G13" i="30"/>
  <c r="G86" i="16" s="1"/>
  <c r="F34" i="32"/>
  <c r="H157" i="32"/>
  <c r="I56" i="14"/>
  <c r="I156" i="32"/>
  <c r="E156" i="32" s="1"/>
  <c r="J40" i="14"/>
  <c r="F40" i="14" s="1"/>
  <c r="I152" i="32"/>
  <c r="E152" i="32" s="1"/>
  <c r="G55" i="2"/>
  <c r="F55" i="2" s="1"/>
  <c r="F92" i="32"/>
  <c r="E88" i="32"/>
  <c r="E96" i="32"/>
  <c r="E171" i="32"/>
  <c r="E178" i="32"/>
  <c r="G136" i="2"/>
  <c r="F136" i="2" s="1"/>
  <c r="F182" i="32"/>
  <c r="I150" i="14"/>
  <c r="H57" i="32"/>
  <c r="I56" i="32"/>
  <c r="E56" i="32" s="1"/>
  <c r="J39" i="14"/>
  <c r="F39" i="14" s="1"/>
  <c r="I87" i="32"/>
  <c r="E87" i="32" s="1"/>
  <c r="E186" i="32"/>
  <c r="G52" i="16"/>
  <c r="G87" i="2"/>
  <c r="F87" i="2" s="1"/>
  <c r="F102" i="32"/>
  <c r="E98" i="32"/>
  <c r="G102" i="2"/>
  <c r="F42" i="32"/>
  <c r="E38" i="32"/>
  <c r="I166" i="32"/>
  <c r="I88" i="14"/>
  <c r="H167" i="32"/>
  <c r="G55" i="14"/>
  <c r="I122" i="32"/>
  <c r="E122" i="32" s="1"/>
  <c r="J151" i="14"/>
  <c r="F151" i="14" s="1"/>
  <c r="E54" i="32"/>
  <c r="G150" i="15"/>
  <c r="I101" i="32"/>
  <c r="H102" i="32"/>
  <c r="I87" i="14"/>
  <c r="G117" i="16"/>
  <c r="M13" i="33" s="1"/>
  <c r="M13" i="35" s="1"/>
  <c r="L53" i="16"/>
  <c r="R9" i="33" s="1"/>
  <c r="R9" i="35" s="1"/>
  <c r="G136" i="14"/>
  <c r="G85" i="16"/>
  <c r="M11" i="33" s="1"/>
  <c r="M11" i="35" s="1"/>
  <c r="G56" i="14"/>
  <c r="G55" i="15"/>
  <c r="F55" i="15" s="1"/>
  <c r="E89" i="32"/>
  <c r="G102" i="15"/>
  <c r="E39" i="32"/>
  <c r="G38" i="2"/>
  <c r="F22" i="32"/>
  <c r="E18" i="32"/>
  <c r="G136" i="15"/>
  <c r="F136" i="15" s="1"/>
  <c r="E179" i="32"/>
  <c r="F117" i="32"/>
  <c r="E113" i="32"/>
  <c r="G135" i="2"/>
  <c r="F135" i="2" s="1"/>
  <c r="G165" i="16"/>
  <c r="M16" i="33" s="1"/>
  <c r="M16" i="35" s="1"/>
  <c r="I70" i="14"/>
  <c r="H32" i="32"/>
  <c r="I31" i="32"/>
  <c r="G181" i="15"/>
  <c r="E192" i="32"/>
  <c r="G181" i="2"/>
  <c r="G180" i="2"/>
  <c r="E126" i="32"/>
  <c r="I127" i="32"/>
  <c r="E127" i="32" s="1"/>
  <c r="J167" i="14"/>
  <c r="F167" i="14" s="1"/>
  <c r="G180" i="15"/>
  <c r="I181" i="14"/>
  <c r="F17" i="14"/>
  <c r="F97" i="14"/>
  <c r="F145" i="14"/>
  <c r="F129" i="14"/>
  <c r="F161" i="14"/>
  <c r="F113" i="14"/>
  <c r="F177" i="14"/>
  <c r="F65" i="14"/>
  <c r="F81" i="14"/>
  <c r="F49" i="14"/>
  <c r="F33" i="14"/>
  <c r="B81" i="4"/>
  <c r="C81" i="4"/>
  <c r="D81" i="4"/>
  <c r="E81" i="4"/>
  <c r="F81" i="4"/>
  <c r="G81" i="4"/>
  <c r="H81" i="4"/>
  <c r="J81" i="4"/>
  <c r="K81" i="4"/>
  <c r="L81" i="4"/>
  <c r="J60" i="13" l="1"/>
  <c r="J60" i="37" s="1"/>
  <c r="H60" i="37"/>
  <c r="C31" i="27"/>
  <c r="R17" i="35"/>
  <c r="G53" i="16"/>
  <c r="M9" i="33" s="1"/>
  <c r="M9" i="35" s="1"/>
  <c r="L117" i="16"/>
  <c r="R13" i="33" s="1"/>
  <c r="R13" i="35" s="1"/>
  <c r="H57" i="13"/>
  <c r="H30" i="13"/>
  <c r="I182" i="32"/>
  <c r="E182" i="32" s="1"/>
  <c r="J136" i="14"/>
  <c r="F136" i="14" s="1"/>
  <c r="F38" i="2"/>
  <c r="G52" i="2"/>
  <c r="G53" i="2"/>
  <c r="I36" i="32"/>
  <c r="H37" i="32"/>
  <c r="I86" i="14"/>
  <c r="E181" i="32"/>
  <c r="I102" i="32"/>
  <c r="E102" i="32" s="1"/>
  <c r="J87" i="14"/>
  <c r="F87" i="14" s="1"/>
  <c r="L100" i="16"/>
  <c r="J38" i="14"/>
  <c r="F38" i="14" s="1"/>
  <c r="I22" i="32"/>
  <c r="E22" i="32" s="1"/>
  <c r="L69" i="16"/>
  <c r="R10" i="33" s="1"/>
  <c r="R10" i="35" s="1"/>
  <c r="E21" i="32"/>
  <c r="I117" i="32"/>
  <c r="E117" i="32" s="1"/>
  <c r="J135" i="14"/>
  <c r="F135" i="14" s="1"/>
  <c r="F150" i="2"/>
  <c r="G164" i="2"/>
  <c r="G165" i="2"/>
  <c r="I165" i="14"/>
  <c r="I164" i="14"/>
  <c r="I26" i="32"/>
  <c r="E26" i="32" s="1"/>
  <c r="I54" i="14"/>
  <c r="H27" i="32"/>
  <c r="F70" i="2"/>
  <c r="G85" i="2"/>
  <c r="G84" i="2"/>
  <c r="F102" i="15"/>
  <c r="G117" i="15"/>
  <c r="G116" i="15"/>
  <c r="F150" i="15"/>
  <c r="G165" i="15"/>
  <c r="G164" i="15"/>
  <c r="I167" i="32"/>
  <c r="E167" i="32" s="1"/>
  <c r="J88" i="14"/>
  <c r="F88" i="14" s="1"/>
  <c r="G86" i="14"/>
  <c r="E166" i="32"/>
  <c r="G52" i="14"/>
  <c r="G53" i="14"/>
  <c r="G165" i="14"/>
  <c r="G164" i="14"/>
  <c r="G54" i="14"/>
  <c r="I134" i="14"/>
  <c r="H52" i="32"/>
  <c r="I51" i="32"/>
  <c r="L149" i="16"/>
  <c r="R15" i="33" s="1"/>
  <c r="R15" i="35" s="1"/>
  <c r="I157" i="32"/>
  <c r="E157" i="32" s="1"/>
  <c r="J56" i="14"/>
  <c r="F56" i="14" s="1"/>
  <c r="G86" i="2"/>
  <c r="F37" i="32"/>
  <c r="E33" i="32"/>
  <c r="I52" i="14"/>
  <c r="I53" i="14"/>
  <c r="G148" i="16"/>
  <c r="E31" i="32"/>
  <c r="I32" i="32"/>
  <c r="E32" i="32" s="1"/>
  <c r="J70" i="14"/>
  <c r="F27" i="32"/>
  <c r="E23" i="32"/>
  <c r="G54" i="2"/>
  <c r="I117" i="14"/>
  <c r="I116" i="14"/>
  <c r="G134" i="14"/>
  <c r="F70" i="15"/>
  <c r="G84" i="15"/>
  <c r="G85" i="15"/>
  <c r="F38" i="15"/>
  <c r="G52" i="15"/>
  <c r="G53" i="15"/>
  <c r="G100" i="16"/>
  <c r="G69" i="16"/>
  <c r="M10" i="33" s="1"/>
  <c r="M10" i="35" s="1"/>
  <c r="I42" i="32"/>
  <c r="E42" i="32" s="1"/>
  <c r="J102" i="14"/>
  <c r="F102" i="14" s="1"/>
  <c r="G134" i="2"/>
  <c r="F52" i="32"/>
  <c r="E48" i="32"/>
  <c r="G117" i="14"/>
  <c r="G116" i="14"/>
  <c r="F102" i="2"/>
  <c r="G116" i="2"/>
  <c r="G117" i="2"/>
  <c r="I84" i="14"/>
  <c r="I85" i="14"/>
  <c r="J150" i="14"/>
  <c r="F150" i="14" s="1"/>
  <c r="I57" i="32"/>
  <c r="E57" i="32" s="1"/>
  <c r="G86" i="15"/>
  <c r="E34" i="32"/>
  <c r="G54" i="15"/>
  <c r="E24" i="32"/>
  <c r="G134" i="15"/>
  <c r="E49" i="32"/>
  <c r="E101" i="32"/>
  <c r="I92" i="32"/>
  <c r="E92" i="32" s="1"/>
  <c r="J55" i="14"/>
  <c r="F55" i="14" s="1"/>
  <c r="H58" i="13"/>
  <c r="J180" i="14"/>
  <c r="J181" i="14"/>
  <c r="F16" i="2"/>
  <c r="F112" i="2"/>
  <c r="F144" i="2"/>
  <c r="F176" i="2"/>
  <c r="F160" i="2"/>
  <c r="F128" i="2"/>
  <c r="F96" i="2"/>
  <c r="F48" i="2"/>
  <c r="F64" i="2"/>
  <c r="F113" i="15"/>
  <c r="F177" i="2"/>
  <c r="F32" i="2"/>
  <c r="F80" i="2"/>
  <c r="F16" i="14"/>
  <c r="F48" i="15"/>
  <c r="F33" i="15"/>
  <c r="F129" i="15"/>
  <c r="F177" i="15"/>
  <c r="F48" i="14"/>
  <c r="F32" i="14"/>
  <c r="F112" i="15"/>
  <c r="F160" i="15"/>
  <c r="F97" i="15"/>
  <c r="F176" i="14"/>
  <c r="F64" i="14"/>
  <c r="F96" i="14"/>
  <c r="F128" i="15"/>
  <c r="F65" i="15"/>
  <c r="F144" i="14"/>
  <c r="F128" i="14"/>
  <c r="F64" i="15"/>
  <c r="F160" i="14"/>
  <c r="F176" i="15"/>
  <c r="F17" i="2"/>
  <c r="F80" i="14"/>
  <c r="F112" i="14"/>
  <c r="F80" i="15"/>
  <c r="F32" i="15"/>
  <c r="F17" i="15"/>
  <c r="F161" i="15"/>
  <c r="F96" i="15"/>
  <c r="F129" i="2"/>
  <c r="F81" i="15"/>
  <c r="F49" i="15"/>
  <c r="F145" i="15"/>
  <c r="F144" i="15"/>
  <c r="F16" i="15"/>
  <c r="F49" i="2"/>
  <c r="F97" i="2"/>
  <c r="F145" i="2"/>
  <c r="F113" i="2"/>
  <c r="F65" i="2"/>
  <c r="F161" i="2"/>
  <c r="F33" i="2"/>
  <c r="F81" i="2"/>
  <c r="H30" i="37" l="1"/>
  <c r="H58" i="37"/>
  <c r="G58" i="37" s="1"/>
  <c r="G58" i="13"/>
  <c r="H17" i="33" s="1"/>
  <c r="H57" i="37"/>
  <c r="G57" i="37" s="1"/>
  <c r="G17" i="35" s="1"/>
  <c r="G57" i="13"/>
  <c r="H61" i="37"/>
  <c r="B13" i="27" s="1"/>
  <c r="H17" i="35"/>
  <c r="J61" i="37"/>
  <c r="G101" i="16"/>
  <c r="M12" i="33" s="1"/>
  <c r="M12" i="35" s="1"/>
  <c r="G149" i="16"/>
  <c r="M15" i="33" s="1"/>
  <c r="M15" i="35" s="1"/>
  <c r="L101" i="16"/>
  <c r="R12" i="33" s="1"/>
  <c r="R12" i="35" s="1"/>
  <c r="H18" i="13"/>
  <c r="J55" i="13"/>
  <c r="J55" i="37" s="1"/>
  <c r="J30" i="13"/>
  <c r="J30" i="37" s="1"/>
  <c r="H52" i="13"/>
  <c r="H17" i="13"/>
  <c r="H37" i="13"/>
  <c r="H28" i="13"/>
  <c r="H53" i="13"/>
  <c r="H40" i="13"/>
  <c r="H20" i="13"/>
  <c r="F134" i="15"/>
  <c r="G149" i="15"/>
  <c r="G148" i="15"/>
  <c r="J40" i="13"/>
  <c r="G100" i="14"/>
  <c r="G101" i="14"/>
  <c r="I100" i="14"/>
  <c r="I101" i="14"/>
  <c r="F134" i="2"/>
  <c r="G148" i="2"/>
  <c r="G149" i="2"/>
  <c r="H55" i="13"/>
  <c r="H27" i="13"/>
  <c r="J20" i="13"/>
  <c r="J134" i="14"/>
  <c r="I52" i="32"/>
  <c r="E52" i="32" s="1"/>
  <c r="F54" i="2"/>
  <c r="G68" i="2"/>
  <c r="G69" i="2"/>
  <c r="F86" i="15"/>
  <c r="G100" i="15"/>
  <c r="G101" i="15"/>
  <c r="J85" i="14"/>
  <c r="J84" i="14"/>
  <c r="F70" i="14"/>
  <c r="I149" i="14"/>
  <c r="I148" i="14"/>
  <c r="I69" i="14"/>
  <c r="I68" i="14"/>
  <c r="F54" i="15"/>
  <c r="G69" i="15"/>
  <c r="G68" i="15"/>
  <c r="J53" i="14"/>
  <c r="J52" i="14"/>
  <c r="J164" i="14"/>
  <c r="J165" i="14"/>
  <c r="E51" i="32"/>
  <c r="F86" i="2"/>
  <c r="G101" i="2"/>
  <c r="G100" i="2"/>
  <c r="H38" i="13"/>
  <c r="J54" i="14"/>
  <c r="F54" i="14" s="1"/>
  <c r="I27" i="32"/>
  <c r="E27" i="32" s="1"/>
  <c r="J117" i="14"/>
  <c r="J116" i="14"/>
  <c r="J86" i="14"/>
  <c r="I37" i="32"/>
  <c r="E37" i="32" s="1"/>
  <c r="G149" i="14"/>
  <c r="G148" i="14"/>
  <c r="G69" i="14"/>
  <c r="G68" i="14"/>
  <c r="E36" i="32"/>
  <c r="F179" i="2"/>
  <c r="F181" i="2" s="1"/>
  <c r="F131" i="2"/>
  <c r="F133" i="2" s="1"/>
  <c r="F163" i="2"/>
  <c r="F165" i="2" s="1"/>
  <c r="F35" i="14"/>
  <c r="F37" i="14" s="1"/>
  <c r="F67" i="2"/>
  <c r="F99" i="2"/>
  <c r="F51" i="2"/>
  <c r="F52" i="2" s="1"/>
  <c r="F35" i="2"/>
  <c r="F36" i="2" s="1"/>
  <c r="F115" i="2"/>
  <c r="F117" i="2" s="1"/>
  <c r="F179" i="15"/>
  <c r="F181" i="15" s="1"/>
  <c r="F131" i="15"/>
  <c r="F132" i="15" s="1"/>
  <c r="F35" i="15"/>
  <c r="F37" i="15" s="1"/>
  <c r="F99" i="14"/>
  <c r="F83" i="14"/>
  <c r="F163" i="15"/>
  <c r="F164" i="15" s="1"/>
  <c r="F51" i="15"/>
  <c r="F53" i="15" s="1"/>
  <c r="F83" i="15"/>
  <c r="F85" i="15" s="1"/>
  <c r="F67" i="14"/>
  <c r="F19" i="14"/>
  <c r="F20" i="14" s="1"/>
  <c r="F67" i="15"/>
  <c r="F147" i="2"/>
  <c r="F179" i="14"/>
  <c r="F181" i="14" s="1"/>
  <c r="F115" i="14"/>
  <c r="F116" i="14" s="1"/>
  <c r="F51" i="14"/>
  <c r="F53" i="14" s="1"/>
  <c r="F99" i="15"/>
  <c r="F83" i="2"/>
  <c r="F84" i="2" s="1"/>
  <c r="F131" i="14"/>
  <c r="F133" i="14" s="1"/>
  <c r="F115" i="15"/>
  <c r="F117" i="15" s="1"/>
  <c r="F19" i="15"/>
  <c r="F20" i="15" s="1"/>
  <c r="F147" i="14"/>
  <c r="F147" i="15"/>
  <c r="F163" i="14"/>
  <c r="F164" i="14" s="1"/>
  <c r="H55" i="37" l="1"/>
  <c r="H40" i="37"/>
  <c r="H20" i="37"/>
  <c r="H53" i="37"/>
  <c r="G53" i="37" s="1"/>
  <c r="H16" i="35" s="1"/>
  <c r="G53" i="13"/>
  <c r="H38" i="37"/>
  <c r="G38" i="37" s="1"/>
  <c r="H13" i="35" s="1"/>
  <c r="G38" i="13"/>
  <c r="H28" i="37"/>
  <c r="G28" i="37" s="1"/>
  <c r="H11" i="35" s="1"/>
  <c r="G28" i="13"/>
  <c r="H18" i="37"/>
  <c r="G18" i="37" s="1"/>
  <c r="H9" i="35" s="1"/>
  <c r="G18" i="13"/>
  <c r="H52" i="37"/>
  <c r="G52" i="37" s="1"/>
  <c r="G16" i="35" s="1"/>
  <c r="G52" i="13"/>
  <c r="H37" i="37"/>
  <c r="G37" i="37" s="1"/>
  <c r="G13" i="35" s="1"/>
  <c r="G37" i="13"/>
  <c r="H27" i="37"/>
  <c r="G27" i="37" s="1"/>
  <c r="G11" i="35" s="1"/>
  <c r="G27" i="13"/>
  <c r="H17" i="37"/>
  <c r="G17" i="37" s="1"/>
  <c r="G17" i="13"/>
  <c r="K20" i="13"/>
  <c r="K20" i="37" s="1"/>
  <c r="K21" i="37" s="1"/>
  <c r="J20" i="37"/>
  <c r="J21" i="37" s="1"/>
  <c r="K40" i="13"/>
  <c r="G40" i="13" s="1"/>
  <c r="J40" i="37"/>
  <c r="J41" i="37" s="1"/>
  <c r="J50" i="13"/>
  <c r="H48" i="13"/>
  <c r="G9" i="35"/>
  <c r="H47" i="13"/>
  <c r="H50" i="13"/>
  <c r="J31" i="37"/>
  <c r="J56" i="37"/>
  <c r="F101" i="15"/>
  <c r="F69" i="15"/>
  <c r="H22" i="13"/>
  <c r="J25" i="13"/>
  <c r="H35" i="13"/>
  <c r="J35" i="13"/>
  <c r="F149" i="15"/>
  <c r="F85" i="14"/>
  <c r="F149" i="2"/>
  <c r="F69" i="2"/>
  <c r="F68" i="14"/>
  <c r="H33" i="13"/>
  <c r="J148" i="14"/>
  <c r="J149" i="14"/>
  <c r="H25" i="13"/>
  <c r="J101" i="14"/>
  <c r="J100" i="14"/>
  <c r="F86" i="14"/>
  <c r="F101" i="14" s="1"/>
  <c r="F134" i="14"/>
  <c r="F149" i="14" s="1"/>
  <c r="J69" i="14"/>
  <c r="J68" i="14"/>
  <c r="F100" i="2"/>
  <c r="H32" i="13"/>
  <c r="H23" i="13"/>
  <c r="F69" i="14"/>
  <c r="F68" i="2"/>
  <c r="F85" i="2"/>
  <c r="F117" i="14"/>
  <c r="F180" i="2"/>
  <c r="F132" i="2"/>
  <c r="F84" i="14"/>
  <c r="F165" i="14"/>
  <c r="F101" i="2"/>
  <c r="F53" i="2"/>
  <c r="F164" i="2"/>
  <c r="AA56" i="37" s="1"/>
  <c r="F116" i="2"/>
  <c r="F148" i="2"/>
  <c r="F37" i="2"/>
  <c r="F21" i="14"/>
  <c r="F180" i="14"/>
  <c r="F52" i="14"/>
  <c r="F36" i="14"/>
  <c r="F132" i="14"/>
  <c r="F165" i="15"/>
  <c r="F36" i="15"/>
  <c r="F180" i="15"/>
  <c r="F68" i="15"/>
  <c r="F21" i="15"/>
  <c r="F133" i="15"/>
  <c r="F100" i="15"/>
  <c r="F148" i="15"/>
  <c r="F116" i="15"/>
  <c r="F84" i="15"/>
  <c r="F52" i="15"/>
  <c r="J41" i="13"/>
  <c r="K10" i="13"/>
  <c r="G10" i="13" s="1"/>
  <c r="K45" i="13"/>
  <c r="K30" i="13"/>
  <c r="K30" i="37" s="1"/>
  <c r="L56" i="13"/>
  <c r="I41" i="13"/>
  <c r="H56" i="13"/>
  <c r="L41" i="13"/>
  <c r="J56" i="13"/>
  <c r="K55" i="13"/>
  <c r="G55" i="13" s="1"/>
  <c r="J16" i="13"/>
  <c r="H61" i="13"/>
  <c r="J61" i="13"/>
  <c r="F19" i="2"/>
  <c r="H21" i="37" l="1"/>
  <c r="B14" i="27" s="1"/>
  <c r="G20" i="13"/>
  <c r="H50" i="37"/>
  <c r="K45" i="37"/>
  <c r="G45" i="37" s="1"/>
  <c r="G45" i="13"/>
  <c r="H35" i="37"/>
  <c r="H36" i="37" s="1"/>
  <c r="B17" i="27" s="1"/>
  <c r="G30" i="13"/>
  <c r="H25" i="37"/>
  <c r="H56" i="37"/>
  <c r="B16" i="27" s="1"/>
  <c r="H48" i="37"/>
  <c r="G48" i="37" s="1"/>
  <c r="H15" i="35" s="1"/>
  <c r="G48" i="13"/>
  <c r="H33" i="37"/>
  <c r="G33" i="37" s="1"/>
  <c r="H12" i="35" s="1"/>
  <c r="G33" i="13"/>
  <c r="H23" i="37"/>
  <c r="G23" i="37" s="1"/>
  <c r="H10" i="35" s="1"/>
  <c r="G23" i="13"/>
  <c r="H47" i="37"/>
  <c r="G47" i="37" s="1"/>
  <c r="G15" i="35" s="1"/>
  <c r="G47" i="13"/>
  <c r="H31" i="37"/>
  <c r="B8" i="27" s="1"/>
  <c r="H41" i="37"/>
  <c r="B9" i="27" s="1"/>
  <c r="H32" i="37"/>
  <c r="G32" i="37" s="1"/>
  <c r="G12" i="35" s="1"/>
  <c r="G32" i="13"/>
  <c r="H22" i="37"/>
  <c r="G22" i="37" s="1"/>
  <c r="G10" i="35" s="1"/>
  <c r="G22" i="13"/>
  <c r="G20" i="37"/>
  <c r="J9" i="35" s="1"/>
  <c r="G30" i="37"/>
  <c r="J11" i="35" s="1"/>
  <c r="AA31" i="37"/>
  <c r="K31" i="37"/>
  <c r="D8" i="27" s="1"/>
  <c r="H51" i="13"/>
  <c r="AA26" i="37"/>
  <c r="K41" i="13"/>
  <c r="K40" i="37"/>
  <c r="K41" i="37" s="1"/>
  <c r="K46" i="37"/>
  <c r="J14" i="35"/>
  <c r="K11" i="13"/>
  <c r="K10" i="37"/>
  <c r="G10" i="37" s="1"/>
  <c r="D14" i="27"/>
  <c r="AA21" i="37"/>
  <c r="K35" i="13"/>
  <c r="K35" i="37" s="1"/>
  <c r="K36" i="37" s="1"/>
  <c r="J35" i="37"/>
  <c r="K50" i="13"/>
  <c r="K50" i="37" s="1"/>
  <c r="K51" i="37" s="1"/>
  <c r="J50" i="37"/>
  <c r="J51" i="37" s="1"/>
  <c r="K56" i="13"/>
  <c r="K55" i="37"/>
  <c r="G55" i="37" s="1"/>
  <c r="AA16" i="37"/>
  <c r="AA41" i="37"/>
  <c r="K25" i="13"/>
  <c r="K25" i="37" s="1"/>
  <c r="K26" i="37" s="1"/>
  <c r="J25" i="37"/>
  <c r="J26" i="37" s="1"/>
  <c r="AA46" i="37"/>
  <c r="AA61" i="37"/>
  <c r="F100" i="14"/>
  <c r="AA36" i="13" s="1"/>
  <c r="F148" i="14"/>
  <c r="AA51" i="13" s="1"/>
  <c r="AA46" i="13"/>
  <c r="AA61" i="13"/>
  <c r="F21" i="2"/>
  <c r="F20" i="2"/>
  <c r="AA11" i="37" s="1"/>
  <c r="H41" i="13"/>
  <c r="J11" i="13"/>
  <c r="H11" i="13"/>
  <c r="O16" i="13"/>
  <c r="H31" i="13"/>
  <c r="N56" i="13"/>
  <c r="N41" i="13"/>
  <c r="H46" i="13"/>
  <c r="O41" i="13"/>
  <c r="AA26" i="13"/>
  <c r="H36" i="13"/>
  <c r="I56" i="13"/>
  <c r="H26" i="13"/>
  <c r="H21" i="13"/>
  <c r="AA56" i="13"/>
  <c r="AA16" i="13"/>
  <c r="O11" i="13"/>
  <c r="O56" i="13"/>
  <c r="AA41" i="13"/>
  <c r="AA31" i="13"/>
  <c r="AA21" i="13"/>
  <c r="K15" i="13"/>
  <c r="G15" i="13" s="1"/>
  <c r="I11" i="13"/>
  <c r="I61" i="13"/>
  <c r="N16" i="13"/>
  <c r="L16" i="13"/>
  <c r="N11" i="13"/>
  <c r="I16" i="13"/>
  <c r="L11" i="13"/>
  <c r="H16" i="13"/>
  <c r="G25" i="13" l="1"/>
  <c r="G50" i="13"/>
  <c r="Z21" i="37"/>
  <c r="G21" i="37"/>
  <c r="F9" i="35" s="1"/>
  <c r="G35" i="37"/>
  <c r="J12" i="35" s="1"/>
  <c r="G35" i="13"/>
  <c r="G41" i="37"/>
  <c r="F13" i="35" s="1"/>
  <c r="H51" i="37"/>
  <c r="B7" i="27" s="1"/>
  <c r="G31" i="37"/>
  <c r="F11" i="35" s="1"/>
  <c r="Z31" i="37"/>
  <c r="H26" i="37"/>
  <c r="B10" i="27" s="1"/>
  <c r="G40" i="37"/>
  <c r="J13" i="35" s="1"/>
  <c r="G50" i="37"/>
  <c r="G25" i="37"/>
  <c r="J10" i="35" s="1"/>
  <c r="D7" i="27"/>
  <c r="D10" i="27"/>
  <c r="J36" i="37"/>
  <c r="D17" i="27" s="1"/>
  <c r="D11" i="27"/>
  <c r="Z46" i="37"/>
  <c r="G46" i="37"/>
  <c r="F14" i="35" s="1"/>
  <c r="D9" i="27"/>
  <c r="M9" i="27" s="1"/>
  <c r="K16" i="13"/>
  <c r="K15" i="37"/>
  <c r="G15" i="37" s="1"/>
  <c r="K56" i="37"/>
  <c r="J16" i="35"/>
  <c r="K11" i="37"/>
  <c r="J7" i="35"/>
  <c r="Z41" i="37"/>
  <c r="AA36" i="37"/>
  <c r="J15" i="35"/>
  <c r="AA51" i="37"/>
  <c r="G13" i="33"/>
  <c r="Z11" i="13"/>
  <c r="AA11" i="13"/>
  <c r="I9" i="33"/>
  <c r="G11" i="13"/>
  <c r="Z56" i="13"/>
  <c r="G56" i="13"/>
  <c r="G7" i="13"/>
  <c r="Z51" i="37" l="1"/>
  <c r="G51" i="37"/>
  <c r="F15" i="35" s="1"/>
  <c r="Z26" i="37"/>
  <c r="G26" i="37"/>
  <c r="F10" i="35" s="1"/>
  <c r="G36" i="37"/>
  <c r="F12" i="35" s="1"/>
  <c r="Z36" i="37"/>
  <c r="D12" i="27"/>
  <c r="Z11" i="37"/>
  <c r="G11" i="37"/>
  <c r="F7" i="35" s="1"/>
  <c r="Z56" i="37"/>
  <c r="D16" i="27"/>
  <c r="G56" i="37"/>
  <c r="F16" i="35" s="1"/>
  <c r="K16" i="37"/>
  <c r="J8" i="35"/>
  <c r="F7" i="33"/>
  <c r="G7" i="33"/>
  <c r="F16" i="33"/>
  <c r="I13" i="33"/>
  <c r="I14" i="33"/>
  <c r="I16" i="33"/>
  <c r="H13" i="33"/>
  <c r="I7" i="33"/>
  <c r="E27" i="27"/>
  <c r="Z16" i="37" l="1"/>
  <c r="D15" i="27"/>
  <c r="G16" i="37"/>
  <c r="F8" i="35" s="1"/>
  <c r="I12" i="33"/>
  <c r="I10" i="33"/>
  <c r="I15" i="33"/>
  <c r="P21" i="13"/>
  <c r="R21" i="13"/>
  <c r="L21" i="13"/>
  <c r="I21" i="13"/>
  <c r="J21" i="13"/>
  <c r="N21" i="13"/>
  <c r="O21" i="13"/>
  <c r="J46" i="13" l="1"/>
  <c r="O46" i="13"/>
  <c r="N46" i="13"/>
  <c r="I46" i="13"/>
  <c r="P46" i="13"/>
  <c r="L46" i="13"/>
  <c r="R46" i="13"/>
  <c r="K21" i="13"/>
  <c r="H9" i="33" l="1"/>
  <c r="G8" i="13"/>
  <c r="L26" i="13"/>
  <c r="N26" i="13"/>
  <c r="I26" i="13"/>
  <c r="O26" i="13"/>
  <c r="R26" i="13"/>
  <c r="J26" i="13"/>
  <c r="P26" i="13"/>
  <c r="P36" i="13"/>
  <c r="R36" i="13"/>
  <c r="N36" i="13"/>
  <c r="I36" i="13"/>
  <c r="O36" i="13"/>
  <c r="L36" i="13"/>
  <c r="J36" i="13"/>
  <c r="P31" i="13"/>
  <c r="N31" i="13"/>
  <c r="L31" i="13"/>
  <c r="J31" i="13"/>
  <c r="O31" i="13"/>
  <c r="R31" i="13"/>
  <c r="I31" i="13"/>
  <c r="P51" i="13"/>
  <c r="I51" i="13"/>
  <c r="J51" i="13"/>
  <c r="N51" i="13"/>
  <c r="L51" i="13"/>
  <c r="O51" i="13"/>
  <c r="R51" i="13"/>
  <c r="K46" i="13"/>
  <c r="H7" i="33" l="1"/>
  <c r="J9" i="33"/>
  <c r="J7" i="33"/>
  <c r="G14" i="33"/>
  <c r="G9" i="33"/>
  <c r="M14" i="27"/>
  <c r="M12" i="27"/>
  <c r="K51" i="13"/>
  <c r="K31" i="13"/>
  <c r="K36" i="13"/>
  <c r="K26" i="13"/>
  <c r="Z26" i="13" s="1"/>
  <c r="H14" i="33" l="1"/>
  <c r="G16" i="33"/>
  <c r="J14" i="33"/>
  <c r="H16" i="33"/>
  <c r="J16" i="33"/>
  <c r="G8" i="33"/>
  <c r="M16" i="27"/>
  <c r="M11" i="27"/>
  <c r="J13" i="33" l="1"/>
  <c r="G12" i="33"/>
  <c r="J15" i="33"/>
  <c r="H10" i="33"/>
  <c r="J11" i="33"/>
  <c r="J8" i="33"/>
  <c r="J10" i="33"/>
  <c r="H8" i="33"/>
  <c r="H15" i="33"/>
  <c r="G10" i="33"/>
  <c r="H11" i="33"/>
  <c r="I17" i="33"/>
  <c r="G15" i="33"/>
  <c r="G11" i="33"/>
  <c r="H12" i="33"/>
  <c r="J12" i="33"/>
  <c r="M7" i="27"/>
  <c r="M8" i="27"/>
  <c r="M17" i="27"/>
  <c r="Z16" i="13"/>
  <c r="M15" i="27"/>
  <c r="M10" i="27"/>
  <c r="R61" i="13" l="1"/>
  <c r="H27" i="27" s="1"/>
  <c r="N61" i="13"/>
  <c r="P61" i="13"/>
  <c r="L61" i="13"/>
  <c r="O61" i="13"/>
  <c r="G27" i="27" l="1"/>
  <c r="K60" i="13"/>
  <c r="G60" i="13" s="1"/>
  <c r="K61" i="13" l="1"/>
  <c r="Z61" i="13" s="1"/>
  <c r="K60" i="37"/>
  <c r="G60" i="37" s="1"/>
  <c r="F27" i="27"/>
  <c r="I27" i="27" s="1"/>
  <c r="K61" i="37" l="1"/>
  <c r="J17" i="33"/>
  <c r="G17" i="33"/>
  <c r="G61" i="13"/>
  <c r="G46" i="13"/>
  <c r="G26" i="13"/>
  <c r="G41" i="13"/>
  <c r="G36" i="13"/>
  <c r="Z31" i="13"/>
  <c r="Z21" i="13"/>
  <c r="Z46" i="13"/>
  <c r="Z41" i="13"/>
  <c r="Z51" i="13"/>
  <c r="Z36" i="13"/>
  <c r="G31" i="13"/>
  <c r="G21" i="13"/>
  <c r="G51" i="13"/>
  <c r="G16" i="13"/>
  <c r="J17" i="35" l="1"/>
  <c r="Z61" i="37"/>
  <c r="D13" i="27"/>
  <c r="M13" i="27" s="1"/>
  <c r="G61" i="37"/>
  <c r="F17" i="33"/>
  <c r="F8" i="33"/>
  <c r="F14" i="33"/>
  <c r="F15" i="33"/>
  <c r="F13" i="33"/>
  <c r="F9" i="33"/>
  <c r="F12" i="33"/>
  <c r="F11" i="33"/>
  <c r="F10" i="33"/>
  <c r="F17" i="3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Elin Röös</author>
  </authors>
  <commentList>
    <comment ref="V13" authorId="0" shapeId="0" xr:uid="{6487D49D-A42F-48C8-B809-D4BFFDEFBAEE}">
      <text>
        <r>
          <rPr>
            <b/>
            <sz val="9"/>
            <color indexed="81"/>
            <rFont val="Tahoma"/>
            <family val="2"/>
          </rPr>
          <t>Elin Röös:</t>
        </r>
        <r>
          <rPr>
            <sz val="9"/>
            <color indexed="81"/>
            <rFont val="Tahoma"/>
            <family val="2"/>
          </rPr>
          <t xml:space="preserve">
Ahlgren har betydligtt högre faktorer här 13-15%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Elin Röös</author>
  </authors>
  <commentList>
    <comment ref="AV21" authorId="0" shapeId="0" xr:uid="{7819D2C7-97CA-4E0E-B693-2F39D907F780}">
      <text>
        <r>
          <rPr>
            <b/>
            <sz val="9"/>
            <color indexed="81"/>
            <rFont val="Tahoma"/>
            <family val="2"/>
          </rPr>
          <t>Elin Röös:</t>
        </r>
        <r>
          <rPr>
            <sz val="9"/>
            <color indexed="81"/>
            <rFont val="Tahoma"/>
            <family val="2"/>
          </rPr>
          <t xml:space="preserve">
Cropland_LightIntense and Cropland_Intense Sweden (representing what cultivation).
Sum of CF before converting to E/MSY. See table below, from CF_GLO_country_habitat_landuse_spps_10.06.24.csv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<sst xmlns="http://schemas.openxmlformats.org/spreadsheetml/2006/main" count="7694" uniqueCount="621">
  <si>
    <t>Read me</t>
  </si>
  <si>
    <t>Color codes:</t>
  </si>
  <si>
    <t>Results</t>
  </si>
  <si>
    <t>Sheets for input</t>
  </si>
  <si>
    <t>Intermediate calculations</t>
  </si>
  <si>
    <t>Animal products</t>
  </si>
  <si>
    <t>Climate</t>
  </si>
  <si>
    <t>Land</t>
  </si>
  <si>
    <t>Phosphorus</t>
  </si>
  <si>
    <t>Water</t>
  </si>
  <si>
    <t>Pesticides</t>
  </si>
  <si>
    <t>Biodiversity</t>
  </si>
  <si>
    <t>Ammonia</t>
  </si>
  <si>
    <t>Labour</t>
  </si>
  <si>
    <t>Code</t>
  </si>
  <si>
    <t>Name</t>
  </si>
  <si>
    <t>Category</t>
  </si>
  <si>
    <t>Country</t>
  </si>
  <si>
    <t>Country code</t>
  </si>
  <si>
    <t>Carbon footprint, kg CO2e/kg</t>
  </si>
  <si>
    <t>Carbon dioxide, kg CO2/kg</t>
  </si>
  <si>
    <t>Methane, fossil, kg CH4/kg</t>
  </si>
  <si>
    <t>Methane, biogenic, kg CH4/kg</t>
  </si>
  <si>
    <t>Nitrous oxide, kg N2O/kg</t>
  </si>
  <si>
    <t>HFCs, kg HFCs/kg</t>
  </si>
  <si>
    <t>Cropland use, m2/kg</t>
  </si>
  <si>
    <t>New N input, kg N/kg</t>
  </si>
  <si>
    <t>New P input, kg P/kg</t>
  </si>
  <si>
    <t>Blue freshwater use, m3/kg</t>
  </si>
  <si>
    <t>Pesticide use,             g a.i./kg</t>
  </si>
  <si>
    <t>Extinction rate, E/MSY/kg</t>
  </si>
  <si>
    <t>Ammonia emission, kg NH3/kg</t>
  </si>
  <si>
    <t>Labour requirements, h/kg</t>
  </si>
  <si>
    <t>Animal welfare index per kg of bonefree meat</t>
  </si>
  <si>
    <t xml:space="preserve">Denmark </t>
  </si>
  <si>
    <t>DK</t>
  </si>
  <si>
    <t>France</t>
  </si>
  <si>
    <t>FR</t>
  </si>
  <si>
    <t>Germany</t>
  </si>
  <si>
    <t>DE</t>
  </si>
  <si>
    <t>Greece</t>
  </si>
  <si>
    <t>GR</t>
  </si>
  <si>
    <t xml:space="preserve">Hungary </t>
  </si>
  <si>
    <t>HU</t>
  </si>
  <si>
    <t>Ireland</t>
  </si>
  <si>
    <t>IE</t>
  </si>
  <si>
    <t>Italy</t>
  </si>
  <si>
    <t>IT</t>
  </si>
  <si>
    <t>Netherlands</t>
  </si>
  <si>
    <t>NL</t>
  </si>
  <si>
    <t>Poland</t>
  </si>
  <si>
    <t>PL</t>
  </si>
  <si>
    <t>Spain</t>
  </si>
  <si>
    <t>ES</t>
  </si>
  <si>
    <t>Sweden</t>
  </si>
  <si>
    <t>SE</t>
  </si>
  <si>
    <t>Animals</t>
  </si>
  <si>
    <t>Stables</t>
  </si>
  <si>
    <t>Slaughter</t>
  </si>
  <si>
    <t>Control</t>
  </si>
  <si>
    <t>Sum</t>
  </si>
  <si>
    <t>Inputs</t>
  </si>
  <si>
    <t>Soil emissions</t>
  </si>
  <si>
    <t>Energy use</t>
  </si>
  <si>
    <t>Land use change</t>
  </si>
  <si>
    <t>Transports</t>
  </si>
  <si>
    <t>FoodEx code</t>
  </si>
  <si>
    <t>FoodEx name</t>
  </si>
  <si>
    <t>Food Ex category (L1)</t>
  </si>
  <si>
    <t>Gas</t>
  </si>
  <si>
    <t>GHG</t>
  </si>
  <si>
    <t xml:space="preserve">Production of capital goods </t>
  </si>
  <si>
    <t>Diesel use field mach</t>
  </si>
  <si>
    <t>Energy use in greenhouses</t>
  </si>
  <si>
    <t>Energy use for irrigation</t>
  </si>
  <si>
    <t>Energy use for post-harvest proc</t>
  </si>
  <si>
    <t>LUC emissions</t>
  </si>
  <si>
    <t>Feed transports</t>
  </si>
  <si>
    <t>Enteric fermentation*</t>
  </si>
  <si>
    <t>Manure management - tot</t>
  </si>
  <si>
    <t>Manure management - direct</t>
  </si>
  <si>
    <t>Manure management - indirect</t>
  </si>
  <si>
    <t>Energy use in stables</t>
  </si>
  <si>
    <t>Energy use for slaughter</t>
  </si>
  <si>
    <t>Total feed, excl LUC</t>
  </si>
  <si>
    <t>Denmark</t>
  </si>
  <si>
    <t>CO2</t>
  </si>
  <si>
    <t>CH4, fossil</t>
  </si>
  <si>
    <t>CH4, biogenic</t>
  </si>
  <si>
    <t>N2O</t>
  </si>
  <si>
    <t>CO2e</t>
  </si>
  <si>
    <t>Hungary</t>
  </si>
  <si>
    <t xml:space="preserve">Ireland </t>
  </si>
  <si>
    <t>Netherland</t>
  </si>
  <si>
    <t>Production system</t>
  </si>
  <si>
    <t>Animals in production per year (no)</t>
  </si>
  <si>
    <t>Animals slaughtered per year (no)</t>
  </si>
  <si>
    <t>Meat produced (kg CW)</t>
  </si>
  <si>
    <t>Meat produced (kg bonefree)</t>
  </si>
  <si>
    <t>Offal produced (kg edible)</t>
  </si>
  <si>
    <t>Meat and offal produced (kg bonefree)</t>
  </si>
  <si>
    <t>Production parameters and emission factors, country specific</t>
  </si>
  <si>
    <t>Production parameters</t>
  </si>
  <si>
    <t xml:space="preserve">Sources: </t>
  </si>
  <si>
    <t>Meat yield, kg bonefree meat per CW</t>
  </si>
  <si>
    <t>Offal yield, kg edible per animal</t>
  </si>
  <si>
    <t>Kolla Ingrids rapport</t>
  </si>
  <si>
    <t>Recruitment rate, %</t>
  </si>
  <si>
    <t>Barley, average</t>
  </si>
  <si>
    <t>Maize (corn)</t>
  </si>
  <si>
    <t>Oats</t>
  </si>
  <si>
    <t>Rye</t>
  </si>
  <si>
    <t>Wheat, average</t>
  </si>
  <si>
    <t>Peas, dry</t>
  </si>
  <si>
    <t>Broad beans and horse beans, dry</t>
  </si>
  <si>
    <t>Rape seed cake</t>
  </si>
  <si>
    <t>Soy cake</t>
  </si>
  <si>
    <t>By-products</t>
  </si>
  <si>
    <t>Other</t>
  </si>
  <si>
    <t>Feed requirement</t>
  </si>
  <si>
    <t>Source:</t>
  </si>
  <si>
    <t>Comment:</t>
  </si>
  <si>
    <t>Enteric fermentation</t>
  </si>
  <si>
    <t xml:space="preserve">Energy use in stables </t>
  </si>
  <si>
    <t>Energy use at slaughter</t>
  </si>
  <si>
    <t>Edström et al. 2005, retrieved from Moberg et al. 2019</t>
  </si>
  <si>
    <t>Emission factors electricity</t>
  </si>
  <si>
    <t>Electricity, kg CO2e/kWh</t>
  </si>
  <si>
    <t>ecoinvent; market for electricity, low voltage</t>
  </si>
  <si>
    <t>Electricity, kg CO2/kWh</t>
  </si>
  <si>
    <t>Electricity, kg CH4/kWh</t>
  </si>
  <si>
    <t>Electricity, kg N2O/kWh</t>
  </si>
  <si>
    <t>Emission factors changes in SOC and LUC</t>
  </si>
  <si>
    <t>Soil carbon loss, kg CO2e/feed</t>
  </si>
  <si>
    <t>Moberg et al. 2019</t>
  </si>
  <si>
    <t>Emission from the production of mineral fertilisers (kg)</t>
  </si>
  <si>
    <t>Fraction BAT</t>
  </si>
  <si>
    <t>Fraction AN</t>
  </si>
  <si>
    <t>Emission factors N2O from soil</t>
  </si>
  <si>
    <t>Direct emissions from mineral fertiliser</t>
  </si>
  <si>
    <t>Difference in emission factor min. fert - manure</t>
  </si>
  <si>
    <t>Indirect emissions, share of direct emissions</t>
  </si>
  <si>
    <t>Manure replacement factor</t>
  </si>
  <si>
    <t>Water use</t>
  </si>
  <si>
    <t>Mekonnen and Hoekstra (2012), collected from Moberg et al. 2019</t>
  </si>
  <si>
    <t>Labour requirements</t>
  </si>
  <si>
    <t>Labour requirements, h tot in production</t>
  </si>
  <si>
    <t>Manure emissions</t>
  </si>
  <si>
    <t>Sources:</t>
  </si>
  <si>
    <t>Share solid</t>
  </si>
  <si>
    <t>Share liquid</t>
  </si>
  <si>
    <t>Share deep litter</t>
  </si>
  <si>
    <t>METHANE EMISSIONS</t>
  </si>
  <si>
    <t>Emission factors methane emissions</t>
  </si>
  <si>
    <t>MCF solid manure</t>
  </si>
  <si>
    <t>NIR 2022, Table 5.18</t>
  </si>
  <si>
    <t>MCF liquid manure</t>
  </si>
  <si>
    <t>Volatile solids (VS), fraction of manure</t>
  </si>
  <si>
    <t>Bo, m3 CH4/kg VS</t>
  </si>
  <si>
    <t>Manure production, kg DM VS per day</t>
  </si>
  <si>
    <t>Total amount of DM VS produced, kg per year</t>
  </si>
  <si>
    <t>Solid</t>
  </si>
  <si>
    <t>Liquid</t>
  </si>
  <si>
    <t xml:space="preserve">Deep litter </t>
  </si>
  <si>
    <t>Methane emissions, kg CH4 per year</t>
  </si>
  <si>
    <t>Deep litter</t>
  </si>
  <si>
    <t>Total</t>
  </si>
  <si>
    <t>Per kg meat&amp;offal</t>
  </si>
  <si>
    <t>NITROGEN  EMISSIONS</t>
  </si>
  <si>
    <t>N excreted per animal</t>
  </si>
  <si>
    <t>N excreted, kg per head per year</t>
  </si>
  <si>
    <t>Proportion of TAN</t>
  </si>
  <si>
    <t>EMEP/EEA 2019. Table 3.9</t>
  </si>
  <si>
    <t>N excreted in different systems, kg per year</t>
  </si>
  <si>
    <t>TAN excreted in different systems, kg per year, m_house, TAN</t>
  </si>
  <si>
    <t>Emissions from housing, kg NH3-N per year, E_house</t>
  </si>
  <si>
    <t>Step 6</t>
  </si>
  <si>
    <t xml:space="preserve">Using EF for solid manure </t>
  </si>
  <si>
    <t>EF NH3-N housing solid</t>
  </si>
  <si>
    <t>EF NH3-N housing slurry</t>
  </si>
  <si>
    <t>Remaining TAN after housing losses, kg per year, m_storage, TAN</t>
  </si>
  <si>
    <t>Step 9</t>
  </si>
  <si>
    <t>f min</t>
  </si>
  <si>
    <t>EMEP/EEA 2019, just below equ. 32</t>
  </si>
  <si>
    <t>Emission of NH3-N from storage, kg per year, E_storage_ammonia</t>
  </si>
  <si>
    <t>Step 10</t>
  </si>
  <si>
    <t>Step 10 is emissions of NH3-N, N2O-N, NO-N and N2 but here they are split</t>
  </si>
  <si>
    <t>EF NH3-N storage solid</t>
  </si>
  <si>
    <t>EF NH3-N storage slurry</t>
  </si>
  <si>
    <t>Emission of N2O-N from storage, kg per year, E_storage_N2O</t>
  </si>
  <si>
    <t>EF N2O-N storage solid</t>
  </si>
  <si>
    <t>Här verkar alla använda litet olika och det slår ganska mycket</t>
  </si>
  <si>
    <t>EF N2O-N storage slurry</t>
  </si>
  <si>
    <t>EMEP/EEA 2019. Table 3.8, Cattle slurry with natural crust</t>
  </si>
  <si>
    <t>Emission of NO and N2 from storage, kg per year, E_storage_NO and N2</t>
  </si>
  <si>
    <t>EF NO storage solid</t>
  </si>
  <si>
    <t>EMEP/EEA 2019. Table 3.10</t>
  </si>
  <si>
    <t>EF NO storage slurry</t>
  </si>
  <si>
    <t>EF N2 storage solid</t>
  </si>
  <si>
    <t>EF N2 storage slurry</t>
  </si>
  <si>
    <t>Remaining TAN after storage losses, kg per year, m_applic, TAN</t>
  </si>
  <si>
    <t>Emission of NH3-N from application, kg per year, E_application_ammonia</t>
  </si>
  <si>
    <t>Step 12</t>
  </si>
  <si>
    <t>EF NH3-N application solid</t>
  </si>
  <si>
    <t>EF NH3-N application slurry</t>
  </si>
  <si>
    <t>EF N2O volatilization</t>
  </si>
  <si>
    <t>IPCC, 2019</t>
  </si>
  <si>
    <t>Remaining TAN after application losses, kg per year, m_returned, TAN</t>
  </si>
  <si>
    <t>Total losses, kg N per year</t>
  </si>
  <si>
    <t>Fraction of applied that is lost:</t>
  </si>
  <si>
    <t>Remaining total-N after losses, kg per year</t>
  </si>
  <si>
    <t>Total returned to soils:</t>
  </si>
  <si>
    <t>Ammonia emissions</t>
  </si>
  <si>
    <t>Emissions of CO2 from feed crops (per kg of crop)</t>
  </si>
  <si>
    <t xml:space="preserve">Shares from Karlsson et al. </t>
  </si>
  <si>
    <t>Crops</t>
  </si>
  <si>
    <t>Share</t>
  </si>
  <si>
    <t xml:space="preserve">Categories </t>
  </si>
  <si>
    <t>Production of mineral fertilizer</t>
  </si>
  <si>
    <t>Direct emissions</t>
  </si>
  <si>
    <t>Indirect emissions</t>
  </si>
  <si>
    <t>Transports of feed</t>
  </si>
  <si>
    <t>0115</t>
  </si>
  <si>
    <t>Cereals, incl feed</t>
  </si>
  <si>
    <t>0112</t>
  </si>
  <si>
    <t>0117</t>
  </si>
  <si>
    <t>0116</t>
  </si>
  <si>
    <t>0111</t>
  </si>
  <si>
    <t>01705</t>
  </si>
  <si>
    <t>Pulses, incl feed</t>
  </si>
  <si>
    <t>01702</t>
  </si>
  <si>
    <t>Protein feed</t>
  </si>
  <si>
    <t>Soy bean meal</t>
  </si>
  <si>
    <t>By-product</t>
  </si>
  <si>
    <t>Other, feed</t>
  </si>
  <si>
    <t>Feed, other</t>
  </si>
  <si>
    <t>Emissions of CH4 from feed crops (per kg of crop)</t>
  </si>
  <si>
    <t>Emissions of N2O from feed crops (per kg of crop)</t>
  </si>
  <si>
    <t>Nitrogen</t>
  </si>
  <si>
    <t>N application, kg N/kg</t>
  </si>
  <si>
    <t>P application, kg P/kg</t>
  </si>
  <si>
    <t>Emission factors energy carriers</t>
  </si>
  <si>
    <t>kg CO2 per kWh</t>
  </si>
  <si>
    <t>kg CH4 per kWh</t>
  </si>
  <si>
    <t>kg N2O per kWh</t>
  </si>
  <si>
    <t>Gode et al 2011</t>
  </si>
  <si>
    <t>Gode et al 2011, average of bark and chips, pellets and briquettes</t>
  </si>
  <si>
    <t>kg CO2 per kg N</t>
  </si>
  <si>
    <t>kg CH4 per kg N</t>
  </si>
  <si>
    <t>kg N2O per kg N</t>
  </si>
  <si>
    <t>Best Available Technology (BAT)</t>
  </si>
  <si>
    <t>BAT: Yara International (2010)</t>
  </si>
  <si>
    <t>Ammonium nitrate</t>
  </si>
  <si>
    <t>Ammonium nitrate: Ecoinvent Centre (2021). Activity name: “Ammonium nitrate production", Rest of the world, adjusted to N content in fertilizer (33.5%)</t>
  </si>
  <si>
    <t>Characterisations factors</t>
  </si>
  <si>
    <t>Source LUC:</t>
  </si>
  <si>
    <t>Flysjö et al. 2008, Figur 6.35</t>
  </si>
  <si>
    <t>Flysjö et al. 2008, Figur 6.35, divided by GWP-factor used in report, Tabell 5.1</t>
  </si>
  <si>
    <t>References</t>
  </si>
  <si>
    <t>NIR 2023, p. 427</t>
  </si>
  <si>
    <t>Manure management</t>
  </si>
  <si>
    <t>Tot</t>
  </si>
  <si>
    <t>Energy use for feed processing</t>
  </si>
  <si>
    <t>Land use change emissions</t>
  </si>
  <si>
    <t xml:space="preserve">Emissions from soil </t>
  </si>
  <si>
    <t>Electricity, kWh/kg CW</t>
  </si>
  <si>
    <t>Heating oil, kWh/kg CW</t>
  </si>
  <si>
    <t>Figures</t>
  </si>
  <si>
    <t>approx sweden</t>
  </si>
  <si>
    <t xml:space="preserve">CRF 2023, Table 3B(a)s1 </t>
  </si>
  <si>
    <t>CRF 2023, Table 3B(a)s1 . White swine</t>
  </si>
  <si>
    <t xml:space="preserve"> </t>
  </si>
  <si>
    <t>Antibiotics use indicator/kg</t>
  </si>
  <si>
    <t>Animal welfare**</t>
  </si>
  <si>
    <t>Use of antibiotics**</t>
  </si>
  <si>
    <t>**Values inserted directly here, no formula in this excel sheet</t>
  </si>
  <si>
    <t>Cows</t>
  </si>
  <si>
    <t>Recruitment heifers</t>
  </si>
  <si>
    <t>Heifers</t>
  </si>
  <si>
    <t>Fertility rate, %</t>
  </si>
  <si>
    <t>Clune et al. 2017, Table 1</t>
  </si>
  <si>
    <t>Mortality calves, % of born</t>
  </si>
  <si>
    <t xml:space="preserve">Mortality cows, % </t>
  </si>
  <si>
    <t>Dairy cows</t>
  </si>
  <si>
    <t>Number of slaughered dairy cows * slaughtering weight dairy cows</t>
  </si>
  <si>
    <t>Pasture</t>
  </si>
  <si>
    <t>Maize (fodder)</t>
  </si>
  <si>
    <t>Other forage crops</t>
  </si>
  <si>
    <t>Feed, forage</t>
  </si>
  <si>
    <t>Off-farm feed</t>
  </si>
  <si>
    <t>Greenhouse gas emissons:</t>
  </si>
  <si>
    <t>Feed processing</t>
  </si>
  <si>
    <t>Cultivated in country</t>
  </si>
  <si>
    <t>0141</t>
  </si>
  <si>
    <t>Soya beans</t>
  </si>
  <si>
    <t>Brazil</t>
  </si>
  <si>
    <t>Pendrill et al. 2022</t>
  </si>
  <si>
    <t>CH4, bio</t>
  </si>
  <si>
    <t>Argentina</t>
  </si>
  <si>
    <t>0141_m</t>
  </si>
  <si>
    <t>Brazil, Argentina</t>
  </si>
  <si>
    <t>Other footprints:</t>
  </si>
  <si>
    <t>Pulses</t>
  </si>
  <si>
    <t>BR</t>
  </si>
  <si>
    <t>AR</t>
  </si>
  <si>
    <t>Feed</t>
  </si>
  <si>
    <t>Parameters for soy</t>
  </si>
  <si>
    <t>Soy meal in 1 kg soy bean</t>
  </si>
  <si>
    <t>Flysjö et al. 2008, Tabell 4.24</t>
  </si>
  <si>
    <t>Economic allocation factor meal</t>
  </si>
  <si>
    <t>Energy use processing:</t>
  </si>
  <si>
    <t>Electricity</t>
  </si>
  <si>
    <t>MJ per kg soy beans processed</t>
  </si>
  <si>
    <t>Flysjö et al. 2008</t>
  </si>
  <si>
    <t>Biomass</t>
  </si>
  <si>
    <t>Assuming half of soy from Brazil and the other half from Argentina.</t>
  </si>
  <si>
    <t xml:space="preserve">https://www.fediol.eu/data/Where%20does%20soy%20come%20from.pdf </t>
  </si>
  <si>
    <t>Rape seed meal</t>
  </si>
  <si>
    <t>01443</t>
  </si>
  <si>
    <t>Rape or colza seed, average</t>
  </si>
  <si>
    <t>01443_m</t>
  </si>
  <si>
    <t>France, Germany, Poland</t>
  </si>
  <si>
    <t>Flysjö et al. 2008, Figur 6.37</t>
  </si>
  <si>
    <t>Flysjö et al. 2008, Figur 6.37, divided by GWP-factor used in report, Tabell 5.1</t>
  </si>
  <si>
    <t>Parameters for rape seed</t>
  </si>
  <si>
    <t>Rape meal in 1 kg rape seed</t>
  </si>
  <si>
    <t>Flysjö et al. 2008, using the same as for soy because ratio between electricity and gas/biofuels not stated</t>
  </si>
  <si>
    <t>Using the three largest rapeseed countries and taking an average of these.</t>
  </si>
  <si>
    <t>https://projects.luke.fi/ruokafakta/en/field-crops/rapeseed-production-volumes/#:~:text=The%20largest%20producers%20are%20France,Germany%2C%20with%203.7%20billion%20kilos.</t>
  </si>
  <si>
    <t>Share forage crops</t>
  </si>
  <si>
    <t>Other forage crops (including ley)</t>
  </si>
  <si>
    <t>From Cederberg et al (2009):</t>
  </si>
  <si>
    <t>Water use for housing and drinking in stables, m3 per kg head and year</t>
  </si>
  <si>
    <t>Water use during grazing, m3 per kg head and year</t>
  </si>
  <si>
    <t>Maize</t>
  </si>
  <si>
    <t xml:space="preserve">Yield </t>
  </si>
  <si>
    <t>Nutrient inputs</t>
  </si>
  <si>
    <t xml:space="preserve">Energy </t>
  </si>
  <si>
    <t>Crop residues</t>
  </si>
  <si>
    <t>Biodiversity, potential species loss/m2</t>
  </si>
  <si>
    <t>Yield,
kg/ha</t>
  </si>
  <si>
    <t>N appl fertilisers,            kg N/ha</t>
  </si>
  <si>
    <t>N fixation, kg N/ha</t>
  </si>
  <si>
    <t>N crop residues, kg N/ha</t>
  </si>
  <si>
    <t>P appl,    kg P/ha</t>
  </si>
  <si>
    <t>Diesel use, l/ha</t>
  </si>
  <si>
    <t>Blue freshwater use, m3/ha</t>
  </si>
  <si>
    <t>Pesticide use,          kg a.i./ha</t>
  </si>
  <si>
    <t>Frac
removed</t>
  </si>
  <si>
    <t>N above ground</t>
  </si>
  <si>
    <t>Above ground / below ground</t>
  </si>
  <si>
    <t>Below ground/
above ground</t>
  </si>
  <si>
    <t>N below ground</t>
  </si>
  <si>
    <t>DM fraction harvested product</t>
  </si>
  <si>
    <t>Frac renew</t>
  </si>
  <si>
    <t>CF mammals</t>
  </si>
  <si>
    <t>CF              birds</t>
  </si>
  <si>
    <t>CF amphibians</t>
  </si>
  <si>
    <t>CF reptiles</t>
  </si>
  <si>
    <t>CF plants</t>
  </si>
  <si>
    <t>Labour requirements, h/ha</t>
  </si>
  <si>
    <t>Mineral N appl,            kg N/ha</t>
  </si>
  <si>
    <t>Above ground/
yield</t>
  </si>
  <si>
    <t>Source</t>
  </si>
  <si>
    <t>Land use classification</t>
  </si>
  <si>
    <t xml:space="preserve">Crop </t>
  </si>
  <si>
    <t>Maize, fodder</t>
  </si>
  <si>
    <t>Ley</t>
  </si>
  <si>
    <t>Maize, green for forage</t>
  </si>
  <si>
    <t>Feed crop</t>
  </si>
  <si>
    <t>Chaudhary &amp; Brooks, 2018, Table S5</t>
  </si>
  <si>
    <t>Chaudhary &amp; Brooks, 2018, Table S6</t>
  </si>
  <si>
    <t>Chaudhary &amp; Brooks, 2018, Table S7</t>
  </si>
  <si>
    <t>Chaudhary &amp; Brooks, 2018, Table S8</t>
  </si>
  <si>
    <t>Chaudhary &amp; Brooks, 2018, Table S9</t>
  </si>
  <si>
    <t>Chaudhary &amp; Brooks, 2018, Table S10</t>
  </si>
  <si>
    <t>Chaudhary &amp; Brooks, 2018, Table S11</t>
  </si>
  <si>
    <t>Chaudhary &amp; Brooks, 2018, Table S12</t>
  </si>
  <si>
    <t>Chaudhary &amp; Brooks, 2018, Table S13</t>
  </si>
  <si>
    <t>Chaudhary &amp; Brooks, 2018, Table S14</t>
  </si>
  <si>
    <t>Chaudhary &amp; Brooks, 2018, Table S15</t>
  </si>
  <si>
    <t>PCS, 2017</t>
  </si>
  <si>
    <t>SS, 2022</t>
  </si>
  <si>
    <t>Eurostat, 2023</t>
  </si>
  <si>
    <t>Baky et al. 2010. Grönfoder</t>
  </si>
  <si>
    <t>Swedish NIR 2022</t>
  </si>
  <si>
    <t>Above ground residues / DM</t>
  </si>
  <si>
    <t>Swedish NIR 2023</t>
  </si>
  <si>
    <t>Swedish NIR 2024</t>
  </si>
  <si>
    <t>Swedish NIR 2025</t>
  </si>
  <si>
    <t>Swedish NIR 2026</t>
  </si>
  <si>
    <t>Swedish NIR 2027</t>
  </si>
  <si>
    <t>Swedish NIR 2028</t>
  </si>
  <si>
    <t>Swedish NIR 2029</t>
  </si>
  <si>
    <t>Swedish NIR 2030</t>
  </si>
  <si>
    <t>Swedish NIR 2031</t>
  </si>
  <si>
    <t>Swedish NIR 2032</t>
  </si>
  <si>
    <t>IPCC, 2019.</t>
  </si>
  <si>
    <t>Frac
removed, Frac Renew</t>
  </si>
  <si>
    <t>Swedish NIR, 2022</t>
  </si>
  <si>
    <t>Swedish NIR, 2022. Green Fodder (Other)</t>
  </si>
  <si>
    <t>Baky et al. 2010. Viktat medelvärde: Betes, slåtter och frövall</t>
  </si>
  <si>
    <t>SS, 2022. Vall och grönfoder</t>
  </si>
  <si>
    <t>approx germany</t>
  </si>
  <si>
    <t>Einarsson, Plan'Eat Fodder v1</t>
  </si>
  <si>
    <t>approx ley</t>
  </si>
  <si>
    <t>Temporary meadows and pasture. Swiss "Deckungsbeitragskatalog" (DBK), processed to be used in SOLm (Muller et al. 2017)</t>
  </si>
  <si>
    <t>Maize For Forage+Silage. Swiss "Deckungsbeitragskatalog" (DBK), processed to be used in SOLm (Muller et al. 2017)</t>
  </si>
  <si>
    <t>Einarsson et al, 2021</t>
  </si>
  <si>
    <t>Mekonnen &amp; Hoekstra, 2011</t>
  </si>
  <si>
    <t>approx france</t>
  </si>
  <si>
    <t>PCS, 2017. Grasses</t>
  </si>
  <si>
    <t>Lucerne</t>
  </si>
  <si>
    <t>Forage crops, footprints per kg of feed</t>
  </si>
  <si>
    <t>Forage crops, input data per hectare</t>
  </si>
  <si>
    <t>Number of species in baseline</t>
  </si>
  <si>
    <t>Number of recognised species</t>
  </si>
  <si>
    <t>Ammonia emissions (Hutchings 2019)</t>
  </si>
  <si>
    <t>Nitrogen in inorganic fertilizer that volatiles*</t>
  </si>
  <si>
    <t>Conversion from N to NH3</t>
  </si>
  <si>
    <t>* Generic value for N inorganic fertilisers, Table 3.1</t>
  </si>
  <si>
    <t>Other forage crops (Ley)</t>
  </si>
  <si>
    <t>Shares ley/lucerne</t>
  </si>
  <si>
    <t>Lucerne, ha</t>
  </si>
  <si>
    <t>Ley, ha</t>
  </si>
  <si>
    <t>Share ley</t>
  </si>
  <si>
    <t>Share lucerne</t>
  </si>
  <si>
    <t>Columns F-L copied straight from RPC filerna except for forage crops that are calculated here</t>
  </si>
  <si>
    <t>Total for the feed mix, heifers:</t>
  </si>
  <si>
    <t>Environmental footprints per kg of feed (kg DM for forage crops)</t>
  </si>
  <si>
    <t>Emission, characterisation and allocation factors, general</t>
  </si>
  <si>
    <t>kg CO2 per kg product</t>
  </si>
  <si>
    <t>kg CH4 per kg product</t>
  </si>
  <si>
    <t>kg N2O per kg product</t>
  </si>
  <si>
    <t xml:space="preserve">Emissions from the production of capital goods </t>
  </si>
  <si>
    <t>Frischknecht et al. 2007</t>
  </si>
  <si>
    <t>Direct emissions from manure and crop residues</t>
  </si>
  <si>
    <t>Indirect emissions (10% of direct emissions)</t>
  </si>
  <si>
    <t>Heating value, kWh/l</t>
  </si>
  <si>
    <t>Heating oil</t>
  </si>
  <si>
    <t>Biofuels</t>
  </si>
  <si>
    <t>Diesel</t>
  </si>
  <si>
    <t>approx Germany</t>
  </si>
  <si>
    <t>Approx Sweden</t>
  </si>
  <si>
    <t>Explanation of high N fixing in lucerne:</t>
  </si>
  <si>
    <t>MCF deep litter cows</t>
  </si>
  <si>
    <t>kg CO2 per m3</t>
  </si>
  <si>
    <t>kg CH4 per m3</t>
  </si>
  <si>
    <t>kg N2O per m3</t>
  </si>
  <si>
    <t>Emissions from irrigation</t>
  </si>
  <si>
    <t>ecoinvent version 3.9.1, Allocation cut-of by classification</t>
  </si>
  <si>
    <t>Emissions from forage handling</t>
  </si>
  <si>
    <t>kg CH4 per kg DM</t>
  </si>
  <si>
    <t>kg CO2 per kg DM</t>
  </si>
  <si>
    <t>kg N2O per kg DM</t>
  </si>
  <si>
    <t>Silaging</t>
  </si>
  <si>
    <t>ecoinvent version 3.9.1, Allocation cut-of by classification, *ecoinvent process used: "market for irrigation, FR"</t>
  </si>
  <si>
    <t>Irrigation</t>
  </si>
  <si>
    <t>Forage crops, carbon footprint per kg of feed (DM)</t>
  </si>
  <si>
    <t>Share pasture</t>
  </si>
  <si>
    <t>MCF pasture</t>
  </si>
  <si>
    <t>MCF deep litter heifers</t>
  </si>
  <si>
    <t>CRF 2023, Table 3B(a)s2 MCF.   Only shares for liquid, solid, pasture and other (deep litter) were considered and adjusted to 100%. Weighted average between cool / temperate per type of manure</t>
  </si>
  <si>
    <t>CRF 2023, Table 3B(a)s2 Allocation.  Only shares for liquid, solid, pasture and other (deep litter) were considered and adjusted to 100%</t>
  </si>
  <si>
    <t xml:space="preserve">Remaining total-N </t>
  </si>
  <si>
    <t xml:space="preserve">Excreted N after losses, kg N </t>
  </si>
  <si>
    <t>Ammonia emissions, kg NH3</t>
  </si>
  <si>
    <t>EMEP/EEA 2019. Table 3.9, dairy cattle and non-dairy cattle</t>
  </si>
  <si>
    <t>Step 14</t>
  </si>
  <si>
    <t>Step 13</t>
  </si>
  <si>
    <t>Emissions of NH3-N from grazing, kg per year, E_graz</t>
  </si>
  <si>
    <t>Grazing</t>
  </si>
  <si>
    <t>EF NH3-N grazing</t>
  </si>
  <si>
    <t>Gödsel</t>
  </si>
  <si>
    <t>Energi</t>
  </si>
  <si>
    <t>NIR 2023, Table 5.11</t>
  </si>
  <si>
    <t>NIR 2023, Annex 3D Chapter 3D-1</t>
  </si>
  <si>
    <t>NIR 2023, Annex 3D Chapter 3D-1. Table 15</t>
  </si>
  <si>
    <t>CAPRI-data from Karlsson et al for Other cattle</t>
  </si>
  <si>
    <t>Feed mix emissions, kg CO2E per kg feed, excl. adjustement manure</t>
  </si>
  <si>
    <t>Einarsson, Plan'Eat Fodder v2</t>
  </si>
  <si>
    <t>Energy use cropping</t>
  </si>
  <si>
    <t>https://www2.jordbruksverket.se/download/18.23e68dd418d7c649d1721e97/1707728297575/jo23_17v3.pdf</t>
  </si>
  <si>
    <t>Approximated with half of ley for yield and all inputs, but for biodiversity values for pasture are used, and assuming no pesticides are used on pastures</t>
  </si>
  <si>
    <t xml:space="preserve">Pasture </t>
  </si>
  <si>
    <t>Spörnly &amp; Glimskär, 2018</t>
  </si>
  <si>
    <t>Approx with half ley for everything</t>
  </si>
  <si>
    <t>ASK RASMUS FOR YIELD AND FERTILISER DATA</t>
  </si>
  <si>
    <t>Chaudhary &amp; Brooks, 2018, Table S5, CF_Int pasture</t>
  </si>
  <si>
    <t>https://www.diva-portal.org/smash/get/diva2:1812068/FULLTEXT01.pdf</t>
  </si>
  <si>
    <t>Assuming all pasture on HNV-land with assumed positive contribution</t>
  </si>
  <si>
    <t>PSL/m2</t>
  </si>
  <si>
    <t>fPBL/m2</t>
  </si>
  <si>
    <t>UK</t>
  </si>
  <si>
    <t>Pasture use, m2/kg</t>
  </si>
  <si>
    <t>GB</t>
  </si>
  <si>
    <t>Meat yield, kg CW per suckler cow</t>
  </si>
  <si>
    <t>Ahlgren et al 2022, Tabell 10</t>
  </si>
  <si>
    <t>For Sweden, from Ahlgren et al 2022, Tabell 10</t>
  </si>
  <si>
    <t>Totalt:</t>
  </si>
  <si>
    <t>Vall (och halm), kg ts/år</t>
  </si>
  <si>
    <t>Bete, kg ts/år</t>
  </si>
  <si>
    <t>%</t>
  </si>
  <si>
    <t>Gns</t>
  </si>
  <si>
    <t>Meat yield, kg CW per heifer/bull/steer</t>
  </si>
  <si>
    <t>Share of feed ingredients for heifers/bulls/steers (% based on DM)</t>
  </si>
  <si>
    <t>perår</t>
  </si>
  <si>
    <t>per djur</t>
  </si>
  <si>
    <t>Bete, kg ts/djur</t>
  </si>
  <si>
    <t>Ahlgren et al 2022, Tabell U</t>
  </si>
  <si>
    <t>Suckler cows, kg DM per year</t>
  </si>
  <si>
    <t>IPCC (2019) Table 10.11, other cattle, Western Europé</t>
  </si>
  <si>
    <t>Methane enteric fermentation, kg CH4 per animal and year</t>
  </si>
  <si>
    <t>Bovine meat</t>
  </si>
  <si>
    <t>Red meat</t>
  </si>
  <si>
    <t>Suckler cows</t>
  </si>
  <si>
    <t>Heifers/bulls/steers for meat</t>
  </si>
  <si>
    <t xml:space="preserve">Number of suckler cows culled (ie replaced by recruitment heifers) * mortality suckler cows </t>
  </si>
  <si>
    <t>Heifers/bulls/steers, kg DM per year</t>
  </si>
  <si>
    <t>H/B/S</t>
  </si>
  <si>
    <t>Greenhouse gas emission for bonefree meat across countries, to farmgate, no waste</t>
  </si>
  <si>
    <t>Summa</t>
  </si>
  <si>
    <t>Köttrasstut</t>
  </si>
  <si>
    <t>Metan</t>
  </si>
  <si>
    <t>Lustgas, mark</t>
  </si>
  <si>
    <t>Övrigt</t>
  </si>
  <si>
    <t>CW</t>
  </si>
  <si>
    <t>Benfritt</t>
  </si>
  <si>
    <t>Comparison Ahlgren et al 2022</t>
  </si>
  <si>
    <t>Our data</t>
  </si>
  <si>
    <t>For grass eaters we do not adjust manure because the N in fertilisers on forage crops is only mineral fertiliser</t>
  </si>
  <si>
    <t>* Calculated as percentage of direct emissions due to assumption due to data limitations regarding nitrogen leaching and volatilization from soils in different regions.</t>
  </si>
  <si>
    <t>Indirect emissions*</t>
  </si>
  <si>
    <t>Nitrous oxide emissions from spreading</t>
  </si>
  <si>
    <t>Nitrous oxide, kg N2O</t>
  </si>
  <si>
    <t>Ahlgren et al 2022</t>
  </si>
  <si>
    <t>Including losses in a gross way based on Ahlgren et al, we set overall losses to 10% as a lot is ley/grass</t>
  </si>
  <si>
    <t>Klimat</t>
  </si>
  <si>
    <t>Ammoniak</t>
  </si>
  <si>
    <t>Lower value explained by us using TAN for manure calculations</t>
  </si>
  <si>
    <t>Cropland</t>
  </si>
  <si>
    <t>Total for the feed mix, suckler cows:</t>
  </si>
  <si>
    <t>suckler cows</t>
  </si>
  <si>
    <t>A01QV</t>
  </si>
  <si>
    <t>Bovine muscle</t>
  </si>
  <si>
    <t>Meat and meat products</t>
  </si>
  <si>
    <t xml:space="preserve">Bovine muscle </t>
  </si>
  <si>
    <t>Approx Ireland, except for biodiversity</t>
  </si>
  <si>
    <t>Approx Ireland, change!</t>
  </si>
  <si>
    <t>Total for the feed mix:</t>
  </si>
  <si>
    <t>Scaled to match average from Ahlgren et al 2022, Table4</t>
  </si>
  <si>
    <t>Per kg of meat/offal</t>
  </si>
  <si>
    <t>https://unfccc.int/ghg-inventories-annex-i-parties/2023</t>
  </si>
  <si>
    <t>(Cow = Non-dairy cattle, Heifer = Non-dairy Cattle in CRF tables)</t>
  </si>
  <si>
    <t>approx Sweden</t>
  </si>
  <si>
    <t>National CRF reports, 2023, Table 3.B(b)</t>
  </si>
  <si>
    <t>N requirement</t>
  </si>
  <si>
    <t>N content in forage crops, %</t>
  </si>
  <si>
    <t>Total for the feed mix, offspring:</t>
  </si>
  <si>
    <t>Offspring</t>
  </si>
  <si>
    <t>Per hectare, kg N/ha</t>
  </si>
  <si>
    <t>Factor to compensate for leakage and denitrification</t>
  </si>
  <si>
    <t>N_leak_deni_factor</t>
  </si>
  <si>
    <t>This factor is applied to the amount of mineral fertiliser neeed in forage crops to close the nitrogen balance.</t>
  </si>
  <si>
    <t xml:space="preserve">It compensates for leakage of nitrate and denitrification,whihvh is </t>
  </si>
  <si>
    <t>Litterature data, Einarsson et al</t>
  </si>
  <si>
    <t>EMEP/EEA 2019. Table 3.8, Cattle manure heaps, solid</t>
  </si>
  <si>
    <t>Step 2</t>
  </si>
  <si>
    <t>Step 3</t>
  </si>
  <si>
    <t>Step 4</t>
  </si>
  <si>
    <t>Manure</t>
  </si>
  <si>
    <t>f imm, kg N per kg straw</t>
  </si>
  <si>
    <t>Modified TAN to account for org N mineralisation (liquid) and TAN immobilisation (solid/deep litter)</t>
  </si>
  <si>
    <t>Diesel use in stables, kWh per animal per year</t>
  </si>
  <si>
    <t>Electricity use in stables, kWh per animal per year</t>
  </si>
  <si>
    <t>Ahlgren et al. 2022, Tabell D i bilaga</t>
  </si>
  <si>
    <t>GHG emissions (per kg of bonefree meat)</t>
  </si>
  <si>
    <t>na</t>
  </si>
  <si>
    <t>See animal welfare sheet for source</t>
  </si>
  <si>
    <t>Share of feed ingredients for cows (% based on DM)</t>
  </si>
  <si>
    <t>For Sweden, from Ahlgren et al 2022, Tabell 11</t>
  </si>
  <si>
    <t>Ahlgren et al 2022, Tabell 11, mjölkrasstut Gns</t>
  </si>
  <si>
    <t>Mjölkrastjur Gns</t>
  </si>
  <si>
    <t>Majsensilage, kg ts/djur</t>
  </si>
  <si>
    <t>Spannmål, kg/djur</t>
  </si>
  <si>
    <t>Åkerböna, kg/djur</t>
  </si>
  <si>
    <t>Färdigfoder, kg/djur</t>
  </si>
  <si>
    <t>Vall, kg ts/djur</t>
  </si>
  <si>
    <t>Half of heifers/bulls/steers slaugthered every year minus the ones that die</t>
  </si>
  <si>
    <t>No suckler cows here, this is a dairy breed system</t>
  </si>
  <si>
    <t>Number of animals (any number can be used here)</t>
  </si>
  <si>
    <t>This is a file that contains the calculations of the footprints for beef from dairy calves slaughtered at 24 months.</t>
  </si>
  <si>
    <t>21111.02_dc24</t>
  </si>
  <si>
    <t>Footprints (per kg of meat) - only calves</t>
  </si>
  <si>
    <t>Footprints (per kg of meat) - calves + mother animal</t>
  </si>
  <si>
    <t>GHG emissions (per calf)</t>
  </si>
  <si>
    <t>A02LV</t>
  </si>
  <si>
    <t xml:space="preserve">Cow milk </t>
  </si>
  <si>
    <t>Dairy and dairy products</t>
  </si>
  <si>
    <t>21111.02_dc</t>
  </si>
  <si>
    <t>GHG emissions (per kg of bonefree meat) - calves + mother animal</t>
  </si>
  <si>
    <t>** All animal welfare impact from dairy allocated to the milk</t>
  </si>
  <si>
    <t>Not grown in UK, approx. W. wheat</t>
  </si>
  <si>
    <t xml:space="preserve">Scherer et al </t>
  </si>
  <si>
    <t>Chaudhary</t>
  </si>
  <si>
    <t>Approx wheat</t>
  </si>
  <si>
    <t>Copied from RPC-file</t>
  </si>
  <si>
    <t>Copied from Dairy.xlsx, tag GHG det, result per calf</t>
  </si>
  <si>
    <t>Remember to divide biodiversity by 100 when updating! Or use merged_data in the R-script</t>
  </si>
  <si>
    <t>Here I think RISE does this wrongly, they have -25</t>
  </si>
  <si>
    <t>approx ireland</t>
  </si>
  <si>
    <t>Einarsson et al. (2021), Table 5</t>
  </si>
  <si>
    <t xml:space="preserve">Approx Temp ley </t>
  </si>
  <si>
    <t>Green maize (G3000)</t>
  </si>
  <si>
    <t>Temporary grasslands (G1000) </t>
  </si>
  <si>
    <t>Lucern (G2100)</t>
  </si>
  <si>
    <t>No of animals affected</t>
  </si>
  <si>
    <t>Copied from Dairy.xlsx, tab Footprints, results per calf</t>
  </si>
  <si>
    <t>Footprints (per calf)</t>
  </si>
  <si>
    <t>Impacts from the dairy production allocated to the calves are copied from Dairy.xlsx into the tab Footprints, mother animals</t>
  </si>
  <si>
    <t>Needs updating + title that should be per calf, not per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</si>
</sst>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"/>
    <numFmt numFmtId="165" formatCode="0.0"/>
    <numFmt numFmtId="166" formatCode="0.0E+00"/>
    <numFmt numFmtId="167" formatCode="#,##0.0"/>
    <numFmt numFmtId="168" formatCode="0.000E+00"/>
    <numFmt numFmtId="169" formatCode="0E+00"/>
    <numFmt numFmtId="170" formatCode="0.0000"/>
    <numFmt numFmtId="171" formatCode="0.00000"/>
    <numFmt numFmtId="172" formatCode="_-* #,##0.00\ _F_-;\-* #,##0.00\ _F_-;_-* &quot;-&quot;??\ _F_-;_-@_-"/>
    <numFmt numFmtId="173" formatCode="#,##0.0000"/>
    <numFmt numFmtId="174" formatCode="0.000000"/>
    <numFmt numFmtId="175" formatCode="0.000000000"/>
  </numFmts>
  <fonts count="10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name val="Arial"/>
      <family val="2"/>
    </font>
    <font>
      <i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Trebuchet MS"/>
      <family val="2"/>
    </font>
    <font>
      <b/>
      <i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2"/>
      <name val="Times New Roman"/>
      <family val="1"/>
    </font>
    <font>
      <sz val="9"/>
      <color indexed="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Calibri"/>
      <family val="2"/>
    </font>
    <font>
      <b/>
      <sz val="10"/>
      <name val="Arial"/>
      <family val="2"/>
    </font>
    <font>
      <u/>
      <sz val="10"/>
      <color indexed="12"/>
      <name val="Times New Roman"/>
      <family val="1"/>
    </font>
    <font>
      <sz val="11"/>
      <color indexed="8"/>
      <name val="Calibri"/>
      <family val="2"/>
      <charset val="186"/>
    </font>
    <font>
      <sz val="11"/>
      <color indexed="9"/>
      <name val="Calibri"/>
      <family val="2"/>
    </font>
    <font>
      <sz val="11"/>
      <color indexed="9"/>
      <name val="Calibri"/>
      <family val="2"/>
      <charset val="186"/>
    </font>
    <font>
      <b/>
      <sz val="11"/>
      <color indexed="63"/>
      <name val="Calibri"/>
      <family val="2"/>
    </font>
    <font>
      <sz val="11"/>
      <color indexed="20"/>
      <name val="Calibri"/>
      <family val="2"/>
      <charset val="186"/>
    </font>
    <font>
      <b/>
      <sz val="11"/>
      <color indexed="52"/>
      <name val="Calibri"/>
      <family val="2"/>
    </font>
    <font>
      <b/>
      <sz val="11"/>
      <color indexed="52"/>
      <name val="Calibri"/>
      <family val="2"/>
      <charset val="186"/>
    </font>
    <font>
      <b/>
      <sz val="11"/>
      <color indexed="9"/>
      <name val="Calibri"/>
      <family val="2"/>
      <charset val="186"/>
    </font>
    <font>
      <sz val="8"/>
      <name val="Helvetica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i/>
      <sz val="11"/>
      <color indexed="23"/>
      <name val="Calibri"/>
      <family val="2"/>
      <charset val="186"/>
    </font>
    <font>
      <sz val="11"/>
      <color indexed="17"/>
      <name val="Calibri"/>
      <family val="2"/>
      <charset val="186"/>
    </font>
    <font>
      <sz val="11"/>
      <color indexed="17"/>
      <name val="Calibri"/>
      <family val="2"/>
    </font>
    <font>
      <b/>
      <sz val="15"/>
      <color indexed="56"/>
      <name val="Calibri"/>
      <family val="2"/>
      <charset val="186"/>
    </font>
    <font>
      <b/>
      <sz val="13"/>
      <color indexed="56"/>
      <name val="Calibri"/>
      <family val="2"/>
      <charset val="186"/>
    </font>
    <font>
      <b/>
      <sz val="11"/>
      <color indexed="56"/>
      <name val="Calibri"/>
      <family val="2"/>
      <charset val="186"/>
    </font>
    <font>
      <sz val="11"/>
      <color indexed="62"/>
      <name val="Calibri"/>
      <family val="2"/>
      <charset val="186"/>
    </font>
    <font>
      <sz val="11"/>
      <color indexed="52"/>
      <name val="Calibri"/>
      <family val="2"/>
      <charset val="186"/>
    </font>
    <font>
      <sz val="11"/>
      <color indexed="60"/>
      <name val="Calibri"/>
      <family val="2"/>
      <charset val="186"/>
    </font>
    <font>
      <sz val="10"/>
      <name val="Arial"/>
      <family val="2"/>
      <charset val="186"/>
    </font>
    <font>
      <b/>
      <sz val="11"/>
      <color indexed="63"/>
      <name val="Calibri"/>
      <family val="2"/>
      <charset val="186"/>
    </font>
    <font>
      <sz val="11"/>
      <color indexed="20"/>
      <name val="Calibri"/>
      <family val="2"/>
    </font>
    <font>
      <b/>
      <sz val="18"/>
      <color indexed="56"/>
      <name val="Cambria"/>
      <family val="2"/>
      <charset val="186"/>
    </font>
    <font>
      <b/>
      <sz val="11"/>
      <color indexed="8"/>
      <name val="Calibri"/>
      <family val="2"/>
      <charset val="186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  <charset val="186"/>
    </font>
    <font>
      <b/>
      <sz val="11"/>
      <color indexed="9"/>
      <name val="Calibri"/>
      <family val="2"/>
    </font>
    <font>
      <u/>
      <sz val="10"/>
      <color indexed="12"/>
      <name val="Times New Roman"/>
      <family val="1"/>
      <charset val="186"/>
    </font>
    <font>
      <sz val="10"/>
      <name val="Arial"/>
      <family val="2"/>
      <charset val="204"/>
    </font>
    <font>
      <b/>
      <sz val="11"/>
      <color indexed="12"/>
      <name val="Arial"/>
      <family val="2"/>
      <charset val="204"/>
    </font>
    <font>
      <sz val="8"/>
      <name val="Helvetica"/>
      <family val="2"/>
    </font>
    <font>
      <sz val="8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Helvetica"/>
    </font>
    <font>
      <sz val="11"/>
      <color indexed="8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5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2" tint="-0.499984740745262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i/>
      <sz val="11"/>
      <color theme="2" tint="-0.249977111117893"/>
      <name val="Calibri"/>
      <family val="2"/>
      <scheme val="minor"/>
    </font>
    <font>
      <sz val="10"/>
      <color theme="2" tint="-0.249977111117893"/>
      <name val="Calibri"/>
      <family val="2"/>
      <scheme val="minor"/>
    </font>
    <font>
      <sz val="9"/>
      <color theme="2" tint="-0.249977111117893"/>
      <name val="Calibri"/>
      <family val="2"/>
      <scheme val="minor"/>
    </font>
    <font>
      <sz val="11"/>
      <color rgb="FF2F75B5"/>
      <name val="Calibri"/>
      <family val="2"/>
    </font>
    <font>
      <sz val="11"/>
      <color rgb="FF1F4E78"/>
      <name val="Calibri"/>
      <family val="2"/>
    </font>
  </fonts>
  <fills count="7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darkTrellis"/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7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double">
        <color theme="9" tint="-0.249977111117893"/>
      </right>
      <top/>
      <bottom style="thin">
        <color indexed="64"/>
      </bottom>
      <diagonal/>
    </border>
    <border>
      <left style="double">
        <color theme="9" tint="-0.249977111117893"/>
      </left>
      <right style="double">
        <color theme="9" tint="-0.249977111117893"/>
      </right>
      <top style="double">
        <color theme="9" tint="-0.249977111117893"/>
      </top>
      <bottom style="double">
        <color theme="9" tint="-0.249977111117893"/>
      </bottom>
      <diagonal/>
    </border>
    <border>
      <left style="double">
        <color theme="9" tint="-0.249977111117893"/>
      </left>
      <right style="double">
        <color theme="9" tint="-0.249977111117893"/>
      </right>
      <top style="double">
        <color theme="9" tint="-0.249977111117893"/>
      </top>
      <bottom style="thin">
        <color indexed="64"/>
      </bottom>
      <diagonal/>
    </border>
    <border>
      <left style="double">
        <color theme="9" tint="-0.249977111117893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31427">
    <xf numFmtId="0" fontId="0" fillId="0" borderId="0"/>
    <xf numFmtId="0" fontId="5" fillId="0" borderId="0"/>
    <xf numFmtId="0" fontId="27" fillId="12" borderId="13" applyNumberFormat="0" applyAlignment="0" applyProtection="0"/>
    <xf numFmtId="0" fontId="31" fillId="0" borderId="0" applyNumberFormat="0" applyFill="0" applyBorder="0" applyAlignment="0" applyProtection="0"/>
    <xf numFmtId="0" fontId="32" fillId="0" borderId="0" applyNumberFormat="0">
      <alignment horizontal="right"/>
    </xf>
    <xf numFmtId="0" fontId="5" fillId="0" borderId="0"/>
    <xf numFmtId="0" fontId="33" fillId="0" borderId="0" applyNumberFormat="0" applyFill="0" applyBorder="0" applyProtection="0">
      <alignment horizontal="left" vertical="center"/>
    </xf>
    <xf numFmtId="0" fontId="34" fillId="32" borderId="0" applyBorder="0">
      <alignment horizontal="right" vertical="center"/>
    </xf>
    <xf numFmtId="0" fontId="34" fillId="32" borderId="16">
      <alignment horizontal="right" vertical="center"/>
    </xf>
    <xf numFmtId="0" fontId="5" fillId="0" borderId="0" applyNumberFormat="0" applyFont="0" applyFill="0" applyBorder="0" applyProtection="0">
      <alignment horizontal="left" vertical="center" indent="2"/>
    </xf>
    <xf numFmtId="0" fontId="34" fillId="32" borderId="0" applyBorder="0">
      <alignment horizontal="right" vertical="center"/>
    </xf>
    <xf numFmtId="0" fontId="34" fillId="0" borderId="0" applyBorder="0">
      <alignment horizontal="right" vertical="center"/>
    </xf>
    <xf numFmtId="0" fontId="5" fillId="33" borderId="0" applyNumberFormat="0" applyFon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34" fillId="0" borderId="19" applyNumberFormat="0" applyFill="0" applyAlignment="0" applyProtection="0"/>
    <xf numFmtId="0" fontId="32" fillId="0" borderId="22">
      <alignment horizontal="left" vertical="top" wrapText="1"/>
    </xf>
    <xf numFmtId="0" fontId="32" fillId="34" borderId="19">
      <alignment horizontal="right" vertical="center"/>
    </xf>
    <xf numFmtId="0" fontId="32" fillId="34" borderId="19">
      <alignment horizontal="right" vertical="center"/>
    </xf>
    <xf numFmtId="0" fontId="34" fillId="0" borderId="24">
      <alignment horizontal="left" vertical="center" wrapText="1" indent="2"/>
    </xf>
    <xf numFmtId="0" fontId="32" fillId="34" borderId="20">
      <alignment horizontal="right" vertical="center"/>
    </xf>
    <xf numFmtId="0" fontId="34" fillId="0" borderId="19">
      <alignment horizontal="right" vertical="center"/>
    </xf>
    <xf numFmtId="0" fontId="5" fillId="0" borderId="23"/>
    <xf numFmtId="0" fontId="36" fillId="32" borderId="19">
      <alignment horizontal="right" vertical="center"/>
    </xf>
    <xf numFmtId="0" fontId="34" fillId="33" borderId="19"/>
    <xf numFmtId="0" fontId="32" fillId="32" borderId="19">
      <alignment horizontal="right" vertical="center"/>
    </xf>
    <xf numFmtId="0" fontId="32" fillId="32" borderId="17">
      <alignment horizontal="right" vertical="center"/>
    </xf>
    <xf numFmtId="0" fontId="34" fillId="0" borderId="17">
      <alignment horizontal="right" vertical="center"/>
    </xf>
    <xf numFmtId="4" fontId="5" fillId="0" borderId="0"/>
    <xf numFmtId="0" fontId="32" fillId="34" borderId="21">
      <alignment horizontal="right" vertical="center"/>
    </xf>
    <xf numFmtId="0" fontId="32" fillId="34" borderId="17">
      <alignment horizontal="right" vertical="center"/>
    </xf>
    <xf numFmtId="0" fontId="32" fillId="34" borderId="18">
      <alignment horizontal="right" vertical="center"/>
    </xf>
    <xf numFmtId="4" fontId="32" fillId="34" borderId="20">
      <alignment horizontal="right" vertical="center"/>
    </xf>
    <xf numFmtId="0" fontId="34" fillId="0" borderId="0"/>
    <xf numFmtId="0" fontId="34" fillId="37" borderId="19">
      <alignment horizontal="right" vertical="center"/>
    </xf>
    <xf numFmtId="0" fontId="34" fillId="37" borderId="0" applyBorder="0">
      <alignment horizontal="right" vertical="center"/>
    </xf>
    <xf numFmtId="0" fontId="5" fillId="0" borderId="0"/>
    <xf numFmtId="0" fontId="5" fillId="36" borderId="19"/>
    <xf numFmtId="4" fontId="5" fillId="0" borderId="0"/>
    <xf numFmtId="4" fontId="34" fillId="0" borderId="19" applyFill="0" applyBorder="0" applyProtection="0">
      <alignment horizontal="right" vertical="center"/>
    </xf>
    <xf numFmtId="0" fontId="39" fillId="0" borderId="0" applyNumberFormat="0" applyFill="0" applyBorder="0" applyAlignment="0" applyProtection="0"/>
    <xf numFmtId="4" fontId="5" fillId="0" borderId="0"/>
    <xf numFmtId="4" fontId="5" fillId="0" borderId="0"/>
    <xf numFmtId="0" fontId="26" fillId="0" borderId="0"/>
    <xf numFmtId="0" fontId="34" fillId="33" borderId="19"/>
    <xf numFmtId="0" fontId="32" fillId="34" borderId="20">
      <alignment horizontal="right" vertical="center"/>
    </xf>
    <xf numFmtId="0" fontId="28" fillId="13" borderId="14" applyNumberFormat="0" applyAlignment="0" applyProtection="0"/>
    <xf numFmtId="0" fontId="29" fillId="13" borderId="13" applyNumberFormat="0" applyAlignment="0" applyProtection="0"/>
    <xf numFmtId="0" fontId="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" fillId="0" borderId="15" applyNumberFormat="0" applyFill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12" fillId="16" borderId="0" applyNumberFormat="0" applyBorder="0" applyAlignment="0" applyProtection="0"/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12" fillId="19" borderId="0" applyNumberFormat="0" applyBorder="0" applyAlignment="0" applyProtection="0"/>
    <xf numFmtId="0" fontId="26" fillId="20" borderId="0" applyNumberFormat="0" applyBorder="0" applyAlignment="0" applyProtection="0"/>
    <xf numFmtId="0" fontId="26" fillId="21" borderId="0" applyNumberFormat="0" applyBorder="0" applyAlignment="0" applyProtection="0"/>
    <xf numFmtId="0" fontId="12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12" fillId="25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12" fillId="28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12" fillId="31" borderId="0" applyNumberFormat="0" applyBorder="0" applyAlignment="0" applyProtection="0"/>
    <xf numFmtId="0" fontId="34" fillId="0" borderId="19" applyNumberFormat="0" applyFill="0" applyAlignment="0" applyProtection="0"/>
    <xf numFmtId="0" fontId="32" fillId="34" borderId="19">
      <alignment horizontal="right" vertical="center"/>
    </xf>
    <xf numFmtId="0" fontId="32" fillId="34" borderId="19">
      <alignment horizontal="right" vertical="center"/>
    </xf>
    <xf numFmtId="0" fontId="34" fillId="0" borderId="24">
      <alignment horizontal="left" vertical="center" wrapText="1" indent="2"/>
    </xf>
    <xf numFmtId="0" fontId="32" fillId="34" borderId="20">
      <alignment horizontal="right" vertical="center"/>
    </xf>
    <xf numFmtId="0" fontId="34" fillId="0" borderId="19">
      <alignment horizontal="right" vertical="center"/>
    </xf>
    <xf numFmtId="0" fontId="36" fillId="32" borderId="19">
      <alignment horizontal="right" vertical="center"/>
    </xf>
    <xf numFmtId="0" fontId="34" fillId="33" borderId="19"/>
    <xf numFmtId="0" fontId="32" fillId="32" borderId="19">
      <alignment horizontal="right" vertical="center"/>
    </xf>
    <xf numFmtId="0" fontId="32" fillId="34" borderId="18">
      <alignment horizontal="right" vertical="center"/>
    </xf>
    <xf numFmtId="0" fontId="38" fillId="0" borderId="0" applyNumberFormat="0" applyFill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1" borderId="0" applyNumberFormat="0" applyBorder="0" applyAlignment="0" applyProtection="0"/>
    <xf numFmtId="0" fontId="40" fillId="42" borderId="0" applyNumberFormat="0" applyBorder="0" applyAlignment="0" applyProtection="0"/>
    <xf numFmtId="0" fontId="40" fillId="43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2"/>
    </xf>
    <xf numFmtId="0" fontId="5" fillId="0" borderId="0" applyNumberFormat="0" applyFont="0" applyFill="0" applyBorder="0" applyProtection="0">
      <alignment horizontal="left" vertical="center" indent="2"/>
    </xf>
    <xf numFmtId="49" fontId="34" fillId="0" borderId="19" applyNumberFormat="0" applyFont="0" applyFill="0" applyBorder="0" applyProtection="0">
      <alignment horizontal="left" vertical="center" indent="2"/>
    </xf>
    <xf numFmtId="0" fontId="40" fillId="44" borderId="0" applyNumberFormat="0" applyBorder="0" applyAlignment="0" applyProtection="0"/>
    <xf numFmtId="0" fontId="40" fillId="45" borderId="0" applyNumberFormat="0" applyBorder="0" applyAlignment="0" applyProtection="0"/>
    <xf numFmtId="0" fontId="40" fillId="46" borderId="0" applyNumberFormat="0" applyBorder="0" applyAlignment="0" applyProtection="0"/>
    <xf numFmtId="0" fontId="40" fillId="41" borderId="0" applyNumberFormat="0" applyBorder="0" applyAlignment="0" applyProtection="0"/>
    <xf numFmtId="0" fontId="40" fillId="44" borderId="0" applyNumberFormat="0" applyBorder="0" applyAlignment="0" applyProtection="0"/>
    <xf numFmtId="0" fontId="40" fillId="47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5" fillId="0" borderId="0" applyNumberFormat="0" applyFont="0" applyFill="0" applyBorder="0" applyProtection="0">
      <alignment horizontal="left" vertical="center" indent="5"/>
    </xf>
    <xf numFmtId="49" fontId="34" fillId="0" borderId="18" applyNumberFormat="0" applyFont="0" applyFill="0" applyBorder="0" applyProtection="0">
      <alignment horizontal="left" vertical="center" indent="5"/>
    </xf>
    <xf numFmtId="0" fontId="42" fillId="48" borderId="0" applyNumberFormat="0" applyBorder="0" applyAlignment="0" applyProtection="0"/>
    <xf numFmtId="0" fontId="42" fillId="45" borderId="0" applyNumberFormat="0" applyBorder="0" applyAlignment="0" applyProtection="0"/>
    <xf numFmtId="0" fontId="42" fillId="46" borderId="0" applyNumberFormat="0" applyBorder="0" applyAlignment="0" applyProtection="0"/>
    <xf numFmtId="0" fontId="42" fillId="49" borderId="0" applyNumberFormat="0" applyBorder="0" applyAlignment="0" applyProtection="0"/>
    <xf numFmtId="0" fontId="42" fillId="50" borderId="0" applyNumberFormat="0" applyBorder="0" applyAlignment="0" applyProtection="0"/>
    <xf numFmtId="0" fontId="42" fillId="51" borderId="0" applyNumberFormat="0" applyBorder="0" applyAlignment="0" applyProtection="0"/>
    <xf numFmtId="0" fontId="42" fillId="52" borderId="0" applyNumberFormat="0" applyBorder="0" applyAlignment="0" applyProtection="0"/>
    <xf numFmtId="0" fontId="42" fillId="53" borderId="0" applyNumberFormat="0" applyBorder="0" applyAlignment="0" applyProtection="0"/>
    <xf numFmtId="0" fontId="42" fillId="54" borderId="0" applyNumberFormat="0" applyBorder="0" applyAlignment="0" applyProtection="0"/>
    <xf numFmtId="0" fontId="42" fillId="49" borderId="0" applyNumberFormat="0" applyBorder="0" applyAlignment="0" applyProtection="0"/>
    <xf numFmtId="0" fontId="42" fillId="50" borderId="0" applyNumberFormat="0" applyBorder="0" applyAlignment="0" applyProtection="0"/>
    <xf numFmtId="0" fontId="42" fillId="55" borderId="0" applyNumberFormat="0" applyBorder="0" applyAlignment="0" applyProtection="0"/>
    <xf numFmtId="0" fontId="33" fillId="37" borderId="0" applyBorder="0" applyAlignment="0"/>
    <xf numFmtId="4" fontId="33" fillId="37" borderId="0" applyBorder="0" applyAlignment="0"/>
    <xf numFmtId="4" fontId="34" fillId="37" borderId="0" applyBorder="0">
      <alignment horizontal="right" vertical="center"/>
    </xf>
    <xf numFmtId="4" fontId="34" fillId="32" borderId="0" applyBorder="0">
      <alignment horizontal="right" vertical="center"/>
    </xf>
    <xf numFmtId="4" fontId="34" fillId="32" borderId="0" applyBorder="0">
      <alignment horizontal="right" vertical="center"/>
    </xf>
    <xf numFmtId="4" fontId="32" fillId="32" borderId="19">
      <alignment horizontal="right" vertical="center"/>
    </xf>
    <xf numFmtId="4" fontId="36" fillId="32" borderId="19">
      <alignment horizontal="right" vertical="center"/>
    </xf>
    <xf numFmtId="4" fontId="32" fillId="34" borderId="19">
      <alignment horizontal="right" vertical="center"/>
    </xf>
    <xf numFmtId="4" fontId="32" fillId="34" borderId="19">
      <alignment horizontal="right" vertical="center"/>
    </xf>
    <xf numFmtId="4" fontId="32" fillId="34" borderId="18">
      <alignment horizontal="right" vertical="center"/>
    </xf>
    <xf numFmtId="4" fontId="32" fillId="34" borderId="20">
      <alignment horizontal="right" vertical="center"/>
    </xf>
    <xf numFmtId="0" fontId="41" fillId="52" borderId="0" applyNumberFormat="0" applyBorder="0" applyAlignment="0" applyProtection="0"/>
    <xf numFmtId="0" fontId="41" fillId="53" borderId="0" applyNumberFormat="0" applyBorder="0" applyAlignment="0" applyProtection="0"/>
    <xf numFmtId="0" fontId="41" fillId="54" borderId="0" applyNumberFormat="0" applyBorder="0" applyAlignment="0" applyProtection="0"/>
    <xf numFmtId="0" fontId="41" fillId="49" borderId="0" applyNumberFormat="0" applyBorder="0" applyAlignment="0" applyProtection="0"/>
    <xf numFmtId="0" fontId="41" fillId="50" borderId="0" applyNumberFormat="0" applyBorder="0" applyAlignment="0" applyProtection="0"/>
    <xf numFmtId="0" fontId="41" fillId="55" borderId="0" applyNumberFormat="0" applyBorder="0" applyAlignment="0" applyProtection="0"/>
    <xf numFmtId="0" fontId="44" fillId="39" borderId="0" applyNumberFormat="0" applyBorder="0" applyAlignment="0" applyProtection="0"/>
    <xf numFmtId="4" fontId="33" fillId="0" borderId="12" applyFill="0" applyBorder="0" applyProtection="0">
      <alignment horizontal="right" vertical="center"/>
    </xf>
    <xf numFmtId="0" fontId="46" fillId="56" borderId="26" applyNumberFormat="0" applyAlignment="0" applyProtection="0"/>
    <xf numFmtId="0" fontId="47" fillId="57" borderId="27" applyNumberFormat="0" applyAlignment="0" applyProtection="0"/>
    <xf numFmtId="43" fontId="37" fillId="0" borderId="0" applyFont="0" applyFill="0" applyBorder="0" applyAlignment="0" applyProtection="0"/>
    <xf numFmtId="172" fontId="48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34" fillId="34" borderId="24">
      <alignment horizontal="left" vertical="center" wrapText="1" indent="2"/>
    </xf>
    <xf numFmtId="0" fontId="34" fillId="32" borderId="18">
      <alignment horizontal="left" vertical="center"/>
    </xf>
    <xf numFmtId="0" fontId="52" fillId="0" borderId="0" applyNumberFormat="0" applyFill="0" applyBorder="0" applyAlignment="0" applyProtection="0"/>
    <xf numFmtId="0" fontId="53" fillId="40" borderId="0" applyNumberFormat="0" applyBorder="0" applyAlignment="0" applyProtection="0"/>
    <xf numFmtId="0" fontId="54" fillId="40" borderId="0" applyNumberFormat="0" applyBorder="0" applyAlignment="0" applyProtection="0"/>
    <xf numFmtId="0" fontId="55" fillId="0" borderId="29" applyNumberFormat="0" applyFill="0" applyAlignment="0" applyProtection="0"/>
    <xf numFmtId="0" fontId="56" fillId="0" borderId="30" applyNumberFormat="0" applyFill="0" applyAlignment="0" applyProtection="0"/>
    <xf numFmtId="0" fontId="57" fillId="0" borderId="31" applyNumberFormat="0" applyFill="0" applyAlignment="0" applyProtection="0"/>
    <xf numFmtId="0" fontId="57" fillId="0" borderId="0" applyNumberFormat="0" applyFill="0" applyBorder="0" applyAlignment="0" applyProtection="0"/>
    <xf numFmtId="0" fontId="58" fillId="43" borderId="26" applyNumberFormat="0" applyAlignment="0" applyProtection="0"/>
    <xf numFmtId="4" fontId="34" fillId="0" borderId="0" applyBorder="0">
      <alignment horizontal="right" vertical="center"/>
    </xf>
    <xf numFmtId="0" fontId="34" fillId="0" borderId="3">
      <alignment horizontal="right" vertical="center"/>
    </xf>
    <xf numFmtId="4" fontId="34" fillId="0" borderId="19">
      <alignment horizontal="right" vertical="center"/>
    </xf>
    <xf numFmtId="1" fontId="35" fillId="32" borderId="0" applyBorder="0">
      <alignment horizontal="right" vertical="center"/>
    </xf>
    <xf numFmtId="0" fontId="59" fillId="0" borderId="32" applyNumberFormat="0" applyFill="0" applyAlignment="0" applyProtection="0"/>
    <xf numFmtId="0" fontId="60" fillId="58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48" fillId="0" borderId="0"/>
    <xf numFmtId="4" fontId="6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6" fillId="0" borderId="0"/>
    <xf numFmtId="4" fontId="34" fillId="0" borderId="0" applyFill="0" applyBorder="0" applyProtection="0">
      <alignment horizontal="right" vertical="center"/>
    </xf>
    <xf numFmtId="4" fontId="34" fillId="0" borderId="0" applyFill="0" applyBorder="0" applyProtection="0">
      <alignment horizontal="right" vertical="center"/>
    </xf>
    <xf numFmtId="4" fontId="34" fillId="0" borderId="19" applyFill="0" applyBorder="0" applyProtection="0">
      <alignment horizontal="right" vertical="center"/>
    </xf>
    <xf numFmtId="0" fontId="33" fillId="0" borderId="0" applyNumberFormat="0" applyFill="0" applyBorder="0" applyProtection="0">
      <alignment horizontal="left" vertical="center"/>
    </xf>
    <xf numFmtId="49" fontId="33" fillId="0" borderId="19" applyNumberFormat="0" applyFill="0" applyBorder="0" applyProtection="0">
      <alignment horizontal="left" vertical="center"/>
    </xf>
    <xf numFmtId="0" fontId="5" fillId="33" borderId="0" applyNumberFormat="0" applyFont="0" applyBorder="0" applyAlignment="0" applyProtection="0"/>
    <xf numFmtId="4" fontId="5" fillId="33" borderId="0" applyNumberFormat="0" applyFont="0" applyBorder="0" applyAlignment="0" applyProtection="0"/>
    <xf numFmtId="4" fontId="5" fillId="33" borderId="0" applyNumberFormat="0" applyFont="0" applyBorder="0" applyAlignment="0" applyProtection="0"/>
    <xf numFmtId="0" fontId="5" fillId="33" borderId="0" applyNumberFormat="0" applyFont="0" applyBorder="0" applyAlignment="0" applyProtection="0"/>
    <xf numFmtId="0" fontId="5" fillId="33" borderId="0" applyNumberFormat="0" applyFont="0" applyBorder="0" applyAlignment="0" applyProtection="0"/>
    <xf numFmtId="0" fontId="48" fillId="35" borderId="0" applyNumberFormat="0" applyFont="0" applyBorder="0" applyAlignment="0" applyProtection="0"/>
    <xf numFmtId="0" fontId="40" fillId="59" borderId="33" applyNumberFormat="0" applyFont="0" applyAlignment="0" applyProtection="0"/>
    <xf numFmtId="0" fontId="5" fillId="59" borderId="33" applyNumberFormat="0" applyFont="0" applyAlignment="0" applyProtection="0"/>
    <xf numFmtId="0" fontId="62" fillId="56" borderId="25" applyNumberFormat="0" applyAlignment="0" applyProtection="0"/>
    <xf numFmtId="173" fontId="34" fillId="60" borderId="19" applyNumberFormat="0" applyFont="0" applyBorder="0" applyAlignment="0" applyProtection="0">
      <alignment horizontal="right" vertical="center"/>
    </xf>
    <xf numFmtId="9" fontId="48" fillId="0" borderId="0" applyFont="0" applyFill="0" applyBorder="0" applyAlignment="0" applyProtection="0"/>
    <xf numFmtId="0" fontId="63" fillId="39" borderId="0" applyNumberFormat="0" applyBorder="0" applyAlignment="0" applyProtection="0"/>
    <xf numFmtId="4" fontId="34" fillId="33" borderId="19"/>
    <xf numFmtId="0" fontId="34" fillId="33" borderId="17"/>
    <xf numFmtId="0" fontId="64" fillId="0" borderId="0" applyNumberFormat="0" applyFill="0" applyBorder="0" applyAlignment="0" applyProtection="0"/>
    <xf numFmtId="0" fontId="65" fillId="0" borderId="28" applyNumberFormat="0" applyFill="0" applyAlignment="0" applyProtection="0"/>
    <xf numFmtId="0" fontId="66" fillId="0" borderId="0" applyNumberFormat="0" applyFill="0" applyBorder="0" applyAlignment="0" applyProtection="0"/>
    <xf numFmtId="0" fontId="67" fillId="0" borderId="29" applyNumberFormat="0" applyFill="0" applyAlignment="0" applyProtection="0"/>
    <xf numFmtId="0" fontId="68" fillId="0" borderId="30" applyNumberFormat="0" applyFill="0" applyAlignment="0" applyProtection="0"/>
    <xf numFmtId="0" fontId="69" fillId="0" borderId="31" applyNumberFormat="0" applyFill="0" applyAlignment="0" applyProtection="0"/>
    <xf numFmtId="0" fontId="69" fillId="0" borderId="0" applyNumberFormat="0" applyFill="0" applyBorder="0" applyAlignment="0" applyProtection="0"/>
    <xf numFmtId="0" fontId="70" fillId="0" borderId="32" applyNumberFormat="0" applyFill="0" applyAlignment="0" applyProtection="0"/>
    <xf numFmtId="0" fontId="72" fillId="0" borderId="0" applyNumberFormat="0" applyFill="0" applyBorder="0" applyAlignment="0" applyProtection="0"/>
    <xf numFmtId="0" fontId="73" fillId="57" borderId="27" applyNumberFormat="0" applyAlignment="0" applyProtection="0"/>
    <xf numFmtId="0" fontId="39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5" fillId="0" borderId="0" applyNumberFormat="0" applyFont="0" applyFill="0" applyBorder="0" applyProtection="0">
      <alignment horizontal="left" vertical="center"/>
    </xf>
    <xf numFmtId="0" fontId="34" fillId="32" borderId="0" applyBorder="0">
      <alignment horizontal="right" vertical="center"/>
    </xf>
    <xf numFmtId="0" fontId="34" fillId="32" borderId="0" applyBorder="0">
      <alignment horizontal="right" vertical="center"/>
    </xf>
    <xf numFmtId="0" fontId="34" fillId="0" borderId="0" applyBorder="0">
      <alignment horizontal="right" vertical="center"/>
    </xf>
    <xf numFmtId="4" fontId="5" fillId="0" borderId="0"/>
    <xf numFmtId="0" fontId="75" fillId="0" borderId="0"/>
    <xf numFmtId="0" fontId="5" fillId="33" borderId="0" applyNumberFormat="0" applyFont="0" applyBorder="0" applyAlignment="0" applyProtection="0"/>
    <xf numFmtId="0" fontId="39" fillId="0" borderId="0" applyNumberFormat="0" applyFill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1" borderId="0" applyNumberFormat="0" applyBorder="0" applyAlignment="0" applyProtection="0"/>
    <xf numFmtId="0" fontId="40" fillId="42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5" borderId="0" applyNumberFormat="0" applyBorder="0" applyAlignment="0" applyProtection="0"/>
    <xf numFmtId="0" fontId="40" fillId="46" borderId="0" applyNumberFormat="0" applyBorder="0" applyAlignment="0" applyProtection="0"/>
    <xf numFmtId="0" fontId="40" fillId="41" borderId="0" applyNumberFormat="0" applyBorder="0" applyAlignment="0" applyProtection="0"/>
    <xf numFmtId="0" fontId="40" fillId="44" borderId="0" applyNumberFormat="0" applyBorder="0" applyAlignment="0" applyProtection="0"/>
    <xf numFmtId="0" fontId="40" fillId="47" borderId="0" applyNumberFormat="0" applyBorder="0" applyAlignment="0" applyProtection="0"/>
    <xf numFmtId="0" fontId="42" fillId="48" borderId="0" applyNumberFormat="0" applyBorder="0" applyAlignment="0" applyProtection="0"/>
    <xf numFmtId="0" fontId="42" fillId="45" borderId="0" applyNumberFormat="0" applyBorder="0" applyAlignment="0" applyProtection="0"/>
    <xf numFmtId="0" fontId="42" fillId="46" borderId="0" applyNumberFormat="0" applyBorder="0" applyAlignment="0" applyProtection="0"/>
    <xf numFmtId="0" fontId="42" fillId="49" borderId="0" applyNumberFormat="0" applyBorder="0" applyAlignment="0" applyProtection="0"/>
    <xf numFmtId="0" fontId="42" fillId="50" borderId="0" applyNumberFormat="0" applyBorder="0" applyAlignment="0" applyProtection="0"/>
    <xf numFmtId="0" fontId="42" fillId="51" borderId="0" applyNumberFormat="0" applyBorder="0" applyAlignment="0" applyProtection="0"/>
    <xf numFmtId="0" fontId="42" fillId="52" borderId="0" applyNumberFormat="0" applyBorder="0" applyAlignment="0" applyProtection="0"/>
    <xf numFmtId="0" fontId="42" fillId="53" borderId="0" applyNumberFormat="0" applyBorder="0" applyAlignment="0" applyProtection="0"/>
    <xf numFmtId="0" fontId="42" fillId="54" borderId="0" applyNumberFormat="0" applyBorder="0" applyAlignment="0" applyProtection="0"/>
    <xf numFmtId="0" fontId="42" fillId="49" borderId="0" applyNumberFormat="0" applyBorder="0" applyAlignment="0" applyProtection="0"/>
    <xf numFmtId="0" fontId="42" fillId="50" borderId="0" applyNumberFormat="0" applyBorder="0" applyAlignment="0" applyProtection="0"/>
    <xf numFmtId="0" fontId="42" fillId="55" borderId="0" applyNumberFormat="0" applyBorder="0" applyAlignment="0" applyProtection="0"/>
    <xf numFmtId="0" fontId="44" fillId="39" borderId="0" applyNumberFormat="0" applyBorder="0" applyAlignment="0" applyProtection="0"/>
    <xf numFmtId="0" fontId="46" fillId="56" borderId="26" applyNumberFormat="0" applyAlignment="0" applyProtection="0"/>
    <xf numFmtId="0" fontId="47" fillId="57" borderId="27" applyNumberFormat="0" applyAlignment="0" applyProtection="0"/>
    <xf numFmtId="0" fontId="52" fillId="0" borderId="0" applyNumberFormat="0" applyFill="0" applyBorder="0" applyAlignment="0" applyProtection="0"/>
    <xf numFmtId="0" fontId="53" fillId="40" borderId="0" applyNumberFormat="0" applyBorder="0" applyAlignment="0" applyProtection="0"/>
    <xf numFmtId="0" fontId="55" fillId="0" borderId="29" applyNumberFormat="0" applyFill="0" applyAlignment="0" applyProtection="0"/>
    <xf numFmtId="0" fontId="56" fillId="0" borderId="30" applyNumberFormat="0" applyFill="0" applyAlignment="0" applyProtection="0"/>
    <xf numFmtId="0" fontId="57" fillId="0" borderId="31" applyNumberFormat="0" applyFill="0" applyAlignment="0" applyProtection="0"/>
    <xf numFmtId="0" fontId="57" fillId="0" borderId="0" applyNumberFormat="0" applyFill="0" applyBorder="0" applyAlignment="0" applyProtection="0"/>
    <xf numFmtId="0" fontId="58" fillId="43" borderId="26" applyNumberFormat="0" applyAlignment="0" applyProtection="0"/>
    <xf numFmtId="0" fontId="59" fillId="0" borderId="32" applyNumberFormat="0" applyFill="0" applyAlignment="0" applyProtection="0"/>
    <xf numFmtId="0" fontId="60" fillId="58" borderId="0" applyNumberFormat="0" applyBorder="0" applyAlignment="0" applyProtection="0"/>
    <xf numFmtId="0" fontId="5" fillId="0" borderId="0"/>
    <xf numFmtId="0" fontId="40" fillId="59" borderId="33" applyNumberFormat="0" applyFont="0" applyAlignment="0" applyProtection="0"/>
    <xf numFmtId="0" fontId="62" fillId="56" borderId="25" applyNumberFormat="0" applyAlignment="0" applyProtection="0"/>
    <xf numFmtId="0" fontId="64" fillId="0" borderId="0" applyNumberFormat="0" applyFill="0" applyBorder="0" applyAlignment="0" applyProtection="0"/>
    <xf numFmtId="0" fontId="65" fillId="0" borderId="28" applyNumberFormat="0" applyFill="0" applyAlignment="0" applyProtection="0"/>
    <xf numFmtId="0" fontId="72" fillId="0" borderId="0" applyNumberFormat="0" applyFill="0" applyBorder="0" applyAlignment="0" applyProtection="0"/>
    <xf numFmtId="0" fontId="76" fillId="0" borderId="0">
      <alignment horizontal="left" vertical="center" indent="1"/>
    </xf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1" borderId="0" applyNumberFormat="0" applyBorder="0" applyAlignment="0" applyProtection="0"/>
    <xf numFmtId="0" fontId="40" fillId="42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5" borderId="0" applyNumberFormat="0" applyBorder="0" applyAlignment="0" applyProtection="0"/>
    <xf numFmtId="0" fontId="40" fillId="46" borderId="0" applyNumberFormat="0" applyBorder="0" applyAlignment="0" applyProtection="0"/>
    <xf numFmtId="0" fontId="40" fillId="41" borderId="0" applyNumberFormat="0" applyBorder="0" applyAlignment="0" applyProtection="0"/>
    <xf numFmtId="0" fontId="40" fillId="44" borderId="0" applyNumberFormat="0" applyBorder="0" applyAlignment="0" applyProtection="0"/>
    <xf numFmtId="0" fontId="40" fillId="47" borderId="0" applyNumberFormat="0" applyBorder="0" applyAlignment="0" applyProtection="0"/>
    <xf numFmtId="0" fontId="42" fillId="48" borderId="0" applyNumberFormat="0" applyBorder="0" applyAlignment="0" applyProtection="0"/>
    <xf numFmtId="0" fontId="42" fillId="45" borderId="0" applyNumberFormat="0" applyBorder="0" applyAlignment="0" applyProtection="0"/>
    <xf numFmtId="0" fontId="42" fillId="46" borderId="0" applyNumberFormat="0" applyBorder="0" applyAlignment="0" applyProtection="0"/>
    <xf numFmtId="0" fontId="42" fillId="49" borderId="0" applyNumberFormat="0" applyBorder="0" applyAlignment="0" applyProtection="0"/>
    <xf numFmtId="0" fontId="42" fillId="50" borderId="0" applyNumberFormat="0" applyBorder="0" applyAlignment="0" applyProtection="0"/>
    <xf numFmtId="0" fontId="42" fillId="51" borderId="0" applyNumberFormat="0" applyBorder="0" applyAlignment="0" applyProtection="0"/>
    <xf numFmtId="0" fontId="32" fillId="32" borderId="34">
      <alignment horizontal="right" vertical="center"/>
    </xf>
    <xf numFmtId="4" fontId="32" fillId="32" borderId="34">
      <alignment horizontal="right" vertical="center"/>
    </xf>
    <xf numFmtId="0" fontId="36" fillId="32" borderId="34">
      <alignment horizontal="right" vertical="center"/>
    </xf>
    <xf numFmtId="4" fontId="36" fillId="32" borderId="34">
      <alignment horizontal="right" vertical="center"/>
    </xf>
    <xf numFmtId="0" fontId="32" fillId="34" borderId="34">
      <alignment horizontal="right" vertical="center"/>
    </xf>
    <xf numFmtId="4" fontId="32" fillId="34" borderId="34">
      <alignment horizontal="right" vertical="center"/>
    </xf>
    <xf numFmtId="0" fontId="32" fillId="34" borderId="34">
      <alignment horizontal="right" vertical="center"/>
    </xf>
    <xf numFmtId="4" fontId="32" fillId="34" borderId="34">
      <alignment horizontal="right" vertical="center"/>
    </xf>
    <xf numFmtId="0" fontId="32" fillId="34" borderId="35">
      <alignment horizontal="right" vertical="center"/>
    </xf>
    <xf numFmtId="4" fontId="32" fillId="34" borderId="35">
      <alignment horizontal="right" vertical="center"/>
    </xf>
    <xf numFmtId="0" fontId="32" fillId="34" borderId="36">
      <alignment horizontal="right" vertical="center"/>
    </xf>
    <xf numFmtId="4" fontId="32" fillId="34" borderId="36">
      <alignment horizontal="right" vertical="center"/>
    </xf>
    <xf numFmtId="0" fontId="46" fillId="56" borderId="26" applyNumberFormat="0" applyAlignment="0" applyProtection="0"/>
    <xf numFmtId="0" fontId="34" fillId="34" borderId="37">
      <alignment horizontal="left" vertical="center" wrapText="1" indent="2"/>
    </xf>
    <xf numFmtId="0" fontId="34" fillId="0" borderId="37">
      <alignment horizontal="left" vertical="center" wrapText="1" indent="2"/>
    </xf>
    <xf numFmtId="0" fontId="34" fillId="32" borderId="35">
      <alignment horizontal="left" vertical="center"/>
    </xf>
    <xf numFmtId="0" fontId="52" fillId="0" borderId="0" applyNumberFormat="0" applyFill="0" applyBorder="0" applyAlignment="0" applyProtection="0"/>
    <xf numFmtId="0" fontId="58" fillId="43" borderId="26" applyNumberFormat="0" applyAlignment="0" applyProtection="0"/>
    <xf numFmtId="0" fontId="34" fillId="0" borderId="34">
      <alignment horizontal="right" vertical="center"/>
    </xf>
    <xf numFmtId="4" fontId="34" fillId="0" borderId="34">
      <alignment horizontal="right" vertical="center"/>
    </xf>
    <xf numFmtId="0" fontId="26" fillId="0" borderId="0"/>
    <xf numFmtId="0" fontId="34" fillId="0" borderId="34" applyNumberFormat="0" applyFill="0" applyAlignment="0" applyProtection="0"/>
    <xf numFmtId="0" fontId="62" fillId="56" borderId="25" applyNumberFormat="0" applyAlignment="0" applyProtection="0"/>
    <xf numFmtId="173" fontId="34" fillId="60" borderId="34" applyNumberFormat="0" applyFont="0" applyBorder="0" applyAlignment="0" applyProtection="0">
      <alignment horizontal="right" vertical="center"/>
    </xf>
    <xf numFmtId="0" fontId="34" fillId="33" borderId="34"/>
    <xf numFmtId="4" fontId="34" fillId="33" borderId="34"/>
    <xf numFmtId="0" fontId="65" fillId="0" borderId="28" applyNumberFormat="0" applyFill="0" applyAlignment="0" applyProtection="0"/>
    <xf numFmtId="0" fontId="72" fillId="0" borderId="0" applyNumberForma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7" fillId="12" borderId="13" applyNumberFormat="0" applyAlignment="0" applyProtection="0"/>
    <xf numFmtId="0" fontId="34" fillId="32" borderId="0" applyBorder="0">
      <alignment horizontal="right" vertical="center"/>
    </xf>
    <xf numFmtId="0" fontId="34" fillId="32" borderId="0" applyBorder="0">
      <alignment horizontal="right" vertical="center"/>
    </xf>
    <xf numFmtId="0" fontId="34" fillId="0" borderId="0" applyBorder="0">
      <alignment horizontal="right" vertical="center"/>
    </xf>
    <xf numFmtId="0" fontId="5" fillId="0" borderId="0"/>
    <xf numFmtId="49" fontId="34" fillId="0" borderId="34" applyNumberFormat="0" applyFont="0" applyFill="0" applyBorder="0" applyProtection="0">
      <alignment horizontal="left" vertical="center" indent="2"/>
    </xf>
    <xf numFmtId="49" fontId="34" fillId="0" borderId="35" applyNumberFormat="0" applyFont="0" applyFill="0" applyBorder="0" applyProtection="0">
      <alignment horizontal="left" vertical="center" indent="5"/>
    </xf>
    <xf numFmtId="0" fontId="41" fillId="52" borderId="0" applyNumberFormat="0" applyBorder="0" applyAlignment="0" applyProtection="0"/>
    <xf numFmtId="0" fontId="41" fillId="53" borderId="0" applyNumberFormat="0" applyBorder="0" applyAlignment="0" applyProtection="0"/>
    <xf numFmtId="0" fontId="41" fillId="54" borderId="0" applyNumberFormat="0" applyBorder="0" applyAlignment="0" applyProtection="0"/>
    <xf numFmtId="0" fontId="41" fillId="49" borderId="0" applyNumberFormat="0" applyBorder="0" applyAlignment="0" applyProtection="0"/>
    <xf numFmtId="0" fontId="41" fillId="50" borderId="0" applyNumberFormat="0" applyBorder="0" applyAlignment="0" applyProtection="0"/>
    <xf numFmtId="0" fontId="41" fillId="55" borderId="0" applyNumberFormat="0" applyBorder="0" applyAlignment="0" applyProtection="0"/>
    <xf numFmtId="0" fontId="54" fillId="40" borderId="0" applyNumberFormat="0" applyBorder="0" applyAlignment="0" applyProtection="0"/>
    <xf numFmtId="4" fontId="5" fillId="0" borderId="0"/>
    <xf numFmtId="0" fontId="5" fillId="0" borderId="0"/>
    <xf numFmtId="0" fontId="26" fillId="0" borderId="0"/>
    <xf numFmtId="4" fontId="34" fillId="0" borderId="34" applyFill="0" applyBorder="0" applyProtection="0">
      <alignment horizontal="right" vertical="center"/>
    </xf>
    <xf numFmtId="49" fontId="33" fillId="0" borderId="34" applyNumberFormat="0" applyFill="0" applyBorder="0" applyProtection="0">
      <alignment horizontal="left" vertical="center"/>
    </xf>
    <xf numFmtId="0" fontId="5" fillId="33" borderId="0" applyNumberFormat="0" applyFont="0" applyBorder="0" applyAlignment="0" applyProtection="0"/>
    <xf numFmtId="0" fontId="63" fillId="39" borderId="0" applyNumberFormat="0" applyBorder="0" applyAlignment="0" applyProtection="0"/>
    <xf numFmtId="0" fontId="67" fillId="0" borderId="29" applyNumberFormat="0" applyFill="0" applyAlignment="0" applyProtection="0"/>
    <xf numFmtId="0" fontId="68" fillId="0" borderId="30" applyNumberFormat="0" applyFill="0" applyAlignment="0" applyProtection="0"/>
    <xf numFmtId="0" fontId="69" fillId="0" borderId="31" applyNumberFormat="0" applyFill="0" applyAlignment="0" applyProtection="0"/>
    <xf numFmtId="0" fontId="69" fillId="0" borderId="0" applyNumberFormat="0" applyFill="0" applyBorder="0" applyAlignment="0" applyProtection="0"/>
    <xf numFmtId="0" fontId="70" fillId="0" borderId="32" applyNumberFormat="0" applyFill="0" applyAlignment="0" applyProtection="0"/>
    <xf numFmtId="0" fontId="73" fillId="57" borderId="27" applyNumberFormat="0" applyAlignment="0" applyProtection="0"/>
    <xf numFmtId="0" fontId="39" fillId="0" borderId="0" applyNumberFormat="0" applyFill="0" applyBorder="0" applyAlignment="0" applyProtection="0"/>
    <xf numFmtId="0" fontId="26" fillId="0" borderId="0"/>
    <xf numFmtId="0" fontId="27" fillId="12" borderId="13" applyNumberFormat="0" applyAlignment="0" applyProtection="0"/>
    <xf numFmtId="0" fontId="37" fillId="38" borderId="0" applyNumberFormat="0" applyBorder="0" applyAlignment="0" applyProtection="0"/>
    <xf numFmtId="0" fontId="37" fillId="39" borderId="0" applyNumberFormat="0" applyBorder="0" applyAlignment="0" applyProtection="0"/>
    <xf numFmtId="0" fontId="37" fillId="40" borderId="0" applyNumberFormat="0" applyBorder="0" applyAlignment="0" applyProtection="0"/>
    <xf numFmtId="0" fontId="37" fillId="41" borderId="0" applyNumberFormat="0" applyBorder="0" applyAlignment="0" applyProtection="0"/>
    <xf numFmtId="0" fontId="37" fillId="42" borderId="0" applyNumberFormat="0" applyBorder="0" applyAlignment="0" applyProtection="0"/>
    <xf numFmtId="0" fontId="37" fillId="43" borderId="0" applyNumberFormat="0" applyBorder="0" applyAlignment="0" applyProtection="0"/>
    <xf numFmtId="0" fontId="37" fillId="44" borderId="0" applyNumberFormat="0" applyBorder="0" applyAlignment="0" applyProtection="0"/>
    <xf numFmtId="0" fontId="37" fillId="45" borderId="0" applyNumberFormat="0" applyBorder="0" applyAlignment="0" applyProtection="0"/>
    <xf numFmtId="0" fontId="37" fillId="46" borderId="0" applyNumberFormat="0" applyBorder="0" applyAlignment="0" applyProtection="0"/>
    <xf numFmtId="0" fontId="37" fillId="41" borderId="0" applyNumberFormat="0" applyBorder="0" applyAlignment="0" applyProtection="0"/>
    <xf numFmtId="0" fontId="37" fillId="44" borderId="0" applyNumberFormat="0" applyBorder="0" applyAlignment="0" applyProtection="0"/>
    <xf numFmtId="0" fontId="37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5" borderId="0" applyNumberFormat="0" applyBorder="0" applyAlignment="0" applyProtection="0"/>
    <xf numFmtId="0" fontId="41" fillId="46" borderId="0" applyNumberFormat="0" applyBorder="0" applyAlignment="0" applyProtection="0"/>
    <xf numFmtId="0" fontId="41" fillId="49" borderId="0" applyNumberFormat="0" applyBorder="0" applyAlignment="0" applyProtection="0"/>
    <xf numFmtId="0" fontId="41" fillId="50" borderId="0" applyNumberFormat="0" applyBorder="0" applyAlignment="0" applyProtection="0"/>
    <xf numFmtId="0" fontId="41" fillId="51" borderId="0" applyNumberFormat="0" applyBorder="0" applyAlignment="0" applyProtection="0"/>
    <xf numFmtId="0" fontId="43" fillId="56" borderId="25" applyNumberFormat="0" applyAlignment="0" applyProtection="0"/>
    <xf numFmtId="0" fontId="45" fillId="56" borderId="26" applyNumberFormat="0" applyAlignment="0" applyProtection="0"/>
    <xf numFmtId="0" fontId="50" fillId="0" borderId="28" applyNumberFormat="0" applyFill="0" applyAlignment="0" applyProtection="0"/>
    <xf numFmtId="0" fontId="51" fillId="0" borderId="0" applyNumberFormat="0" applyFill="0" applyBorder="0" applyAlignment="0" applyProtection="0"/>
    <xf numFmtId="0" fontId="26" fillId="0" borderId="0"/>
    <xf numFmtId="0" fontId="71" fillId="0" borderId="0" applyNumberFormat="0" applyFill="0" applyBorder="0" applyAlignment="0" applyProtection="0"/>
    <xf numFmtId="0" fontId="26" fillId="0" borderId="0"/>
    <xf numFmtId="0" fontId="26" fillId="0" borderId="0"/>
    <xf numFmtId="0" fontId="26" fillId="0" borderId="0"/>
    <xf numFmtId="49" fontId="34" fillId="0" borderId="19" applyNumberFormat="0" applyFont="0" applyFill="0" applyBorder="0" applyProtection="0">
      <alignment horizontal="left" vertical="center" indent="2"/>
    </xf>
    <xf numFmtId="49" fontId="34" fillId="0" borderId="18" applyNumberFormat="0" applyFont="0" applyFill="0" applyBorder="0" applyProtection="0">
      <alignment horizontal="left" vertical="center" indent="5"/>
    </xf>
    <xf numFmtId="0" fontId="32" fillId="32" borderId="19">
      <alignment horizontal="right" vertical="center"/>
    </xf>
    <xf numFmtId="4" fontId="32" fillId="32" borderId="19">
      <alignment horizontal="right" vertical="center"/>
    </xf>
    <xf numFmtId="0" fontId="36" fillId="32" borderId="19">
      <alignment horizontal="right" vertical="center"/>
    </xf>
    <xf numFmtId="4" fontId="36" fillId="32" borderId="19">
      <alignment horizontal="right" vertical="center"/>
    </xf>
    <xf numFmtId="0" fontId="32" fillId="34" borderId="19">
      <alignment horizontal="right" vertical="center"/>
    </xf>
    <xf numFmtId="4" fontId="32" fillId="34" borderId="19">
      <alignment horizontal="right" vertical="center"/>
    </xf>
    <xf numFmtId="0" fontId="32" fillId="34" borderId="19">
      <alignment horizontal="right" vertical="center"/>
    </xf>
    <xf numFmtId="4" fontId="32" fillId="34" borderId="19">
      <alignment horizontal="right" vertical="center"/>
    </xf>
    <xf numFmtId="0" fontId="32" fillId="34" borderId="18">
      <alignment horizontal="right" vertical="center"/>
    </xf>
    <xf numFmtId="4" fontId="32" fillId="34" borderId="18">
      <alignment horizontal="right" vertical="center"/>
    </xf>
    <xf numFmtId="0" fontId="32" fillId="34" borderId="20">
      <alignment horizontal="right" vertical="center"/>
    </xf>
    <xf numFmtId="4" fontId="32" fillId="34" borderId="20">
      <alignment horizontal="right" vertical="center"/>
    </xf>
    <xf numFmtId="172" fontId="77" fillId="0" borderId="0" applyFont="0" applyFill="0" applyBorder="0" applyAlignment="0" applyProtection="0"/>
    <xf numFmtId="0" fontId="34" fillId="34" borderId="24">
      <alignment horizontal="left" vertical="center" wrapText="1" indent="2"/>
    </xf>
    <xf numFmtId="0" fontId="34" fillId="0" borderId="24">
      <alignment horizontal="left" vertical="center" wrapText="1" indent="2"/>
    </xf>
    <xf numFmtId="0" fontId="34" fillId="32" borderId="18">
      <alignment horizontal="left" vertical="center"/>
    </xf>
    <xf numFmtId="0" fontId="49" fillId="43" borderId="26" applyNumberFormat="0" applyAlignment="0" applyProtection="0"/>
    <xf numFmtId="0" fontId="34" fillId="0" borderId="19">
      <alignment horizontal="right" vertical="center"/>
    </xf>
    <xf numFmtId="4" fontId="34" fillId="0" borderId="19">
      <alignment horizontal="right" vertical="center"/>
    </xf>
    <xf numFmtId="0" fontId="77" fillId="0" borderId="0"/>
    <xf numFmtId="0" fontId="75" fillId="0" borderId="0"/>
    <xf numFmtId="0" fontId="75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75" fillId="0" borderId="0"/>
    <xf numFmtId="0" fontId="5" fillId="0" borderId="0"/>
    <xf numFmtId="4" fontId="34" fillId="0" borderId="19" applyFill="0" applyBorder="0" applyProtection="0">
      <alignment horizontal="right" vertical="center"/>
    </xf>
    <xf numFmtId="49" fontId="33" fillId="0" borderId="19" applyNumberFormat="0" applyFill="0" applyBorder="0" applyProtection="0">
      <alignment horizontal="left" vertical="center"/>
    </xf>
    <xf numFmtId="0" fontId="34" fillId="0" borderId="19" applyNumberFormat="0" applyFill="0" applyAlignment="0" applyProtection="0"/>
    <xf numFmtId="0" fontId="77" fillId="35" borderId="0" applyNumberFormat="0" applyFont="0" applyBorder="0" applyAlignment="0" applyProtection="0"/>
    <xf numFmtId="173" fontId="34" fillId="60" borderId="19" applyNumberFormat="0" applyFont="0" applyBorder="0" applyAlignment="0" applyProtection="0">
      <alignment horizontal="right" vertical="center"/>
    </xf>
    <xf numFmtId="9" fontId="77" fillId="0" borderId="0" applyFont="0" applyFill="0" applyBorder="0" applyAlignment="0" applyProtection="0"/>
    <xf numFmtId="0" fontId="34" fillId="33" borderId="19"/>
    <xf numFmtId="4" fontId="34" fillId="33" borderId="19"/>
    <xf numFmtId="0" fontId="34" fillId="34" borderId="37">
      <alignment horizontal="left" vertical="center" wrapText="1" indent="2"/>
    </xf>
    <xf numFmtId="0" fontId="34" fillId="0" borderId="37">
      <alignment horizontal="left" vertical="center" wrapText="1" indent="2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4" fillId="34" borderId="24">
      <alignment horizontal="left" vertical="center" wrapText="1" indent="2"/>
    </xf>
    <xf numFmtId="0" fontId="34" fillId="0" borderId="24">
      <alignment horizontal="left" vertical="center" wrapText="1" indent="2"/>
    </xf>
    <xf numFmtId="0" fontId="5" fillId="0" borderId="0"/>
    <xf numFmtId="4" fontId="32" fillId="34" borderId="34">
      <alignment horizontal="right" vertical="center"/>
    </xf>
    <xf numFmtId="0" fontId="34" fillId="33" borderId="34"/>
    <xf numFmtId="0" fontId="45" fillId="56" borderId="26" applyNumberFormat="0" applyAlignment="0" applyProtection="0"/>
    <xf numFmtId="0" fontId="32" fillId="32" borderId="34">
      <alignment horizontal="right" vertical="center"/>
    </xf>
    <xf numFmtId="0" fontId="34" fillId="0" borderId="34">
      <alignment horizontal="right" vertical="center"/>
    </xf>
    <xf numFmtId="0" fontId="65" fillId="0" borderId="28" applyNumberFormat="0" applyFill="0" applyAlignment="0" applyProtection="0"/>
    <xf numFmtId="0" fontId="34" fillId="32" borderId="35">
      <alignment horizontal="left" vertical="center"/>
    </xf>
    <xf numFmtId="0" fontId="58" fillId="43" borderId="26" applyNumberFormat="0" applyAlignment="0" applyProtection="0"/>
    <xf numFmtId="173" fontId="34" fillId="60" borderId="34" applyNumberFormat="0" applyFont="0" applyBorder="0" applyAlignment="0" applyProtection="0">
      <alignment horizontal="right" vertical="center"/>
    </xf>
    <xf numFmtId="0" fontId="40" fillId="59" borderId="33" applyNumberFormat="0" applyFont="0" applyAlignment="0" applyProtection="0"/>
    <xf numFmtId="0" fontId="34" fillId="0" borderId="37">
      <alignment horizontal="left" vertical="center" wrapText="1" indent="2"/>
    </xf>
    <xf numFmtId="4" fontId="34" fillId="33" borderId="34"/>
    <xf numFmtId="49" fontId="33" fillId="0" borderId="34" applyNumberFormat="0" applyFill="0" applyBorder="0" applyProtection="0">
      <alignment horizontal="left" vertical="center"/>
    </xf>
    <xf numFmtId="0" fontId="34" fillId="0" borderId="34">
      <alignment horizontal="right" vertical="center"/>
    </xf>
    <xf numFmtId="4" fontId="32" fillId="34" borderId="36">
      <alignment horizontal="right" vertical="center"/>
    </xf>
    <xf numFmtId="4" fontId="32" fillId="34" borderId="34">
      <alignment horizontal="right" vertical="center"/>
    </xf>
    <xf numFmtId="4" fontId="32" fillId="34" borderId="34">
      <alignment horizontal="right" vertical="center"/>
    </xf>
    <xf numFmtId="0" fontId="36" fillId="32" borderId="34">
      <alignment horizontal="right" vertical="center"/>
    </xf>
    <xf numFmtId="0" fontId="32" fillId="32" borderId="34">
      <alignment horizontal="right" vertical="center"/>
    </xf>
    <xf numFmtId="49" fontId="34" fillId="0" borderId="34" applyNumberFormat="0" applyFont="0" applyFill="0" applyBorder="0" applyProtection="0">
      <alignment horizontal="left" vertical="center" indent="2"/>
    </xf>
    <xf numFmtId="0" fontId="58" fillId="43" borderId="26" applyNumberFormat="0" applyAlignment="0" applyProtection="0"/>
    <xf numFmtId="0" fontId="43" fillId="56" borderId="25" applyNumberFormat="0" applyAlignment="0" applyProtection="0"/>
    <xf numFmtId="49" fontId="34" fillId="0" borderId="34" applyNumberFormat="0" applyFont="0" applyFill="0" applyBorder="0" applyProtection="0">
      <alignment horizontal="left" vertical="center" indent="2"/>
    </xf>
    <xf numFmtId="0" fontId="49" fillId="43" borderId="26" applyNumberFormat="0" applyAlignment="0" applyProtection="0"/>
    <xf numFmtId="4" fontId="34" fillId="0" borderId="34" applyFill="0" applyBorder="0" applyProtection="0">
      <alignment horizontal="right" vertical="center"/>
    </xf>
    <xf numFmtId="0" fontId="46" fillId="56" borderId="26" applyNumberFormat="0" applyAlignment="0" applyProtection="0"/>
    <xf numFmtId="0" fontId="65" fillId="0" borderId="28" applyNumberFormat="0" applyFill="0" applyAlignment="0" applyProtection="0"/>
    <xf numFmtId="0" fontId="62" fillId="56" borderId="25" applyNumberFormat="0" applyAlignment="0" applyProtection="0"/>
    <xf numFmtId="0" fontId="34" fillId="0" borderId="34" applyNumberFormat="0" applyFill="0" applyAlignment="0" applyProtection="0"/>
    <xf numFmtId="4" fontId="34" fillId="0" borderId="34">
      <alignment horizontal="right" vertical="center"/>
    </xf>
    <xf numFmtId="0" fontId="34" fillId="0" borderId="34">
      <alignment horizontal="right" vertical="center"/>
    </xf>
    <xf numFmtId="0" fontId="58" fillId="43" borderId="26" applyNumberFormat="0" applyAlignment="0" applyProtection="0"/>
    <xf numFmtId="0" fontId="43" fillId="56" borderId="25" applyNumberFormat="0" applyAlignment="0" applyProtection="0"/>
    <xf numFmtId="0" fontId="45" fillId="56" borderId="26" applyNumberFormat="0" applyAlignment="0" applyProtection="0"/>
    <xf numFmtId="0" fontId="34" fillId="34" borderId="37">
      <alignment horizontal="left" vertical="center" wrapText="1" indent="2"/>
    </xf>
    <xf numFmtId="0" fontId="46" fillId="56" borderId="26" applyNumberFormat="0" applyAlignment="0" applyProtection="0"/>
    <xf numFmtId="0" fontId="46" fillId="56" borderId="26" applyNumberFormat="0" applyAlignment="0" applyProtection="0"/>
    <xf numFmtId="4" fontId="32" fillId="34" borderId="35">
      <alignment horizontal="right" vertical="center"/>
    </xf>
    <xf numFmtId="0" fontId="32" fillId="34" borderId="35">
      <alignment horizontal="right" vertical="center"/>
    </xf>
    <xf numFmtId="0" fontId="32" fillId="34" borderId="34">
      <alignment horizontal="right" vertical="center"/>
    </xf>
    <xf numFmtId="4" fontId="36" fillId="32" borderId="34">
      <alignment horizontal="right" vertical="center"/>
    </xf>
    <xf numFmtId="0" fontId="49" fillId="43" borderId="26" applyNumberFormat="0" applyAlignment="0" applyProtection="0"/>
    <xf numFmtId="0" fontId="50" fillId="0" borderId="28" applyNumberFormat="0" applyFill="0" applyAlignment="0" applyProtection="0"/>
    <xf numFmtId="0" fontId="65" fillId="0" borderId="28" applyNumberFormat="0" applyFill="0" applyAlignment="0" applyProtection="0"/>
    <xf numFmtId="0" fontId="40" fillId="59" borderId="33" applyNumberFormat="0" applyFont="0" applyAlignment="0" applyProtection="0"/>
    <xf numFmtId="0" fontId="58" fillId="43" borderId="26" applyNumberFormat="0" applyAlignment="0" applyProtection="0"/>
    <xf numFmtId="49" fontId="33" fillId="0" borderId="34" applyNumberFormat="0" applyFill="0" applyBorder="0" applyProtection="0">
      <alignment horizontal="left" vertical="center"/>
    </xf>
    <xf numFmtId="0" fontId="34" fillId="34" borderId="37">
      <alignment horizontal="left" vertical="center" wrapText="1" indent="2"/>
    </xf>
    <xf numFmtId="0" fontId="46" fillId="56" borderId="26" applyNumberFormat="0" applyAlignment="0" applyProtection="0"/>
    <xf numFmtId="0" fontId="34" fillId="0" borderId="37">
      <alignment horizontal="left" vertical="center" wrapText="1" indent="2"/>
    </xf>
    <xf numFmtId="0" fontId="40" fillId="59" borderId="33" applyNumberFormat="0" applyFont="0" applyAlignment="0" applyProtection="0"/>
    <xf numFmtId="0" fontId="5" fillId="59" borderId="33" applyNumberFormat="0" applyFont="0" applyAlignment="0" applyProtection="0"/>
    <xf numFmtId="0" fontId="62" fillId="56" borderId="25" applyNumberFormat="0" applyAlignment="0" applyProtection="0"/>
    <xf numFmtId="0" fontId="65" fillId="0" borderId="28" applyNumberFormat="0" applyFill="0" applyAlignment="0" applyProtection="0"/>
    <xf numFmtId="4" fontId="34" fillId="33" borderId="34"/>
    <xf numFmtId="0" fontId="32" fillId="34" borderId="34">
      <alignment horizontal="right" vertical="center"/>
    </xf>
    <xf numFmtId="0" fontId="65" fillId="0" borderId="28" applyNumberFormat="0" applyFill="0" applyAlignment="0" applyProtection="0"/>
    <xf numFmtId="4" fontId="32" fillId="34" borderId="36">
      <alignment horizontal="right" vertical="center"/>
    </xf>
    <xf numFmtId="0" fontId="45" fillId="56" borderId="26" applyNumberFormat="0" applyAlignment="0" applyProtection="0"/>
    <xf numFmtId="0" fontId="32" fillId="34" borderId="35">
      <alignment horizontal="right" vertical="center"/>
    </xf>
    <xf numFmtId="0" fontId="46" fillId="56" borderId="26" applyNumberFormat="0" applyAlignment="0" applyProtection="0"/>
    <xf numFmtId="0" fontId="50" fillId="0" borderId="28" applyNumberFormat="0" applyFill="0" applyAlignment="0" applyProtection="0"/>
    <xf numFmtId="0" fontId="40" fillId="59" borderId="33" applyNumberFormat="0" applyFont="0" applyAlignment="0" applyProtection="0"/>
    <xf numFmtId="4" fontId="32" fillId="34" borderId="35">
      <alignment horizontal="right" vertical="center"/>
    </xf>
    <xf numFmtId="0" fontId="34" fillId="34" borderId="37">
      <alignment horizontal="left" vertical="center" wrapText="1" indent="2"/>
    </xf>
    <xf numFmtId="0" fontId="34" fillId="33" borderId="34"/>
    <xf numFmtId="173" fontId="34" fillId="60" borderId="34" applyNumberFormat="0" applyFont="0" applyBorder="0" applyAlignment="0" applyProtection="0">
      <alignment horizontal="right" vertical="center"/>
    </xf>
    <xf numFmtId="0" fontId="34" fillId="0" borderId="34" applyNumberFormat="0" applyFill="0" applyAlignment="0" applyProtection="0"/>
    <xf numFmtId="4" fontId="34" fillId="0" borderId="34" applyFill="0" applyBorder="0" applyProtection="0">
      <alignment horizontal="right" vertical="center"/>
    </xf>
    <xf numFmtId="4" fontId="32" fillId="32" borderId="34">
      <alignment horizontal="right" vertical="center"/>
    </xf>
    <xf numFmtId="0" fontId="50" fillId="0" borderId="28" applyNumberFormat="0" applyFill="0" applyAlignment="0" applyProtection="0"/>
    <xf numFmtId="49" fontId="33" fillId="0" borderId="34" applyNumberFormat="0" applyFill="0" applyBorder="0" applyProtection="0">
      <alignment horizontal="left" vertical="center"/>
    </xf>
    <xf numFmtId="49" fontId="34" fillId="0" borderId="35" applyNumberFormat="0" applyFont="0" applyFill="0" applyBorder="0" applyProtection="0">
      <alignment horizontal="left" vertical="center" indent="5"/>
    </xf>
    <xf numFmtId="0" fontId="34" fillId="32" borderId="35">
      <alignment horizontal="left" vertical="center"/>
    </xf>
    <xf numFmtId="0" fontId="46" fillId="56" borderId="26" applyNumberFormat="0" applyAlignment="0" applyProtection="0"/>
    <xf numFmtId="4" fontId="32" fillId="34" borderId="36">
      <alignment horizontal="right" vertical="center"/>
    </xf>
    <xf numFmtId="0" fontId="58" fillId="43" borderId="26" applyNumberFormat="0" applyAlignment="0" applyProtection="0"/>
    <xf numFmtId="0" fontId="58" fillId="43" borderId="26" applyNumberFormat="0" applyAlignment="0" applyProtection="0"/>
    <xf numFmtId="0" fontId="40" fillId="59" borderId="33" applyNumberFormat="0" applyFont="0" applyAlignment="0" applyProtection="0"/>
    <xf numFmtId="0" fontId="62" fillId="56" borderId="25" applyNumberFormat="0" applyAlignment="0" applyProtection="0"/>
    <xf numFmtId="0" fontId="65" fillId="0" borderId="28" applyNumberFormat="0" applyFill="0" applyAlignment="0" applyProtection="0"/>
    <xf numFmtId="0" fontId="32" fillId="34" borderId="34">
      <alignment horizontal="right" vertical="center"/>
    </xf>
    <xf numFmtId="0" fontId="5" fillId="59" borderId="33" applyNumberFormat="0" applyFont="0" applyAlignment="0" applyProtection="0"/>
    <xf numFmtId="4" fontId="34" fillId="0" borderId="34">
      <alignment horizontal="right" vertical="center"/>
    </xf>
    <xf numFmtId="0" fontId="65" fillId="0" borderId="28" applyNumberFormat="0" applyFill="0" applyAlignment="0" applyProtection="0"/>
    <xf numFmtId="0" fontId="32" fillId="34" borderId="34">
      <alignment horizontal="right" vertical="center"/>
    </xf>
    <xf numFmtId="0" fontId="32" fillId="34" borderId="34">
      <alignment horizontal="right" vertical="center"/>
    </xf>
    <xf numFmtId="4" fontId="36" fillId="32" borderId="34">
      <alignment horizontal="right" vertical="center"/>
    </xf>
    <xf numFmtId="0" fontId="32" fillId="32" borderId="34">
      <alignment horizontal="right" vertical="center"/>
    </xf>
    <xf numFmtId="4" fontId="32" fillId="32" borderId="34">
      <alignment horizontal="right" vertical="center"/>
    </xf>
    <xf numFmtId="0" fontId="36" fillId="32" borderId="34">
      <alignment horizontal="right" vertical="center"/>
    </xf>
    <xf numFmtId="4" fontId="36" fillId="32" borderId="34">
      <alignment horizontal="right" vertical="center"/>
    </xf>
    <xf numFmtId="0" fontId="32" fillId="34" borderId="34">
      <alignment horizontal="right" vertical="center"/>
    </xf>
    <xf numFmtId="4" fontId="32" fillId="34" borderId="34">
      <alignment horizontal="right" vertical="center"/>
    </xf>
    <xf numFmtId="0" fontId="32" fillId="34" borderId="34">
      <alignment horizontal="right" vertical="center"/>
    </xf>
    <xf numFmtId="4" fontId="32" fillId="34" borderId="34">
      <alignment horizontal="right" vertical="center"/>
    </xf>
    <xf numFmtId="0" fontId="32" fillId="34" borderId="35">
      <alignment horizontal="right" vertical="center"/>
    </xf>
    <xf numFmtId="4" fontId="32" fillId="34" borderId="35">
      <alignment horizontal="right" vertical="center"/>
    </xf>
    <xf numFmtId="0" fontId="32" fillId="34" borderId="36">
      <alignment horizontal="right" vertical="center"/>
    </xf>
    <xf numFmtId="4" fontId="32" fillId="34" borderId="36">
      <alignment horizontal="right" vertical="center"/>
    </xf>
    <xf numFmtId="0" fontId="46" fillId="56" borderId="26" applyNumberFormat="0" applyAlignment="0" applyProtection="0"/>
    <xf numFmtId="0" fontId="34" fillId="34" borderId="37">
      <alignment horizontal="left" vertical="center" wrapText="1" indent="2"/>
    </xf>
    <xf numFmtId="0" fontId="34" fillId="0" borderId="37">
      <alignment horizontal="left" vertical="center" wrapText="1" indent="2"/>
    </xf>
    <xf numFmtId="0" fontId="34" fillId="32" borderId="35">
      <alignment horizontal="left" vertical="center"/>
    </xf>
    <xf numFmtId="0" fontId="58" fillId="43" borderId="26" applyNumberFormat="0" applyAlignment="0" applyProtection="0"/>
    <xf numFmtId="0" fontId="34" fillId="0" borderId="34">
      <alignment horizontal="right" vertical="center"/>
    </xf>
    <xf numFmtId="4" fontId="34" fillId="0" borderId="34">
      <alignment horizontal="right" vertical="center"/>
    </xf>
    <xf numFmtId="0" fontId="34" fillId="0" borderId="34" applyNumberFormat="0" applyFill="0" applyAlignment="0" applyProtection="0"/>
    <xf numFmtId="0" fontId="62" fillId="56" borderId="25" applyNumberFormat="0" applyAlignment="0" applyProtection="0"/>
    <xf numFmtId="173" fontId="34" fillId="60" borderId="34" applyNumberFormat="0" applyFont="0" applyBorder="0" applyAlignment="0" applyProtection="0">
      <alignment horizontal="right" vertical="center"/>
    </xf>
    <xf numFmtId="0" fontId="34" fillId="33" borderId="34"/>
    <xf numFmtId="4" fontId="34" fillId="33" borderId="34"/>
    <xf numFmtId="0" fontId="65" fillId="0" borderId="28" applyNumberFormat="0" applyFill="0" applyAlignment="0" applyProtection="0"/>
    <xf numFmtId="0" fontId="5" fillId="59" borderId="33" applyNumberFormat="0" applyFont="0" applyAlignment="0" applyProtection="0"/>
    <xf numFmtId="0" fontId="40" fillId="59" borderId="33" applyNumberFormat="0" applyFont="0" applyAlignment="0" applyProtection="0"/>
    <xf numFmtId="0" fontId="34" fillId="0" borderId="34" applyNumberFormat="0" applyFill="0" applyAlignment="0" applyProtection="0"/>
    <xf numFmtId="0" fontId="50" fillId="0" borderId="28" applyNumberFormat="0" applyFill="0" applyAlignment="0" applyProtection="0"/>
    <xf numFmtId="0" fontId="65" fillId="0" borderId="28" applyNumberFormat="0" applyFill="0" applyAlignment="0" applyProtection="0"/>
    <xf numFmtId="0" fontId="49" fillId="43" borderId="26" applyNumberFormat="0" applyAlignment="0" applyProtection="0"/>
    <xf numFmtId="0" fontId="46" fillId="56" borderId="26" applyNumberFormat="0" applyAlignment="0" applyProtection="0"/>
    <xf numFmtId="4" fontId="36" fillId="32" borderId="34">
      <alignment horizontal="right" vertical="center"/>
    </xf>
    <xf numFmtId="0" fontId="32" fillId="32" borderId="34">
      <alignment horizontal="right" vertical="center"/>
    </xf>
    <xf numFmtId="173" fontId="34" fillId="60" borderId="34" applyNumberFormat="0" applyFont="0" applyBorder="0" applyAlignment="0" applyProtection="0">
      <alignment horizontal="right" vertical="center"/>
    </xf>
    <xf numFmtId="0" fontId="50" fillId="0" borderId="28" applyNumberFormat="0" applyFill="0" applyAlignment="0" applyProtection="0"/>
    <xf numFmtId="49" fontId="34" fillId="0" borderId="34" applyNumberFormat="0" applyFont="0" applyFill="0" applyBorder="0" applyProtection="0">
      <alignment horizontal="left" vertical="center" indent="2"/>
    </xf>
    <xf numFmtId="49" fontId="34" fillId="0" borderId="35" applyNumberFormat="0" applyFont="0" applyFill="0" applyBorder="0" applyProtection="0">
      <alignment horizontal="left" vertical="center" indent="5"/>
    </xf>
    <xf numFmtId="49" fontId="34" fillId="0" borderId="34" applyNumberFormat="0" applyFont="0" applyFill="0" applyBorder="0" applyProtection="0">
      <alignment horizontal="left" vertical="center" indent="2"/>
    </xf>
    <xf numFmtId="4" fontId="34" fillId="0" borderId="34" applyFill="0" applyBorder="0" applyProtection="0">
      <alignment horizontal="right" vertical="center"/>
    </xf>
    <xf numFmtId="49" fontId="33" fillId="0" borderId="34" applyNumberFormat="0" applyFill="0" applyBorder="0" applyProtection="0">
      <alignment horizontal="left" vertical="center"/>
    </xf>
    <xf numFmtId="0" fontId="34" fillId="0" borderId="37">
      <alignment horizontal="left" vertical="center" wrapText="1" indent="2"/>
    </xf>
    <xf numFmtId="0" fontId="62" fillId="56" borderId="25" applyNumberFormat="0" applyAlignment="0" applyProtection="0"/>
    <xf numFmtId="0" fontId="32" fillId="34" borderId="36">
      <alignment horizontal="right" vertical="center"/>
    </xf>
    <xf numFmtId="0" fontId="49" fillId="43" borderId="26" applyNumberFormat="0" applyAlignment="0" applyProtection="0"/>
    <xf numFmtId="0" fontId="32" fillId="34" borderId="36">
      <alignment horizontal="right" vertical="center"/>
    </xf>
    <xf numFmtId="4" fontId="32" fillId="34" borderId="34">
      <alignment horizontal="right" vertical="center"/>
    </xf>
    <xf numFmtId="0" fontId="32" fillId="34" borderId="34">
      <alignment horizontal="right" vertical="center"/>
    </xf>
    <xf numFmtId="0" fontId="43" fillId="56" borderId="25" applyNumberFormat="0" applyAlignment="0" applyProtection="0"/>
    <xf numFmtId="0" fontId="45" fillId="56" borderId="26" applyNumberFormat="0" applyAlignment="0" applyProtection="0"/>
    <xf numFmtId="0" fontId="50" fillId="0" borderId="28" applyNumberFormat="0" applyFill="0" applyAlignment="0" applyProtection="0"/>
    <xf numFmtId="0" fontId="34" fillId="33" borderId="34"/>
    <xf numFmtId="4" fontId="34" fillId="33" borderId="34"/>
    <xf numFmtId="4" fontId="32" fillId="34" borderId="34">
      <alignment horizontal="right" vertical="center"/>
    </xf>
    <xf numFmtId="0" fontId="36" fillId="32" borderId="34">
      <alignment horizontal="right" vertical="center"/>
    </xf>
    <xf numFmtId="0" fontId="49" fillId="43" borderId="26" applyNumberFormat="0" applyAlignment="0" applyProtection="0"/>
    <xf numFmtId="0" fontId="46" fillId="56" borderId="26" applyNumberFormat="0" applyAlignment="0" applyProtection="0"/>
    <xf numFmtId="4" fontId="34" fillId="0" borderId="34">
      <alignment horizontal="right" vertical="center"/>
    </xf>
    <xf numFmtId="0" fontId="34" fillId="34" borderId="37">
      <alignment horizontal="left" vertical="center" wrapText="1" indent="2"/>
    </xf>
    <xf numFmtId="0" fontId="34" fillId="0" borderId="37">
      <alignment horizontal="left" vertical="center" wrapText="1" indent="2"/>
    </xf>
    <xf numFmtId="0" fontId="62" fillId="56" borderId="25" applyNumberFormat="0" applyAlignment="0" applyProtection="0"/>
    <xf numFmtId="0" fontId="58" fillId="43" borderId="26" applyNumberFormat="0" applyAlignment="0" applyProtection="0"/>
    <xf numFmtId="0" fontId="45" fillId="56" borderId="26" applyNumberFormat="0" applyAlignment="0" applyProtection="0"/>
    <xf numFmtId="0" fontId="43" fillId="56" borderId="25" applyNumberFormat="0" applyAlignment="0" applyProtection="0"/>
    <xf numFmtId="0" fontId="32" fillId="34" borderId="36">
      <alignment horizontal="right" vertical="center"/>
    </xf>
    <xf numFmtId="0" fontId="36" fillId="32" borderId="34">
      <alignment horizontal="right" vertical="center"/>
    </xf>
    <xf numFmtId="4" fontId="32" fillId="32" borderId="34">
      <alignment horizontal="right" vertical="center"/>
    </xf>
    <xf numFmtId="4" fontId="32" fillId="34" borderId="34">
      <alignment horizontal="right" vertical="center"/>
    </xf>
    <xf numFmtId="49" fontId="34" fillId="0" borderId="35" applyNumberFormat="0" applyFont="0" applyFill="0" applyBorder="0" applyProtection="0">
      <alignment horizontal="left" vertical="center" indent="5"/>
    </xf>
    <xf numFmtId="4" fontId="34" fillId="0" borderId="34" applyFill="0" applyBorder="0" applyProtection="0">
      <alignment horizontal="right" vertical="center"/>
    </xf>
    <xf numFmtId="4" fontId="32" fillId="32" borderId="34">
      <alignment horizontal="right" vertical="center"/>
    </xf>
    <xf numFmtId="0" fontId="5" fillId="0" borderId="0"/>
    <xf numFmtId="0" fontId="58" fillId="43" borderId="26" applyNumberFormat="0" applyAlignment="0" applyProtection="0"/>
    <xf numFmtId="0" fontId="49" fillId="43" borderId="26" applyNumberFormat="0" applyAlignment="0" applyProtection="0"/>
    <xf numFmtId="0" fontId="45" fillId="56" borderId="26" applyNumberFormat="0" applyAlignment="0" applyProtection="0"/>
    <xf numFmtId="0" fontId="34" fillId="34" borderId="37">
      <alignment horizontal="left" vertical="center" wrapText="1" indent="2"/>
    </xf>
    <xf numFmtId="0" fontId="34" fillId="0" borderId="37">
      <alignment horizontal="left" vertical="center" wrapText="1" indent="2"/>
    </xf>
    <xf numFmtId="0" fontId="34" fillId="34" borderId="37">
      <alignment horizontal="left" vertical="center" wrapText="1" indent="2"/>
    </xf>
    <xf numFmtId="0" fontId="34" fillId="0" borderId="37">
      <alignment horizontal="left" vertical="center" wrapText="1" indent="2"/>
    </xf>
    <xf numFmtId="0" fontId="43" fillId="56" borderId="25" applyNumberFormat="0" applyAlignment="0" applyProtection="0"/>
    <xf numFmtId="0" fontId="45" fillId="56" borderId="26" applyNumberFormat="0" applyAlignment="0" applyProtection="0"/>
    <xf numFmtId="0" fontId="46" fillId="56" borderId="26" applyNumberFormat="0" applyAlignment="0" applyProtection="0"/>
    <xf numFmtId="0" fontId="49" fillId="43" borderId="26" applyNumberFormat="0" applyAlignment="0" applyProtection="0"/>
    <xf numFmtId="0" fontId="50" fillId="0" borderId="28" applyNumberFormat="0" applyFill="0" applyAlignment="0" applyProtection="0"/>
    <xf numFmtId="0" fontId="58" fillId="43" borderId="26" applyNumberFormat="0" applyAlignment="0" applyProtection="0"/>
    <xf numFmtId="0" fontId="40" fillId="59" borderId="33" applyNumberFormat="0" applyFont="0" applyAlignment="0" applyProtection="0"/>
    <xf numFmtId="0" fontId="5" fillId="59" borderId="33" applyNumberFormat="0" applyFont="0" applyAlignment="0" applyProtection="0"/>
    <xf numFmtId="0" fontId="62" fillId="56" borderId="25" applyNumberFormat="0" applyAlignment="0" applyProtection="0"/>
    <xf numFmtId="0" fontId="65" fillId="0" borderId="28" applyNumberFormat="0" applyFill="0" applyAlignment="0" applyProtection="0"/>
    <xf numFmtId="0" fontId="46" fillId="56" borderId="26" applyNumberFormat="0" applyAlignment="0" applyProtection="0"/>
    <xf numFmtId="0" fontId="58" fillId="43" borderId="26" applyNumberFormat="0" applyAlignment="0" applyProtection="0"/>
    <xf numFmtId="0" fontId="40" fillId="59" borderId="33" applyNumberFormat="0" applyFont="0" applyAlignment="0" applyProtection="0"/>
    <xf numFmtId="0" fontId="62" fillId="56" borderId="25" applyNumberFormat="0" applyAlignment="0" applyProtection="0"/>
    <xf numFmtId="0" fontId="65" fillId="0" borderId="28" applyNumberFormat="0" applyFill="0" applyAlignment="0" applyProtection="0"/>
    <xf numFmtId="0" fontId="32" fillId="34" borderId="18">
      <alignment horizontal="right" vertical="center"/>
    </xf>
    <xf numFmtId="4" fontId="32" fillId="34" borderId="18">
      <alignment horizontal="right" vertical="center"/>
    </xf>
    <xf numFmtId="0" fontId="32" fillId="34" borderId="20">
      <alignment horizontal="right" vertical="center"/>
    </xf>
    <xf numFmtId="4" fontId="32" fillId="34" borderId="20">
      <alignment horizontal="right" vertical="center"/>
    </xf>
    <xf numFmtId="0" fontId="46" fillId="56" borderId="26" applyNumberFormat="0" applyAlignment="0" applyProtection="0"/>
    <xf numFmtId="0" fontId="34" fillId="34" borderId="24">
      <alignment horizontal="left" vertical="center" wrapText="1" indent="2"/>
    </xf>
    <xf numFmtId="0" fontId="34" fillId="0" borderId="24">
      <alignment horizontal="left" vertical="center" wrapText="1" indent="2"/>
    </xf>
    <xf numFmtId="0" fontId="34" fillId="32" borderId="18">
      <alignment horizontal="left" vertical="center"/>
    </xf>
    <xf numFmtId="0" fontId="58" fillId="43" borderId="26" applyNumberFormat="0" applyAlignment="0" applyProtection="0"/>
    <xf numFmtId="0" fontId="62" fillId="56" borderId="25" applyNumberFormat="0" applyAlignment="0" applyProtection="0"/>
    <xf numFmtId="0" fontId="65" fillId="0" borderId="28" applyNumberFormat="0" applyFill="0" applyAlignment="0" applyProtection="0"/>
    <xf numFmtId="49" fontId="34" fillId="0" borderId="18" applyNumberFormat="0" applyFont="0" applyFill="0" applyBorder="0" applyProtection="0">
      <alignment horizontal="left" vertical="center" indent="5"/>
    </xf>
    <xf numFmtId="0" fontId="43" fillId="56" borderId="25" applyNumberFormat="0" applyAlignment="0" applyProtection="0"/>
    <xf numFmtId="0" fontId="45" fillId="56" borderId="26" applyNumberFormat="0" applyAlignment="0" applyProtection="0"/>
    <xf numFmtId="0" fontId="50" fillId="0" borderId="28" applyNumberFormat="0" applyFill="0" applyAlignment="0" applyProtection="0"/>
    <xf numFmtId="49" fontId="34" fillId="0" borderId="34" applyNumberFormat="0" applyFont="0" applyFill="0" applyBorder="0" applyProtection="0">
      <alignment horizontal="left" vertical="center" indent="2"/>
    </xf>
    <xf numFmtId="0" fontId="32" fillId="32" borderId="34">
      <alignment horizontal="right" vertical="center"/>
    </xf>
    <xf numFmtId="4" fontId="32" fillId="32" borderId="34">
      <alignment horizontal="right" vertical="center"/>
    </xf>
    <xf numFmtId="0" fontId="36" fillId="32" borderId="34">
      <alignment horizontal="right" vertical="center"/>
    </xf>
    <xf numFmtId="4" fontId="36" fillId="32" borderId="34">
      <alignment horizontal="right" vertical="center"/>
    </xf>
    <xf numFmtId="0" fontId="32" fillId="34" borderId="34">
      <alignment horizontal="right" vertical="center"/>
    </xf>
    <xf numFmtId="4" fontId="32" fillId="34" borderId="34">
      <alignment horizontal="right" vertical="center"/>
    </xf>
    <xf numFmtId="0" fontId="32" fillId="34" borderId="34">
      <alignment horizontal="right" vertical="center"/>
    </xf>
    <xf numFmtId="4" fontId="32" fillId="34" borderId="34">
      <alignment horizontal="right" vertical="center"/>
    </xf>
    <xf numFmtId="0" fontId="49" fillId="43" borderId="26" applyNumberFormat="0" applyAlignment="0" applyProtection="0"/>
    <xf numFmtId="0" fontId="34" fillId="0" borderId="34">
      <alignment horizontal="right" vertical="center"/>
    </xf>
    <xf numFmtId="4" fontId="34" fillId="0" borderId="34">
      <alignment horizontal="right" vertical="center"/>
    </xf>
    <xf numFmtId="4" fontId="34" fillId="0" borderId="34" applyFill="0" applyBorder="0" applyProtection="0">
      <alignment horizontal="right" vertical="center"/>
    </xf>
    <xf numFmtId="49" fontId="33" fillId="0" borderId="34" applyNumberFormat="0" applyFill="0" applyBorder="0" applyProtection="0">
      <alignment horizontal="left" vertical="center"/>
    </xf>
    <xf numFmtId="0" fontId="34" fillId="0" borderId="34" applyNumberFormat="0" applyFill="0" applyAlignment="0" applyProtection="0"/>
    <xf numFmtId="173" fontId="34" fillId="60" borderId="34" applyNumberFormat="0" applyFont="0" applyBorder="0" applyAlignment="0" applyProtection="0">
      <alignment horizontal="right" vertical="center"/>
    </xf>
    <xf numFmtId="0" fontId="34" fillId="33" borderId="34"/>
    <xf numFmtId="4" fontId="34" fillId="33" borderId="34"/>
    <xf numFmtId="4" fontId="32" fillId="34" borderId="34">
      <alignment horizontal="right" vertical="center"/>
    </xf>
    <xf numFmtId="0" fontId="34" fillId="33" borderId="34"/>
    <xf numFmtId="0" fontId="45" fillId="56" borderId="26" applyNumberFormat="0" applyAlignment="0" applyProtection="0"/>
    <xf numFmtId="0" fontId="32" fillId="32" borderId="34">
      <alignment horizontal="right" vertical="center"/>
    </xf>
    <xf numFmtId="0" fontId="34" fillId="0" borderId="34">
      <alignment horizontal="right" vertical="center"/>
    </xf>
    <xf numFmtId="0" fontId="65" fillId="0" borderId="28" applyNumberFormat="0" applyFill="0" applyAlignment="0" applyProtection="0"/>
    <xf numFmtId="0" fontId="34" fillId="32" borderId="35">
      <alignment horizontal="left" vertical="center"/>
    </xf>
    <xf numFmtId="0" fontId="58" fillId="43" borderId="26" applyNumberFormat="0" applyAlignment="0" applyProtection="0"/>
    <xf numFmtId="173" fontId="34" fillId="60" borderId="34" applyNumberFormat="0" applyFont="0" applyBorder="0" applyAlignment="0" applyProtection="0">
      <alignment horizontal="right" vertical="center"/>
    </xf>
    <xf numFmtId="0" fontId="40" fillId="59" borderId="33" applyNumberFormat="0" applyFont="0" applyAlignment="0" applyProtection="0"/>
    <xf numFmtId="0" fontId="34" fillId="0" borderId="37">
      <alignment horizontal="left" vertical="center" wrapText="1" indent="2"/>
    </xf>
    <xf numFmtId="4" fontId="34" fillId="33" borderId="34"/>
    <xf numFmtId="49" fontId="33" fillId="0" borderId="34" applyNumberFormat="0" applyFill="0" applyBorder="0" applyProtection="0">
      <alignment horizontal="left" vertical="center"/>
    </xf>
    <xf numFmtId="0" fontId="34" fillId="0" borderId="34">
      <alignment horizontal="right" vertical="center"/>
    </xf>
    <xf numFmtId="4" fontId="32" fillId="34" borderId="36">
      <alignment horizontal="right" vertical="center"/>
    </xf>
    <xf numFmtId="4" fontId="32" fillId="34" borderId="34">
      <alignment horizontal="right" vertical="center"/>
    </xf>
    <xf numFmtId="4" fontId="32" fillId="34" borderId="34">
      <alignment horizontal="right" vertical="center"/>
    </xf>
    <xf numFmtId="0" fontId="36" fillId="32" borderId="34">
      <alignment horizontal="right" vertical="center"/>
    </xf>
    <xf numFmtId="0" fontId="32" fillId="32" borderId="34">
      <alignment horizontal="right" vertical="center"/>
    </xf>
    <xf numFmtId="49" fontId="34" fillId="0" borderId="34" applyNumberFormat="0" applyFont="0" applyFill="0" applyBorder="0" applyProtection="0">
      <alignment horizontal="left" vertical="center" indent="2"/>
    </xf>
    <xf numFmtId="0" fontId="58" fillId="43" borderId="26" applyNumberFormat="0" applyAlignment="0" applyProtection="0"/>
    <xf numFmtId="0" fontId="43" fillId="56" borderId="25" applyNumberFormat="0" applyAlignment="0" applyProtection="0"/>
    <xf numFmtId="49" fontId="34" fillId="0" borderId="34" applyNumberFormat="0" applyFont="0" applyFill="0" applyBorder="0" applyProtection="0">
      <alignment horizontal="left" vertical="center" indent="2"/>
    </xf>
    <xf numFmtId="0" fontId="49" fillId="43" borderId="26" applyNumberFormat="0" applyAlignment="0" applyProtection="0"/>
    <xf numFmtId="4" fontId="34" fillId="0" borderId="34" applyFill="0" applyBorder="0" applyProtection="0">
      <alignment horizontal="right" vertical="center"/>
    </xf>
    <xf numFmtId="0" fontId="46" fillId="56" borderId="26" applyNumberFormat="0" applyAlignment="0" applyProtection="0"/>
    <xf numFmtId="0" fontId="65" fillId="0" borderId="28" applyNumberFormat="0" applyFill="0" applyAlignment="0" applyProtection="0"/>
    <xf numFmtId="0" fontId="62" fillId="56" borderId="25" applyNumberFormat="0" applyAlignment="0" applyProtection="0"/>
    <xf numFmtId="0" fontId="34" fillId="0" borderId="34" applyNumberFormat="0" applyFill="0" applyAlignment="0" applyProtection="0"/>
    <xf numFmtId="4" fontId="34" fillId="0" borderId="34">
      <alignment horizontal="right" vertical="center"/>
    </xf>
    <xf numFmtId="0" fontId="34" fillId="0" borderId="34">
      <alignment horizontal="right" vertical="center"/>
    </xf>
    <xf numFmtId="0" fontId="58" fillId="43" borderId="26" applyNumberFormat="0" applyAlignment="0" applyProtection="0"/>
    <xf numFmtId="0" fontId="43" fillId="56" borderId="25" applyNumberFormat="0" applyAlignment="0" applyProtection="0"/>
    <xf numFmtId="0" fontId="45" fillId="56" borderId="26" applyNumberFormat="0" applyAlignment="0" applyProtection="0"/>
    <xf numFmtId="0" fontId="34" fillId="34" borderId="37">
      <alignment horizontal="left" vertical="center" wrapText="1" indent="2"/>
    </xf>
    <xf numFmtId="0" fontId="46" fillId="56" borderId="26" applyNumberFormat="0" applyAlignment="0" applyProtection="0"/>
    <xf numFmtId="0" fontId="46" fillId="56" borderId="26" applyNumberFormat="0" applyAlignment="0" applyProtection="0"/>
    <xf numFmtId="4" fontId="32" fillId="34" borderId="35">
      <alignment horizontal="right" vertical="center"/>
    </xf>
    <xf numFmtId="0" fontId="32" fillId="34" borderId="35">
      <alignment horizontal="right" vertical="center"/>
    </xf>
    <xf numFmtId="0" fontId="32" fillId="34" borderId="34">
      <alignment horizontal="right" vertical="center"/>
    </xf>
    <xf numFmtId="4" fontId="36" fillId="32" borderId="34">
      <alignment horizontal="right" vertical="center"/>
    </xf>
    <xf numFmtId="0" fontId="49" fillId="43" borderId="26" applyNumberFormat="0" applyAlignment="0" applyProtection="0"/>
    <xf numFmtId="0" fontId="50" fillId="0" borderId="28" applyNumberFormat="0" applyFill="0" applyAlignment="0" applyProtection="0"/>
    <xf numFmtId="0" fontId="65" fillId="0" borderId="28" applyNumberFormat="0" applyFill="0" applyAlignment="0" applyProtection="0"/>
    <xf numFmtId="0" fontId="40" fillId="59" borderId="33" applyNumberFormat="0" applyFont="0" applyAlignment="0" applyProtection="0"/>
    <xf numFmtId="0" fontId="58" fillId="43" borderId="26" applyNumberFormat="0" applyAlignment="0" applyProtection="0"/>
    <xf numFmtId="49" fontId="33" fillId="0" borderId="34" applyNumberFormat="0" applyFill="0" applyBorder="0" applyProtection="0">
      <alignment horizontal="left" vertical="center"/>
    </xf>
    <xf numFmtId="0" fontId="34" fillId="34" borderId="37">
      <alignment horizontal="left" vertical="center" wrapText="1" indent="2"/>
    </xf>
    <xf numFmtId="0" fontId="46" fillId="56" borderId="26" applyNumberFormat="0" applyAlignment="0" applyProtection="0"/>
    <xf numFmtId="0" fontId="34" fillId="0" borderId="37">
      <alignment horizontal="left" vertical="center" wrapText="1" indent="2"/>
    </xf>
    <xf numFmtId="0" fontId="40" fillId="59" borderId="33" applyNumberFormat="0" applyFont="0" applyAlignment="0" applyProtection="0"/>
    <xf numFmtId="0" fontId="5" fillId="59" borderId="33" applyNumberFormat="0" applyFont="0" applyAlignment="0" applyProtection="0"/>
    <xf numFmtId="0" fontId="62" fillId="56" borderId="25" applyNumberFormat="0" applyAlignment="0" applyProtection="0"/>
    <xf numFmtId="0" fontId="65" fillId="0" borderId="28" applyNumberFormat="0" applyFill="0" applyAlignment="0" applyProtection="0"/>
    <xf numFmtId="4" fontId="34" fillId="33" borderId="34"/>
    <xf numFmtId="0" fontId="32" fillId="34" borderId="34">
      <alignment horizontal="right" vertical="center"/>
    </xf>
    <xf numFmtId="0" fontId="65" fillId="0" borderId="28" applyNumberFormat="0" applyFill="0" applyAlignment="0" applyProtection="0"/>
    <xf numFmtId="4" fontId="32" fillId="34" borderId="36">
      <alignment horizontal="right" vertical="center"/>
    </xf>
    <xf numFmtId="0" fontId="45" fillId="56" borderId="26" applyNumberFormat="0" applyAlignment="0" applyProtection="0"/>
    <xf numFmtId="0" fontId="32" fillId="34" borderId="35">
      <alignment horizontal="right" vertical="center"/>
    </xf>
    <xf numFmtId="0" fontId="46" fillId="56" borderId="26" applyNumberFormat="0" applyAlignment="0" applyProtection="0"/>
    <xf numFmtId="0" fontId="50" fillId="0" borderId="28" applyNumberFormat="0" applyFill="0" applyAlignment="0" applyProtection="0"/>
    <xf numFmtId="0" fontId="40" fillId="59" borderId="33" applyNumberFormat="0" applyFont="0" applyAlignment="0" applyProtection="0"/>
    <xf numFmtId="4" fontId="32" fillId="34" borderId="35">
      <alignment horizontal="right" vertical="center"/>
    </xf>
    <xf numFmtId="0" fontId="34" fillId="34" borderId="37">
      <alignment horizontal="left" vertical="center" wrapText="1" indent="2"/>
    </xf>
    <xf numFmtId="0" fontId="34" fillId="33" borderId="34"/>
    <xf numFmtId="173" fontId="34" fillId="60" borderId="34" applyNumberFormat="0" applyFont="0" applyBorder="0" applyAlignment="0" applyProtection="0">
      <alignment horizontal="right" vertical="center"/>
    </xf>
    <xf numFmtId="0" fontId="34" fillId="0" borderId="34" applyNumberFormat="0" applyFill="0" applyAlignment="0" applyProtection="0"/>
    <xf numFmtId="4" fontId="34" fillId="0" borderId="34" applyFill="0" applyBorder="0" applyProtection="0">
      <alignment horizontal="right" vertical="center"/>
    </xf>
    <xf numFmtId="4" fontId="32" fillId="32" borderId="34">
      <alignment horizontal="right" vertical="center"/>
    </xf>
    <xf numFmtId="0" fontId="50" fillId="0" borderId="28" applyNumberFormat="0" applyFill="0" applyAlignment="0" applyProtection="0"/>
    <xf numFmtId="49" fontId="33" fillId="0" borderId="34" applyNumberFormat="0" applyFill="0" applyBorder="0" applyProtection="0">
      <alignment horizontal="left" vertical="center"/>
    </xf>
    <xf numFmtId="49" fontId="34" fillId="0" borderId="35" applyNumberFormat="0" applyFont="0" applyFill="0" applyBorder="0" applyProtection="0">
      <alignment horizontal="left" vertical="center" indent="5"/>
    </xf>
    <xf numFmtId="0" fontId="34" fillId="32" borderId="35">
      <alignment horizontal="left" vertical="center"/>
    </xf>
    <xf numFmtId="0" fontId="46" fillId="56" borderId="26" applyNumberFormat="0" applyAlignment="0" applyProtection="0"/>
    <xf numFmtId="4" fontId="32" fillId="34" borderId="36">
      <alignment horizontal="right" vertical="center"/>
    </xf>
    <xf numFmtId="0" fontId="58" fillId="43" borderId="26" applyNumberFormat="0" applyAlignment="0" applyProtection="0"/>
    <xf numFmtId="0" fontId="58" fillId="43" borderId="26" applyNumberFormat="0" applyAlignment="0" applyProtection="0"/>
    <xf numFmtId="0" fontId="40" fillId="59" borderId="33" applyNumberFormat="0" applyFont="0" applyAlignment="0" applyProtection="0"/>
    <xf numFmtId="0" fontId="62" fillId="56" borderId="25" applyNumberFormat="0" applyAlignment="0" applyProtection="0"/>
    <xf numFmtId="0" fontId="65" fillId="0" borderId="28" applyNumberFormat="0" applyFill="0" applyAlignment="0" applyProtection="0"/>
    <xf numFmtId="0" fontId="32" fillId="34" borderId="34">
      <alignment horizontal="right" vertical="center"/>
    </xf>
    <xf numFmtId="0" fontId="5" fillId="59" borderId="33" applyNumberFormat="0" applyFont="0" applyAlignment="0" applyProtection="0"/>
    <xf numFmtId="4" fontId="34" fillId="0" borderId="34">
      <alignment horizontal="right" vertical="center"/>
    </xf>
    <xf numFmtId="0" fontId="65" fillId="0" borderId="28" applyNumberFormat="0" applyFill="0" applyAlignment="0" applyProtection="0"/>
    <xf numFmtId="0" fontId="32" fillId="34" borderId="34">
      <alignment horizontal="right" vertical="center"/>
    </xf>
    <xf numFmtId="0" fontId="32" fillId="34" borderId="34">
      <alignment horizontal="right" vertical="center"/>
    </xf>
    <xf numFmtId="4" fontId="36" fillId="32" borderId="34">
      <alignment horizontal="right" vertical="center"/>
    </xf>
    <xf numFmtId="0" fontId="32" fillId="32" borderId="34">
      <alignment horizontal="right" vertical="center"/>
    </xf>
    <xf numFmtId="4" fontId="32" fillId="32" borderId="34">
      <alignment horizontal="right" vertical="center"/>
    </xf>
    <xf numFmtId="0" fontId="36" fillId="32" borderId="34">
      <alignment horizontal="right" vertical="center"/>
    </xf>
    <xf numFmtId="4" fontId="36" fillId="32" borderId="34">
      <alignment horizontal="right" vertical="center"/>
    </xf>
    <xf numFmtId="0" fontId="32" fillId="34" borderId="34">
      <alignment horizontal="right" vertical="center"/>
    </xf>
    <xf numFmtId="4" fontId="32" fillId="34" borderId="34">
      <alignment horizontal="right" vertical="center"/>
    </xf>
    <xf numFmtId="0" fontId="32" fillId="34" borderId="34">
      <alignment horizontal="right" vertical="center"/>
    </xf>
    <xf numFmtId="4" fontId="32" fillId="34" borderId="34">
      <alignment horizontal="right" vertical="center"/>
    </xf>
    <xf numFmtId="0" fontId="32" fillId="34" borderId="35">
      <alignment horizontal="right" vertical="center"/>
    </xf>
    <xf numFmtId="4" fontId="32" fillId="34" borderId="35">
      <alignment horizontal="right" vertical="center"/>
    </xf>
    <xf numFmtId="0" fontId="32" fillId="34" borderId="36">
      <alignment horizontal="right" vertical="center"/>
    </xf>
    <xf numFmtId="4" fontId="32" fillId="34" borderId="36">
      <alignment horizontal="right" vertical="center"/>
    </xf>
    <xf numFmtId="0" fontId="46" fillId="56" borderId="26" applyNumberFormat="0" applyAlignment="0" applyProtection="0"/>
    <xf numFmtId="0" fontId="34" fillId="34" borderId="37">
      <alignment horizontal="left" vertical="center" wrapText="1" indent="2"/>
    </xf>
    <xf numFmtId="0" fontId="34" fillId="0" borderId="37">
      <alignment horizontal="left" vertical="center" wrapText="1" indent="2"/>
    </xf>
    <xf numFmtId="0" fontId="34" fillId="32" borderId="35">
      <alignment horizontal="left" vertical="center"/>
    </xf>
    <xf numFmtId="0" fontId="58" fillId="43" borderId="26" applyNumberFormat="0" applyAlignment="0" applyProtection="0"/>
    <xf numFmtId="0" fontId="34" fillId="0" borderId="34">
      <alignment horizontal="right" vertical="center"/>
    </xf>
    <xf numFmtId="4" fontId="34" fillId="0" borderId="34">
      <alignment horizontal="right" vertical="center"/>
    </xf>
    <xf numFmtId="0" fontId="34" fillId="0" borderId="34" applyNumberFormat="0" applyFill="0" applyAlignment="0" applyProtection="0"/>
    <xf numFmtId="0" fontId="62" fillId="56" borderId="25" applyNumberFormat="0" applyAlignment="0" applyProtection="0"/>
    <xf numFmtId="173" fontId="34" fillId="60" borderId="34" applyNumberFormat="0" applyFont="0" applyBorder="0" applyAlignment="0" applyProtection="0">
      <alignment horizontal="right" vertical="center"/>
    </xf>
    <xf numFmtId="0" fontId="34" fillId="33" borderId="34"/>
    <xf numFmtId="4" fontId="34" fillId="33" borderId="34"/>
    <xf numFmtId="0" fontId="65" fillId="0" borderId="28" applyNumberFormat="0" applyFill="0" applyAlignment="0" applyProtection="0"/>
    <xf numFmtId="0" fontId="5" fillId="59" borderId="33" applyNumberFormat="0" applyFont="0" applyAlignment="0" applyProtection="0"/>
    <xf numFmtId="0" fontId="40" fillId="59" borderId="33" applyNumberFormat="0" applyFont="0" applyAlignment="0" applyProtection="0"/>
    <xf numFmtId="0" fontId="34" fillId="0" borderId="34" applyNumberFormat="0" applyFill="0" applyAlignment="0" applyProtection="0"/>
    <xf numFmtId="0" fontId="50" fillId="0" borderId="28" applyNumberFormat="0" applyFill="0" applyAlignment="0" applyProtection="0"/>
    <xf numFmtId="0" fontId="65" fillId="0" borderId="28" applyNumberFormat="0" applyFill="0" applyAlignment="0" applyProtection="0"/>
    <xf numFmtId="0" fontId="49" fillId="43" borderId="26" applyNumberFormat="0" applyAlignment="0" applyProtection="0"/>
    <xf numFmtId="0" fontId="46" fillId="56" borderId="26" applyNumberFormat="0" applyAlignment="0" applyProtection="0"/>
    <xf numFmtId="4" fontId="36" fillId="32" borderId="34">
      <alignment horizontal="right" vertical="center"/>
    </xf>
    <xf numFmtId="0" fontId="32" fillId="32" borderId="34">
      <alignment horizontal="right" vertical="center"/>
    </xf>
    <xf numFmtId="173" fontId="34" fillId="60" borderId="34" applyNumberFormat="0" applyFont="0" applyBorder="0" applyAlignment="0" applyProtection="0">
      <alignment horizontal="right" vertical="center"/>
    </xf>
    <xf numFmtId="0" fontId="50" fillId="0" borderId="28" applyNumberFormat="0" applyFill="0" applyAlignment="0" applyProtection="0"/>
    <xf numFmtId="49" fontId="34" fillId="0" borderId="34" applyNumberFormat="0" applyFont="0" applyFill="0" applyBorder="0" applyProtection="0">
      <alignment horizontal="left" vertical="center" indent="2"/>
    </xf>
    <xf numFmtId="49" fontId="34" fillId="0" borderId="35" applyNumberFormat="0" applyFont="0" applyFill="0" applyBorder="0" applyProtection="0">
      <alignment horizontal="left" vertical="center" indent="5"/>
    </xf>
    <xf numFmtId="49" fontId="34" fillId="0" borderId="34" applyNumberFormat="0" applyFont="0" applyFill="0" applyBorder="0" applyProtection="0">
      <alignment horizontal="left" vertical="center" indent="2"/>
    </xf>
    <xf numFmtId="4" fontId="34" fillId="0" borderId="34" applyFill="0" applyBorder="0" applyProtection="0">
      <alignment horizontal="right" vertical="center"/>
    </xf>
    <xf numFmtId="49" fontId="33" fillId="0" borderId="34" applyNumberFormat="0" applyFill="0" applyBorder="0" applyProtection="0">
      <alignment horizontal="left" vertical="center"/>
    </xf>
    <xf numFmtId="0" fontId="34" fillId="0" borderId="37">
      <alignment horizontal="left" vertical="center" wrapText="1" indent="2"/>
    </xf>
    <xf numFmtId="0" fontId="62" fillId="56" borderId="25" applyNumberFormat="0" applyAlignment="0" applyProtection="0"/>
    <xf numFmtId="0" fontId="32" fillId="34" borderId="36">
      <alignment horizontal="right" vertical="center"/>
    </xf>
    <xf numFmtId="0" fontId="49" fillId="43" borderId="26" applyNumberFormat="0" applyAlignment="0" applyProtection="0"/>
    <xf numFmtId="0" fontId="32" fillId="34" borderId="36">
      <alignment horizontal="right" vertical="center"/>
    </xf>
    <xf numFmtId="4" fontId="32" fillId="34" borderId="34">
      <alignment horizontal="right" vertical="center"/>
    </xf>
    <xf numFmtId="0" fontId="32" fillId="34" borderId="34">
      <alignment horizontal="right" vertical="center"/>
    </xf>
    <xf numFmtId="0" fontId="43" fillId="56" borderId="25" applyNumberFormat="0" applyAlignment="0" applyProtection="0"/>
    <xf numFmtId="0" fontId="45" fillId="56" borderId="26" applyNumberFormat="0" applyAlignment="0" applyProtection="0"/>
    <xf numFmtId="0" fontId="50" fillId="0" borderId="28" applyNumberFormat="0" applyFill="0" applyAlignment="0" applyProtection="0"/>
    <xf numFmtId="0" fontId="34" fillId="33" borderId="34"/>
    <xf numFmtId="4" fontId="34" fillId="33" borderId="34"/>
    <xf numFmtId="4" fontId="32" fillId="34" borderId="34">
      <alignment horizontal="right" vertical="center"/>
    </xf>
    <xf numFmtId="0" fontId="36" fillId="32" borderId="34">
      <alignment horizontal="right" vertical="center"/>
    </xf>
    <xf numFmtId="0" fontId="49" fillId="43" borderId="26" applyNumberFormat="0" applyAlignment="0" applyProtection="0"/>
    <xf numFmtId="0" fontId="46" fillId="56" borderId="26" applyNumberFormat="0" applyAlignment="0" applyProtection="0"/>
    <xf numFmtId="4" fontId="34" fillId="0" borderId="34">
      <alignment horizontal="right" vertical="center"/>
    </xf>
    <xf numFmtId="0" fontId="34" fillId="34" borderId="37">
      <alignment horizontal="left" vertical="center" wrapText="1" indent="2"/>
    </xf>
    <xf numFmtId="0" fontId="34" fillId="0" borderId="37">
      <alignment horizontal="left" vertical="center" wrapText="1" indent="2"/>
    </xf>
    <xf numFmtId="0" fontId="62" fillId="56" borderId="25" applyNumberFormat="0" applyAlignment="0" applyProtection="0"/>
    <xf numFmtId="0" fontId="58" fillId="43" borderId="26" applyNumberFormat="0" applyAlignment="0" applyProtection="0"/>
    <xf numFmtId="0" fontId="45" fillId="56" borderId="26" applyNumberFormat="0" applyAlignment="0" applyProtection="0"/>
    <xf numFmtId="0" fontId="43" fillId="56" borderId="25" applyNumberFormat="0" applyAlignment="0" applyProtection="0"/>
    <xf numFmtId="0" fontId="32" fillId="34" borderId="36">
      <alignment horizontal="right" vertical="center"/>
    </xf>
    <xf numFmtId="0" fontId="36" fillId="32" borderId="34">
      <alignment horizontal="right" vertical="center"/>
    </xf>
    <xf numFmtId="4" fontId="32" fillId="32" borderId="34">
      <alignment horizontal="right" vertical="center"/>
    </xf>
    <xf numFmtId="4" fontId="32" fillId="34" borderId="34">
      <alignment horizontal="right" vertical="center"/>
    </xf>
    <xf numFmtId="49" fontId="34" fillId="0" borderId="35" applyNumberFormat="0" applyFont="0" applyFill="0" applyBorder="0" applyProtection="0">
      <alignment horizontal="left" vertical="center" indent="5"/>
    </xf>
    <xf numFmtId="4" fontId="34" fillId="0" borderId="34" applyFill="0" applyBorder="0" applyProtection="0">
      <alignment horizontal="right" vertical="center"/>
    </xf>
    <xf numFmtId="4" fontId="32" fillId="32" borderId="34">
      <alignment horizontal="right" vertical="center"/>
    </xf>
    <xf numFmtId="0" fontId="58" fillId="43" borderId="26" applyNumberFormat="0" applyAlignment="0" applyProtection="0"/>
    <xf numFmtId="0" fontId="49" fillId="43" borderId="26" applyNumberFormat="0" applyAlignment="0" applyProtection="0"/>
    <xf numFmtId="0" fontId="45" fillId="56" borderId="26" applyNumberFormat="0" applyAlignment="0" applyProtection="0"/>
    <xf numFmtId="0" fontId="34" fillId="34" borderId="37">
      <alignment horizontal="left" vertical="center" wrapText="1" indent="2"/>
    </xf>
    <xf numFmtId="0" fontId="34" fillId="0" borderId="37">
      <alignment horizontal="left" vertical="center" wrapText="1" indent="2"/>
    </xf>
    <xf numFmtId="0" fontId="34" fillId="34" borderId="37">
      <alignment horizontal="left" vertical="center" wrapText="1" indent="2"/>
    </xf>
    <xf numFmtId="0" fontId="26" fillId="0" borderId="0"/>
    <xf numFmtId="0" fontId="28" fillId="13" borderId="14" applyNumberFormat="0" applyAlignment="0" applyProtection="0"/>
    <xf numFmtId="0" fontId="29" fillId="13" borderId="13" applyNumberFormat="0" applyAlignment="0" applyProtection="0"/>
    <xf numFmtId="0" fontId="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" fillId="0" borderId="15" applyNumberFormat="0" applyFill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12" fillId="16" borderId="0" applyNumberFormat="0" applyBorder="0" applyAlignment="0" applyProtection="0"/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12" fillId="19" borderId="0" applyNumberFormat="0" applyBorder="0" applyAlignment="0" applyProtection="0"/>
    <xf numFmtId="0" fontId="26" fillId="20" borderId="0" applyNumberFormat="0" applyBorder="0" applyAlignment="0" applyProtection="0"/>
    <xf numFmtId="0" fontId="26" fillId="21" borderId="0" applyNumberFormat="0" applyBorder="0" applyAlignment="0" applyProtection="0"/>
    <xf numFmtId="0" fontId="12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12" fillId="25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12" fillId="28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12" fillId="31" borderId="0" applyNumberFormat="0" applyBorder="0" applyAlignment="0" applyProtection="0"/>
    <xf numFmtId="0" fontId="34" fillId="0" borderId="34" applyNumberFormat="0" applyFill="0" applyAlignment="0" applyProtection="0"/>
    <xf numFmtId="0" fontId="32" fillId="34" borderId="34">
      <alignment horizontal="right" vertical="center"/>
    </xf>
    <xf numFmtId="0" fontId="32" fillId="34" borderId="34">
      <alignment horizontal="right" vertical="center"/>
    </xf>
    <xf numFmtId="0" fontId="34" fillId="0" borderId="34">
      <alignment horizontal="right" vertical="center"/>
    </xf>
    <xf numFmtId="0" fontId="36" fillId="32" borderId="34">
      <alignment horizontal="right" vertical="center"/>
    </xf>
    <xf numFmtId="0" fontId="34" fillId="33" borderId="34"/>
    <xf numFmtId="0" fontId="32" fillId="32" borderId="34">
      <alignment horizontal="right" vertical="center"/>
    </xf>
    <xf numFmtId="0" fontId="46" fillId="56" borderId="39" applyNumberFormat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58" fillId="43" borderId="39" applyNumberFormat="0" applyAlignment="0" applyProtection="0"/>
    <xf numFmtId="4" fontId="34" fillId="0" borderId="34" applyFill="0" applyBorder="0" applyProtection="0">
      <alignment horizontal="right" vertical="center"/>
    </xf>
    <xf numFmtId="0" fontId="40" fillId="59" borderId="41" applyNumberFormat="0" applyFont="0" applyAlignment="0" applyProtection="0"/>
    <xf numFmtId="0" fontId="5" fillId="59" borderId="41" applyNumberFormat="0" applyFont="0" applyAlignment="0" applyProtection="0"/>
    <xf numFmtId="0" fontId="62" fillId="56" borderId="38" applyNumberFormat="0" applyAlignment="0" applyProtection="0"/>
    <xf numFmtId="0" fontId="65" fillId="0" borderId="40" applyNumberFormat="0" applyFill="0" applyAlignment="0" applyProtection="0"/>
    <xf numFmtId="0" fontId="46" fillId="56" borderId="39" applyNumberFormat="0" applyAlignment="0" applyProtection="0"/>
    <xf numFmtId="0" fontId="58" fillId="43" borderId="39" applyNumberFormat="0" applyAlignment="0" applyProtection="0"/>
    <xf numFmtId="0" fontId="29" fillId="13" borderId="13" applyNumberFormat="0" applyAlignment="0" applyProtection="0"/>
    <xf numFmtId="0" fontId="40" fillId="59" borderId="41" applyNumberFormat="0" applyFont="0" applyAlignment="0" applyProtection="0"/>
    <xf numFmtId="0" fontId="62" fillId="56" borderId="38" applyNumberFormat="0" applyAlignment="0" applyProtection="0"/>
    <xf numFmtId="0" fontId="65" fillId="0" borderId="40" applyNumberFormat="0" applyFill="0" applyAlignment="0" applyProtection="0"/>
    <xf numFmtId="0" fontId="32" fillId="32" borderId="42">
      <alignment horizontal="right" vertical="center"/>
    </xf>
    <xf numFmtId="4" fontId="32" fillId="32" borderId="42">
      <alignment horizontal="right" vertical="center"/>
    </xf>
    <xf numFmtId="0" fontId="36" fillId="32" borderId="42">
      <alignment horizontal="right" vertical="center"/>
    </xf>
    <xf numFmtId="4" fontId="36" fillId="32" borderId="42">
      <alignment horizontal="right" vertical="center"/>
    </xf>
    <xf numFmtId="0" fontId="32" fillId="34" borderId="42">
      <alignment horizontal="right" vertical="center"/>
    </xf>
    <xf numFmtId="4" fontId="32" fillId="34" borderId="42">
      <alignment horizontal="right" vertical="center"/>
    </xf>
    <xf numFmtId="0" fontId="32" fillId="34" borderId="42">
      <alignment horizontal="right" vertical="center"/>
    </xf>
    <xf numFmtId="4" fontId="32" fillId="34" borderId="42">
      <alignment horizontal="right" vertical="center"/>
    </xf>
    <xf numFmtId="0" fontId="32" fillId="34" borderId="43">
      <alignment horizontal="right" vertical="center"/>
    </xf>
    <xf numFmtId="4" fontId="32" fillId="34" borderId="43">
      <alignment horizontal="right" vertical="center"/>
    </xf>
    <xf numFmtId="0" fontId="32" fillId="34" borderId="44">
      <alignment horizontal="right" vertical="center"/>
    </xf>
    <xf numFmtId="4" fontId="32" fillId="34" borderId="44">
      <alignment horizontal="right" vertical="center"/>
    </xf>
    <xf numFmtId="0" fontId="46" fillId="56" borderId="39" applyNumberFormat="0" applyAlignment="0" applyProtection="0"/>
    <xf numFmtId="0" fontId="34" fillId="34" borderId="45">
      <alignment horizontal="left" vertical="center" wrapText="1" indent="2"/>
    </xf>
    <xf numFmtId="0" fontId="34" fillId="0" borderId="45">
      <alignment horizontal="left" vertical="center" wrapText="1" indent="2"/>
    </xf>
    <xf numFmtId="0" fontId="34" fillId="32" borderId="43">
      <alignment horizontal="left" vertical="center"/>
    </xf>
    <xf numFmtId="0" fontId="58" fillId="43" borderId="39" applyNumberFormat="0" applyAlignment="0" applyProtection="0"/>
    <xf numFmtId="0" fontId="34" fillId="0" borderId="42">
      <alignment horizontal="right" vertical="center"/>
    </xf>
    <xf numFmtId="4" fontId="34" fillId="0" borderId="42">
      <alignment horizontal="right" vertical="center"/>
    </xf>
    <xf numFmtId="0" fontId="34" fillId="0" borderId="42" applyNumberFormat="0" applyFill="0" applyAlignment="0" applyProtection="0"/>
    <xf numFmtId="0" fontId="62" fillId="56" borderId="38" applyNumberFormat="0" applyAlignment="0" applyProtection="0"/>
    <xf numFmtId="173" fontId="34" fillId="60" borderId="42" applyNumberFormat="0" applyFont="0" applyBorder="0" applyAlignment="0" applyProtection="0">
      <alignment horizontal="right" vertical="center"/>
    </xf>
    <xf numFmtId="0" fontId="34" fillId="33" borderId="42"/>
    <xf numFmtId="4" fontId="34" fillId="33" borderId="42"/>
    <xf numFmtId="0" fontId="65" fillId="0" borderId="40" applyNumberFormat="0" applyFill="0" applyAlignment="0" applyProtection="0"/>
    <xf numFmtId="0" fontId="26" fillId="21" borderId="0" applyNumberFormat="0" applyBorder="0" applyAlignment="0" applyProtection="0"/>
    <xf numFmtId="0" fontId="26" fillId="15" borderId="0" applyNumberFormat="0" applyBorder="0" applyAlignment="0" applyProtection="0"/>
    <xf numFmtId="0" fontId="12" fillId="28" borderId="0" applyNumberFormat="0" applyBorder="0" applyAlignment="0" applyProtection="0"/>
    <xf numFmtId="0" fontId="26" fillId="20" borderId="0" applyNumberFormat="0" applyBorder="0" applyAlignment="0" applyProtection="0"/>
    <xf numFmtId="0" fontId="30" fillId="0" borderId="0" applyNumberFormat="0" applyFill="0" applyBorder="0" applyAlignment="0" applyProtection="0"/>
    <xf numFmtId="0" fontId="12" fillId="25" borderId="0" applyNumberFormat="0" applyBorder="0" applyAlignment="0" applyProtection="0"/>
    <xf numFmtId="0" fontId="26" fillId="30" borderId="0" applyNumberFormat="0" applyBorder="0" applyAlignment="0" applyProtection="0"/>
    <xf numFmtId="0" fontId="26" fillId="27" borderId="0" applyNumberFormat="0" applyBorder="0" applyAlignment="0" applyProtection="0"/>
    <xf numFmtId="0" fontId="26" fillId="17" borderId="0" applyNumberFormat="0" applyBorder="0" applyAlignment="0" applyProtection="0"/>
    <xf numFmtId="0" fontId="26" fillId="14" borderId="0" applyNumberFormat="0" applyBorder="0" applyAlignment="0" applyProtection="0"/>
    <xf numFmtId="0" fontId="1" fillId="0" borderId="0" applyNumberFormat="0" applyFill="0" applyBorder="0" applyAlignment="0" applyProtection="0"/>
    <xf numFmtId="49" fontId="34" fillId="0" borderId="42" applyNumberFormat="0" applyFont="0" applyFill="0" applyBorder="0" applyProtection="0">
      <alignment horizontal="left" vertical="center" indent="2"/>
    </xf>
    <xf numFmtId="49" fontId="34" fillId="0" borderId="43" applyNumberFormat="0" applyFont="0" applyFill="0" applyBorder="0" applyProtection="0">
      <alignment horizontal="left" vertical="center" indent="5"/>
    </xf>
    <xf numFmtId="4" fontId="34" fillId="0" borderId="42" applyFill="0" applyBorder="0" applyProtection="0">
      <alignment horizontal="right" vertical="center"/>
    </xf>
    <xf numFmtId="49" fontId="33" fillId="0" borderId="42" applyNumberFormat="0" applyFill="0" applyBorder="0" applyProtection="0">
      <alignment horizontal="left" vertical="center"/>
    </xf>
    <xf numFmtId="0" fontId="43" fillId="56" borderId="38" applyNumberFormat="0" applyAlignment="0" applyProtection="0"/>
    <xf numFmtId="0" fontId="45" fillId="56" borderId="39" applyNumberFormat="0" applyAlignment="0" applyProtection="0"/>
    <xf numFmtId="0" fontId="50" fillId="0" borderId="40" applyNumberFormat="0" applyFill="0" applyAlignment="0" applyProtection="0"/>
    <xf numFmtId="0" fontId="49" fillId="43" borderId="39" applyNumberFormat="0" applyAlignment="0" applyProtection="0"/>
    <xf numFmtId="0" fontId="26" fillId="23" borderId="0" applyNumberFormat="0" applyBorder="0" applyAlignment="0" applyProtection="0"/>
    <xf numFmtId="0" fontId="28" fillId="13" borderId="14" applyNumberFormat="0" applyAlignment="0" applyProtection="0"/>
    <xf numFmtId="0" fontId="34" fillId="34" borderId="45">
      <alignment horizontal="left" vertical="center" wrapText="1" indent="2"/>
    </xf>
    <xf numFmtId="0" fontId="34" fillId="0" borderId="45">
      <alignment horizontal="left" vertical="center" wrapText="1" indent="2"/>
    </xf>
    <xf numFmtId="0" fontId="12" fillId="22" borderId="0" applyNumberFormat="0" applyBorder="0" applyAlignment="0" applyProtection="0"/>
    <xf numFmtId="0" fontId="12" fillId="31" borderId="0" applyNumberFormat="0" applyBorder="0" applyAlignment="0" applyProtection="0"/>
    <xf numFmtId="0" fontId="26" fillId="29" borderId="0" applyNumberFormat="0" applyBorder="0" applyAlignment="0" applyProtection="0"/>
    <xf numFmtId="0" fontId="26" fillId="26" borderId="0" applyNumberFormat="0" applyBorder="0" applyAlignment="0" applyProtection="0"/>
    <xf numFmtId="0" fontId="26" fillId="24" borderId="0" applyNumberFormat="0" applyBorder="0" applyAlignment="0" applyProtection="0"/>
    <xf numFmtId="0" fontId="12" fillId="16" borderId="0" applyNumberFormat="0" applyBorder="0" applyAlignment="0" applyProtection="0"/>
    <xf numFmtId="0" fontId="26" fillId="18" borderId="0" applyNumberFormat="0" applyBorder="0" applyAlignment="0" applyProtection="0"/>
    <xf numFmtId="0" fontId="12" fillId="19" borderId="0" applyNumberFormat="0" applyBorder="0" applyAlignment="0" applyProtection="0"/>
    <xf numFmtId="0" fontId="2" fillId="0" borderId="15" applyNumberFormat="0" applyFill="0" applyAlignment="0" applyProtection="0"/>
    <xf numFmtId="4" fontId="32" fillId="34" borderId="42">
      <alignment horizontal="right" vertical="center"/>
    </xf>
    <xf numFmtId="0" fontId="34" fillId="33" borderId="42"/>
    <xf numFmtId="0" fontId="45" fillId="56" borderId="39" applyNumberFormat="0" applyAlignment="0" applyProtection="0"/>
    <xf numFmtId="0" fontId="32" fillId="32" borderId="42">
      <alignment horizontal="right" vertical="center"/>
    </xf>
    <xf numFmtId="0" fontId="34" fillId="0" borderId="42">
      <alignment horizontal="right" vertical="center"/>
    </xf>
    <xf numFmtId="0" fontId="65" fillId="0" borderId="40" applyNumberFormat="0" applyFill="0" applyAlignment="0" applyProtection="0"/>
    <xf numFmtId="0" fontId="34" fillId="32" borderId="43">
      <alignment horizontal="left" vertical="center"/>
    </xf>
    <xf numFmtId="0" fontId="58" fillId="43" borderId="39" applyNumberFormat="0" applyAlignment="0" applyProtection="0"/>
    <xf numFmtId="173" fontId="34" fillId="60" borderId="42" applyNumberFormat="0" applyFont="0" applyBorder="0" applyAlignment="0" applyProtection="0">
      <alignment horizontal="right" vertical="center"/>
    </xf>
    <xf numFmtId="0" fontId="40" fillId="59" borderId="41" applyNumberFormat="0" applyFont="0" applyAlignment="0" applyProtection="0"/>
    <xf numFmtId="0" fontId="34" fillId="0" borderId="45">
      <alignment horizontal="left" vertical="center" wrapText="1" indent="2"/>
    </xf>
    <xf numFmtId="4" fontId="34" fillId="33" borderId="42"/>
    <xf numFmtId="49" fontId="33" fillId="0" borderId="42" applyNumberFormat="0" applyFill="0" applyBorder="0" applyProtection="0">
      <alignment horizontal="left" vertical="center"/>
    </xf>
    <xf numFmtId="0" fontId="34" fillId="0" borderId="42">
      <alignment horizontal="right" vertical="center"/>
    </xf>
    <xf numFmtId="4" fontId="32" fillId="34" borderId="44">
      <alignment horizontal="right" vertical="center"/>
    </xf>
    <xf numFmtId="4" fontId="32" fillId="34" borderId="42">
      <alignment horizontal="right" vertical="center"/>
    </xf>
    <xf numFmtId="4" fontId="32" fillId="34" borderId="42">
      <alignment horizontal="right" vertical="center"/>
    </xf>
    <xf numFmtId="0" fontId="36" fillId="32" borderId="42">
      <alignment horizontal="right" vertical="center"/>
    </xf>
    <xf numFmtId="0" fontId="32" fillId="32" borderId="42">
      <alignment horizontal="right" vertical="center"/>
    </xf>
    <xf numFmtId="49" fontId="34" fillId="0" borderId="42" applyNumberFormat="0" applyFont="0" applyFill="0" applyBorder="0" applyProtection="0">
      <alignment horizontal="left" vertical="center" indent="2"/>
    </xf>
    <xf numFmtId="0" fontId="58" fillId="43" borderId="39" applyNumberFormat="0" applyAlignment="0" applyProtection="0"/>
    <xf numFmtId="0" fontId="43" fillId="56" borderId="38" applyNumberFormat="0" applyAlignment="0" applyProtection="0"/>
    <xf numFmtId="49" fontId="34" fillId="0" borderId="42" applyNumberFormat="0" applyFont="0" applyFill="0" applyBorder="0" applyProtection="0">
      <alignment horizontal="left" vertical="center" indent="2"/>
    </xf>
    <xf numFmtId="0" fontId="49" fillId="43" borderId="39" applyNumberFormat="0" applyAlignment="0" applyProtection="0"/>
    <xf numFmtId="4" fontId="34" fillId="0" borderId="42" applyFill="0" applyBorder="0" applyProtection="0">
      <alignment horizontal="right" vertical="center"/>
    </xf>
    <xf numFmtId="0" fontId="46" fillId="56" borderId="39" applyNumberFormat="0" applyAlignment="0" applyProtection="0"/>
    <xf numFmtId="0" fontId="65" fillId="0" borderId="40" applyNumberFormat="0" applyFill="0" applyAlignment="0" applyProtection="0"/>
    <xf numFmtId="0" fontId="62" fillId="56" borderId="38" applyNumberFormat="0" applyAlignment="0" applyProtection="0"/>
    <xf numFmtId="0" fontId="34" fillId="0" borderId="42" applyNumberFormat="0" applyFill="0" applyAlignment="0" applyProtection="0"/>
    <xf numFmtId="4" fontId="34" fillId="0" borderId="42">
      <alignment horizontal="right" vertical="center"/>
    </xf>
    <xf numFmtId="0" fontId="34" fillId="0" borderId="42">
      <alignment horizontal="right" vertical="center"/>
    </xf>
    <xf numFmtId="0" fontId="58" fillId="43" borderId="39" applyNumberFormat="0" applyAlignment="0" applyProtection="0"/>
    <xf numFmtId="0" fontId="43" fillId="56" borderId="38" applyNumberFormat="0" applyAlignment="0" applyProtection="0"/>
    <xf numFmtId="0" fontId="45" fillId="56" borderId="39" applyNumberFormat="0" applyAlignment="0" applyProtection="0"/>
    <xf numFmtId="0" fontId="34" fillId="34" borderId="45">
      <alignment horizontal="left" vertical="center" wrapText="1" indent="2"/>
    </xf>
    <xf numFmtId="0" fontId="46" fillId="56" borderId="39" applyNumberFormat="0" applyAlignment="0" applyProtection="0"/>
    <xf numFmtId="0" fontId="46" fillId="56" borderId="39" applyNumberFormat="0" applyAlignment="0" applyProtection="0"/>
    <xf numFmtId="4" fontId="32" fillId="34" borderId="43">
      <alignment horizontal="right" vertical="center"/>
    </xf>
    <xf numFmtId="0" fontId="32" fillId="34" borderId="43">
      <alignment horizontal="right" vertical="center"/>
    </xf>
    <xf numFmtId="0" fontId="32" fillId="34" borderId="42">
      <alignment horizontal="right" vertical="center"/>
    </xf>
    <xf numFmtId="4" fontId="36" fillId="32" borderId="42">
      <alignment horizontal="right" vertical="center"/>
    </xf>
    <xf numFmtId="0" fontId="49" fillId="43" borderId="39" applyNumberFormat="0" applyAlignment="0" applyProtection="0"/>
    <xf numFmtId="0" fontId="50" fillId="0" borderId="40" applyNumberFormat="0" applyFill="0" applyAlignment="0" applyProtection="0"/>
    <xf numFmtId="0" fontId="65" fillId="0" borderId="40" applyNumberFormat="0" applyFill="0" applyAlignment="0" applyProtection="0"/>
    <xf numFmtId="0" fontId="40" fillId="59" borderId="41" applyNumberFormat="0" applyFont="0" applyAlignment="0" applyProtection="0"/>
    <xf numFmtId="0" fontId="58" fillId="43" borderId="39" applyNumberFormat="0" applyAlignment="0" applyProtection="0"/>
    <xf numFmtId="49" fontId="33" fillId="0" borderId="42" applyNumberFormat="0" applyFill="0" applyBorder="0" applyProtection="0">
      <alignment horizontal="left" vertical="center"/>
    </xf>
    <xf numFmtId="0" fontId="34" fillId="34" borderId="45">
      <alignment horizontal="left" vertical="center" wrapText="1" indent="2"/>
    </xf>
    <xf numFmtId="0" fontId="46" fillId="56" borderId="39" applyNumberFormat="0" applyAlignment="0" applyProtection="0"/>
    <xf numFmtId="0" fontId="34" fillId="0" borderId="45">
      <alignment horizontal="left" vertical="center" wrapText="1" indent="2"/>
    </xf>
    <xf numFmtId="0" fontId="40" fillId="59" borderId="41" applyNumberFormat="0" applyFont="0" applyAlignment="0" applyProtection="0"/>
    <xf numFmtId="0" fontId="5" fillId="59" borderId="41" applyNumberFormat="0" applyFont="0" applyAlignment="0" applyProtection="0"/>
    <xf numFmtId="0" fontId="62" fillId="56" borderId="38" applyNumberFormat="0" applyAlignment="0" applyProtection="0"/>
    <xf numFmtId="0" fontId="65" fillId="0" borderId="40" applyNumberFormat="0" applyFill="0" applyAlignment="0" applyProtection="0"/>
    <xf numFmtId="4" fontId="34" fillId="33" borderId="42"/>
    <xf numFmtId="0" fontId="32" fillId="34" borderId="42">
      <alignment horizontal="right" vertical="center"/>
    </xf>
    <xf numFmtId="0" fontId="65" fillId="0" borderId="40" applyNumberFormat="0" applyFill="0" applyAlignment="0" applyProtection="0"/>
    <xf numFmtId="4" fontId="32" fillId="34" borderId="44">
      <alignment horizontal="right" vertical="center"/>
    </xf>
    <xf numFmtId="0" fontId="45" fillId="56" borderId="39" applyNumberFormat="0" applyAlignment="0" applyProtection="0"/>
    <xf numFmtId="0" fontId="32" fillId="34" borderId="43">
      <alignment horizontal="right" vertical="center"/>
    </xf>
    <xf numFmtId="0" fontId="46" fillId="56" borderId="39" applyNumberFormat="0" applyAlignment="0" applyProtection="0"/>
    <xf numFmtId="0" fontId="50" fillId="0" borderId="40" applyNumberFormat="0" applyFill="0" applyAlignment="0" applyProtection="0"/>
    <xf numFmtId="0" fontId="40" fillId="59" borderId="41" applyNumberFormat="0" applyFont="0" applyAlignment="0" applyProtection="0"/>
    <xf numFmtId="4" fontId="32" fillId="34" borderId="43">
      <alignment horizontal="right" vertical="center"/>
    </xf>
    <xf numFmtId="0" fontId="34" fillId="34" borderId="45">
      <alignment horizontal="left" vertical="center" wrapText="1" indent="2"/>
    </xf>
    <xf numFmtId="0" fontId="34" fillId="33" borderId="42"/>
    <xf numFmtId="173" fontId="34" fillId="60" borderId="42" applyNumberFormat="0" applyFont="0" applyBorder="0" applyAlignment="0" applyProtection="0">
      <alignment horizontal="right" vertical="center"/>
    </xf>
    <xf numFmtId="0" fontId="34" fillId="0" borderId="42" applyNumberFormat="0" applyFill="0" applyAlignment="0" applyProtection="0"/>
    <xf numFmtId="4" fontId="34" fillId="0" borderId="42" applyFill="0" applyBorder="0" applyProtection="0">
      <alignment horizontal="right" vertical="center"/>
    </xf>
    <xf numFmtId="4" fontId="32" fillId="32" borderId="42">
      <alignment horizontal="right" vertical="center"/>
    </xf>
    <xf numFmtId="0" fontId="50" fillId="0" borderId="40" applyNumberFormat="0" applyFill="0" applyAlignment="0" applyProtection="0"/>
    <xf numFmtId="49" fontId="33" fillId="0" borderId="42" applyNumberFormat="0" applyFill="0" applyBorder="0" applyProtection="0">
      <alignment horizontal="left" vertical="center"/>
    </xf>
    <xf numFmtId="49" fontId="34" fillId="0" borderId="43" applyNumberFormat="0" applyFont="0" applyFill="0" applyBorder="0" applyProtection="0">
      <alignment horizontal="left" vertical="center" indent="5"/>
    </xf>
    <xf numFmtId="0" fontId="34" fillId="32" borderId="43">
      <alignment horizontal="left" vertical="center"/>
    </xf>
    <xf numFmtId="0" fontId="46" fillId="56" borderId="39" applyNumberFormat="0" applyAlignment="0" applyProtection="0"/>
    <xf numFmtId="4" fontId="32" fillId="34" borderId="44">
      <alignment horizontal="right" vertical="center"/>
    </xf>
    <xf numFmtId="0" fontId="58" fillId="43" borderId="39" applyNumberFormat="0" applyAlignment="0" applyProtection="0"/>
    <xf numFmtId="0" fontId="58" fillId="43" borderId="39" applyNumberFormat="0" applyAlignment="0" applyProtection="0"/>
    <xf numFmtId="0" fontId="40" fillId="59" borderId="41" applyNumberFormat="0" applyFont="0" applyAlignment="0" applyProtection="0"/>
    <xf numFmtId="0" fontId="62" fillId="56" borderId="38" applyNumberFormat="0" applyAlignment="0" applyProtection="0"/>
    <xf numFmtId="0" fontId="65" fillId="0" borderId="40" applyNumberFormat="0" applyFill="0" applyAlignment="0" applyProtection="0"/>
    <xf numFmtId="0" fontId="32" fillId="34" borderId="42">
      <alignment horizontal="right" vertical="center"/>
    </xf>
    <xf numFmtId="0" fontId="5" fillId="59" borderId="41" applyNumberFormat="0" applyFont="0" applyAlignment="0" applyProtection="0"/>
    <xf numFmtId="4" fontId="34" fillId="0" borderId="42">
      <alignment horizontal="right" vertical="center"/>
    </xf>
    <xf numFmtId="0" fontId="65" fillId="0" borderId="40" applyNumberFormat="0" applyFill="0" applyAlignment="0" applyProtection="0"/>
    <xf numFmtId="0" fontId="32" fillId="34" borderId="42">
      <alignment horizontal="right" vertical="center"/>
    </xf>
    <xf numFmtId="0" fontId="32" fillId="34" borderId="42">
      <alignment horizontal="right" vertical="center"/>
    </xf>
    <xf numFmtId="4" fontId="36" fillId="32" borderId="42">
      <alignment horizontal="right" vertical="center"/>
    </xf>
    <xf numFmtId="0" fontId="32" fillId="32" borderId="42">
      <alignment horizontal="right" vertical="center"/>
    </xf>
    <xf numFmtId="4" fontId="32" fillId="32" borderId="42">
      <alignment horizontal="right" vertical="center"/>
    </xf>
    <xf numFmtId="0" fontId="36" fillId="32" borderId="42">
      <alignment horizontal="right" vertical="center"/>
    </xf>
    <xf numFmtId="4" fontId="36" fillId="32" borderId="42">
      <alignment horizontal="right" vertical="center"/>
    </xf>
    <xf numFmtId="0" fontId="32" fillId="34" borderId="42">
      <alignment horizontal="right" vertical="center"/>
    </xf>
    <xf numFmtId="4" fontId="32" fillId="34" borderId="42">
      <alignment horizontal="right" vertical="center"/>
    </xf>
    <xf numFmtId="0" fontId="32" fillId="34" borderId="42">
      <alignment horizontal="right" vertical="center"/>
    </xf>
    <xf numFmtId="4" fontId="32" fillId="34" borderId="42">
      <alignment horizontal="right" vertical="center"/>
    </xf>
    <xf numFmtId="0" fontId="32" fillId="34" borderId="43">
      <alignment horizontal="right" vertical="center"/>
    </xf>
    <xf numFmtId="4" fontId="32" fillId="34" borderId="43">
      <alignment horizontal="right" vertical="center"/>
    </xf>
    <xf numFmtId="0" fontId="32" fillId="34" borderId="44">
      <alignment horizontal="right" vertical="center"/>
    </xf>
    <xf numFmtId="4" fontId="32" fillId="34" borderId="44">
      <alignment horizontal="right" vertical="center"/>
    </xf>
    <xf numFmtId="0" fontId="46" fillId="56" borderId="39" applyNumberFormat="0" applyAlignment="0" applyProtection="0"/>
    <xf numFmtId="0" fontId="34" fillId="34" borderId="45">
      <alignment horizontal="left" vertical="center" wrapText="1" indent="2"/>
    </xf>
    <xf numFmtId="0" fontId="34" fillId="0" borderId="45">
      <alignment horizontal="left" vertical="center" wrapText="1" indent="2"/>
    </xf>
    <xf numFmtId="0" fontId="34" fillId="32" borderId="43">
      <alignment horizontal="left" vertical="center"/>
    </xf>
    <xf numFmtId="0" fontId="58" fillId="43" borderId="39" applyNumberFormat="0" applyAlignment="0" applyProtection="0"/>
    <xf numFmtId="0" fontId="34" fillId="0" borderId="42">
      <alignment horizontal="right" vertical="center"/>
    </xf>
    <xf numFmtId="4" fontId="34" fillId="0" borderId="42">
      <alignment horizontal="right" vertical="center"/>
    </xf>
    <xf numFmtId="0" fontId="34" fillId="0" borderId="42" applyNumberFormat="0" applyFill="0" applyAlignment="0" applyProtection="0"/>
    <xf numFmtId="0" fontId="62" fillId="56" borderId="38" applyNumberFormat="0" applyAlignment="0" applyProtection="0"/>
    <xf numFmtId="173" fontId="34" fillId="60" borderId="42" applyNumberFormat="0" applyFont="0" applyBorder="0" applyAlignment="0" applyProtection="0">
      <alignment horizontal="right" vertical="center"/>
    </xf>
    <xf numFmtId="0" fontId="34" fillId="33" borderId="42"/>
    <xf numFmtId="4" fontId="34" fillId="33" borderId="42"/>
    <xf numFmtId="0" fontId="65" fillId="0" borderId="40" applyNumberFormat="0" applyFill="0" applyAlignment="0" applyProtection="0"/>
    <xf numFmtId="0" fontId="5" fillId="59" borderId="41" applyNumberFormat="0" applyFont="0" applyAlignment="0" applyProtection="0"/>
    <xf numFmtId="0" fontId="40" fillId="59" borderId="41" applyNumberFormat="0" applyFont="0" applyAlignment="0" applyProtection="0"/>
    <xf numFmtId="0" fontId="34" fillId="0" borderId="42" applyNumberFormat="0" applyFill="0" applyAlignment="0" applyProtection="0"/>
    <xf numFmtId="0" fontId="50" fillId="0" borderId="40" applyNumberFormat="0" applyFill="0" applyAlignment="0" applyProtection="0"/>
    <xf numFmtId="0" fontId="65" fillId="0" borderId="40" applyNumberFormat="0" applyFill="0" applyAlignment="0" applyProtection="0"/>
    <xf numFmtId="0" fontId="49" fillId="43" borderId="39" applyNumberFormat="0" applyAlignment="0" applyProtection="0"/>
    <xf numFmtId="0" fontId="46" fillId="56" borderId="39" applyNumberFormat="0" applyAlignment="0" applyProtection="0"/>
    <xf numFmtId="4" fontId="36" fillId="32" borderId="42">
      <alignment horizontal="right" vertical="center"/>
    </xf>
    <xf numFmtId="0" fontId="32" fillId="32" borderId="42">
      <alignment horizontal="right" vertical="center"/>
    </xf>
    <xf numFmtId="173" fontId="34" fillId="60" borderId="42" applyNumberFormat="0" applyFont="0" applyBorder="0" applyAlignment="0" applyProtection="0">
      <alignment horizontal="right" vertical="center"/>
    </xf>
    <xf numFmtId="0" fontId="50" fillId="0" borderId="40" applyNumberFormat="0" applyFill="0" applyAlignment="0" applyProtection="0"/>
    <xf numFmtId="49" fontId="34" fillId="0" borderId="42" applyNumberFormat="0" applyFont="0" applyFill="0" applyBorder="0" applyProtection="0">
      <alignment horizontal="left" vertical="center" indent="2"/>
    </xf>
    <xf numFmtId="49" fontId="34" fillId="0" borderId="43" applyNumberFormat="0" applyFont="0" applyFill="0" applyBorder="0" applyProtection="0">
      <alignment horizontal="left" vertical="center" indent="5"/>
    </xf>
    <xf numFmtId="49" fontId="34" fillId="0" borderId="42" applyNumberFormat="0" applyFont="0" applyFill="0" applyBorder="0" applyProtection="0">
      <alignment horizontal="left" vertical="center" indent="2"/>
    </xf>
    <xf numFmtId="4" fontId="34" fillId="0" borderId="42" applyFill="0" applyBorder="0" applyProtection="0">
      <alignment horizontal="right" vertical="center"/>
    </xf>
    <xf numFmtId="49" fontId="33" fillId="0" borderId="42" applyNumberFormat="0" applyFill="0" applyBorder="0" applyProtection="0">
      <alignment horizontal="left" vertical="center"/>
    </xf>
    <xf numFmtId="0" fontId="34" fillId="0" borderId="45">
      <alignment horizontal="left" vertical="center" wrapText="1" indent="2"/>
    </xf>
    <xf numFmtId="0" fontId="62" fillId="56" borderId="38" applyNumberFormat="0" applyAlignment="0" applyProtection="0"/>
    <xf numFmtId="0" fontId="32" fillId="34" borderId="44">
      <alignment horizontal="right" vertical="center"/>
    </xf>
    <xf numFmtId="0" fontId="49" fillId="43" borderId="39" applyNumberFormat="0" applyAlignment="0" applyProtection="0"/>
    <xf numFmtId="0" fontId="32" fillId="34" borderId="44">
      <alignment horizontal="right" vertical="center"/>
    </xf>
    <xf numFmtId="4" fontId="32" fillId="34" borderId="42">
      <alignment horizontal="right" vertical="center"/>
    </xf>
    <xf numFmtId="0" fontId="32" fillId="34" borderId="42">
      <alignment horizontal="right" vertical="center"/>
    </xf>
    <xf numFmtId="0" fontId="43" fillId="56" borderId="38" applyNumberFormat="0" applyAlignment="0" applyProtection="0"/>
    <xf numFmtId="0" fontId="45" fillId="56" borderId="39" applyNumberFormat="0" applyAlignment="0" applyProtection="0"/>
    <xf numFmtId="0" fontId="50" fillId="0" borderId="40" applyNumberFormat="0" applyFill="0" applyAlignment="0" applyProtection="0"/>
    <xf numFmtId="0" fontId="34" fillId="33" borderId="42"/>
    <xf numFmtId="4" fontId="34" fillId="33" borderId="42"/>
    <xf numFmtId="4" fontId="32" fillId="34" borderId="42">
      <alignment horizontal="right" vertical="center"/>
    </xf>
    <xf numFmtId="0" fontId="36" fillId="32" borderId="42">
      <alignment horizontal="right" vertical="center"/>
    </xf>
    <xf numFmtId="0" fontId="49" fillId="43" borderId="39" applyNumberFormat="0" applyAlignment="0" applyProtection="0"/>
    <xf numFmtId="0" fontId="46" fillId="56" borderId="39" applyNumberFormat="0" applyAlignment="0" applyProtection="0"/>
    <xf numFmtId="4" fontId="34" fillId="0" borderId="42">
      <alignment horizontal="right" vertical="center"/>
    </xf>
    <xf numFmtId="0" fontId="34" fillId="34" borderId="45">
      <alignment horizontal="left" vertical="center" wrapText="1" indent="2"/>
    </xf>
    <xf numFmtId="0" fontId="34" fillId="0" borderId="45">
      <alignment horizontal="left" vertical="center" wrapText="1" indent="2"/>
    </xf>
    <xf numFmtId="0" fontId="62" fillId="56" borderId="38" applyNumberFormat="0" applyAlignment="0" applyProtection="0"/>
    <xf numFmtId="0" fontId="58" fillId="43" borderId="39" applyNumberFormat="0" applyAlignment="0" applyProtection="0"/>
    <xf numFmtId="0" fontId="45" fillId="56" borderId="39" applyNumberFormat="0" applyAlignment="0" applyProtection="0"/>
    <xf numFmtId="0" fontId="43" fillId="56" borderId="38" applyNumberFormat="0" applyAlignment="0" applyProtection="0"/>
    <xf numFmtId="0" fontId="32" fillId="34" borderId="44">
      <alignment horizontal="right" vertical="center"/>
    </xf>
    <xf numFmtId="0" fontId="36" fillId="32" borderId="42">
      <alignment horizontal="right" vertical="center"/>
    </xf>
    <xf numFmtId="4" fontId="32" fillId="32" borderId="42">
      <alignment horizontal="right" vertical="center"/>
    </xf>
    <xf numFmtId="4" fontId="32" fillId="34" borderId="42">
      <alignment horizontal="right" vertical="center"/>
    </xf>
    <xf numFmtId="49" fontId="34" fillId="0" borderId="43" applyNumberFormat="0" applyFont="0" applyFill="0" applyBorder="0" applyProtection="0">
      <alignment horizontal="left" vertical="center" indent="5"/>
    </xf>
    <xf numFmtId="4" fontId="34" fillId="0" borderId="42" applyFill="0" applyBorder="0" applyProtection="0">
      <alignment horizontal="right" vertical="center"/>
    </xf>
    <xf numFmtId="4" fontId="32" fillId="32" borderId="42">
      <alignment horizontal="right" vertical="center"/>
    </xf>
    <xf numFmtId="0" fontId="58" fillId="43" borderId="39" applyNumberFormat="0" applyAlignment="0" applyProtection="0"/>
    <xf numFmtId="0" fontId="49" fillId="43" borderId="39" applyNumberFormat="0" applyAlignment="0" applyProtection="0"/>
    <xf numFmtId="0" fontId="45" fillId="56" borderId="39" applyNumberFormat="0" applyAlignment="0" applyProtection="0"/>
    <xf numFmtId="0" fontId="34" fillId="34" borderId="45">
      <alignment horizontal="left" vertical="center" wrapText="1" indent="2"/>
    </xf>
    <xf numFmtId="0" fontId="34" fillId="0" borderId="45">
      <alignment horizontal="left" vertical="center" wrapText="1" indent="2"/>
    </xf>
    <xf numFmtId="0" fontId="34" fillId="34" borderId="45">
      <alignment horizontal="left" vertical="center" wrapText="1" indent="2"/>
    </xf>
    <xf numFmtId="0" fontId="34" fillId="0" borderId="45">
      <alignment horizontal="left" vertical="center" wrapText="1" indent="2"/>
    </xf>
    <xf numFmtId="0" fontId="43" fillId="56" borderId="38" applyNumberFormat="0" applyAlignment="0" applyProtection="0"/>
    <xf numFmtId="0" fontId="45" fillId="56" borderId="39" applyNumberFormat="0" applyAlignment="0" applyProtection="0"/>
    <xf numFmtId="0" fontId="46" fillId="56" borderId="39" applyNumberFormat="0" applyAlignment="0" applyProtection="0"/>
    <xf numFmtId="0" fontId="49" fillId="43" borderId="39" applyNumberFormat="0" applyAlignment="0" applyProtection="0"/>
    <xf numFmtId="0" fontId="50" fillId="0" borderId="40" applyNumberFormat="0" applyFill="0" applyAlignment="0" applyProtection="0"/>
    <xf numFmtId="0" fontId="58" fillId="43" borderId="39" applyNumberFormat="0" applyAlignment="0" applyProtection="0"/>
    <xf numFmtId="0" fontId="40" fillId="59" borderId="41" applyNumberFormat="0" applyFont="0" applyAlignment="0" applyProtection="0"/>
    <xf numFmtId="0" fontId="5" fillId="59" borderId="41" applyNumberFormat="0" applyFont="0" applyAlignment="0" applyProtection="0"/>
    <xf numFmtId="0" fontId="62" fillId="56" borderId="38" applyNumberFormat="0" applyAlignment="0" applyProtection="0"/>
    <xf numFmtId="0" fontId="65" fillId="0" borderId="40" applyNumberFormat="0" applyFill="0" applyAlignment="0" applyProtection="0"/>
    <xf numFmtId="0" fontId="46" fillId="56" borderId="39" applyNumberFormat="0" applyAlignment="0" applyProtection="0"/>
    <xf numFmtId="0" fontId="58" fillId="43" borderId="39" applyNumberFormat="0" applyAlignment="0" applyProtection="0"/>
    <xf numFmtId="0" fontId="40" fillId="59" borderId="41" applyNumberFormat="0" applyFont="0" applyAlignment="0" applyProtection="0"/>
    <xf numFmtId="0" fontId="62" fillId="56" borderId="38" applyNumberFormat="0" applyAlignment="0" applyProtection="0"/>
    <xf numFmtId="0" fontId="65" fillId="0" borderId="40" applyNumberFormat="0" applyFill="0" applyAlignment="0" applyProtection="0"/>
    <xf numFmtId="0" fontId="46" fillId="56" borderId="39" applyNumberFormat="0" applyAlignment="0" applyProtection="0"/>
    <xf numFmtId="0" fontId="58" fillId="43" borderId="39" applyNumberFormat="0" applyAlignment="0" applyProtection="0"/>
    <xf numFmtId="0" fontId="62" fillId="56" borderId="38" applyNumberFormat="0" applyAlignment="0" applyProtection="0"/>
    <xf numFmtId="0" fontId="65" fillId="0" borderId="40" applyNumberFormat="0" applyFill="0" applyAlignment="0" applyProtection="0"/>
    <xf numFmtId="0" fontId="43" fillId="56" borderId="38" applyNumberFormat="0" applyAlignment="0" applyProtection="0"/>
    <xf numFmtId="0" fontId="45" fillId="56" borderId="39" applyNumberFormat="0" applyAlignment="0" applyProtection="0"/>
    <xf numFmtId="0" fontId="50" fillId="0" borderId="40" applyNumberFormat="0" applyFill="0" applyAlignment="0" applyProtection="0"/>
    <xf numFmtId="49" fontId="34" fillId="0" borderId="42" applyNumberFormat="0" applyFont="0" applyFill="0" applyBorder="0" applyProtection="0">
      <alignment horizontal="left" vertical="center" indent="2"/>
    </xf>
    <xf numFmtId="0" fontId="32" fillId="32" borderId="42">
      <alignment horizontal="right" vertical="center"/>
    </xf>
    <xf numFmtId="4" fontId="32" fillId="32" borderId="42">
      <alignment horizontal="right" vertical="center"/>
    </xf>
    <xf numFmtId="0" fontId="36" fillId="32" borderId="42">
      <alignment horizontal="right" vertical="center"/>
    </xf>
    <xf numFmtId="4" fontId="36" fillId="32" borderId="42">
      <alignment horizontal="right" vertical="center"/>
    </xf>
    <xf numFmtId="0" fontId="32" fillId="34" borderId="42">
      <alignment horizontal="right" vertical="center"/>
    </xf>
    <xf numFmtId="4" fontId="32" fillId="34" borderId="42">
      <alignment horizontal="right" vertical="center"/>
    </xf>
    <xf numFmtId="0" fontId="32" fillId="34" borderId="42">
      <alignment horizontal="right" vertical="center"/>
    </xf>
    <xf numFmtId="4" fontId="32" fillId="34" borderId="42">
      <alignment horizontal="right" vertical="center"/>
    </xf>
    <xf numFmtId="0" fontId="49" fillId="43" borderId="39" applyNumberFormat="0" applyAlignment="0" applyProtection="0"/>
    <xf numFmtId="0" fontId="34" fillId="0" borderId="42">
      <alignment horizontal="right" vertical="center"/>
    </xf>
    <xf numFmtId="4" fontId="34" fillId="0" borderId="42">
      <alignment horizontal="right" vertical="center"/>
    </xf>
    <xf numFmtId="4" fontId="34" fillId="0" borderId="42" applyFill="0" applyBorder="0" applyProtection="0">
      <alignment horizontal="right" vertical="center"/>
    </xf>
    <xf numFmtId="49" fontId="33" fillId="0" borderId="42" applyNumberFormat="0" applyFill="0" applyBorder="0" applyProtection="0">
      <alignment horizontal="left" vertical="center"/>
    </xf>
    <xf numFmtId="0" fontId="34" fillId="0" borderId="42" applyNumberFormat="0" applyFill="0" applyAlignment="0" applyProtection="0"/>
    <xf numFmtId="173" fontId="34" fillId="60" borderId="42" applyNumberFormat="0" applyFont="0" applyBorder="0" applyAlignment="0" applyProtection="0">
      <alignment horizontal="right" vertical="center"/>
    </xf>
    <xf numFmtId="0" fontId="34" fillId="33" borderId="42"/>
    <xf numFmtId="4" fontId="34" fillId="33" borderId="42"/>
    <xf numFmtId="4" fontId="32" fillId="34" borderId="42">
      <alignment horizontal="right" vertical="center"/>
    </xf>
    <xf numFmtId="0" fontId="34" fillId="33" borderId="42"/>
    <xf numFmtId="0" fontId="45" fillId="56" borderId="39" applyNumberFormat="0" applyAlignment="0" applyProtection="0"/>
    <xf numFmtId="0" fontId="32" fillId="32" borderId="42">
      <alignment horizontal="right" vertical="center"/>
    </xf>
    <xf numFmtId="0" fontId="34" fillId="0" borderId="42">
      <alignment horizontal="right" vertical="center"/>
    </xf>
    <xf numFmtId="0" fontId="65" fillId="0" borderId="40" applyNumberFormat="0" applyFill="0" applyAlignment="0" applyProtection="0"/>
    <xf numFmtId="0" fontId="34" fillId="32" borderId="43">
      <alignment horizontal="left" vertical="center"/>
    </xf>
    <xf numFmtId="0" fontId="58" fillId="43" borderId="39" applyNumberFormat="0" applyAlignment="0" applyProtection="0"/>
    <xf numFmtId="173" fontId="34" fillId="60" borderId="42" applyNumberFormat="0" applyFont="0" applyBorder="0" applyAlignment="0" applyProtection="0">
      <alignment horizontal="right" vertical="center"/>
    </xf>
    <xf numFmtId="0" fontId="40" fillId="59" borderId="41" applyNumberFormat="0" applyFont="0" applyAlignment="0" applyProtection="0"/>
    <xf numFmtId="0" fontId="34" fillId="0" borderId="45">
      <alignment horizontal="left" vertical="center" wrapText="1" indent="2"/>
    </xf>
    <xf numFmtId="4" fontId="34" fillId="33" borderId="42"/>
    <xf numFmtId="49" fontId="33" fillId="0" borderId="42" applyNumberFormat="0" applyFill="0" applyBorder="0" applyProtection="0">
      <alignment horizontal="left" vertical="center"/>
    </xf>
    <xf numFmtId="0" fontId="34" fillId="0" borderId="42">
      <alignment horizontal="right" vertical="center"/>
    </xf>
    <xf numFmtId="4" fontId="32" fillId="34" borderId="44">
      <alignment horizontal="right" vertical="center"/>
    </xf>
    <xf numFmtId="4" fontId="32" fillId="34" borderId="42">
      <alignment horizontal="right" vertical="center"/>
    </xf>
    <xf numFmtId="4" fontId="32" fillId="34" borderId="42">
      <alignment horizontal="right" vertical="center"/>
    </xf>
    <xf numFmtId="0" fontId="36" fillId="32" borderId="42">
      <alignment horizontal="right" vertical="center"/>
    </xf>
    <xf numFmtId="0" fontId="32" fillId="32" borderId="42">
      <alignment horizontal="right" vertical="center"/>
    </xf>
    <xf numFmtId="49" fontId="34" fillId="0" borderId="42" applyNumberFormat="0" applyFont="0" applyFill="0" applyBorder="0" applyProtection="0">
      <alignment horizontal="left" vertical="center" indent="2"/>
    </xf>
    <xf numFmtId="0" fontId="58" fillId="43" borderId="39" applyNumberFormat="0" applyAlignment="0" applyProtection="0"/>
    <xf numFmtId="0" fontId="43" fillId="56" borderId="38" applyNumberFormat="0" applyAlignment="0" applyProtection="0"/>
    <xf numFmtId="49" fontId="34" fillId="0" borderId="42" applyNumberFormat="0" applyFont="0" applyFill="0" applyBorder="0" applyProtection="0">
      <alignment horizontal="left" vertical="center" indent="2"/>
    </xf>
    <xf numFmtId="0" fontId="49" fillId="43" borderId="39" applyNumberFormat="0" applyAlignment="0" applyProtection="0"/>
    <xf numFmtId="4" fontId="34" fillId="0" borderId="42" applyFill="0" applyBorder="0" applyProtection="0">
      <alignment horizontal="right" vertical="center"/>
    </xf>
    <xf numFmtId="0" fontId="46" fillId="56" borderId="39" applyNumberFormat="0" applyAlignment="0" applyProtection="0"/>
    <xf numFmtId="0" fontId="65" fillId="0" borderId="40" applyNumberFormat="0" applyFill="0" applyAlignment="0" applyProtection="0"/>
    <xf numFmtId="0" fontId="62" fillId="56" borderId="38" applyNumberFormat="0" applyAlignment="0" applyProtection="0"/>
    <xf numFmtId="0" fontId="34" fillId="0" borderId="42" applyNumberFormat="0" applyFill="0" applyAlignment="0" applyProtection="0"/>
    <xf numFmtId="4" fontId="34" fillId="0" borderId="42">
      <alignment horizontal="right" vertical="center"/>
    </xf>
    <xf numFmtId="0" fontId="34" fillId="0" borderId="42">
      <alignment horizontal="right" vertical="center"/>
    </xf>
    <xf numFmtId="0" fontId="58" fillId="43" borderId="39" applyNumberFormat="0" applyAlignment="0" applyProtection="0"/>
    <xf numFmtId="0" fontId="43" fillId="56" borderId="38" applyNumberFormat="0" applyAlignment="0" applyProtection="0"/>
    <xf numFmtId="0" fontId="45" fillId="56" borderId="39" applyNumberFormat="0" applyAlignment="0" applyProtection="0"/>
    <xf numFmtId="0" fontId="34" fillId="34" borderId="45">
      <alignment horizontal="left" vertical="center" wrapText="1" indent="2"/>
    </xf>
    <xf numFmtId="0" fontId="46" fillId="56" borderId="39" applyNumberFormat="0" applyAlignment="0" applyProtection="0"/>
    <xf numFmtId="0" fontId="46" fillId="56" borderId="39" applyNumberFormat="0" applyAlignment="0" applyProtection="0"/>
    <xf numFmtId="4" fontId="32" fillId="34" borderId="43">
      <alignment horizontal="right" vertical="center"/>
    </xf>
    <xf numFmtId="0" fontId="32" fillId="34" borderId="43">
      <alignment horizontal="right" vertical="center"/>
    </xf>
    <xf numFmtId="0" fontId="32" fillId="34" borderId="42">
      <alignment horizontal="right" vertical="center"/>
    </xf>
    <xf numFmtId="4" fontId="36" fillId="32" borderId="42">
      <alignment horizontal="right" vertical="center"/>
    </xf>
    <xf numFmtId="0" fontId="49" fillId="43" borderId="39" applyNumberFormat="0" applyAlignment="0" applyProtection="0"/>
    <xf numFmtId="0" fontId="50" fillId="0" borderId="40" applyNumberFormat="0" applyFill="0" applyAlignment="0" applyProtection="0"/>
    <xf numFmtId="0" fontId="65" fillId="0" borderId="40" applyNumberFormat="0" applyFill="0" applyAlignment="0" applyProtection="0"/>
    <xf numFmtId="0" fontId="40" fillId="59" borderId="41" applyNumberFormat="0" applyFont="0" applyAlignment="0" applyProtection="0"/>
    <xf numFmtId="0" fontId="58" fillId="43" borderId="39" applyNumberFormat="0" applyAlignment="0" applyProtection="0"/>
    <xf numFmtId="49" fontId="33" fillId="0" borderId="42" applyNumberFormat="0" applyFill="0" applyBorder="0" applyProtection="0">
      <alignment horizontal="left" vertical="center"/>
    </xf>
    <xf numFmtId="0" fontId="34" fillId="34" borderId="45">
      <alignment horizontal="left" vertical="center" wrapText="1" indent="2"/>
    </xf>
    <xf numFmtId="0" fontId="46" fillId="56" borderId="39" applyNumberFormat="0" applyAlignment="0" applyProtection="0"/>
    <xf numFmtId="0" fontId="34" fillId="0" borderId="45">
      <alignment horizontal="left" vertical="center" wrapText="1" indent="2"/>
    </xf>
    <xf numFmtId="0" fontId="40" fillId="59" borderId="41" applyNumberFormat="0" applyFont="0" applyAlignment="0" applyProtection="0"/>
    <xf numFmtId="0" fontId="5" fillId="59" borderId="41" applyNumberFormat="0" applyFont="0" applyAlignment="0" applyProtection="0"/>
    <xf numFmtId="0" fontId="62" fillId="56" borderId="38" applyNumberFormat="0" applyAlignment="0" applyProtection="0"/>
    <xf numFmtId="0" fontId="65" fillId="0" borderId="40" applyNumberFormat="0" applyFill="0" applyAlignment="0" applyProtection="0"/>
    <xf numFmtId="4" fontId="34" fillId="33" borderId="42"/>
    <xf numFmtId="0" fontId="32" fillId="34" borderId="42">
      <alignment horizontal="right" vertical="center"/>
    </xf>
    <xf numFmtId="0" fontId="65" fillId="0" borderId="40" applyNumberFormat="0" applyFill="0" applyAlignment="0" applyProtection="0"/>
    <xf numFmtId="4" fontId="32" fillId="34" borderId="44">
      <alignment horizontal="right" vertical="center"/>
    </xf>
    <xf numFmtId="0" fontId="45" fillId="56" borderId="39" applyNumberFormat="0" applyAlignment="0" applyProtection="0"/>
    <xf numFmtId="0" fontId="32" fillId="34" borderId="43">
      <alignment horizontal="right" vertical="center"/>
    </xf>
    <xf numFmtId="0" fontId="46" fillId="56" borderId="39" applyNumberFormat="0" applyAlignment="0" applyProtection="0"/>
    <xf numFmtId="0" fontId="50" fillId="0" borderId="40" applyNumberFormat="0" applyFill="0" applyAlignment="0" applyProtection="0"/>
    <xf numFmtId="0" fontId="40" fillId="59" borderId="41" applyNumberFormat="0" applyFont="0" applyAlignment="0" applyProtection="0"/>
    <xf numFmtId="4" fontId="32" fillId="34" borderId="43">
      <alignment horizontal="right" vertical="center"/>
    </xf>
    <xf numFmtId="0" fontId="34" fillId="34" borderId="45">
      <alignment horizontal="left" vertical="center" wrapText="1" indent="2"/>
    </xf>
    <xf numFmtId="0" fontId="34" fillId="33" borderId="42"/>
    <xf numFmtId="173" fontId="34" fillId="60" borderId="42" applyNumberFormat="0" applyFont="0" applyBorder="0" applyAlignment="0" applyProtection="0">
      <alignment horizontal="right" vertical="center"/>
    </xf>
    <xf numFmtId="0" fontId="34" fillId="0" borderId="42" applyNumberFormat="0" applyFill="0" applyAlignment="0" applyProtection="0"/>
    <xf numFmtId="4" fontId="34" fillId="0" borderId="42" applyFill="0" applyBorder="0" applyProtection="0">
      <alignment horizontal="right" vertical="center"/>
    </xf>
    <xf numFmtId="4" fontId="32" fillId="32" borderId="42">
      <alignment horizontal="right" vertical="center"/>
    </xf>
    <xf numFmtId="0" fontId="50" fillId="0" borderId="40" applyNumberFormat="0" applyFill="0" applyAlignment="0" applyProtection="0"/>
    <xf numFmtId="49" fontId="33" fillId="0" borderId="42" applyNumberFormat="0" applyFill="0" applyBorder="0" applyProtection="0">
      <alignment horizontal="left" vertical="center"/>
    </xf>
    <xf numFmtId="49" fontId="34" fillId="0" borderId="43" applyNumberFormat="0" applyFont="0" applyFill="0" applyBorder="0" applyProtection="0">
      <alignment horizontal="left" vertical="center" indent="5"/>
    </xf>
    <xf numFmtId="0" fontId="34" fillId="32" borderId="43">
      <alignment horizontal="left" vertical="center"/>
    </xf>
    <xf numFmtId="0" fontId="46" fillId="56" borderId="39" applyNumberFormat="0" applyAlignment="0" applyProtection="0"/>
    <xf numFmtId="4" fontId="32" fillId="34" borderId="44">
      <alignment horizontal="right" vertical="center"/>
    </xf>
    <xf numFmtId="0" fontId="58" fillId="43" borderId="39" applyNumberFormat="0" applyAlignment="0" applyProtection="0"/>
    <xf numFmtId="0" fontId="58" fillId="43" borderId="39" applyNumberFormat="0" applyAlignment="0" applyProtection="0"/>
    <xf numFmtId="0" fontId="40" fillId="59" borderId="41" applyNumberFormat="0" applyFont="0" applyAlignment="0" applyProtection="0"/>
    <xf numFmtId="0" fontId="62" fillId="56" borderId="38" applyNumberFormat="0" applyAlignment="0" applyProtection="0"/>
    <xf numFmtId="0" fontId="65" fillId="0" borderId="40" applyNumberFormat="0" applyFill="0" applyAlignment="0" applyProtection="0"/>
    <xf numFmtId="0" fontId="32" fillId="34" borderId="42">
      <alignment horizontal="right" vertical="center"/>
    </xf>
    <xf numFmtId="0" fontId="5" fillId="59" borderId="41" applyNumberFormat="0" applyFont="0" applyAlignment="0" applyProtection="0"/>
    <xf numFmtId="4" fontId="34" fillId="0" borderId="42">
      <alignment horizontal="right" vertical="center"/>
    </xf>
    <xf numFmtId="0" fontId="65" fillId="0" borderId="40" applyNumberFormat="0" applyFill="0" applyAlignment="0" applyProtection="0"/>
    <xf numFmtId="0" fontId="32" fillId="34" borderId="42">
      <alignment horizontal="right" vertical="center"/>
    </xf>
    <xf numFmtId="0" fontId="32" fillId="34" borderId="42">
      <alignment horizontal="right" vertical="center"/>
    </xf>
    <xf numFmtId="4" fontId="36" fillId="32" borderId="42">
      <alignment horizontal="right" vertical="center"/>
    </xf>
    <xf numFmtId="0" fontId="32" fillId="32" borderId="42">
      <alignment horizontal="right" vertical="center"/>
    </xf>
    <xf numFmtId="4" fontId="32" fillId="32" borderId="42">
      <alignment horizontal="right" vertical="center"/>
    </xf>
    <xf numFmtId="0" fontId="36" fillId="32" borderId="42">
      <alignment horizontal="right" vertical="center"/>
    </xf>
    <xf numFmtId="4" fontId="36" fillId="32" borderId="42">
      <alignment horizontal="right" vertical="center"/>
    </xf>
    <xf numFmtId="0" fontId="32" fillId="34" borderId="42">
      <alignment horizontal="right" vertical="center"/>
    </xf>
    <xf numFmtId="4" fontId="32" fillId="34" borderId="42">
      <alignment horizontal="right" vertical="center"/>
    </xf>
    <xf numFmtId="0" fontId="32" fillId="34" borderId="42">
      <alignment horizontal="right" vertical="center"/>
    </xf>
    <xf numFmtId="4" fontId="32" fillId="34" borderId="42">
      <alignment horizontal="right" vertical="center"/>
    </xf>
    <xf numFmtId="0" fontId="32" fillId="34" borderId="43">
      <alignment horizontal="right" vertical="center"/>
    </xf>
    <xf numFmtId="4" fontId="32" fillId="34" borderId="43">
      <alignment horizontal="right" vertical="center"/>
    </xf>
    <xf numFmtId="0" fontId="32" fillId="34" borderId="44">
      <alignment horizontal="right" vertical="center"/>
    </xf>
    <xf numFmtId="4" fontId="32" fillId="34" borderId="44">
      <alignment horizontal="right" vertical="center"/>
    </xf>
    <xf numFmtId="0" fontId="46" fillId="56" borderId="39" applyNumberFormat="0" applyAlignment="0" applyProtection="0"/>
    <xf numFmtId="0" fontId="34" fillId="34" borderId="45">
      <alignment horizontal="left" vertical="center" wrapText="1" indent="2"/>
    </xf>
    <xf numFmtId="0" fontId="34" fillId="0" borderId="45">
      <alignment horizontal="left" vertical="center" wrapText="1" indent="2"/>
    </xf>
    <xf numFmtId="0" fontId="34" fillId="32" borderId="43">
      <alignment horizontal="left" vertical="center"/>
    </xf>
    <xf numFmtId="0" fontId="58" fillId="43" borderId="39" applyNumberFormat="0" applyAlignment="0" applyProtection="0"/>
    <xf numFmtId="0" fontId="34" fillId="0" borderId="42">
      <alignment horizontal="right" vertical="center"/>
    </xf>
    <xf numFmtId="4" fontId="34" fillId="0" borderId="42">
      <alignment horizontal="right" vertical="center"/>
    </xf>
    <xf numFmtId="0" fontId="34" fillId="0" borderId="42" applyNumberFormat="0" applyFill="0" applyAlignment="0" applyProtection="0"/>
    <xf numFmtId="0" fontId="62" fillId="56" borderId="38" applyNumberFormat="0" applyAlignment="0" applyProtection="0"/>
    <xf numFmtId="173" fontId="34" fillId="60" borderId="42" applyNumberFormat="0" applyFont="0" applyBorder="0" applyAlignment="0" applyProtection="0">
      <alignment horizontal="right" vertical="center"/>
    </xf>
    <xf numFmtId="0" fontId="34" fillId="33" borderId="42"/>
    <xf numFmtId="4" fontId="34" fillId="33" borderId="42"/>
    <xf numFmtId="0" fontId="65" fillId="0" borderId="40" applyNumberFormat="0" applyFill="0" applyAlignment="0" applyProtection="0"/>
    <xf numFmtId="0" fontId="5" fillId="59" borderId="41" applyNumberFormat="0" applyFont="0" applyAlignment="0" applyProtection="0"/>
    <xf numFmtId="0" fontId="40" fillId="59" borderId="41" applyNumberFormat="0" applyFont="0" applyAlignment="0" applyProtection="0"/>
    <xf numFmtId="0" fontId="34" fillId="0" borderId="42" applyNumberFormat="0" applyFill="0" applyAlignment="0" applyProtection="0"/>
    <xf numFmtId="0" fontId="50" fillId="0" borderId="40" applyNumberFormat="0" applyFill="0" applyAlignment="0" applyProtection="0"/>
    <xf numFmtId="0" fontId="65" fillId="0" borderId="40" applyNumberFormat="0" applyFill="0" applyAlignment="0" applyProtection="0"/>
    <xf numFmtId="0" fontId="49" fillId="43" borderId="39" applyNumberFormat="0" applyAlignment="0" applyProtection="0"/>
    <xf numFmtId="0" fontId="46" fillId="56" borderId="39" applyNumberFormat="0" applyAlignment="0" applyProtection="0"/>
    <xf numFmtId="4" fontId="36" fillId="32" borderId="42">
      <alignment horizontal="right" vertical="center"/>
    </xf>
    <xf numFmtId="0" fontId="32" fillId="32" borderId="42">
      <alignment horizontal="right" vertical="center"/>
    </xf>
    <xf numFmtId="173" fontId="34" fillId="60" borderId="42" applyNumberFormat="0" applyFont="0" applyBorder="0" applyAlignment="0" applyProtection="0">
      <alignment horizontal="right" vertical="center"/>
    </xf>
    <xf numFmtId="0" fontId="50" fillId="0" borderId="40" applyNumberFormat="0" applyFill="0" applyAlignment="0" applyProtection="0"/>
    <xf numFmtId="49" fontId="34" fillId="0" borderId="42" applyNumberFormat="0" applyFont="0" applyFill="0" applyBorder="0" applyProtection="0">
      <alignment horizontal="left" vertical="center" indent="2"/>
    </xf>
    <xf numFmtId="49" fontId="34" fillId="0" borderId="43" applyNumberFormat="0" applyFont="0" applyFill="0" applyBorder="0" applyProtection="0">
      <alignment horizontal="left" vertical="center" indent="5"/>
    </xf>
    <xf numFmtId="49" fontId="34" fillId="0" borderId="42" applyNumberFormat="0" applyFont="0" applyFill="0" applyBorder="0" applyProtection="0">
      <alignment horizontal="left" vertical="center" indent="2"/>
    </xf>
    <xf numFmtId="4" fontId="34" fillId="0" borderId="42" applyFill="0" applyBorder="0" applyProtection="0">
      <alignment horizontal="right" vertical="center"/>
    </xf>
    <xf numFmtId="49" fontId="33" fillId="0" borderId="42" applyNumberFormat="0" applyFill="0" applyBorder="0" applyProtection="0">
      <alignment horizontal="left" vertical="center"/>
    </xf>
    <xf numFmtId="0" fontId="34" fillId="0" borderId="45">
      <alignment horizontal="left" vertical="center" wrapText="1" indent="2"/>
    </xf>
    <xf numFmtId="0" fontId="62" fillId="56" borderId="38" applyNumberFormat="0" applyAlignment="0" applyProtection="0"/>
    <xf numFmtId="0" fontId="32" fillId="34" borderId="44">
      <alignment horizontal="right" vertical="center"/>
    </xf>
    <xf numFmtId="0" fontId="49" fillId="43" borderId="39" applyNumberFormat="0" applyAlignment="0" applyProtection="0"/>
    <xf numFmtId="0" fontId="32" fillId="34" borderId="44">
      <alignment horizontal="right" vertical="center"/>
    </xf>
    <xf numFmtId="4" fontId="32" fillId="34" borderId="42">
      <alignment horizontal="right" vertical="center"/>
    </xf>
    <xf numFmtId="0" fontId="32" fillId="34" borderId="42">
      <alignment horizontal="right" vertical="center"/>
    </xf>
    <xf numFmtId="0" fontId="43" fillId="56" borderId="38" applyNumberFormat="0" applyAlignment="0" applyProtection="0"/>
    <xf numFmtId="0" fontId="45" fillId="56" borderId="39" applyNumberFormat="0" applyAlignment="0" applyProtection="0"/>
    <xf numFmtId="0" fontId="50" fillId="0" borderId="40" applyNumberFormat="0" applyFill="0" applyAlignment="0" applyProtection="0"/>
    <xf numFmtId="0" fontId="34" fillId="33" borderId="42"/>
    <xf numFmtId="4" fontId="34" fillId="33" borderId="42"/>
    <xf numFmtId="4" fontId="32" fillId="34" borderId="42">
      <alignment horizontal="right" vertical="center"/>
    </xf>
    <xf numFmtId="0" fontId="36" fillId="32" borderId="42">
      <alignment horizontal="right" vertical="center"/>
    </xf>
    <xf numFmtId="0" fontId="49" fillId="43" borderId="39" applyNumberFormat="0" applyAlignment="0" applyProtection="0"/>
    <xf numFmtId="0" fontId="46" fillId="56" borderId="39" applyNumberFormat="0" applyAlignment="0" applyProtection="0"/>
    <xf numFmtId="4" fontId="34" fillId="0" borderId="42">
      <alignment horizontal="right" vertical="center"/>
    </xf>
    <xf numFmtId="0" fontId="34" fillId="34" borderId="45">
      <alignment horizontal="left" vertical="center" wrapText="1" indent="2"/>
    </xf>
    <xf numFmtId="0" fontId="34" fillId="0" borderId="45">
      <alignment horizontal="left" vertical="center" wrapText="1" indent="2"/>
    </xf>
    <xf numFmtId="0" fontId="62" fillId="56" borderId="38" applyNumberFormat="0" applyAlignment="0" applyProtection="0"/>
    <xf numFmtId="0" fontId="58" fillId="43" borderId="39" applyNumberFormat="0" applyAlignment="0" applyProtection="0"/>
    <xf numFmtId="0" fontId="45" fillId="56" borderId="39" applyNumberFormat="0" applyAlignment="0" applyProtection="0"/>
    <xf numFmtId="0" fontId="43" fillId="56" borderId="38" applyNumberFormat="0" applyAlignment="0" applyProtection="0"/>
    <xf numFmtId="0" fontId="32" fillId="34" borderId="44">
      <alignment horizontal="right" vertical="center"/>
    </xf>
    <xf numFmtId="0" fontId="36" fillId="32" borderId="42">
      <alignment horizontal="right" vertical="center"/>
    </xf>
    <xf numFmtId="4" fontId="32" fillId="32" borderId="42">
      <alignment horizontal="right" vertical="center"/>
    </xf>
    <xf numFmtId="4" fontId="32" fillId="34" borderId="42">
      <alignment horizontal="right" vertical="center"/>
    </xf>
    <xf numFmtId="49" fontId="34" fillId="0" borderId="43" applyNumberFormat="0" applyFont="0" applyFill="0" applyBorder="0" applyProtection="0">
      <alignment horizontal="left" vertical="center" indent="5"/>
    </xf>
    <xf numFmtId="4" fontId="34" fillId="0" borderId="42" applyFill="0" applyBorder="0" applyProtection="0">
      <alignment horizontal="right" vertical="center"/>
    </xf>
    <xf numFmtId="4" fontId="32" fillId="32" borderId="42">
      <alignment horizontal="right" vertical="center"/>
    </xf>
    <xf numFmtId="0" fontId="58" fillId="43" borderId="39" applyNumberFormat="0" applyAlignment="0" applyProtection="0"/>
    <xf numFmtId="0" fontId="49" fillId="43" borderId="39" applyNumberFormat="0" applyAlignment="0" applyProtection="0"/>
    <xf numFmtId="0" fontId="45" fillId="56" borderId="39" applyNumberFormat="0" applyAlignment="0" applyProtection="0"/>
    <xf numFmtId="0" fontId="34" fillId="34" borderId="45">
      <alignment horizontal="left" vertical="center" wrapText="1" indent="2"/>
    </xf>
    <xf numFmtId="0" fontId="34" fillId="0" borderId="45">
      <alignment horizontal="left" vertical="center" wrapText="1" indent="2"/>
    </xf>
    <xf numFmtId="0" fontId="34" fillId="34" borderId="45">
      <alignment horizontal="left" vertical="center" wrapText="1" indent="2"/>
    </xf>
    <xf numFmtId="4" fontId="32" fillId="32" borderId="47">
      <alignment horizontal="right" vertical="center"/>
    </xf>
    <xf numFmtId="0" fontId="62" fillId="56" borderId="51" applyNumberFormat="0" applyAlignment="0" applyProtection="0"/>
    <xf numFmtId="0" fontId="65" fillId="0" borderId="53" applyNumberFormat="0" applyFill="0" applyAlignment="0" applyProtection="0"/>
    <xf numFmtId="0" fontId="45" fillId="56" borderId="52" applyNumberFormat="0" applyAlignment="0" applyProtection="0"/>
    <xf numFmtId="0" fontId="58" fillId="43" borderId="52" applyNumberFormat="0" applyAlignment="0" applyProtection="0"/>
    <xf numFmtId="0" fontId="5" fillId="59" borderId="46" applyNumberFormat="0" applyFont="0" applyAlignment="0" applyProtection="0"/>
    <xf numFmtId="0" fontId="34" fillId="33" borderId="47"/>
    <xf numFmtId="173" fontId="34" fillId="60" borderId="47" applyNumberFormat="0" applyFont="0" applyBorder="0" applyAlignment="0" applyProtection="0">
      <alignment horizontal="right" vertical="center"/>
    </xf>
    <xf numFmtId="0" fontId="34" fillId="0" borderId="50">
      <alignment horizontal="left" vertical="center" wrapText="1" indent="2"/>
    </xf>
    <xf numFmtId="0" fontId="58" fillId="43" borderId="52" applyNumberFormat="0" applyAlignment="0" applyProtection="0"/>
    <xf numFmtId="0" fontId="34" fillId="34" borderId="50">
      <alignment horizontal="left" vertical="center" wrapText="1" indent="2"/>
    </xf>
    <xf numFmtId="0" fontId="32" fillId="32" borderId="47">
      <alignment horizontal="right" vertical="center"/>
    </xf>
    <xf numFmtId="0" fontId="40" fillId="59" borderId="46" applyNumberFormat="0" applyFont="0" applyAlignment="0" applyProtection="0"/>
    <xf numFmtId="4" fontId="36" fillId="32" borderId="47">
      <alignment horizontal="right" vertical="center"/>
    </xf>
    <xf numFmtId="4" fontId="36" fillId="32" borderId="47">
      <alignment horizontal="right" vertical="center"/>
    </xf>
    <xf numFmtId="0" fontId="36" fillId="32" borderId="47">
      <alignment horizontal="right" vertical="center"/>
    </xf>
    <xf numFmtId="0" fontId="32" fillId="34" borderId="47">
      <alignment horizontal="right" vertical="center"/>
    </xf>
    <xf numFmtId="4" fontId="34" fillId="33" borderId="47"/>
    <xf numFmtId="173" fontId="34" fillId="60" borderId="47" applyNumberFormat="0" applyFont="0" applyBorder="0" applyAlignment="0" applyProtection="0">
      <alignment horizontal="right" vertical="center"/>
    </xf>
    <xf numFmtId="173" fontId="34" fillId="60" borderId="47" applyNumberFormat="0" applyFont="0" applyBorder="0" applyAlignment="0" applyProtection="0">
      <alignment horizontal="right" vertical="center"/>
    </xf>
    <xf numFmtId="0" fontId="62" fillId="56" borderId="51" applyNumberFormat="0" applyAlignment="0" applyProtection="0"/>
    <xf numFmtId="0" fontId="28" fillId="13" borderId="14" applyNumberFormat="0" applyAlignment="0" applyProtection="0"/>
    <xf numFmtId="0" fontId="29" fillId="13" borderId="13" applyNumberFormat="0" applyAlignment="0" applyProtection="0"/>
    <xf numFmtId="0" fontId="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" fillId="0" borderId="15" applyNumberFormat="0" applyFill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12" fillId="16" borderId="0" applyNumberFormat="0" applyBorder="0" applyAlignment="0" applyProtection="0"/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12" fillId="19" borderId="0" applyNumberFormat="0" applyBorder="0" applyAlignment="0" applyProtection="0"/>
    <xf numFmtId="0" fontId="26" fillId="20" borderId="0" applyNumberFormat="0" applyBorder="0" applyAlignment="0" applyProtection="0"/>
    <xf numFmtId="0" fontId="26" fillId="21" borderId="0" applyNumberFormat="0" applyBorder="0" applyAlignment="0" applyProtection="0"/>
    <xf numFmtId="0" fontId="12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12" fillId="25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12" fillId="28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12" fillId="31" borderId="0" applyNumberFormat="0" applyBorder="0" applyAlignment="0" applyProtection="0"/>
    <xf numFmtId="4" fontId="32" fillId="32" borderId="47">
      <alignment horizontal="right" vertical="center"/>
    </xf>
    <xf numFmtId="0" fontId="34" fillId="0" borderId="47" applyNumberFormat="0" applyFill="0" applyAlignment="0" applyProtection="0"/>
    <xf numFmtId="0" fontId="49" fillId="43" borderId="52" applyNumberFormat="0" applyAlignment="0" applyProtection="0"/>
    <xf numFmtId="4" fontId="34" fillId="33" borderId="47"/>
    <xf numFmtId="0" fontId="34" fillId="0" borderId="50">
      <alignment horizontal="left" vertical="center" wrapText="1" indent="2"/>
    </xf>
    <xf numFmtId="0" fontId="34" fillId="0" borderId="47" applyNumberFormat="0" applyFill="0" applyAlignment="0" applyProtection="0"/>
    <xf numFmtId="0" fontId="28" fillId="13" borderId="14" applyNumberFormat="0" applyAlignment="0" applyProtection="0"/>
    <xf numFmtId="0" fontId="32" fillId="34" borderId="48">
      <alignment horizontal="right" vertical="center"/>
    </xf>
    <xf numFmtId="0" fontId="32" fillId="34" borderId="47">
      <alignment horizontal="right" vertical="center"/>
    </xf>
    <xf numFmtId="0" fontId="32" fillId="34" borderId="47">
      <alignment horizontal="right" vertical="center"/>
    </xf>
    <xf numFmtId="0" fontId="36" fillId="32" borderId="47">
      <alignment horizontal="right" vertical="center"/>
    </xf>
    <xf numFmtId="0" fontId="32" fillId="32" borderId="47">
      <alignment horizontal="right" vertical="center"/>
    </xf>
    <xf numFmtId="0" fontId="32" fillId="34" borderId="47">
      <alignment horizontal="right" vertical="center"/>
    </xf>
    <xf numFmtId="4" fontId="34" fillId="0" borderId="47">
      <alignment horizontal="right" vertical="center"/>
    </xf>
    <xf numFmtId="0" fontId="5" fillId="59" borderId="46" applyNumberFormat="0" applyFont="0" applyAlignment="0" applyProtection="0"/>
    <xf numFmtId="0" fontId="32" fillId="34" borderId="47">
      <alignment horizontal="right" vertical="center"/>
    </xf>
    <xf numFmtId="4" fontId="32" fillId="34" borderId="49">
      <alignment horizontal="right" vertical="center"/>
    </xf>
    <xf numFmtId="0" fontId="32" fillId="34" borderId="47">
      <alignment horizontal="right" vertical="center"/>
    </xf>
    <xf numFmtId="0" fontId="65" fillId="0" borderId="53" applyNumberFormat="0" applyFill="0" applyAlignment="0" applyProtection="0"/>
    <xf numFmtId="0" fontId="5" fillId="59" borderId="46" applyNumberFormat="0" applyFont="0" applyAlignment="0" applyProtection="0"/>
    <xf numFmtId="0" fontId="34" fillId="0" borderId="50">
      <alignment horizontal="left" vertical="center" wrapText="1" indent="2"/>
    </xf>
    <xf numFmtId="0" fontId="34" fillId="34" borderId="50">
      <alignment horizontal="left" vertical="center" wrapText="1" indent="2"/>
    </xf>
    <xf numFmtId="0" fontId="40" fillId="59" borderId="46" applyNumberFormat="0" applyFont="0" applyAlignment="0" applyProtection="0"/>
    <xf numFmtId="0" fontId="65" fillId="0" borderId="53" applyNumberFormat="0" applyFill="0" applyAlignment="0" applyProtection="0"/>
    <xf numFmtId="0" fontId="50" fillId="0" borderId="53" applyNumberFormat="0" applyFill="0" applyAlignment="0" applyProtection="0"/>
    <xf numFmtId="49" fontId="34" fillId="0" borderId="47" applyNumberFormat="0" applyFont="0" applyFill="0" applyBorder="0" applyProtection="0">
      <alignment horizontal="left" vertical="center" indent="2"/>
    </xf>
    <xf numFmtId="0" fontId="36" fillId="32" borderId="47">
      <alignment horizontal="right" vertical="center"/>
    </xf>
    <xf numFmtId="4" fontId="32" fillId="34" borderId="47">
      <alignment horizontal="right" vertical="center"/>
    </xf>
    <xf numFmtId="0" fontId="34" fillId="0" borderId="47">
      <alignment horizontal="right" vertical="center"/>
    </xf>
    <xf numFmtId="4" fontId="34" fillId="33" borderId="47"/>
    <xf numFmtId="0" fontId="40" fillId="59" borderId="46" applyNumberFormat="0" applyFont="0" applyAlignment="0" applyProtection="0"/>
    <xf numFmtId="0" fontId="58" fillId="43" borderId="52" applyNumberFormat="0" applyAlignment="0" applyProtection="0"/>
    <xf numFmtId="0" fontId="34" fillId="0" borderId="47">
      <alignment horizontal="right" vertical="center"/>
    </xf>
    <xf numFmtId="0" fontId="34" fillId="33" borderId="47"/>
    <xf numFmtId="0" fontId="34" fillId="33" borderId="47"/>
    <xf numFmtId="49" fontId="33" fillId="0" borderId="47" applyNumberFormat="0" applyFill="0" applyBorder="0" applyProtection="0">
      <alignment horizontal="left" vertical="center"/>
    </xf>
    <xf numFmtId="0" fontId="34" fillId="0" borderId="47">
      <alignment horizontal="right" vertical="center"/>
    </xf>
    <xf numFmtId="0" fontId="32" fillId="34" borderId="47">
      <alignment horizontal="right" vertical="center"/>
    </xf>
    <xf numFmtId="4" fontId="32" fillId="34" borderId="47">
      <alignment horizontal="right" vertical="center"/>
    </xf>
    <xf numFmtId="4" fontId="36" fillId="32" borderId="47">
      <alignment horizontal="right" vertical="center"/>
    </xf>
    <xf numFmtId="0" fontId="32" fillId="32" borderId="47">
      <alignment horizontal="right" vertical="center"/>
    </xf>
    <xf numFmtId="0" fontId="43" fillId="56" borderId="51" applyNumberFormat="0" applyAlignment="0" applyProtection="0"/>
    <xf numFmtId="0" fontId="34" fillId="34" borderId="50">
      <alignment horizontal="left" vertical="center" wrapText="1" indent="2"/>
    </xf>
    <xf numFmtId="0" fontId="50" fillId="0" borderId="53" applyNumberFormat="0" applyFill="0" applyAlignment="0" applyProtection="0"/>
    <xf numFmtId="0" fontId="65" fillId="0" borderId="53" applyNumberFormat="0" applyFill="0" applyAlignment="0" applyProtection="0"/>
    <xf numFmtId="0" fontId="32" fillId="34" borderId="47">
      <alignment horizontal="right" vertical="center"/>
    </xf>
    <xf numFmtId="0" fontId="34" fillId="33" borderId="47"/>
    <xf numFmtId="0" fontId="32" fillId="34" borderId="47">
      <alignment horizontal="right" vertical="center"/>
    </xf>
    <xf numFmtId="0" fontId="32" fillId="34" borderId="48">
      <alignment horizontal="right" vertical="center"/>
    </xf>
    <xf numFmtId="4" fontId="32" fillId="34" borderId="48">
      <alignment horizontal="right" vertical="center"/>
    </xf>
    <xf numFmtId="0" fontId="46" fillId="56" borderId="52" applyNumberFormat="0" applyAlignment="0" applyProtection="0"/>
    <xf numFmtId="0" fontId="46" fillId="56" borderId="52" applyNumberFormat="0" applyAlignment="0" applyProtection="0"/>
    <xf numFmtId="0" fontId="34" fillId="34" borderId="50">
      <alignment horizontal="left" vertical="center" wrapText="1" indent="2"/>
    </xf>
    <xf numFmtId="4" fontId="32" fillId="34" borderId="47">
      <alignment horizontal="right" vertical="center"/>
    </xf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34" fillId="33" borderId="47"/>
    <xf numFmtId="4" fontId="34" fillId="0" borderId="47">
      <alignment horizontal="right" vertical="center"/>
    </xf>
    <xf numFmtId="0" fontId="34" fillId="0" borderId="47">
      <alignment horizontal="right" vertical="center"/>
    </xf>
    <xf numFmtId="0" fontId="34" fillId="0" borderId="50">
      <alignment horizontal="left" vertical="center" wrapText="1" indent="2"/>
    </xf>
    <xf numFmtId="0" fontId="26" fillId="27" borderId="0" applyNumberFormat="0" applyBorder="0" applyAlignment="0" applyProtection="0"/>
    <xf numFmtId="0" fontId="26" fillId="18" borderId="0" applyNumberFormat="0" applyBorder="0" applyAlignment="0" applyProtection="0"/>
    <xf numFmtId="0" fontId="43" fillId="56" borderId="51" applyNumberFormat="0" applyAlignment="0" applyProtection="0"/>
    <xf numFmtId="49" fontId="34" fillId="0" borderId="47" applyNumberFormat="0" applyFont="0" applyFill="0" applyBorder="0" applyProtection="0">
      <alignment horizontal="left" vertical="center" indent="2"/>
    </xf>
    <xf numFmtId="4" fontId="32" fillId="34" borderId="47">
      <alignment horizontal="right" vertical="center"/>
    </xf>
    <xf numFmtId="4" fontId="32" fillId="34" borderId="47">
      <alignment horizontal="right" vertical="center"/>
    </xf>
    <xf numFmtId="4" fontId="36" fillId="32" borderId="47">
      <alignment horizontal="right" vertical="center"/>
    </xf>
    <xf numFmtId="4" fontId="32" fillId="32" borderId="47">
      <alignment horizontal="right" vertical="center"/>
    </xf>
    <xf numFmtId="4" fontId="36" fillId="32" borderId="47">
      <alignment horizontal="right" vertical="center"/>
    </xf>
    <xf numFmtId="0" fontId="32" fillId="34" borderId="47">
      <alignment horizontal="right" vertical="center"/>
    </xf>
    <xf numFmtId="0" fontId="65" fillId="0" borderId="53" applyNumberFormat="0" applyFill="0" applyAlignment="0" applyProtection="0"/>
    <xf numFmtId="4" fontId="34" fillId="33" borderId="47"/>
    <xf numFmtId="0" fontId="62" fillId="56" borderId="51" applyNumberFormat="0" applyAlignment="0" applyProtection="0"/>
    <xf numFmtId="0" fontId="40" fillId="59" borderId="46" applyNumberFormat="0" applyFont="0" applyAlignment="0" applyProtection="0"/>
    <xf numFmtId="0" fontId="46" fillId="56" borderId="52" applyNumberFormat="0" applyAlignment="0" applyProtection="0"/>
    <xf numFmtId="49" fontId="33" fillId="0" borderId="47" applyNumberFormat="0" applyFill="0" applyBorder="0" applyProtection="0">
      <alignment horizontal="left" vertical="center"/>
    </xf>
    <xf numFmtId="0" fontId="32" fillId="32" borderId="47">
      <alignment horizontal="right" vertical="center"/>
    </xf>
    <xf numFmtId="4" fontId="32" fillId="34" borderId="47">
      <alignment horizontal="right" vertical="center"/>
    </xf>
    <xf numFmtId="4" fontId="32" fillId="34" borderId="49">
      <alignment horizontal="right" vertical="center"/>
    </xf>
    <xf numFmtId="49" fontId="33" fillId="0" borderId="47" applyNumberFormat="0" applyFill="0" applyBorder="0" applyProtection="0">
      <alignment horizontal="left" vertical="center"/>
    </xf>
    <xf numFmtId="0" fontId="34" fillId="0" borderId="50">
      <alignment horizontal="left" vertical="center" wrapText="1" indent="2"/>
    </xf>
    <xf numFmtId="173" fontId="34" fillId="60" borderId="47" applyNumberFormat="0" applyFont="0" applyBorder="0" applyAlignment="0" applyProtection="0">
      <alignment horizontal="right" vertical="center"/>
    </xf>
    <xf numFmtId="0" fontId="34" fillId="32" borderId="48">
      <alignment horizontal="left" vertical="center"/>
    </xf>
    <xf numFmtId="0" fontId="32" fillId="32" borderId="47">
      <alignment horizontal="right" vertical="center"/>
    </xf>
    <xf numFmtId="4" fontId="32" fillId="34" borderId="47">
      <alignment horizontal="right" vertical="center"/>
    </xf>
    <xf numFmtId="173" fontId="34" fillId="60" borderId="47" applyNumberFormat="0" applyFont="0" applyBorder="0" applyAlignment="0" applyProtection="0">
      <alignment horizontal="right" vertical="center"/>
    </xf>
    <xf numFmtId="4" fontId="34" fillId="0" borderId="47" applyFill="0" applyBorder="0" applyProtection="0">
      <alignment horizontal="right" vertical="center"/>
    </xf>
    <xf numFmtId="0" fontId="49" fillId="43" borderId="52" applyNumberFormat="0" applyAlignment="0" applyProtection="0"/>
    <xf numFmtId="4" fontId="32" fillId="34" borderId="47">
      <alignment horizontal="right" vertical="center"/>
    </xf>
    <xf numFmtId="49" fontId="33" fillId="0" borderId="47" applyNumberFormat="0" applyFill="0" applyBorder="0" applyProtection="0">
      <alignment horizontal="left" vertical="center"/>
    </xf>
    <xf numFmtId="0" fontId="34" fillId="0" borderId="47" applyNumberFormat="0" applyFill="0" applyAlignment="0" applyProtection="0"/>
    <xf numFmtId="0" fontId="34" fillId="0" borderId="47">
      <alignment horizontal="right" vertical="center"/>
    </xf>
    <xf numFmtId="0" fontId="34" fillId="32" borderId="48">
      <alignment horizontal="left" vertical="center"/>
    </xf>
    <xf numFmtId="0" fontId="34" fillId="34" borderId="50">
      <alignment horizontal="left" vertical="center" wrapText="1" indent="2"/>
    </xf>
    <xf numFmtId="4" fontId="32" fillId="34" borderId="49">
      <alignment horizontal="right" vertical="center"/>
    </xf>
    <xf numFmtId="4" fontId="32" fillId="34" borderId="48">
      <alignment horizontal="right" vertical="center"/>
    </xf>
    <xf numFmtId="4" fontId="34" fillId="0" borderId="47" applyFill="0" applyBorder="0" applyProtection="0">
      <alignment horizontal="right" vertical="center"/>
    </xf>
    <xf numFmtId="173" fontId="34" fillId="60" borderId="47" applyNumberFormat="0" applyFont="0" applyBorder="0" applyAlignment="0" applyProtection="0">
      <alignment horizontal="right" vertical="center"/>
    </xf>
    <xf numFmtId="0" fontId="34" fillId="34" borderId="50">
      <alignment horizontal="left" vertical="center" wrapText="1" indent="2"/>
    </xf>
    <xf numFmtId="0" fontId="40" fillId="59" borderId="46" applyNumberFormat="0" applyFont="0" applyAlignment="0" applyProtection="0"/>
    <xf numFmtId="0" fontId="46" fillId="56" borderId="52" applyNumberFormat="0" applyAlignment="0" applyProtection="0"/>
    <xf numFmtId="0" fontId="45" fillId="56" borderId="52" applyNumberFormat="0" applyAlignment="0" applyProtection="0"/>
    <xf numFmtId="0" fontId="34" fillId="0" borderId="47">
      <alignment horizontal="right" vertical="center"/>
    </xf>
    <xf numFmtId="0" fontId="34" fillId="0" borderId="47" applyNumberFormat="0" applyFill="0" applyAlignment="0" applyProtection="0"/>
    <xf numFmtId="0" fontId="65" fillId="0" borderId="53" applyNumberFormat="0" applyFill="0" applyAlignment="0" applyProtection="0"/>
    <xf numFmtId="4" fontId="34" fillId="0" borderId="47" applyFill="0" applyBorder="0" applyProtection="0">
      <alignment horizontal="right" vertical="center"/>
    </xf>
    <xf numFmtId="49" fontId="34" fillId="0" borderId="47" applyNumberFormat="0" applyFont="0" applyFill="0" applyBorder="0" applyProtection="0">
      <alignment horizontal="left" vertical="center" indent="2"/>
    </xf>
    <xf numFmtId="0" fontId="58" fillId="43" borderId="52" applyNumberFormat="0" applyAlignment="0" applyProtection="0"/>
    <xf numFmtId="0" fontId="40" fillId="59" borderId="46" applyNumberFormat="0" applyFont="0" applyAlignment="0" applyProtection="0"/>
    <xf numFmtId="0" fontId="34" fillId="0" borderId="50">
      <alignment horizontal="left" vertical="center" wrapText="1" indent="2"/>
    </xf>
    <xf numFmtId="4" fontId="32" fillId="32" borderId="47">
      <alignment horizontal="right" vertical="center"/>
    </xf>
    <xf numFmtId="173" fontId="34" fillId="60" borderId="47" applyNumberFormat="0" applyFont="0" applyBorder="0" applyAlignment="0" applyProtection="0">
      <alignment horizontal="right" vertical="center"/>
    </xf>
    <xf numFmtId="0" fontId="32" fillId="34" borderId="49">
      <alignment horizontal="right" vertical="center"/>
    </xf>
    <xf numFmtId="0" fontId="32" fillId="34" borderId="48">
      <alignment horizontal="right" vertical="center"/>
    </xf>
    <xf numFmtId="0" fontId="34" fillId="0" borderId="47" applyNumberFormat="0" applyFill="0" applyAlignment="0" applyProtection="0"/>
    <xf numFmtId="4" fontId="32" fillId="34" borderId="49">
      <alignment horizontal="right" vertical="center"/>
    </xf>
    <xf numFmtId="0" fontId="65" fillId="0" borderId="53" applyNumberFormat="0" applyFill="0" applyAlignment="0" applyProtection="0"/>
    <xf numFmtId="0" fontId="34" fillId="0" borderId="50">
      <alignment horizontal="left" vertical="center" wrapText="1" indent="2"/>
    </xf>
    <xf numFmtId="0" fontId="50" fillId="0" borderId="53" applyNumberFormat="0" applyFill="0" applyAlignment="0" applyProtection="0"/>
    <xf numFmtId="0" fontId="65" fillId="0" borderId="53" applyNumberFormat="0" applyFill="0" applyAlignment="0" applyProtection="0"/>
    <xf numFmtId="0" fontId="62" fillId="56" borderId="51" applyNumberFormat="0" applyAlignment="0" applyProtection="0"/>
    <xf numFmtId="0" fontId="26" fillId="14" borderId="0" applyNumberFormat="0" applyBorder="0" applyAlignment="0" applyProtection="0"/>
    <xf numFmtId="0" fontId="34" fillId="34" borderId="50">
      <alignment horizontal="left" vertical="center" wrapText="1" indent="2"/>
    </xf>
    <xf numFmtId="0" fontId="32" fillId="34" borderId="47">
      <alignment horizontal="right" vertical="center"/>
    </xf>
    <xf numFmtId="4" fontId="32" fillId="34" borderId="49">
      <alignment horizontal="right" vertical="center"/>
    </xf>
    <xf numFmtId="0" fontId="32" fillId="32" borderId="47">
      <alignment horizontal="right" vertical="center"/>
    </xf>
    <xf numFmtId="4" fontId="32" fillId="34" borderId="47">
      <alignment horizontal="right" vertical="center"/>
    </xf>
    <xf numFmtId="0" fontId="32" fillId="34" borderId="49">
      <alignment horizontal="right" vertical="center"/>
    </xf>
    <xf numFmtId="4" fontId="36" fillId="32" borderId="47">
      <alignment horizontal="right" vertical="center"/>
    </xf>
    <xf numFmtId="0" fontId="50" fillId="0" borderId="53" applyNumberFormat="0" applyFill="0" applyAlignment="0" applyProtection="0"/>
    <xf numFmtId="0" fontId="65" fillId="0" borderId="53" applyNumberFormat="0" applyFill="0" applyAlignment="0" applyProtection="0"/>
    <xf numFmtId="0" fontId="58" fillId="43" borderId="52" applyNumberFormat="0" applyAlignment="0" applyProtection="0"/>
    <xf numFmtId="4" fontId="36" fillId="32" borderId="47">
      <alignment horizontal="right" vertical="center"/>
    </xf>
    <xf numFmtId="0" fontId="65" fillId="0" borderId="53" applyNumberFormat="0" applyFill="0" applyAlignment="0" applyProtection="0"/>
    <xf numFmtId="0" fontId="45" fillId="56" borderId="52" applyNumberFormat="0" applyAlignment="0" applyProtection="0"/>
    <xf numFmtId="4" fontId="34" fillId="33" borderId="47"/>
    <xf numFmtId="0" fontId="34" fillId="0" borderId="47" applyNumberFormat="0" applyFill="0" applyAlignment="0" applyProtection="0"/>
    <xf numFmtId="4" fontId="34" fillId="0" borderId="47">
      <alignment horizontal="right" vertical="center"/>
    </xf>
    <xf numFmtId="4" fontId="32" fillId="34" borderId="47">
      <alignment horizontal="right" vertical="center"/>
    </xf>
    <xf numFmtId="0" fontId="34" fillId="0" borderId="47" applyNumberFormat="0" applyFill="0" applyAlignment="0" applyProtection="0"/>
    <xf numFmtId="4" fontId="32" fillId="34" borderId="49">
      <alignment horizontal="right" vertical="center"/>
    </xf>
    <xf numFmtId="4" fontId="34" fillId="0" borderId="47" applyFill="0" applyBorder="0" applyProtection="0">
      <alignment horizontal="right" vertical="center"/>
    </xf>
    <xf numFmtId="0" fontId="62" fillId="56" borderId="51" applyNumberFormat="0" applyAlignment="0" applyProtection="0"/>
    <xf numFmtId="4" fontId="34" fillId="0" borderId="47">
      <alignment horizontal="right" vertical="center"/>
    </xf>
    <xf numFmtId="0" fontId="58" fillId="43" borderId="52" applyNumberFormat="0" applyAlignment="0" applyProtection="0"/>
    <xf numFmtId="0" fontId="34" fillId="0" borderId="50">
      <alignment horizontal="left" vertical="center" wrapText="1" indent="2"/>
    </xf>
    <xf numFmtId="0" fontId="46" fillId="56" borderId="52" applyNumberFormat="0" applyAlignment="0" applyProtection="0"/>
    <xf numFmtId="0" fontId="32" fillId="34" borderId="49">
      <alignment horizontal="right" vertical="center"/>
    </xf>
    <xf numFmtId="4" fontId="32" fillId="32" borderId="47">
      <alignment horizontal="right" vertical="center"/>
    </xf>
    <xf numFmtId="0" fontId="34" fillId="0" borderId="47" applyNumberFormat="0" applyFill="0" applyAlignment="0" applyProtection="0"/>
    <xf numFmtId="0" fontId="34" fillId="33" borderId="47"/>
    <xf numFmtId="4" fontId="32" fillId="34" borderId="48">
      <alignment horizontal="right" vertical="center"/>
    </xf>
    <xf numFmtId="0" fontId="50" fillId="0" borderId="53" applyNumberFormat="0" applyFill="0" applyAlignment="0" applyProtection="0"/>
    <xf numFmtId="0" fontId="32" fillId="34" borderId="48">
      <alignment horizontal="right" vertical="center"/>
    </xf>
    <xf numFmtId="0" fontId="58" fillId="43" borderId="52" applyNumberFormat="0" applyAlignment="0" applyProtection="0"/>
    <xf numFmtId="4" fontId="34" fillId="0" borderId="47">
      <alignment horizontal="right" vertical="center"/>
    </xf>
    <xf numFmtId="0" fontId="62" fillId="56" borderId="51" applyNumberFormat="0" applyAlignment="0" applyProtection="0"/>
    <xf numFmtId="0" fontId="46" fillId="56" borderId="52" applyNumberFormat="0" applyAlignment="0" applyProtection="0"/>
    <xf numFmtId="0" fontId="49" fillId="43" borderId="52" applyNumberFormat="0" applyAlignment="0" applyProtection="0"/>
    <xf numFmtId="0" fontId="43" fillId="56" borderId="51" applyNumberFormat="0" applyAlignment="0" applyProtection="0"/>
    <xf numFmtId="0" fontId="45" fillId="56" borderId="52" applyNumberFormat="0" applyAlignment="0" applyProtection="0"/>
    <xf numFmtId="0" fontId="34" fillId="0" borderId="47">
      <alignment horizontal="right" vertical="center"/>
    </xf>
    <xf numFmtId="0" fontId="65" fillId="0" borderId="53" applyNumberFormat="0" applyFill="0" applyAlignment="0" applyProtection="0"/>
    <xf numFmtId="0" fontId="49" fillId="43" borderId="52" applyNumberFormat="0" applyAlignment="0" applyProtection="0"/>
    <xf numFmtId="0" fontId="46" fillId="56" borderId="52" applyNumberFormat="0" applyAlignment="0" applyProtection="0"/>
    <xf numFmtId="0" fontId="43" fillId="56" borderId="51" applyNumberFormat="0" applyAlignment="0" applyProtection="0"/>
    <xf numFmtId="0" fontId="45" fillId="56" borderId="52" applyNumberFormat="0" applyAlignment="0" applyProtection="0"/>
    <xf numFmtId="49" fontId="34" fillId="0" borderId="47" applyNumberFormat="0" applyFont="0" applyFill="0" applyBorder="0" applyProtection="0">
      <alignment horizontal="left" vertical="center" indent="2"/>
    </xf>
    <xf numFmtId="0" fontId="45" fillId="56" borderId="52" applyNumberFormat="0" applyAlignment="0" applyProtection="0"/>
    <xf numFmtId="0" fontId="46" fillId="56" borderId="52" applyNumberFormat="0" applyAlignment="0" applyProtection="0"/>
    <xf numFmtId="4" fontId="34" fillId="33" borderId="47"/>
    <xf numFmtId="0" fontId="58" fillId="43" borderId="52" applyNumberFormat="0" applyAlignment="0" applyProtection="0"/>
    <xf numFmtId="0" fontId="32" fillId="34" borderId="47">
      <alignment horizontal="right" vertical="center"/>
    </xf>
    <xf numFmtId="0" fontId="65" fillId="0" borderId="53" applyNumberFormat="0" applyFill="0" applyAlignment="0" applyProtection="0"/>
    <xf numFmtId="0" fontId="34" fillId="34" borderId="50">
      <alignment horizontal="left" vertical="center" wrapText="1" indent="2"/>
    </xf>
    <xf numFmtId="0" fontId="34" fillId="32" borderId="48">
      <alignment horizontal="left" vertical="center"/>
    </xf>
    <xf numFmtId="0" fontId="26" fillId="17" borderId="0" applyNumberFormat="0" applyBorder="0" applyAlignment="0" applyProtection="0"/>
    <xf numFmtId="0" fontId="29" fillId="13" borderId="13" applyNumberFormat="0" applyAlignment="0" applyProtection="0"/>
    <xf numFmtId="4" fontId="32" fillId="34" borderId="47">
      <alignment horizontal="right" vertical="center"/>
    </xf>
    <xf numFmtId="0" fontId="32" fillId="34" borderId="48">
      <alignment horizontal="right" vertical="center"/>
    </xf>
    <xf numFmtId="4" fontId="32" fillId="34" borderId="48">
      <alignment horizontal="right" vertical="center"/>
    </xf>
    <xf numFmtId="0" fontId="32" fillId="34" borderId="47">
      <alignment horizontal="right" vertical="center"/>
    </xf>
    <xf numFmtId="4" fontId="32" fillId="32" borderId="47">
      <alignment horizontal="right" vertical="center"/>
    </xf>
    <xf numFmtId="0" fontId="36" fillId="32" borderId="47">
      <alignment horizontal="right" vertical="center"/>
    </xf>
    <xf numFmtId="0" fontId="40" fillId="59" borderId="46" applyNumberFormat="0" applyFont="0" applyAlignment="0" applyProtection="0"/>
    <xf numFmtId="0" fontId="40" fillId="59" borderId="46" applyNumberFormat="0" applyFont="0" applyAlignment="0" applyProtection="0"/>
    <xf numFmtId="0" fontId="5" fillId="59" borderId="46" applyNumberFormat="0" applyFont="0" applyAlignment="0" applyProtection="0"/>
    <xf numFmtId="0" fontId="62" fillId="56" borderId="51" applyNumberFormat="0" applyAlignment="0" applyProtection="0"/>
    <xf numFmtId="0" fontId="34" fillId="0" borderId="50">
      <alignment horizontal="left" vertical="center" wrapText="1" indent="2"/>
    </xf>
    <xf numFmtId="0" fontId="49" fillId="43" borderId="52" applyNumberFormat="0" applyAlignment="0" applyProtection="0"/>
    <xf numFmtId="0" fontId="30" fillId="0" borderId="0" applyNumberFormat="0" applyFill="0" applyBorder="0" applyAlignment="0" applyProtection="0"/>
    <xf numFmtId="4" fontId="32" fillId="34" borderId="48">
      <alignment horizontal="right" vertical="center"/>
    </xf>
    <xf numFmtId="49" fontId="33" fillId="0" borderId="47" applyNumberFormat="0" applyFill="0" applyBorder="0" applyProtection="0">
      <alignment horizontal="left" vertical="center"/>
    </xf>
    <xf numFmtId="0" fontId="43" fillId="56" borderId="51" applyNumberFormat="0" applyAlignment="0" applyProtection="0"/>
    <xf numFmtId="0" fontId="45" fillId="56" borderId="52" applyNumberFormat="0" applyAlignment="0" applyProtection="0"/>
    <xf numFmtId="0" fontId="65" fillId="0" borderId="53" applyNumberFormat="0" applyFill="0" applyAlignment="0" applyProtection="0"/>
    <xf numFmtId="0" fontId="62" fillId="56" borderId="51" applyNumberFormat="0" applyAlignment="0" applyProtection="0"/>
    <xf numFmtId="0" fontId="34" fillId="0" borderId="47">
      <alignment horizontal="right" vertical="center"/>
    </xf>
    <xf numFmtId="49" fontId="33" fillId="0" borderId="47" applyNumberFormat="0" applyFill="0" applyBorder="0" applyProtection="0">
      <alignment horizontal="left" vertical="center"/>
    </xf>
    <xf numFmtId="4" fontId="34" fillId="0" borderId="47" applyFill="0" applyBorder="0" applyProtection="0">
      <alignment horizontal="right" vertical="center"/>
    </xf>
    <xf numFmtId="0" fontId="43" fillId="56" borderId="51" applyNumberFormat="0" applyAlignment="0" applyProtection="0"/>
    <xf numFmtId="0" fontId="45" fillId="56" borderId="52" applyNumberFormat="0" applyAlignment="0" applyProtection="0"/>
    <xf numFmtId="0" fontId="32" fillId="34" borderId="47">
      <alignment horizontal="right" vertical="center"/>
    </xf>
    <xf numFmtId="49" fontId="34" fillId="0" borderId="48" applyNumberFormat="0" applyFont="0" applyFill="0" applyBorder="0" applyProtection="0">
      <alignment horizontal="left" vertical="center" indent="5"/>
    </xf>
    <xf numFmtId="4" fontId="32" fillId="34" borderId="47">
      <alignment horizontal="right" vertical="center"/>
    </xf>
    <xf numFmtId="4" fontId="32" fillId="34" borderId="47">
      <alignment horizontal="right" vertical="center"/>
    </xf>
    <xf numFmtId="4" fontId="32" fillId="34" borderId="47">
      <alignment horizontal="right" vertical="center"/>
    </xf>
    <xf numFmtId="0" fontId="26" fillId="26" borderId="0" applyNumberFormat="0" applyBorder="0" applyAlignment="0" applyProtection="0"/>
    <xf numFmtId="0" fontId="65" fillId="0" borderId="53" applyNumberFormat="0" applyFill="0" applyAlignment="0" applyProtection="0"/>
    <xf numFmtId="0" fontId="65" fillId="0" borderId="53" applyNumberFormat="0" applyFill="0" applyAlignment="0" applyProtection="0"/>
    <xf numFmtId="173" fontId="34" fillId="60" borderId="47" applyNumberFormat="0" applyFont="0" applyBorder="0" applyAlignment="0" applyProtection="0">
      <alignment horizontal="right" vertical="center"/>
    </xf>
    <xf numFmtId="0" fontId="50" fillId="0" borderId="53" applyNumberFormat="0" applyFill="0" applyAlignment="0" applyProtection="0"/>
    <xf numFmtId="0" fontId="62" fillId="56" borderId="51" applyNumberFormat="0" applyAlignment="0" applyProtection="0"/>
    <xf numFmtId="4" fontId="32" fillId="34" borderId="48">
      <alignment horizontal="right" vertical="center"/>
    </xf>
    <xf numFmtId="0" fontId="45" fillId="56" borderId="52" applyNumberFormat="0" applyAlignment="0" applyProtection="0"/>
    <xf numFmtId="0" fontId="12" fillId="22" borderId="0" applyNumberFormat="0" applyBorder="0" applyAlignment="0" applyProtection="0"/>
    <xf numFmtId="0" fontId="46" fillId="56" borderId="52" applyNumberFormat="0" applyAlignment="0" applyProtection="0"/>
    <xf numFmtId="0" fontId="26" fillId="29" borderId="0" applyNumberFormat="0" applyBorder="0" applyAlignment="0" applyProtection="0"/>
    <xf numFmtId="4" fontId="36" fillId="32" borderId="47">
      <alignment horizontal="right" vertical="center"/>
    </xf>
    <xf numFmtId="4" fontId="32" fillId="34" borderId="49">
      <alignment horizontal="right" vertical="center"/>
    </xf>
    <xf numFmtId="0" fontId="49" fillId="43" borderId="52" applyNumberFormat="0" applyAlignment="0" applyProtection="0"/>
    <xf numFmtId="0" fontId="58" fillId="43" borderId="52" applyNumberFormat="0" applyAlignment="0" applyProtection="0"/>
    <xf numFmtId="0" fontId="34" fillId="34" borderId="50">
      <alignment horizontal="left" vertical="center" wrapText="1" indent="2"/>
    </xf>
    <xf numFmtId="4" fontId="34" fillId="0" borderId="47" applyFill="0" applyBorder="0" applyProtection="0">
      <alignment horizontal="right" vertical="center"/>
    </xf>
    <xf numFmtId="0" fontId="32" fillId="32" borderId="47">
      <alignment horizontal="right" vertical="center"/>
    </xf>
    <xf numFmtId="0" fontId="49" fillId="43" borderId="52" applyNumberFormat="0" applyAlignment="0" applyProtection="0"/>
    <xf numFmtId="4" fontId="32" fillId="34" borderId="47">
      <alignment horizontal="right" vertical="center"/>
    </xf>
    <xf numFmtId="4" fontId="34" fillId="0" borderId="47">
      <alignment horizontal="right" vertical="center"/>
    </xf>
    <xf numFmtId="0" fontId="46" fillId="56" borderId="52" applyNumberFormat="0" applyAlignment="0" applyProtection="0"/>
    <xf numFmtId="4" fontId="34" fillId="0" borderId="47">
      <alignment horizontal="right" vertical="center"/>
    </xf>
    <xf numFmtId="0" fontId="46" fillId="56" borderId="52" applyNumberFormat="0" applyAlignment="0" applyProtection="0"/>
    <xf numFmtId="0" fontId="46" fillId="56" borderId="52" applyNumberFormat="0" applyAlignment="0" applyProtection="0"/>
    <xf numFmtId="0" fontId="34" fillId="0" borderId="47">
      <alignment horizontal="right" vertical="center"/>
    </xf>
    <xf numFmtId="0" fontId="65" fillId="0" borderId="53" applyNumberFormat="0" applyFill="0" applyAlignment="0" applyProtection="0"/>
    <xf numFmtId="0" fontId="12" fillId="31" borderId="0" applyNumberFormat="0" applyBorder="0" applyAlignment="0" applyProtection="0"/>
    <xf numFmtId="0" fontId="36" fillId="32" borderId="47">
      <alignment horizontal="right" vertical="center"/>
    </xf>
    <xf numFmtId="0" fontId="45" fillId="56" borderId="52" applyNumberFormat="0" applyAlignment="0" applyProtection="0"/>
    <xf numFmtId="0" fontId="1" fillId="0" borderId="0" applyNumberFormat="0" applyFill="0" applyBorder="0" applyAlignment="0" applyProtection="0"/>
    <xf numFmtId="4" fontId="32" fillId="34" borderId="49">
      <alignment horizontal="right" vertical="center"/>
    </xf>
    <xf numFmtId="0" fontId="32" fillId="34" borderId="47">
      <alignment horizontal="right" vertical="center"/>
    </xf>
    <xf numFmtId="0" fontId="34" fillId="32" borderId="48">
      <alignment horizontal="left" vertical="center"/>
    </xf>
    <xf numFmtId="0" fontId="26" fillId="20" borderId="0" applyNumberFormat="0" applyBorder="0" applyAlignment="0" applyProtection="0"/>
    <xf numFmtId="49" fontId="33" fillId="0" borderId="47" applyNumberFormat="0" applyFill="0" applyBorder="0" applyProtection="0">
      <alignment horizontal="left" vertical="center"/>
    </xf>
    <xf numFmtId="0" fontId="5" fillId="59" borderId="46" applyNumberFormat="0" applyFont="0" applyAlignment="0" applyProtection="0"/>
    <xf numFmtId="0" fontId="34" fillId="33" borderId="47"/>
    <xf numFmtId="49" fontId="34" fillId="0" borderId="48" applyNumberFormat="0" applyFont="0" applyFill="0" applyBorder="0" applyProtection="0">
      <alignment horizontal="left" vertical="center" indent="5"/>
    </xf>
    <xf numFmtId="0" fontId="43" fillId="56" borderId="51" applyNumberFormat="0" applyAlignment="0" applyProtection="0"/>
    <xf numFmtId="49" fontId="33" fillId="0" borderId="47" applyNumberFormat="0" applyFill="0" applyBorder="0" applyProtection="0">
      <alignment horizontal="left" vertical="center"/>
    </xf>
    <xf numFmtId="0" fontId="58" fillId="43" borderId="52" applyNumberFormat="0" applyAlignment="0" applyProtection="0"/>
    <xf numFmtId="0" fontId="46" fillId="56" borderId="52" applyNumberFormat="0" applyAlignment="0" applyProtection="0"/>
    <xf numFmtId="0" fontId="12" fillId="25" borderId="0" applyNumberFormat="0" applyBorder="0" applyAlignment="0" applyProtection="0"/>
    <xf numFmtId="49" fontId="34" fillId="0" borderId="47" applyNumberFormat="0" applyFont="0" applyFill="0" applyBorder="0" applyProtection="0">
      <alignment horizontal="left" vertical="center" indent="2"/>
    </xf>
    <xf numFmtId="0" fontId="40" fillId="59" borderId="46" applyNumberFormat="0" applyFont="0" applyAlignment="0" applyProtection="0"/>
    <xf numFmtId="0" fontId="36" fillId="32" borderId="47">
      <alignment horizontal="right" vertical="center"/>
    </xf>
    <xf numFmtId="0" fontId="40" fillId="59" borderId="46" applyNumberFormat="0" applyFont="0" applyAlignment="0" applyProtection="0"/>
    <xf numFmtId="0" fontId="34" fillId="0" borderId="50">
      <alignment horizontal="left" vertical="center" wrapText="1" indent="2"/>
    </xf>
    <xf numFmtId="0" fontId="46" fillId="56" borderId="52" applyNumberFormat="0" applyAlignment="0" applyProtection="0"/>
    <xf numFmtId="0" fontId="65" fillId="0" borderId="53" applyNumberFormat="0" applyFill="0" applyAlignment="0" applyProtection="0"/>
    <xf numFmtId="0" fontId="36" fillId="32" borderId="47">
      <alignment horizontal="right" vertical="center"/>
    </xf>
    <xf numFmtId="49" fontId="34" fillId="0" borderId="47" applyNumberFormat="0" applyFont="0" applyFill="0" applyBorder="0" applyProtection="0">
      <alignment horizontal="left" vertical="center" indent="2"/>
    </xf>
    <xf numFmtId="0" fontId="12" fillId="28" borderId="0" applyNumberFormat="0" applyBorder="0" applyAlignment="0" applyProtection="0"/>
    <xf numFmtId="0" fontId="26" fillId="23" borderId="0" applyNumberFormat="0" applyBorder="0" applyAlignment="0" applyProtection="0"/>
    <xf numFmtId="0" fontId="12" fillId="19" borderId="0" applyNumberFormat="0" applyBorder="0" applyAlignment="0" applyProtection="0"/>
    <xf numFmtId="4" fontId="34" fillId="0" borderId="47" applyFill="0" applyBorder="0" applyProtection="0">
      <alignment horizontal="right" vertical="center"/>
    </xf>
    <xf numFmtId="0" fontId="58" fillId="43" borderId="52" applyNumberFormat="0" applyAlignment="0" applyProtection="0"/>
    <xf numFmtId="0" fontId="50" fillId="0" borderId="53" applyNumberFormat="0" applyFill="0" applyAlignment="0" applyProtection="0"/>
    <xf numFmtId="4" fontId="34" fillId="33" borderId="47"/>
    <xf numFmtId="0" fontId="34" fillId="34" borderId="50">
      <alignment horizontal="left" vertical="center" wrapText="1" indent="2"/>
    </xf>
    <xf numFmtId="49" fontId="34" fillId="0" borderId="47" applyNumberFormat="0" applyFont="0" applyFill="0" applyBorder="0" applyProtection="0">
      <alignment horizontal="left" vertical="center" indent="2"/>
    </xf>
    <xf numFmtId="0" fontId="45" fillId="56" borderId="52" applyNumberFormat="0" applyAlignment="0" applyProtection="0"/>
    <xf numFmtId="0" fontId="34" fillId="0" borderId="47" applyNumberFormat="0" applyFill="0" applyAlignment="0" applyProtection="0"/>
    <xf numFmtId="0" fontId="34" fillId="32" borderId="48">
      <alignment horizontal="left" vertical="center"/>
    </xf>
    <xf numFmtId="0" fontId="58" fillId="43" borderId="52" applyNumberFormat="0" applyAlignment="0" applyProtection="0"/>
    <xf numFmtId="0" fontId="5" fillId="59" borderId="46" applyNumberFormat="0" applyFont="0" applyAlignment="0" applyProtection="0"/>
    <xf numFmtId="0" fontId="62" fillId="56" borderId="51" applyNumberFormat="0" applyAlignment="0" applyProtection="0"/>
    <xf numFmtId="0" fontId="50" fillId="0" borderId="53" applyNumberFormat="0" applyFill="0" applyAlignment="0" applyProtection="0"/>
    <xf numFmtId="4" fontId="32" fillId="34" borderId="47">
      <alignment horizontal="right" vertical="center"/>
    </xf>
    <xf numFmtId="4" fontId="32" fillId="34" borderId="48">
      <alignment horizontal="right" vertical="center"/>
    </xf>
    <xf numFmtId="0" fontId="62" fillId="56" borderId="51" applyNumberFormat="0" applyAlignment="0" applyProtection="0"/>
    <xf numFmtId="0" fontId="26" fillId="15" borderId="0" applyNumberFormat="0" applyBorder="0" applyAlignment="0" applyProtection="0"/>
    <xf numFmtId="0" fontId="34" fillId="0" borderId="50">
      <alignment horizontal="left" vertical="center" wrapText="1" indent="2"/>
    </xf>
    <xf numFmtId="0" fontId="40" fillId="59" borderId="46" applyNumberFormat="0" applyFont="0" applyAlignment="0" applyProtection="0"/>
    <xf numFmtId="0" fontId="46" fillId="56" borderId="52" applyNumberFormat="0" applyAlignment="0" applyProtection="0"/>
    <xf numFmtId="0" fontId="40" fillId="59" borderId="46" applyNumberFormat="0" applyFont="0" applyAlignment="0" applyProtection="0"/>
    <xf numFmtId="4" fontId="34" fillId="0" borderId="47" applyFill="0" applyBorder="0" applyProtection="0">
      <alignment horizontal="right" vertical="center"/>
    </xf>
    <xf numFmtId="0" fontId="32" fillId="34" borderId="47">
      <alignment horizontal="right" vertical="center"/>
    </xf>
    <xf numFmtId="0" fontId="58" fillId="43" borderId="52" applyNumberFormat="0" applyAlignment="0" applyProtection="0"/>
    <xf numFmtId="0" fontId="62" fillId="56" borderId="51" applyNumberFormat="0" applyAlignment="0" applyProtection="0"/>
    <xf numFmtId="0" fontId="40" fillId="59" borderId="46" applyNumberFormat="0" applyFont="0" applyAlignment="0" applyProtection="0"/>
    <xf numFmtId="4" fontId="34" fillId="0" borderId="47">
      <alignment horizontal="right" vertical="center"/>
    </xf>
    <xf numFmtId="0" fontId="50" fillId="0" borderId="53" applyNumberFormat="0" applyFill="0" applyAlignment="0" applyProtection="0"/>
    <xf numFmtId="0" fontId="49" fillId="43" borderId="52" applyNumberFormat="0" applyAlignment="0" applyProtection="0"/>
    <xf numFmtId="0" fontId="58" fillId="43" borderId="52" applyNumberFormat="0" applyAlignment="0" applyProtection="0"/>
    <xf numFmtId="0" fontId="34" fillId="33" borderId="47"/>
    <xf numFmtId="0" fontId="65" fillId="0" borderId="53" applyNumberFormat="0" applyFill="0" applyAlignment="0" applyProtection="0"/>
    <xf numFmtId="49" fontId="33" fillId="0" borderId="47" applyNumberFormat="0" applyFill="0" applyBorder="0" applyProtection="0">
      <alignment horizontal="left" vertical="center"/>
    </xf>
    <xf numFmtId="0" fontId="32" fillId="34" borderId="47">
      <alignment horizontal="right" vertical="center"/>
    </xf>
    <xf numFmtId="4" fontId="32" fillId="32" borderId="47">
      <alignment horizontal="right" vertical="center"/>
    </xf>
    <xf numFmtId="0" fontId="34" fillId="0" borderId="50">
      <alignment horizontal="left" vertical="center" wrapText="1" indent="2"/>
    </xf>
    <xf numFmtId="0" fontId="50" fillId="0" borderId="53" applyNumberFormat="0" applyFill="0" applyAlignment="0" applyProtection="0"/>
    <xf numFmtId="0" fontId="32" fillId="34" borderId="47">
      <alignment horizontal="right" vertical="center"/>
    </xf>
    <xf numFmtId="0" fontId="58" fillId="43" borderId="52" applyNumberFormat="0" applyAlignment="0" applyProtection="0"/>
    <xf numFmtId="4" fontId="32" fillId="32" borderId="47">
      <alignment horizontal="right" vertical="center"/>
    </xf>
    <xf numFmtId="0" fontId="40" fillId="59" borderId="46" applyNumberFormat="0" applyFont="0" applyAlignment="0" applyProtection="0"/>
    <xf numFmtId="0" fontId="12" fillId="16" borderId="0" applyNumberFormat="0" applyBorder="0" applyAlignment="0" applyProtection="0"/>
    <xf numFmtId="0" fontId="46" fillId="56" borderId="52" applyNumberFormat="0" applyAlignment="0" applyProtection="0"/>
    <xf numFmtId="0" fontId="46" fillId="56" borderId="52" applyNumberFormat="0" applyAlignment="0" applyProtection="0"/>
    <xf numFmtId="4" fontId="32" fillId="34" borderId="49">
      <alignment horizontal="right" vertical="center"/>
    </xf>
    <xf numFmtId="0" fontId="26" fillId="21" borderId="0" applyNumberFormat="0" applyBorder="0" applyAlignment="0" applyProtection="0"/>
    <xf numFmtId="0" fontId="49" fillId="43" borderId="52" applyNumberFormat="0" applyAlignment="0" applyProtection="0"/>
    <xf numFmtId="0" fontId="36" fillId="32" borderId="47">
      <alignment horizontal="right" vertical="center"/>
    </xf>
    <xf numFmtId="0" fontId="32" fillId="34" borderId="49">
      <alignment horizontal="right" vertical="center"/>
    </xf>
    <xf numFmtId="0" fontId="58" fillId="43" borderId="52" applyNumberFormat="0" applyAlignment="0" applyProtection="0"/>
    <xf numFmtId="0" fontId="50" fillId="0" borderId="53" applyNumberFormat="0" applyFill="0" applyAlignment="0" applyProtection="0"/>
    <xf numFmtId="4" fontId="34" fillId="0" borderId="47">
      <alignment horizontal="right" vertical="center"/>
    </xf>
    <xf numFmtId="49" fontId="34" fillId="0" borderId="48" applyNumberFormat="0" applyFont="0" applyFill="0" applyBorder="0" applyProtection="0">
      <alignment horizontal="left" vertical="center" indent="5"/>
    </xf>
    <xf numFmtId="4" fontId="36" fillId="32" borderId="47">
      <alignment horizontal="right" vertical="center"/>
    </xf>
    <xf numFmtId="0" fontId="32" fillId="34" borderId="49">
      <alignment horizontal="right" vertical="center"/>
    </xf>
    <xf numFmtId="0" fontId="32" fillId="34" borderId="47">
      <alignment horizontal="right" vertical="center"/>
    </xf>
    <xf numFmtId="0" fontId="34" fillId="0" borderId="47">
      <alignment horizontal="right" vertical="center"/>
    </xf>
    <xf numFmtId="0" fontId="34" fillId="32" borderId="48">
      <alignment horizontal="left" vertical="center"/>
    </xf>
    <xf numFmtId="0" fontId="5" fillId="59" borderId="46" applyNumberFormat="0" applyFont="0" applyAlignment="0" applyProtection="0"/>
    <xf numFmtId="0" fontId="34" fillId="34" borderId="50">
      <alignment horizontal="left" vertical="center" wrapText="1" indent="2"/>
    </xf>
    <xf numFmtId="0" fontId="32" fillId="34" borderId="48">
      <alignment horizontal="right" vertical="center"/>
    </xf>
    <xf numFmtId="0" fontId="32" fillId="32" borderId="47">
      <alignment horizontal="right" vertical="center"/>
    </xf>
    <xf numFmtId="0" fontId="46" fillId="56" borderId="52" applyNumberFormat="0" applyAlignment="0" applyProtection="0"/>
    <xf numFmtId="0" fontId="2" fillId="0" borderId="15" applyNumberFormat="0" applyFill="0" applyAlignment="0" applyProtection="0"/>
    <xf numFmtId="0" fontId="26" fillId="30" borderId="0" applyNumberFormat="0" applyBorder="0" applyAlignment="0" applyProtection="0"/>
    <xf numFmtId="0" fontId="32" fillId="34" borderId="49">
      <alignment horizontal="right" vertical="center"/>
    </xf>
    <xf numFmtId="0" fontId="43" fillId="56" borderId="51" applyNumberFormat="0" applyAlignment="0" applyProtection="0"/>
    <xf numFmtId="0" fontId="46" fillId="56" borderId="52" applyNumberFormat="0" applyAlignment="0" applyProtection="0"/>
    <xf numFmtId="0" fontId="32" fillId="34" borderId="48">
      <alignment horizontal="right" vertical="center"/>
    </xf>
    <xf numFmtId="49" fontId="34" fillId="0" borderId="48" applyNumberFormat="0" applyFont="0" applyFill="0" applyBorder="0" applyProtection="0">
      <alignment horizontal="left" vertical="center" indent="5"/>
    </xf>
    <xf numFmtId="0" fontId="58" fillId="43" borderId="52" applyNumberFormat="0" applyAlignment="0" applyProtection="0"/>
    <xf numFmtId="0" fontId="40" fillId="59" borderId="46" applyNumberFormat="0" applyFont="0" applyAlignment="0" applyProtection="0"/>
    <xf numFmtId="173" fontId="34" fillId="60" borderId="47" applyNumberFormat="0" applyFont="0" applyBorder="0" applyAlignment="0" applyProtection="0">
      <alignment horizontal="right" vertical="center"/>
    </xf>
    <xf numFmtId="49" fontId="34" fillId="0" borderId="47" applyNumberFormat="0" applyFont="0" applyFill="0" applyBorder="0" applyProtection="0">
      <alignment horizontal="left" vertical="center" indent="2"/>
    </xf>
    <xf numFmtId="0" fontId="58" fillId="43" borderId="52" applyNumberFormat="0" applyAlignment="0" applyProtection="0"/>
    <xf numFmtId="4" fontId="34" fillId="33" borderId="47"/>
    <xf numFmtId="0" fontId="34" fillId="32" borderId="48">
      <alignment horizontal="left" vertical="center"/>
    </xf>
    <xf numFmtId="0" fontId="49" fillId="43" borderId="52" applyNumberFormat="0" applyAlignment="0" applyProtection="0"/>
    <xf numFmtId="0" fontId="26" fillId="24" borderId="0" applyNumberFormat="0" applyBorder="0" applyAlignment="0" applyProtection="0"/>
    <xf numFmtId="0" fontId="32" fillId="32" borderId="47">
      <alignment horizontal="right" vertical="center"/>
    </xf>
    <xf numFmtId="0" fontId="65" fillId="0" borderId="53" applyNumberFormat="0" applyFill="0" applyAlignment="0" applyProtection="0"/>
    <xf numFmtId="4" fontId="32" fillId="34" borderId="47">
      <alignment horizontal="right" vertical="center"/>
    </xf>
    <xf numFmtId="0" fontId="58" fillId="43" borderId="52" applyNumberFormat="0" applyAlignment="0" applyProtection="0"/>
    <xf numFmtId="0" fontId="34" fillId="34" borderId="50">
      <alignment horizontal="left" vertical="center" wrapText="1" indent="2"/>
    </xf>
    <xf numFmtId="0" fontId="34" fillId="34" borderId="50">
      <alignment horizontal="left" vertical="center" wrapText="1" indent="2"/>
    </xf>
    <xf numFmtId="0" fontId="62" fillId="56" borderId="51" applyNumberFormat="0" applyAlignment="0" applyProtection="0"/>
    <xf numFmtId="49" fontId="34" fillId="0" borderId="48" applyNumberFormat="0" applyFont="0" applyFill="0" applyBorder="0" applyProtection="0">
      <alignment horizontal="left" vertical="center" indent="5"/>
    </xf>
    <xf numFmtId="0" fontId="34" fillId="33" borderId="47"/>
    <xf numFmtId="4" fontId="34" fillId="33" borderId="47"/>
    <xf numFmtId="0" fontId="65" fillId="0" borderId="53" applyNumberFormat="0" applyFill="0" applyAlignment="0" applyProtection="0"/>
    <xf numFmtId="0" fontId="5" fillId="59" borderId="46" applyNumberFormat="0" applyFont="0" applyAlignment="0" applyProtection="0"/>
    <xf numFmtId="0" fontId="40" fillId="59" borderId="46" applyNumberFormat="0" applyFont="0" applyAlignment="0" applyProtection="0"/>
    <xf numFmtId="0" fontId="34" fillId="0" borderId="47" applyNumberFormat="0" applyFill="0" applyAlignment="0" applyProtection="0"/>
    <xf numFmtId="0" fontId="50" fillId="0" borderId="53" applyNumberFormat="0" applyFill="0" applyAlignment="0" applyProtection="0"/>
    <xf numFmtId="0" fontId="65" fillId="0" borderId="53" applyNumberFormat="0" applyFill="0" applyAlignment="0" applyProtection="0"/>
    <xf numFmtId="0" fontId="49" fillId="43" borderId="52" applyNumberFormat="0" applyAlignment="0" applyProtection="0"/>
    <xf numFmtId="0" fontId="46" fillId="56" borderId="52" applyNumberFormat="0" applyAlignment="0" applyProtection="0"/>
    <xf numFmtId="4" fontId="36" fillId="32" borderId="47">
      <alignment horizontal="right" vertical="center"/>
    </xf>
    <xf numFmtId="0" fontId="32" fillId="32" borderId="47">
      <alignment horizontal="right" vertical="center"/>
    </xf>
    <xf numFmtId="173" fontId="34" fillId="60" borderId="47" applyNumberFormat="0" applyFont="0" applyBorder="0" applyAlignment="0" applyProtection="0">
      <alignment horizontal="right" vertical="center"/>
    </xf>
    <xf numFmtId="0" fontId="50" fillId="0" borderId="53" applyNumberFormat="0" applyFill="0" applyAlignment="0" applyProtection="0"/>
    <xf numFmtId="49" fontId="34" fillId="0" borderId="47" applyNumberFormat="0" applyFont="0" applyFill="0" applyBorder="0" applyProtection="0">
      <alignment horizontal="left" vertical="center" indent="2"/>
    </xf>
    <xf numFmtId="49" fontId="34" fillId="0" borderId="48" applyNumberFormat="0" applyFont="0" applyFill="0" applyBorder="0" applyProtection="0">
      <alignment horizontal="left" vertical="center" indent="5"/>
    </xf>
    <xf numFmtId="49" fontId="34" fillId="0" borderId="47" applyNumberFormat="0" applyFont="0" applyFill="0" applyBorder="0" applyProtection="0">
      <alignment horizontal="left" vertical="center" indent="2"/>
    </xf>
    <xf numFmtId="4" fontId="34" fillId="0" borderId="47" applyFill="0" applyBorder="0" applyProtection="0">
      <alignment horizontal="right" vertical="center"/>
    </xf>
    <xf numFmtId="49" fontId="33" fillId="0" borderId="47" applyNumberFormat="0" applyFill="0" applyBorder="0" applyProtection="0">
      <alignment horizontal="left" vertical="center"/>
    </xf>
    <xf numFmtId="0" fontId="34" fillId="0" borderId="50">
      <alignment horizontal="left" vertical="center" wrapText="1" indent="2"/>
    </xf>
    <xf numFmtId="0" fontId="62" fillId="56" borderId="51" applyNumberFormat="0" applyAlignment="0" applyProtection="0"/>
    <xf numFmtId="0" fontId="32" fillId="34" borderId="49">
      <alignment horizontal="right" vertical="center"/>
    </xf>
    <xf numFmtId="0" fontId="49" fillId="43" borderId="52" applyNumberFormat="0" applyAlignment="0" applyProtection="0"/>
    <xf numFmtId="0" fontId="32" fillId="34" borderId="49">
      <alignment horizontal="right" vertical="center"/>
    </xf>
    <xf numFmtId="4" fontId="32" fillId="34" borderId="47">
      <alignment horizontal="right" vertical="center"/>
    </xf>
    <xf numFmtId="0" fontId="32" fillId="34" borderId="47">
      <alignment horizontal="right" vertical="center"/>
    </xf>
    <xf numFmtId="0" fontId="43" fillId="56" borderId="51" applyNumberFormat="0" applyAlignment="0" applyProtection="0"/>
    <xf numFmtId="0" fontId="45" fillId="56" borderId="52" applyNumberFormat="0" applyAlignment="0" applyProtection="0"/>
    <xf numFmtId="0" fontId="50" fillId="0" borderId="53" applyNumberFormat="0" applyFill="0" applyAlignment="0" applyProtection="0"/>
    <xf numFmtId="0" fontId="34" fillId="33" borderId="47"/>
    <xf numFmtId="4" fontId="34" fillId="33" borderId="47"/>
    <xf numFmtId="4" fontId="32" fillId="34" borderId="47">
      <alignment horizontal="right" vertical="center"/>
    </xf>
    <xf numFmtId="0" fontId="36" fillId="32" borderId="47">
      <alignment horizontal="right" vertical="center"/>
    </xf>
    <xf numFmtId="0" fontId="49" fillId="43" borderId="52" applyNumberFormat="0" applyAlignment="0" applyProtection="0"/>
    <xf numFmtId="0" fontId="46" fillId="56" borderId="52" applyNumberFormat="0" applyAlignment="0" applyProtection="0"/>
    <xf numFmtId="4" fontId="34" fillId="0" borderId="47">
      <alignment horizontal="right" vertical="center"/>
    </xf>
    <xf numFmtId="0" fontId="34" fillId="34" borderId="50">
      <alignment horizontal="left" vertical="center" wrapText="1" indent="2"/>
    </xf>
    <xf numFmtId="0" fontId="34" fillId="0" borderId="50">
      <alignment horizontal="left" vertical="center" wrapText="1" indent="2"/>
    </xf>
    <xf numFmtId="0" fontId="62" fillId="56" borderId="51" applyNumberFormat="0" applyAlignment="0" applyProtection="0"/>
    <xf numFmtId="0" fontId="58" fillId="43" borderId="52" applyNumberFormat="0" applyAlignment="0" applyProtection="0"/>
    <xf numFmtId="0" fontId="45" fillId="56" borderId="52" applyNumberFormat="0" applyAlignment="0" applyProtection="0"/>
    <xf numFmtId="0" fontId="43" fillId="56" borderId="51" applyNumberFormat="0" applyAlignment="0" applyProtection="0"/>
    <xf numFmtId="0" fontId="32" fillId="34" borderId="49">
      <alignment horizontal="right" vertical="center"/>
    </xf>
    <xf numFmtId="0" fontId="36" fillId="32" borderId="47">
      <alignment horizontal="right" vertical="center"/>
    </xf>
    <xf numFmtId="4" fontId="32" fillId="32" borderId="47">
      <alignment horizontal="right" vertical="center"/>
    </xf>
    <xf numFmtId="4" fontId="32" fillId="34" borderId="47">
      <alignment horizontal="right" vertical="center"/>
    </xf>
    <xf numFmtId="49" fontId="34" fillId="0" borderId="48" applyNumberFormat="0" applyFont="0" applyFill="0" applyBorder="0" applyProtection="0">
      <alignment horizontal="left" vertical="center" indent="5"/>
    </xf>
    <xf numFmtId="4" fontId="34" fillId="0" borderId="47" applyFill="0" applyBorder="0" applyProtection="0">
      <alignment horizontal="right" vertical="center"/>
    </xf>
    <xf numFmtId="4" fontId="32" fillId="32" borderId="47">
      <alignment horizontal="right" vertical="center"/>
    </xf>
    <xf numFmtId="0" fontId="58" fillId="43" borderId="52" applyNumberFormat="0" applyAlignment="0" applyProtection="0"/>
    <xf numFmtId="0" fontId="49" fillId="43" borderId="52" applyNumberFormat="0" applyAlignment="0" applyProtection="0"/>
    <xf numFmtId="0" fontId="45" fillId="56" borderId="52" applyNumberFormat="0" applyAlignment="0" applyProtection="0"/>
    <xf numFmtId="0" fontId="34" fillId="34" borderId="50">
      <alignment horizontal="left" vertical="center" wrapText="1" indent="2"/>
    </xf>
    <xf numFmtId="0" fontId="34" fillId="0" borderId="50">
      <alignment horizontal="left" vertical="center" wrapText="1" indent="2"/>
    </xf>
    <xf numFmtId="0" fontId="34" fillId="34" borderId="50">
      <alignment horizontal="left" vertical="center" wrapText="1" indent="2"/>
    </xf>
    <xf numFmtId="0" fontId="81" fillId="0" borderId="0" applyNumberFormat="0" applyFill="0" applyBorder="0" applyAlignment="0" applyProtection="0"/>
    <xf numFmtId="0" fontId="34" fillId="32" borderId="75">
      <alignment horizontal="left" vertical="center"/>
    </xf>
    <xf numFmtId="0" fontId="32" fillId="34" borderId="74">
      <alignment horizontal="right" vertical="center"/>
    </xf>
    <xf numFmtId="0" fontId="58" fillId="43" borderId="71" applyNumberFormat="0" applyAlignment="0" applyProtection="0"/>
    <xf numFmtId="0" fontId="32" fillId="34" borderId="76">
      <alignment horizontal="right" vertical="center"/>
    </xf>
    <xf numFmtId="0" fontId="34" fillId="33" borderId="119"/>
    <xf numFmtId="0" fontId="12" fillId="16" borderId="0" applyNumberFormat="0" applyBorder="0" applyAlignment="0" applyProtection="0"/>
    <xf numFmtId="0" fontId="1" fillId="0" borderId="0" applyNumberFormat="0" applyFill="0" applyBorder="0" applyAlignment="0" applyProtection="0"/>
    <xf numFmtId="0" fontId="32" fillId="34" borderId="74">
      <alignment horizontal="right" vertical="center"/>
    </xf>
    <xf numFmtId="0" fontId="45" fillId="56" borderId="71" applyNumberFormat="0" applyAlignment="0" applyProtection="0"/>
    <xf numFmtId="4" fontId="32" fillId="32" borderId="79">
      <alignment horizontal="right" vertical="center"/>
    </xf>
    <xf numFmtId="0" fontId="26" fillId="21" borderId="0" applyNumberFormat="0" applyBorder="0" applyAlignment="0" applyProtection="0"/>
    <xf numFmtId="0" fontId="34" fillId="34" borderId="109">
      <alignment horizontal="left" vertical="center" wrapText="1" indent="2"/>
    </xf>
    <xf numFmtId="0" fontId="34" fillId="0" borderId="77">
      <alignment horizontal="left" vertical="center" wrapText="1" indent="2"/>
    </xf>
    <xf numFmtId="0" fontId="32" fillId="32" borderId="129">
      <alignment horizontal="right" vertical="center"/>
    </xf>
    <xf numFmtId="0" fontId="32" fillId="34" borderId="76">
      <alignment horizontal="right" vertical="center"/>
    </xf>
    <xf numFmtId="0" fontId="50" fillId="0" borderId="125" applyNumberFormat="0" applyFill="0" applyAlignment="0" applyProtection="0"/>
    <xf numFmtId="0" fontId="49" fillId="43" borderId="84" applyNumberFormat="0" applyAlignment="0" applyProtection="0"/>
    <xf numFmtId="4" fontId="34" fillId="33" borderId="74"/>
    <xf numFmtId="0" fontId="50" fillId="0" borderId="72" applyNumberFormat="0" applyFill="0" applyAlignment="0" applyProtection="0"/>
    <xf numFmtId="0" fontId="65" fillId="0" borderId="104" applyNumberFormat="0" applyFill="0" applyAlignment="0" applyProtection="0"/>
    <xf numFmtId="4" fontId="32" fillId="34" borderId="76">
      <alignment horizontal="right" vertical="center"/>
    </xf>
    <xf numFmtId="0" fontId="58" fillId="43" borderId="71" applyNumberFormat="0" applyAlignment="0" applyProtection="0"/>
    <xf numFmtId="0" fontId="29" fillId="13" borderId="13" applyNumberFormat="0" applyAlignment="0" applyProtection="0"/>
    <xf numFmtId="4" fontId="34" fillId="0" borderId="74">
      <alignment horizontal="right" vertical="center"/>
    </xf>
    <xf numFmtId="4" fontId="32" fillId="34" borderId="80">
      <alignment horizontal="right" vertical="center"/>
    </xf>
    <xf numFmtId="0" fontId="49" fillId="43" borderId="71" applyNumberFormat="0" applyAlignment="0" applyProtection="0"/>
    <xf numFmtId="4" fontId="32" fillId="32" borderId="79">
      <alignment horizontal="right" vertical="center"/>
    </xf>
    <xf numFmtId="4" fontId="32" fillId="32" borderId="74">
      <alignment horizontal="right" vertical="center"/>
    </xf>
    <xf numFmtId="0" fontId="32" fillId="34" borderId="75">
      <alignment horizontal="right" vertical="center"/>
    </xf>
    <xf numFmtId="0" fontId="26" fillId="15" borderId="0" applyNumberFormat="0" applyBorder="0" applyAlignment="0" applyProtection="0"/>
    <xf numFmtId="0" fontId="32" fillId="34" borderId="119">
      <alignment horizontal="right" vertical="center"/>
    </xf>
    <xf numFmtId="0" fontId="34" fillId="0" borderId="74">
      <alignment horizontal="right" vertical="center"/>
    </xf>
    <xf numFmtId="0" fontId="32" fillId="34" borderId="74">
      <alignment horizontal="right" vertical="center"/>
    </xf>
    <xf numFmtId="0" fontId="12" fillId="16" borderId="0" applyNumberFormat="0" applyBorder="0" applyAlignment="0" applyProtection="0"/>
    <xf numFmtId="0" fontId="26" fillId="27" borderId="0" applyNumberFormat="0" applyBorder="0" applyAlignment="0" applyProtection="0"/>
    <xf numFmtId="4" fontId="32" fillId="34" borderId="74">
      <alignment horizontal="right" vertical="center"/>
    </xf>
    <xf numFmtId="0" fontId="26" fillId="18" borderId="0" applyNumberFormat="0" applyBorder="0" applyAlignment="0" applyProtection="0"/>
    <xf numFmtId="0" fontId="50" fillId="0" borderId="72" applyNumberFormat="0" applyFill="0" applyAlignment="0" applyProtection="0"/>
    <xf numFmtId="0" fontId="46" fillId="56" borderId="71" applyNumberFormat="0" applyAlignment="0" applyProtection="0"/>
    <xf numFmtId="0" fontId="34" fillId="33" borderId="74"/>
    <xf numFmtId="4" fontId="32" fillId="34" borderId="74">
      <alignment horizontal="right" vertical="center"/>
    </xf>
    <xf numFmtId="0" fontId="36" fillId="32" borderId="106">
      <alignment horizontal="right" vertical="center"/>
    </xf>
    <xf numFmtId="4" fontId="32" fillId="34" borderId="76">
      <alignment horizontal="right" vertical="center"/>
    </xf>
    <xf numFmtId="4" fontId="32" fillId="34" borderId="114">
      <alignment horizontal="right" vertical="center"/>
    </xf>
    <xf numFmtId="0" fontId="65" fillId="0" borderId="72" applyNumberFormat="0" applyFill="0" applyAlignment="0" applyProtection="0"/>
    <xf numFmtId="0" fontId="32" fillId="34" borderId="114">
      <alignment horizontal="right" vertical="center"/>
    </xf>
    <xf numFmtId="0" fontId="40" fillId="59" borderId="105" applyNumberFormat="0" applyFont="0" applyAlignment="0" applyProtection="0"/>
    <xf numFmtId="4" fontId="36" fillId="32" borderId="79">
      <alignment horizontal="right" vertical="center"/>
    </xf>
    <xf numFmtId="0" fontId="30" fillId="0" borderId="0" applyNumberFormat="0" applyFill="0" applyBorder="0" applyAlignment="0" applyProtection="0"/>
    <xf numFmtId="0" fontId="34" fillId="0" borderId="79">
      <alignment horizontal="right" vertical="center"/>
    </xf>
    <xf numFmtId="0" fontId="28" fillId="13" borderId="14" applyNumberFormat="0" applyAlignment="0" applyProtection="0"/>
    <xf numFmtId="0" fontId="29" fillId="13" borderId="13" applyNumberFormat="0" applyAlignment="0" applyProtection="0"/>
    <xf numFmtId="4" fontId="32" fillId="34" borderId="121">
      <alignment horizontal="right" vertical="center"/>
    </xf>
    <xf numFmtId="0" fontId="28" fillId="13" borderId="14" applyNumberFormat="0" applyAlignment="0" applyProtection="0"/>
    <xf numFmtId="0" fontId="1" fillId="0" borderId="0" applyNumberFormat="0" applyFill="0" applyBorder="0" applyAlignment="0" applyProtection="0"/>
    <xf numFmtId="4" fontId="34" fillId="0" borderId="74" applyFill="0" applyBorder="0" applyProtection="0">
      <alignment horizontal="right" vertical="center"/>
    </xf>
    <xf numFmtId="0" fontId="30" fillId="0" borderId="0" applyNumberFormat="0" applyFill="0" applyBorder="0" applyAlignment="0" applyProtection="0"/>
    <xf numFmtId="0" fontId="2" fillId="0" borderId="15" applyNumberFormat="0" applyFill="0" applyAlignment="0" applyProtection="0"/>
    <xf numFmtId="0" fontId="62" fillId="56" borderId="123" applyNumberFormat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12" fillId="16" borderId="0" applyNumberFormat="0" applyBorder="0" applyAlignment="0" applyProtection="0"/>
    <xf numFmtId="0" fontId="34" fillId="34" borderId="82">
      <alignment horizontal="left" vertical="center" wrapText="1" indent="2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12" fillId="19" borderId="0" applyNumberFormat="0" applyBorder="0" applyAlignment="0" applyProtection="0"/>
    <xf numFmtId="0" fontId="5" fillId="59" borderId="73" applyNumberFormat="0" applyFont="0" applyAlignment="0" applyProtection="0"/>
    <xf numFmtId="0" fontId="26" fillId="20" borderId="0" applyNumberFormat="0" applyBorder="0" applyAlignment="0" applyProtection="0"/>
    <xf numFmtId="0" fontId="26" fillId="21" borderId="0" applyNumberFormat="0" applyBorder="0" applyAlignment="0" applyProtection="0"/>
    <xf numFmtId="0" fontId="12" fillId="22" borderId="0" applyNumberFormat="0" applyBorder="0" applyAlignment="0" applyProtection="0"/>
    <xf numFmtId="0" fontId="32" fillId="34" borderId="74">
      <alignment horizontal="right" vertical="center"/>
    </xf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12" fillId="25" borderId="0" applyNumberFormat="0" applyBorder="0" applyAlignment="0" applyProtection="0"/>
    <xf numFmtId="173" fontId="34" fillId="60" borderId="74" applyNumberFormat="0" applyFont="0" applyBorder="0" applyAlignment="0" applyProtection="0">
      <alignment horizontal="right" vertical="center"/>
    </xf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12" fillId="28" borderId="0" applyNumberFormat="0" applyBorder="0" applyAlignment="0" applyProtection="0"/>
    <xf numFmtId="0" fontId="58" fillId="43" borderId="71" applyNumberFormat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12" fillId="31" borderId="0" applyNumberFormat="0" applyBorder="0" applyAlignment="0" applyProtection="0"/>
    <xf numFmtId="0" fontId="34" fillId="0" borderId="47" applyNumberFormat="0" applyFill="0" applyAlignment="0" applyProtection="0"/>
    <xf numFmtId="0" fontId="32" fillId="34" borderId="47">
      <alignment horizontal="right" vertical="center"/>
    </xf>
    <xf numFmtId="0" fontId="32" fillId="34" borderId="47">
      <alignment horizontal="right" vertical="center"/>
    </xf>
    <xf numFmtId="0" fontId="32" fillId="32" borderId="74">
      <alignment horizontal="right" vertical="center"/>
    </xf>
    <xf numFmtId="0" fontId="34" fillId="0" borderId="47">
      <alignment horizontal="right" vertical="center"/>
    </xf>
    <xf numFmtId="0" fontId="36" fillId="32" borderId="47">
      <alignment horizontal="right" vertical="center"/>
    </xf>
    <xf numFmtId="0" fontId="34" fillId="33" borderId="47"/>
    <xf numFmtId="0" fontId="32" fillId="32" borderId="47">
      <alignment horizontal="right" vertical="center"/>
    </xf>
    <xf numFmtId="0" fontId="65" fillId="0" borderId="72" applyNumberFormat="0" applyFill="0" applyAlignment="0" applyProtection="0"/>
    <xf numFmtId="0" fontId="5" fillId="59" borderId="73" applyNumberFormat="0" applyFont="0" applyAlignment="0" applyProtection="0"/>
    <xf numFmtId="4" fontId="32" fillId="34" borderId="74">
      <alignment horizontal="right" vertical="center"/>
    </xf>
    <xf numFmtId="0" fontId="12" fillId="22" borderId="0" applyNumberFormat="0" applyBorder="0" applyAlignment="0" applyProtection="0"/>
    <xf numFmtId="0" fontId="34" fillId="0" borderId="74">
      <alignment horizontal="right" vertical="center"/>
    </xf>
    <xf numFmtId="0" fontId="32" fillId="34" borderId="79">
      <alignment horizontal="right" vertical="center"/>
    </xf>
    <xf numFmtId="0" fontId="58" fillId="43" borderId="71" applyNumberFormat="0" applyAlignment="0" applyProtection="0"/>
    <xf numFmtId="0" fontId="49" fillId="43" borderId="71" applyNumberFormat="0" applyAlignment="0" applyProtection="0"/>
    <xf numFmtId="4" fontId="32" fillId="34" borderId="75">
      <alignment horizontal="right" vertical="center"/>
    </xf>
    <xf numFmtId="49" fontId="33" fillId="0" borderId="74" applyNumberFormat="0" applyFill="0" applyBorder="0" applyProtection="0">
      <alignment horizontal="left" vertical="center"/>
    </xf>
    <xf numFmtId="0" fontId="32" fillId="34" borderId="76">
      <alignment horizontal="right" vertical="center"/>
    </xf>
    <xf numFmtId="0" fontId="32" fillId="34" borderId="74">
      <alignment horizontal="right" vertical="center"/>
    </xf>
    <xf numFmtId="0" fontId="32" fillId="34" borderId="75">
      <alignment horizontal="right" vertical="center"/>
    </xf>
    <xf numFmtId="0" fontId="26" fillId="24" borderId="0" applyNumberFormat="0" applyBorder="0" applyAlignment="0" applyProtection="0"/>
    <xf numFmtId="4" fontId="36" fillId="32" borderId="74">
      <alignment horizontal="right" vertical="center"/>
    </xf>
    <xf numFmtId="0" fontId="46" fillId="56" borderId="84" applyNumberFormat="0" applyAlignment="0" applyProtection="0"/>
    <xf numFmtId="0" fontId="34" fillId="34" borderId="109">
      <alignment horizontal="left" vertical="center" wrapText="1" indent="2"/>
    </xf>
    <xf numFmtId="0" fontId="26" fillId="15" borderId="0" applyNumberFormat="0" applyBorder="0" applyAlignment="0" applyProtection="0"/>
    <xf numFmtId="0" fontId="40" fillId="59" borderId="73" applyNumberFormat="0" applyFont="0" applyAlignment="0" applyProtection="0"/>
    <xf numFmtId="0" fontId="65" fillId="0" borderId="85" applyNumberFormat="0" applyFill="0" applyAlignment="0" applyProtection="0"/>
    <xf numFmtId="0" fontId="26" fillId="14" borderId="0" applyNumberFormat="0" applyBorder="0" applyAlignment="0" applyProtection="0"/>
    <xf numFmtId="0" fontId="65" fillId="0" borderId="72" applyNumberFormat="0" applyFill="0" applyAlignment="0" applyProtection="0"/>
    <xf numFmtId="0" fontId="32" fillId="34" borderId="74">
      <alignment horizontal="right" vertical="center"/>
    </xf>
    <xf numFmtId="0" fontId="43" fillId="56" borderId="70" applyNumberFormat="0" applyAlignment="0" applyProtection="0"/>
    <xf numFmtId="0" fontId="12" fillId="28" borderId="0" applyNumberFormat="0" applyBorder="0" applyAlignment="0" applyProtection="0"/>
    <xf numFmtId="4" fontId="32" fillId="34" borderId="74">
      <alignment horizontal="right" vertical="center"/>
    </xf>
    <xf numFmtId="0" fontId="62" fillId="56" borderId="86" applyNumberFormat="0" applyAlignment="0" applyProtection="0"/>
    <xf numFmtId="0" fontId="5" fillId="59" borderId="78" applyNumberFormat="0" applyFont="0" applyAlignment="0" applyProtection="0"/>
    <xf numFmtId="0" fontId="58" fillId="43" borderId="103" applyNumberFormat="0" applyAlignment="0" applyProtection="0"/>
    <xf numFmtId="0" fontId="1" fillId="0" borderId="0" applyNumberFormat="0" applyFill="0" applyBorder="0" applyAlignment="0" applyProtection="0"/>
    <xf numFmtId="0" fontId="49" fillId="43" borderId="71" applyNumberFormat="0" applyAlignment="0" applyProtection="0"/>
    <xf numFmtId="4" fontId="32" fillId="34" borderId="76">
      <alignment horizontal="right" vertical="center"/>
    </xf>
    <xf numFmtId="4" fontId="34" fillId="33" borderId="74"/>
    <xf numFmtId="0" fontId="32" fillId="34" borderId="74">
      <alignment horizontal="right" vertical="center"/>
    </xf>
    <xf numFmtId="4" fontId="32" fillId="32" borderId="79">
      <alignment horizontal="right" vertical="center"/>
    </xf>
    <xf numFmtId="4" fontId="32" fillId="34" borderId="75">
      <alignment horizontal="right" vertical="center"/>
    </xf>
    <xf numFmtId="0" fontId="50" fillId="0" borderId="88" applyNumberFormat="0" applyFill="0" applyAlignment="0" applyProtection="0"/>
    <xf numFmtId="4" fontId="32" fillId="34" borderId="79">
      <alignment horizontal="right" vertical="center"/>
    </xf>
    <xf numFmtId="0" fontId="26" fillId="23" borderId="0" applyNumberFormat="0" applyBorder="0" applyAlignment="0" applyProtection="0"/>
    <xf numFmtId="4" fontId="34" fillId="0" borderId="106">
      <alignment horizontal="right" vertical="center"/>
    </xf>
    <xf numFmtId="0" fontId="1" fillId="0" borderId="0" applyNumberFormat="0" applyFill="0" applyBorder="0" applyAlignment="0" applyProtection="0"/>
    <xf numFmtId="0" fontId="65" fillId="0" borderId="85" applyNumberFormat="0" applyFill="0" applyAlignment="0" applyProtection="0"/>
    <xf numFmtId="0" fontId="34" fillId="34" borderId="77">
      <alignment horizontal="left" vertical="center" wrapText="1" indent="2"/>
    </xf>
    <xf numFmtId="0" fontId="62" fillId="56" borderId="70" applyNumberFormat="0" applyAlignment="0" applyProtection="0"/>
    <xf numFmtId="4" fontId="32" fillId="34" borderId="74">
      <alignment horizontal="right" vertical="center"/>
    </xf>
    <xf numFmtId="4" fontId="32" fillId="34" borderId="107">
      <alignment horizontal="right" vertical="center"/>
    </xf>
    <xf numFmtId="0" fontId="34" fillId="0" borderId="77">
      <alignment horizontal="left" vertical="center" wrapText="1" indent="2"/>
    </xf>
    <xf numFmtId="0" fontId="46" fillId="56" borderId="71" applyNumberFormat="0" applyAlignment="0" applyProtection="0"/>
    <xf numFmtId="0" fontId="49" fillId="43" borderId="71" applyNumberFormat="0" applyAlignment="0" applyProtection="0"/>
    <xf numFmtId="4" fontId="34" fillId="0" borderId="74">
      <alignment horizontal="right" vertical="center"/>
    </xf>
    <xf numFmtId="0" fontId="46" fillId="56" borderId="63" applyNumberFormat="0" applyAlignment="0" applyProtection="0"/>
    <xf numFmtId="49" fontId="33" fillId="0" borderId="79" applyNumberFormat="0" applyFill="0" applyBorder="0" applyProtection="0">
      <alignment horizontal="left" vertical="center"/>
    </xf>
    <xf numFmtId="43" fontId="37" fillId="0" borderId="0" applyFont="0" applyFill="0" applyBorder="0" applyAlignment="0" applyProtection="0"/>
    <xf numFmtId="172" fontId="85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34" fillId="34" borderId="101">
      <alignment horizontal="left" vertical="center" wrapText="1" indent="2"/>
    </xf>
    <xf numFmtId="4" fontId="36" fillId="32" borderId="74">
      <alignment horizontal="right" vertical="center"/>
    </xf>
    <xf numFmtId="0" fontId="34" fillId="34" borderId="122">
      <alignment horizontal="left" vertical="center" wrapText="1" indent="2"/>
    </xf>
    <xf numFmtId="0" fontId="26" fillId="24" borderId="0" applyNumberFormat="0" applyBorder="0" applyAlignment="0" applyProtection="0"/>
    <xf numFmtId="0" fontId="58" fillId="43" borderId="71" applyNumberFormat="0" applyAlignment="0" applyProtection="0"/>
    <xf numFmtId="0" fontId="46" fillId="56" borderId="71" applyNumberFormat="0" applyAlignment="0" applyProtection="0"/>
    <xf numFmtId="0" fontId="34" fillId="0" borderId="90">
      <alignment horizontal="right" vertical="center"/>
    </xf>
    <xf numFmtId="0" fontId="12" fillId="19" borderId="0" applyNumberFormat="0" applyBorder="0" applyAlignment="0" applyProtection="0"/>
    <xf numFmtId="0" fontId="62" fillId="56" borderId="70" applyNumberFormat="0" applyAlignment="0" applyProtection="0"/>
    <xf numFmtId="0" fontId="58" fillId="43" borderId="63" applyNumberFormat="0" applyAlignment="0" applyProtection="0"/>
    <xf numFmtId="0" fontId="12" fillId="19" borderId="0" applyNumberFormat="0" applyBorder="0" applyAlignment="0" applyProtection="0"/>
    <xf numFmtId="0" fontId="62" fillId="56" borderId="83" applyNumberFormat="0" applyAlignment="0" applyProtection="0"/>
    <xf numFmtId="0" fontId="43" fillId="56" borderId="70" applyNumberFormat="0" applyAlignment="0" applyProtection="0"/>
    <xf numFmtId="0" fontId="34" fillId="0" borderId="122">
      <alignment horizontal="left" vertical="center" wrapText="1" indent="2"/>
    </xf>
    <xf numFmtId="0" fontId="12" fillId="31" borderId="0" applyNumberFormat="0" applyBorder="0" applyAlignment="0" applyProtection="0"/>
    <xf numFmtId="0" fontId="34" fillId="0" borderId="82">
      <alignment horizontal="left" vertical="center" wrapText="1" indent="2"/>
    </xf>
    <xf numFmtId="0" fontId="58" fillId="43" borderId="111" applyNumberFormat="0" applyAlignment="0" applyProtection="0"/>
    <xf numFmtId="0" fontId="45" fillId="56" borderId="71" applyNumberFormat="0" applyAlignment="0" applyProtection="0"/>
    <xf numFmtId="0" fontId="26" fillId="14" borderId="0" applyNumberFormat="0" applyBorder="0" applyAlignment="0" applyProtection="0"/>
    <xf numFmtId="0" fontId="12" fillId="16" borderId="0" applyNumberFormat="0" applyBorder="0" applyAlignment="0" applyProtection="0"/>
    <xf numFmtId="0" fontId="85" fillId="0" borderId="0"/>
    <xf numFmtId="0" fontId="49" fillId="43" borderId="71" applyNumberFormat="0" applyAlignment="0" applyProtection="0"/>
    <xf numFmtId="0" fontId="34" fillId="0" borderId="74" applyNumberFormat="0" applyFill="0" applyAlignment="0" applyProtection="0"/>
    <xf numFmtId="0" fontId="46" fillId="56" borderId="71" applyNumberFormat="0" applyAlignment="0" applyProtection="0"/>
    <xf numFmtId="49" fontId="34" fillId="0" borderId="74" applyNumberFormat="0" applyFont="0" applyFill="0" applyBorder="0" applyProtection="0">
      <alignment horizontal="left" vertical="center" indent="2"/>
    </xf>
    <xf numFmtId="0" fontId="34" fillId="33" borderId="79"/>
    <xf numFmtId="4" fontId="36" fillId="32" borderId="74">
      <alignment horizontal="right" vertical="center"/>
    </xf>
    <xf numFmtId="0" fontId="30" fillId="0" borderId="0" applyNumberFormat="0" applyFill="0" applyBorder="0" applyAlignment="0" applyProtection="0"/>
    <xf numFmtId="0" fontId="58" fillId="43" borderId="84" applyNumberFormat="0" applyAlignment="0" applyProtection="0"/>
    <xf numFmtId="4" fontId="34" fillId="0" borderId="47" applyFill="0" applyBorder="0" applyProtection="0">
      <alignment horizontal="right" vertical="center"/>
    </xf>
    <xf numFmtId="0" fontId="32" fillId="34" borderId="74">
      <alignment horizontal="right" vertical="center"/>
    </xf>
    <xf numFmtId="4" fontId="32" fillId="34" borderId="76">
      <alignment horizontal="right" vertical="center"/>
    </xf>
    <xf numFmtId="0" fontId="58" fillId="43" borderId="84" applyNumberFormat="0" applyAlignment="0" applyProtection="0"/>
    <xf numFmtId="0" fontId="34" fillId="34" borderId="77">
      <alignment horizontal="left" vertical="center" wrapText="1" indent="2"/>
    </xf>
    <xf numFmtId="0" fontId="40" fillId="59" borderId="73" applyNumberFormat="0" applyFont="0" applyAlignment="0" applyProtection="0"/>
    <xf numFmtId="0" fontId="49" fillId="43" borderId="71" applyNumberFormat="0" applyAlignment="0" applyProtection="0"/>
    <xf numFmtId="0" fontId="36" fillId="32" borderId="74">
      <alignment horizontal="right" vertical="center"/>
    </xf>
    <xf numFmtId="0" fontId="85" fillId="35" borderId="0" applyNumberFormat="0" applyFont="0" applyBorder="0" applyAlignment="0" applyProtection="0"/>
    <xf numFmtId="0" fontId="40" fillId="59" borderId="65" applyNumberFormat="0" applyFont="0" applyAlignment="0" applyProtection="0"/>
    <xf numFmtId="0" fontId="5" fillId="59" borderId="65" applyNumberFormat="0" applyFont="0" applyAlignment="0" applyProtection="0"/>
    <xf numFmtId="0" fontId="62" fillId="56" borderId="62" applyNumberFormat="0" applyAlignment="0" applyProtection="0"/>
    <xf numFmtId="0" fontId="50" fillId="0" borderId="72" applyNumberFormat="0" applyFill="0" applyAlignment="0" applyProtection="0"/>
    <xf numFmtId="9" fontId="85" fillId="0" borderId="0" applyFont="0" applyFill="0" applyBorder="0" applyAlignment="0" applyProtection="0"/>
    <xf numFmtId="4" fontId="32" fillId="34" borderId="75">
      <alignment horizontal="right" vertical="center"/>
    </xf>
    <xf numFmtId="0" fontId="32" fillId="34" borderId="91">
      <alignment horizontal="right" vertical="center"/>
    </xf>
    <xf numFmtId="0" fontId="12" fillId="25" borderId="0" applyNumberFormat="0" applyBorder="0" applyAlignment="0" applyProtection="0"/>
    <xf numFmtId="0" fontId="65" fillId="0" borderId="64" applyNumberFormat="0" applyFill="0" applyAlignment="0" applyProtection="0"/>
    <xf numFmtId="0" fontId="45" fillId="56" borderId="84" applyNumberFormat="0" applyAlignment="0" applyProtection="0"/>
    <xf numFmtId="0" fontId="34" fillId="0" borderId="74">
      <alignment horizontal="right" vertical="center"/>
    </xf>
    <xf numFmtId="49" fontId="33" fillId="0" borderId="74" applyNumberFormat="0" applyFill="0" applyBorder="0" applyProtection="0">
      <alignment horizontal="left" vertical="center"/>
    </xf>
    <xf numFmtId="0" fontId="45" fillId="56" borderId="71" applyNumberFormat="0" applyAlignment="0" applyProtection="0"/>
    <xf numFmtId="0" fontId="46" fillId="56" borderId="71" applyNumberFormat="0" applyAlignment="0" applyProtection="0"/>
    <xf numFmtId="0" fontId="26" fillId="15" borderId="0" applyNumberFormat="0" applyBorder="0" applyAlignment="0" applyProtection="0"/>
    <xf numFmtId="4" fontId="32" fillId="34" borderId="79">
      <alignment horizontal="right" vertical="center"/>
    </xf>
    <xf numFmtId="4" fontId="36" fillId="32" borderId="79">
      <alignment horizontal="right" vertical="center"/>
    </xf>
    <xf numFmtId="0" fontId="65" fillId="0" borderId="72" applyNumberFormat="0" applyFill="0" applyAlignment="0" applyProtection="0"/>
    <xf numFmtId="0" fontId="50" fillId="0" borderId="104" applyNumberFormat="0" applyFill="0" applyAlignment="0" applyProtection="0"/>
    <xf numFmtId="4" fontId="32" fillId="34" borderId="129">
      <alignment horizontal="right" vertical="center"/>
    </xf>
    <xf numFmtId="0" fontId="32" fillId="34" borderId="76">
      <alignment horizontal="right" vertical="center"/>
    </xf>
    <xf numFmtId="0" fontId="65" fillId="0" borderId="85" applyNumberFormat="0" applyFill="0" applyAlignment="0" applyProtection="0"/>
    <xf numFmtId="0" fontId="34" fillId="0" borderId="74" applyNumberFormat="0" applyFill="0" applyAlignment="0" applyProtection="0"/>
    <xf numFmtId="0" fontId="40" fillId="59" borderId="73" applyNumberFormat="0" applyFont="0" applyAlignment="0" applyProtection="0"/>
    <xf numFmtId="0" fontId="34" fillId="0" borderId="77">
      <alignment horizontal="left" vertical="center" wrapText="1" indent="2"/>
    </xf>
    <xf numFmtId="0" fontId="32" fillId="34" borderId="81">
      <alignment horizontal="right" vertical="center"/>
    </xf>
    <xf numFmtId="0" fontId="34" fillId="32" borderId="75">
      <alignment horizontal="left" vertical="center"/>
    </xf>
    <xf numFmtId="49" fontId="34" fillId="0" borderId="74" applyNumberFormat="0" applyFont="0" applyFill="0" applyBorder="0" applyProtection="0">
      <alignment horizontal="left" vertical="center" indent="2"/>
    </xf>
    <xf numFmtId="0" fontId="26" fillId="26" borderId="0" applyNumberFormat="0" applyBorder="0" applyAlignment="0" applyProtection="0"/>
    <xf numFmtId="0" fontId="65" fillId="0" borderId="72" applyNumberFormat="0" applyFill="0" applyAlignment="0" applyProtection="0"/>
    <xf numFmtId="0" fontId="50" fillId="0" borderId="104" applyNumberFormat="0" applyFill="0" applyAlignment="0" applyProtection="0"/>
    <xf numFmtId="0" fontId="34" fillId="33" borderId="74"/>
    <xf numFmtId="4" fontId="34" fillId="33" borderId="129"/>
    <xf numFmtId="0" fontId="46" fillId="56" borderId="71" applyNumberFormat="0" applyAlignment="0" applyProtection="0"/>
    <xf numFmtId="0" fontId="40" fillId="59" borderId="73" applyNumberFormat="0" applyFont="0" applyAlignment="0" applyProtection="0"/>
    <xf numFmtId="49" fontId="34" fillId="0" borderId="74" applyNumberFormat="0" applyFont="0" applyFill="0" applyBorder="0" applyProtection="0">
      <alignment horizontal="left" vertical="center" indent="2"/>
    </xf>
    <xf numFmtId="0" fontId="26" fillId="18" borderId="0" applyNumberFormat="0" applyBorder="0" applyAlignment="0" applyProtection="0"/>
    <xf numFmtId="0" fontId="32" fillId="34" borderId="74">
      <alignment horizontal="right" vertical="center"/>
    </xf>
    <xf numFmtId="4" fontId="34" fillId="33" borderId="74"/>
    <xf numFmtId="4" fontId="32" fillId="34" borderId="81">
      <alignment horizontal="right" vertical="center"/>
    </xf>
    <xf numFmtId="4" fontId="34" fillId="0" borderId="74">
      <alignment horizontal="right" vertical="center"/>
    </xf>
    <xf numFmtId="0" fontId="34" fillId="0" borderId="77">
      <alignment horizontal="left" vertical="center" wrapText="1" indent="2"/>
    </xf>
    <xf numFmtId="0" fontId="12" fillId="16" borderId="0" applyNumberFormat="0" applyBorder="0" applyAlignment="0" applyProtection="0"/>
    <xf numFmtId="0" fontId="34" fillId="0" borderId="74">
      <alignment horizontal="right" vertical="center"/>
    </xf>
    <xf numFmtId="0" fontId="34" fillId="34" borderId="77">
      <alignment horizontal="left" vertical="center" wrapText="1" indent="2"/>
    </xf>
    <xf numFmtId="0" fontId="26" fillId="23" borderId="0" applyNumberFormat="0" applyBorder="0" applyAlignment="0" applyProtection="0"/>
    <xf numFmtId="0" fontId="34" fillId="32" borderId="75">
      <alignment horizontal="left" vertical="center"/>
    </xf>
    <xf numFmtId="0" fontId="26" fillId="26" borderId="0" applyNumberFormat="0" applyBorder="0" applyAlignment="0" applyProtection="0"/>
    <xf numFmtId="0" fontId="32" fillId="34" borderId="74">
      <alignment horizontal="right" vertical="center"/>
    </xf>
    <xf numFmtId="0" fontId="46" fillId="56" borderId="124" applyNumberFormat="0" applyAlignment="0" applyProtection="0"/>
    <xf numFmtId="0" fontId="34" fillId="0" borderId="77">
      <alignment horizontal="left" vertical="center" wrapText="1" indent="2"/>
    </xf>
    <xf numFmtId="0" fontId="46" fillId="56" borderId="63" applyNumberFormat="0" applyAlignment="0" applyProtection="0"/>
    <xf numFmtId="0" fontId="43" fillId="56" borderId="83" applyNumberFormat="0" applyAlignment="0" applyProtection="0"/>
    <xf numFmtId="0" fontId="65" fillId="0" borderId="72" applyNumberFormat="0" applyFill="0" applyAlignment="0" applyProtection="0"/>
    <xf numFmtId="0" fontId="34" fillId="34" borderId="77">
      <alignment horizontal="left" vertical="center" wrapText="1" indent="2"/>
    </xf>
    <xf numFmtId="0" fontId="50" fillId="0" borderId="72" applyNumberFormat="0" applyFill="0" applyAlignment="0" applyProtection="0"/>
    <xf numFmtId="0" fontId="34" fillId="33" borderId="79"/>
    <xf numFmtId="49" fontId="34" fillId="0" borderId="119" applyNumberFormat="0" applyFont="0" applyFill="0" applyBorder="0" applyProtection="0">
      <alignment horizontal="left" vertical="center" indent="2"/>
    </xf>
    <xf numFmtId="49" fontId="34" fillId="0" borderId="74" applyNumberFormat="0" applyFont="0" applyFill="0" applyBorder="0" applyProtection="0">
      <alignment horizontal="left" vertical="center" indent="2"/>
    </xf>
    <xf numFmtId="0" fontId="58" fillId="43" borderId="63" applyNumberFormat="0" applyAlignment="0" applyProtection="0"/>
    <xf numFmtId="0" fontId="46" fillId="56" borderId="87" applyNumberFormat="0" applyAlignment="0" applyProtection="0"/>
    <xf numFmtId="0" fontId="43" fillId="56" borderId="70" applyNumberFormat="0" applyAlignment="0" applyProtection="0"/>
    <xf numFmtId="0" fontId="40" fillId="59" borderId="73" applyNumberFormat="0" applyFont="0" applyAlignment="0" applyProtection="0"/>
    <xf numFmtId="0" fontId="40" fillId="59" borderId="65" applyNumberFormat="0" applyFont="0" applyAlignment="0" applyProtection="0"/>
    <xf numFmtId="0" fontId="62" fillId="56" borderId="62" applyNumberFormat="0" applyAlignment="0" applyProtection="0"/>
    <xf numFmtId="0" fontId="32" fillId="34" borderId="79">
      <alignment horizontal="right" vertical="center"/>
    </xf>
    <xf numFmtId="0" fontId="65" fillId="0" borderId="64" applyNumberFormat="0" applyFill="0" applyAlignment="0" applyProtection="0"/>
    <xf numFmtId="0" fontId="43" fillId="56" borderId="70" applyNumberFormat="0" applyAlignment="0" applyProtection="0"/>
    <xf numFmtId="0" fontId="32" fillId="34" borderId="74">
      <alignment horizontal="right" vertical="center"/>
    </xf>
    <xf numFmtId="0" fontId="49" fillId="43" borderId="71" applyNumberFormat="0" applyAlignment="0" applyProtection="0"/>
    <xf numFmtId="0" fontId="65" fillId="0" borderId="127" applyNumberFormat="0" applyFill="0" applyAlignment="0" applyProtection="0"/>
    <xf numFmtId="0" fontId="34" fillId="34" borderId="82">
      <alignment horizontal="left" vertical="center" wrapText="1" indent="2"/>
    </xf>
    <xf numFmtId="0" fontId="32" fillId="32" borderId="74">
      <alignment horizontal="right" vertical="center"/>
    </xf>
    <xf numFmtId="0" fontId="58" fillId="43" borderId="84" applyNumberFormat="0" applyAlignment="0" applyProtection="0"/>
    <xf numFmtId="4" fontId="32" fillId="32" borderId="74">
      <alignment horizontal="right" vertical="center"/>
    </xf>
    <xf numFmtId="4" fontId="32" fillId="32" borderId="74">
      <alignment horizontal="right" vertical="center"/>
    </xf>
    <xf numFmtId="4" fontId="36" fillId="32" borderId="79">
      <alignment horizontal="right" vertical="center"/>
    </xf>
    <xf numFmtId="0" fontId="65" fillId="0" borderId="72" applyNumberFormat="0" applyFill="0" applyAlignment="0" applyProtection="0"/>
    <xf numFmtId="0" fontId="49" fillId="43" borderId="71" applyNumberFormat="0" applyAlignment="0" applyProtection="0"/>
    <xf numFmtId="0" fontId="32" fillId="34" borderId="76">
      <alignment horizontal="right" vertical="center"/>
    </xf>
    <xf numFmtId="0" fontId="34" fillId="0" borderId="66" applyNumberFormat="0" applyFill="0" applyAlignment="0" applyProtection="0"/>
    <xf numFmtId="0" fontId="26" fillId="20" borderId="0" applyNumberFormat="0" applyBorder="0" applyAlignment="0" applyProtection="0"/>
    <xf numFmtId="0" fontId="34" fillId="34" borderId="82">
      <alignment horizontal="left" vertical="center" wrapText="1" indent="2"/>
    </xf>
    <xf numFmtId="0" fontId="12" fillId="16" borderId="0" applyNumberFormat="0" applyBorder="0" applyAlignment="0" applyProtection="0"/>
    <xf numFmtId="0" fontId="34" fillId="0" borderId="101">
      <alignment horizontal="left" vertical="center" wrapText="1" indent="2"/>
    </xf>
    <xf numFmtId="0" fontId="40" fillId="59" borderId="73" applyNumberFormat="0" applyFont="0" applyAlignment="0" applyProtection="0"/>
    <xf numFmtId="0" fontId="32" fillId="32" borderId="66">
      <alignment horizontal="right" vertical="center"/>
    </xf>
    <xf numFmtId="4" fontId="32" fillId="32" borderId="66">
      <alignment horizontal="right" vertical="center"/>
    </xf>
    <xf numFmtId="0" fontId="36" fillId="32" borderId="66">
      <alignment horizontal="right" vertical="center"/>
    </xf>
    <xf numFmtId="4" fontId="36" fillId="32" borderId="66">
      <alignment horizontal="right" vertical="center"/>
    </xf>
    <xf numFmtId="0" fontId="32" fillId="34" borderId="66">
      <alignment horizontal="right" vertical="center"/>
    </xf>
    <xf numFmtId="4" fontId="32" fillId="34" borderId="66">
      <alignment horizontal="right" vertical="center"/>
    </xf>
    <xf numFmtId="0" fontId="32" fillId="34" borderId="66">
      <alignment horizontal="right" vertical="center"/>
    </xf>
    <xf numFmtId="4" fontId="32" fillId="34" borderId="66">
      <alignment horizontal="right" vertical="center"/>
    </xf>
    <xf numFmtId="0" fontId="32" fillId="34" borderId="67">
      <alignment horizontal="right" vertical="center"/>
    </xf>
    <xf numFmtId="4" fontId="32" fillId="34" borderId="67">
      <alignment horizontal="right" vertical="center"/>
    </xf>
    <xf numFmtId="0" fontId="32" fillId="34" borderId="68">
      <alignment horizontal="right" vertical="center"/>
    </xf>
    <xf numFmtId="4" fontId="32" fillId="34" borderId="68">
      <alignment horizontal="right" vertical="center"/>
    </xf>
    <xf numFmtId="0" fontId="46" fillId="56" borderId="63" applyNumberFormat="0" applyAlignment="0" applyProtection="0"/>
    <xf numFmtId="0" fontId="34" fillId="34" borderId="69">
      <alignment horizontal="left" vertical="center" wrapText="1" indent="2"/>
    </xf>
    <xf numFmtId="0" fontId="34" fillId="0" borderId="69">
      <alignment horizontal="left" vertical="center" wrapText="1" indent="2"/>
    </xf>
    <xf numFmtId="0" fontId="34" fillId="32" borderId="67">
      <alignment horizontal="left" vertical="center"/>
    </xf>
    <xf numFmtId="0" fontId="5" fillId="59" borderId="78" applyNumberFormat="0" applyFont="0" applyAlignment="0" applyProtection="0"/>
    <xf numFmtId="0" fontId="58" fillId="43" borderId="63" applyNumberFormat="0" applyAlignment="0" applyProtection="0"/>
    <xf numFmtId="0" fontId="34" fillId="0" borderId="66">
      <alignment horizontal="right" vertical="center"/>
    </xf>
    <xf numFmtId="4" fontId="34" fillId="0" borderId="66">
      <alignment horizontal="right" vertical="center"/>
    </xf>
    <xf numFmtId="0" fontId="40" fillId="59" borderId="78" applyNumberFormat="0" applyFont="0" applyAlignment="0" applyProtection="0"/>
    <xf numFmtId="0" fontId="34" fillId="0" borderId="66" applyNumberFormat="0" applyFill="0" applyAlignment="0" applyProtection="0"/>
    <xf numFmtId="0" fontId="62" fillId="56" borderId="62" applyNumberFormat="0" applyAlignment="0" applyProtection="0"/>
    <xf numFmtId="173" fontId="34" fillId="60" borderId="66" applyNumberFormat="0" applyFont="0" applyBorder="0" applyAlignment="0" applyProtection="0">
      <alignment horizontal="right" vertical="center"/>
    </xf>
    <xf numFmtId="0" fontId="34" fillId="33" borderId="66"/>
    <xf numFmtId="4" fontId="34" fillId="33" borderId="66"/>
    <xf numFmtId="0" fontId="65" fillId="0" borderId="64" applyNumberFormat="0" applyFill="0" applyAlignment="0" applyProtection="0"/>
    <xf numFmtId="0" fontId="34" fillId="32" borderId="99">
      <alignment horizontal="left" vertical="center"/>
    </xf>
    <xf numFmtId="0" fontId="2" fillId="0" borderId="15" applyNumberFormat="0" applyFill="0" applyAlignment="0" applyProtection="0"/>
    <xf numFmtId="0" fontId="65" fillId="0" borderId="85" applyNumberFormat="0" applyFill="0" applyAlignment="0" applyProtection="0"/>
    <xf numFmtId="0" fontId="45" fillId="56" borderId="71" applyNumberFormat="0" applyAlignment="0" applyProtection="0"/>
    <xf numFmtId="0" fontId="34" fillId="0" borderId="90" applyNumberFormat="0" applyFill="0" applyAlignment="0" applyProtection="0"/>
    <xf numFmtId="0" fontId="43" fillId="56" borderId="102" applyNumberFormat="0" applyAlignment="0" applyProtection="0"/>
    <xf numFmtId="4" fontId="34" fillId="0" borderId="74">
      <alignment horizontal="right" vertical="center"/>
    </xf>
    <xf numFmtId="0" fontId="32" fillId="34" borderId="74">
      <alignment horizontal="right" vertical="center"/>
    </xf>
    <xf numFmtId="0" fontId="26" fillId="18" borderId="0" applyNumberFormat="0" applyBorder="0" applyAlignment="0" applyProtection="0"/>
    <xf numFmtId="0" fontId="46" fillId="56" borderId="134" applyNumberFormat="0" applyAlignment="0" applyProtection="0"/>
    <xf numFmtId="0" fontId="36" fillId="32" borderId="119">
      <alignment horizontal="right" vertical="center"/>
    </xf>
    <xf numFmtId="0" fontId="12" fillId="31" borderId="0" applyNumberFormat="0" applyBorder="0" applyAlignment="0" applyProtection="0"/>
    <xf numFmtId="0" fontId="58" fillId="43" borderId="71" applyNumberFormat="0" applyAlignment="0" applyProtection="0"/>
    <xf numFmtId="4" fontId="32" fillId="34" borderId="75">
      <alignment horizontal="right" vertical="center"/>
    </xf>
    <xf numFmtId="0" fontId="46" fillId="56" borderId="84" applyNumberFormat="0" applyAlignment="0" applyProtection="0"/>
    <xf numFmtId="0" fontId="26" fillId="14" borderId="0" applyNumberFormat="0" applyBorder="0" applyAlignment="0" applyProtection="0"/>
    <xf numFmtId="0" fontId="26" fillId="23" borderId="0" applyNumberFormat="0" applyBorder="0" applyAlignment="0" applyProtection="0"/>
    <xf numFmtId="49" fontId="33" fillId="0" borderId="74" applyNumberFormat="0" applyFill="0" applyBorder="0" applyProtection="0">
      <alignment horizontal="left" vertical="center"/>
    </xf>
    <xf numFmtId="0" fontId="2" fillId="0" borderId="15" applyNumberFormat="0" applyFill="0" applyAlignment="0" applyProtection="0"/>
    <xf numFmtId="0" fontId="58" fillId="43" borderId="124" applyNumberFormat="0" applyAlignment="0" applyProtection="0"/>
    <xf numFmtId="0" fontId="32" fillId="34" borderId="74">
      <alignment horizontal="right" vertical="center"/>
    </xf>
    <xf numFmtId="0" fontId="28" fillId="13" borderId="14" applyNumberFormat="0" applyAlignment="0" applyProtection="0"/>
    <xf numFmtId="0" fontId="62" fillId="56" borderId="70" applyNumberFormat="0" applyAlignment="0" applyProtection="0"/>
    <xf numFmtId="0" fontId="30" fillId="0" borderId="0" applyNumberFormat="0" applyFill="0" applyBorder="0" applyAlignment="0" applyProtection="0"/>
    <xf numFmtId="0" fontId="12" fillId="25" borderId="0" applyNumberFormat="0" applyBorder="0" applyAlignment="0" applyProtection="0"/>
    <xf numFmtId="0" fontId="26" fillId="30" borderId="0" applyNumberFormat="0" applyBorder="0" applyAlignment="0" applyProtection="0"/>
    <xf numFmtId="0" fontId="26" fillId="17" borderId="0" applyNumberFormat="0" applyBorder="0" applyAlignment="0" applyProtection="0"/>
    <xf numFmtId="0" fontId="58" fillId="43" borderId="124" applyNumberFormat="0" applyAlignment="0" applyProtection="0"/>
    <xf numFmtId="0" fontId="34" fillId="0" borderId="82">
      <alignment horizontal="left" vertical="center" wrapText="1" indent="2"/>
    </xf>
    <xf numFmtId="4" fontId="32" fillId="34" borderId="129">
      <alignment horizontal="right" vertical="center"/>
    </xf>
    <xf numFmtId="0" fontId="50" fillId="0" borderId="72" applyNumberFormat="0" applyFill="0" applyAlignment="0" applyProtection="0"/>
    <xf numFmtId="4" fontId="34" fillId="0" borderId="106" applyFill="0" applyBorder="0" applyProtection="0">
      <alignment horizontal="right" vertical="center"/>
    </xf>
    <xf numFmtId="0" fontId="34" fillId="34" borderId="77">
      <alignment horizontal="left" vertical="center" wrapText="1" indent="2"/>
    </xf>
    <xf numFmtId="0" fontId="34" fillId="33" borderId="74"/>
    <xf numFmtId="4" fontId="34" fillId="0" borderId="106" applyFill="0" applyBorder="0" applyProtection="0">
      <alignment horizontal="right" vertical="center"/>
    </xf>
    <xf numFmtId="0" fontId="32" fillId="34" borderId="106">
      <alignment horizontal="right" vertical="center"/>
    </xf>
    <xf numFmtId="0" fontId="65" fillId="0" borderId="72" applyNumberFormat="0" applyFill="0" applyAlignment="0" applyProtection="0"/>
    <xf numFmtId="0" fontId="65" fillId="0" borderId="72" applyNumberFormat="0" applyFill="0" applyAlignment="0" applyProtection="0"/>
    <xf numFmtId="0" fontId="34" fillId="32" borderId="75">
      <alignment horizontal="left" vertical="center"/>
    </xf>
    <xf numFmtId="0" fontId="32" fillId="34" borderId="79">
      <alignment horizontal="right" vertical="center"/>
    </xf>
    <xf numFmtId="0" fontId="32" fillId="32" borderId="79">
      <alignment horizontal="right" vertical="center"/>
    </xf>
    <xf numFmtId="0" fontId="49" fillId="43" borderId="71" applyNumberFormat="0" applyAlignment="0" applyProtection="0"/>
    <xf numFmtId="4" fontId="32" fillId="34" borderId="121">
      <alignment horizontal="right" vertical="center"/>
    </xf>
    <xf numFmtId="4" fontId="32" fillId="34" borderId="137">
      <alignment horizontal="right" vertical="center"/>
    </xf>
    <xf numFmtId="0" fontId="40" fillId="59" borderId="73" applyNumberFormat="0" applyFont="0" applyAlignment="0" applyProtection="0"/>
    <xf numFmtId="49" fontId="34" fillId="0" borderId="107" applyNumberFormat="0" applyFont="0" applyFill="0" applyBorder="0" applyProtection="0">
      <alignment horizontal="left" vertical="center" indent="5"/>
    </xf>
    <xf numFmtId="0" fontId="34" fillId="0" borderId="79">
      <alignment horizontal="right" vertical="center"/>
    </xf>
    <xf numFmtId="0" fontId="26" fillId="20" borderId="0" applyNumberFormat="0" applyBorder="0" applyAlignment="0" applyProtection="0"/>
    <xf numFmtId="0" fontId="12" fillId="22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24" borderId="0" applyNumberFormat="0" applyBorder="0" applyAlignment="0" applyProtection="0"/>
    <xf numFmtId="0" fontId="26" fillId="14" borderId="0" applyNumberFormat="0" applyBorder="0" applyAlignment="0" applyProtection="0"/>
    <xf numFmtId="4" fontId="34" fillId="0" borderId="79">
      <alignment horizontal="right" vertical="center"/>
    </xf>
    <xf numFmtId="4" fontId="34" fillId="33" borderId="74"/>
    <xf numFmtId="0" fontId="26" fillId="18" borderId="0" applyNumberFormat="0" applyBorder="0" applyAlignment="0" applyProtection="0"/>
    <xf numFmtId="0" fontId="62" fillId="56" borderId="102" applyNumberFormat="0" applyAlignment="0" applyProtection="0"/>
    <xf numFmtId="0" fontId="30" fillId="0" borderId="0" applyNumberFormat="0" applyFill="0" applyBorder="0" applyAlignment="0" applyProtection="0"/>
    <xf numFmtId="0" fontId="34" fillId="0" borderId="74">
      <alignment horizontal="right" vertical="center"/>
    </xf>
    <xf numFmtId="0" fontId="28" fillId="13" borderId="14" applyNumberFormat="0" applyAlignment="0" applyProtection="0"/>
    <xf numFmtId="49" fontId="34" fillId="0" borderId="66" applyNumberFormat="0" applyFont="0" applyFill="0" applyBorder="0" applyProtection="0">
      <alignment horizontal="left" vertical="center" indent="2"/>
    </xf>
    <xf numFmtId="49" fontId="34" fillId="0" borderId="67" applyNumberFormat="0" applyFont="0" applyFill="0" applyBorder="0" applyProtection="0">
      <alignment horizontal="left" vertical="center" indent="5"/>
    </xf>
    <xf numFmtId="4" fontId="32" fillId="32" borderId="74">
      <alignment horizontal="right" vertical="center"/>
    </xf>
    <xf numFmtId="0" fontId="32" fillId="34" borderId="76">
      <alignment horizontal="right" vertical="center"/>
    </xf>
    <xf numFmtId="4" fontId="34" fillId="33" borderId="79"/>
    <xf numFmtId="0" fontId="26" fillId="14" borderId="0" applyNumberFormat="0" applyBorder="0" applyAlignment="0" applyProtection="0"/>
    <xf numFmtId="0" fontId="46" fillId="56" borderId="103" applyNumberFormat="0" applyAlignment="0" applyProtection="0"/>
    <xf numFmtId="0" fontId="65" fillId="0" borderId="72" applyNumberFormat="0" applyFill="0" applyAlignment="0" applyProtection="0"/>
    <xf numFmtId="0" fontId="40" fillId="59" borderId="78" applyNumberFormat="0" applyFont="0" applyAlignment="0" applyProtection="0"/>
    <xf numFmtId="0" fontId="58" fillId="43" borderId="71" applyNumberFormat="0" applyAlignment="0" applyProtection="0"/>
    <xf numFmtId="4" fontId="32" fillId="34" borderId="106">
      <alignment horizontal="right" vertical="center"/>
    </xf>
    <xf numFmtId="0" fontId="36" fillId="32" borderId="74">
      <alignment horizontal="right" vertical="center"/>
    </xf>
    <xf numFmtId="4" fontId="34" fillId="0" borderId="66" applyFill="0" applyBorder="0" applyProtection="0">
      <alignment horizontal="right" vertical="center"/>
    </xf>
    <xf numFmtId="49" fontId="33" fillId="0" borderId="66" applyNumberFormat="0" applyFill="0" applyBorder="0" applyProtection="0">
      <alignment horizontal="left" vertical="center"/>
    </xf>
    <xf numFmtId="4" fontId="34" fillId="0" borderId="74" applyFill="0" applyBorder="0" applyProtection="0">
      <alignment horizontal="right" vertical="center"/>
    </xf>
    <xf numFmtId="4" fontId="34" fillId="0" borderId="74">
      <alignment horizontal="right" vertical="center"/>
    </xf>
    <xf numFmtId="0" fontId="12" fillId="16" borderId="0" applyNumberFormat="0" applyBorder="0" applyAlignment="0" applyProtection="0"/>
    <xf numFmtId="0" fontId="46" fillId="56" borderId="103" applyNumberFormat="0" applyAlignment="0" applyProtection="0"/>
    <xf numFmtId="0" fontId="26" fillId="30" borderId="0" applyNumberFormat="0" applyBorder="0" applyAlignment="0" applyProtection="0"/>
    <xf numFmtId="0" fontId="40" fillId="59" borderId="73" applyNumberFormat="0" applyFont="0" applyAlignment="0" applyProtection="0"/>
    <xf numFmtId="4" fontId="32" fillId="34" borderId="79">
      <alignment horizontal="right" vertical="center"/>
    </xf>
    <xf numFmtId="0" fontId="46" fillId="56" borderId="103" applyNumberFormat="0" applyAlignment="0" applyProtection="0"/>
    <xf numFmtId="0" fontId="46" fillId="56" borderId="71" applyNumberFormat="0" applyAlignment="0" applyProtection="0"/>
    <xf numFmtId="0" fontId="50" fillId="0" borderId="72" applyNumberFormat="0" applyFill="0" applyAlignment="0" applyProtection="0"/>
    <xf numFmtId="0" fontId="46" fillId="56" borderId="71" applyNumberFormat="0" applyAlignment="0" applyProtection="0"/>
    <xf numFmtId="0" fontId="62" fillId="56" borderId="70" applyNumberFormat="0" applyAlignment="0" applyProtection="0"/>
    <xf numFmtId="4" fontId="34" fillId="0" borderId="74" applyFill="0" applyBorder="0" applyProtection="0">
      <alignment horizontal="right" vertical="center"/>
    </xf>
    <xf numFmtId="0" fontId="26" fillId="26" borderId="0" applyNumberFormat="0" applyBorder="0" applyAlignment="0" applyProtection="0"/>
    <xf numFmtId="173" fontId="34" fillId="60" borderId="79" applyNumberFormat="0" applyFont="0" applyBorder="0" applyAlignment="0" applyProtection="0">
      <alignment horizontal="right" vertical="center"/>
    </xf>
    <xf numFmtId="0" fontId="12" fillId="25" borderId="0" applyNumberFormat="0" applyBorder="0" applyAlignment="0" applyProtection="0"/>
    <xf numFmtId="49" fontId="33" fillId="0" borderId="74" applyNumberFormat="0" applyFill="0" applyBorder="0" applyProtection="0">
      <alignment horizontal="left" vertical="center"/>
    </xf>
    <xf numFmtId="4" fontId="32" fillId="34" borderId="79">
      <alignment horizontal="right" vertical="center"/>
    </xf>
    <xf numFmtId="0" fontId="46" fillId="56" borderId="71" applyNumberFormat="0" applyAlignment="0" applyProtection="0"/>
    <xf numFmtId="0" fontId="46" fillId="56" borderId="71" applyNumberFormat="0" applyAlignment="0" applyProtection="0"/>
    <xf numFmtId="4" fontId="34" fillId="0" borderId="74" applyFill="0" applyBorder="0" applyProtection="0">
      <alignment horizontal="right" vertical="center"/>
    </xf>
    <xf numFmtId="0" fontId="32" fillId="32" borderId="74">
      <alignment horizontal="right" vertical="center"/>
    </xf>
    <xf numFmtId="0" fontId="43" fillId="56" borderId="83" applyNumberFormat="0" applyAlignment="0" applyProtection="0"/>
    <xf numFmtId="0" fontId="12" fillId="22" borderId="0" applyNumberFormat="0" applyBorder="0" applyAlignment="0" applyProtection="0"/>
    <xf numFmtId="0" fontId="65" fillId="0" borderId="72" applyNumberFormat="0" applyFill="0" applyAlignment="0" applyProtection="0"/>
    <xf numFmtId="0" fontId="32" fillId="34" borderId="106">
      <alignment horizontal="right" vertical="center"/>
    </xf>
    <xf numFmtId="0" fontId="62" fillId="56" borderId="94" applyNumberFormat="0" applyAlignment="0" applyProtection="0"/>
    <xf numFmtId="0" fontId="12" fillId="16" borderId="0" applyNumberFormat="0" applyBorder="0" applyAlignment="0" applyProtection="0"/>
    <xf numFmtId="0" fontId="32" fillId="34" borderId="107">
      <alignment horizontal="right" vertical="center"/>
    </xf>
    <xf numFmtId="0" fontId="43" fillId="56" borderId="62" applyNumberFormat="0" applyAlignment="0" applyProtection="0"/>
    <xf numFmtId="0" fontId="45" fillId="56" borderId="63" applyNumberFormat="0" applyAlignment="0" applyProtection="0"/>
    <xf numFmtId="0" fontId="50" fillId="0" borderId="64" applyNumberFormat="0" applyFill="0" applyAlignment="0" applyProtection="0"/>
    <xf numFmtId="0" fontId="5" fillId="59" borderId="78" applyNumberFormat="0" applyFont="0" applyAlignment="0" applyProtection="0"/>
    <xf numFmtId="0" fontId="34" fillId="33" borderId="129"/>
    <xf numFmtId="0" fontId="62" fillId="56" borderId="70" applyNumberFormat="0" applyAlignment="0" applyProtection="0"/>
    <xf numFmtId="0" fontId="65" fillId="0" borderId="104" applyNumberFormat="0" applyFill="0" applyAlignment="0" applyProtection="0"/>
    <xf numFmtId="4" fontId="34" fillId="0" borderId="79">
      <alignment horizontal="right" vertical="center"/>
    </xf>
    <xf numFmtId="0" fontId="62" fillId="56" borderId="70" applyNumberFormat="0" applyAlignment="0" applyProtection="0"/>
    <xf numFmtId="4" fontId="34" fillId="33" borderId="74"/>
    <xf numFmtId="4" fontId="32" fillId="34" borderId="74">
      <alignment horizontal="right" vertical="center"/>
    </xf>
    <xf numFmtId="0" fontId="36" fillId="32" borderId="79">
      <alignment horizontal="right" vertical="center"/>
    </xf>
    <xf numFmtId="0" fontId="1" fillId="0" borderId="0" applyNumberFormat="0" applyFill="0" applyBorder="0" applyAlignment="0" applyProtection="0"/>
    <xf numFmtId="173" fontId="34" fillId="60" borderId="74" applyNumberFormat="0" applyFont="0" applyBorder="0" applyAlignment="0" applyProtection="0">
      <alignment horizontal="right" vertical="center"/>
    </xf>
    <xf numFmtId="0" fontId="50" fillId="0" borderId="72" applyNumberFormat="0" applyFill="0" applyAlignment="0" applyProtection="0"/>
    <xf numFmtId="0" fontId="26" fillId="26" borderId="0" applyNumberFormat="0" applyBorder="0" applyAlignment="0" applyProtection="0"/>
    <xf numFmtId="0" fontId="58" fillId="43" borderId="103" applyNumberFormat="0" applyAlignment="0" applyProtection="0"/>
    <xf numFmtId="0" fontId="32" fillId="34" borderId="80">
      <alignment horizontal="right" vertical="center"/>
    </xf>
    <xf numFmtId="0" fontId="1" fillId="0" borderId="0" applyNumberFormat="0" applyFill="0" applyBorder="0" applyAlignment="0" applyProtection="0"/>
    <xf numFmtId="0" fontId="28" fillId="13" borderId="14" applyNumberFormat="0" applyAlignment="0" applyProtection="0"/>
    <xf numFmtId="0" fontId="50" fillId="0" borderId="85" applyNumberFormat="0" applyFill="0" applyAlignment="0" applyProtection="0"/>
    <xf numFmtId="49" fontId="33" fillId="0" borderId="106" applyNumberFormat="0" applyFill="0" applyBorder="0" applyProtection="0">
      <alignment horizontal="left" vertical="center"/>
    </xf>
    <xf numFmtId="172" fontId="48" fillId="0" borderId="0" applyFont="0" applyFill="0" applyBorder="0" applyAlignment="0" applyProtection="0"/>
    <xf numFmtId="0" fontId="28" fillId="13" borderId="14" applyNumberFormat="0" applyAlignment="0" applyProtection="0"/>
    <xf numFmtId="0" fontId="26" fillId="29" borderId="0" applyNumberFormat="0" applyBorder="0" applyAlignment="0" applyProtection="0"/>
    <xf numFmtId="0" fontId="45" fillId="56" borderId="124" applyNumberFormat="0" applyAlignment="0" applyProtection="0"/>
    <xf numFmtId="0" fontId="49" fillId="43" borderId="63" applyNumberFormat="0" applyAlignment="0" applyProtection="0"/>
    <xf numFmtId="0" fontId="58" fillId="43" borderId="71" applyNumberFormat="0" applyAlignment="0" applyProtection="0"/>
    <xf numFmtId="0" fontId="46" fillId="56" borderId="71" applyNumberFormat="0" applyAlignment="0" applyProtection="0"/>
    <xf numFmtId="0" fontId="48" fillId="0" borderId="0"/>
    <xf numFmtId="4" fontId="32" fillId="34" borderId="76">
      <alignment horizontal="right" vertical="center"/>
    </xf>
    <xf numFmtId="0" fontId="34" fillId="0" borderId="93">
      <alignment horizontal="left" vertical="center" wrapText="1" indent="2"/>
    </xf>
    <xf numFmtId="0" fontId="34" fillId="0" borderId="109">
      <alignment horizontal="left" vertical="center" wrapText="1" indent="2"/>
    </xf>
    <xf numFmtId="0" fontId="32" fillId="34" borderId="90">
      <alignment horizontal="right" vertical="center"/>
    </xf>
    <xf numFmtId="0" fontId="58" fillId="43" borderId="71" applyNumberFormat="0" applyAlignment="0" applyProtection="0"/>
    <xf numFmtId="0" fontId="26" fillId="20" borderId="0" applyNumberFormat="0" applyBorder="0" applyAlignment="0" applyProtection="0"/>
    <xf numFmtId="0" fontId="65" fillId="0" borderId="72" applyNumberFormat="0" applyFill="0" applyAlignment="0" applyProtection="0"/>
    <xf numFmtId="0" fontId="50" fillId="0" borderId="85" applyNumberFormat="0" applyFill="0" applyAlignment="0" applyProtection="0"/>
    <xf numFmtId="0" fontId="45" fillId="56" borderId="71" applyNumberFormat="0" applyAlignment="0" applyProtection="0"/>
    <xf numFmtId="0" fontId="40" fillId="59" borderId="73" applyNumberFormat="0" applyFont="0" applyAlignment="0" applyProtection="0"/>
    <xf numFmtId="0" fontId="26" fillId="18" borderId="0" applyNumberFormat="0" applyBorder="0" applyAlignment="0" applyProtection="0"/>
    <xf numFmtId="0" fontId="48" fillId="35" borderId="0" applyNumberFormat="0" applyFont="0" applyBorder="0" applyAlignment="0" applyProtection="0"/>
    <xf numFmtId="0" fontId="49" fillId="43" borderId="71" applyNumberFormat="0" applyAlignment="0" applyProtection="0"/>
    <xf numFmtId="9" fontId="48" fillId="0" borderId="0" applyFont="0" applyFill="0" applyBorder="0" applyAlignment="0" applyProtection="0"/>
    <xf numFmtId="0" fontId="34" fillId="0" borderId="79" applyNumberFormat="0" applyFill="0" applyAlignment="0" applyProtection="0"/>
    <xf numFmtId="4" fontId="36" fillId="32" borderId="74">
      <alignment horizontal="right" vertical="center"/>
    </xf>
    <xf numFmtId="0" fontId="34" fillId="34" borderId="69">
      <alignment horizontal="left" vertical="center" wrapText="1" indent="2"/>
    </xf>
    <xf numFmtId="0" fontId="34" fillId="0" borderId="69">
      <alignment horizontal="left" vertical="center" wrapText="1" indent="2"/>
    </xf>
    <xf numFmtId="0" fontId="26" fillId="17" borderId="0" applyNumberFormat="0" applyBorder="0" applyAlignment="0" applyProtection="0"/>
    <xf numFmtId="49" fontId="34" fillId="0" borderId="79" applyNumberFormat="0" applyFont="0" applyFill="0" applyBorder="0" applyProtection="0">
      <alignment horizontal="left" vertical="center" indent="2"/>
    </xf>
    <xf numFmtId="0" fontId="34" fillId="0" borderId="79">
      <alignment horizontal="right" vertical="center"/>
    </xf>
    <xf numFmtId="0" fontId="46" fillId="56" borderId="71" applyNumberFormat="0" applyAlignment="0" applyProtection="0"/>
    <xf numFmtId="0" fontId="34" fillId="0" borderId="74" applyNumberFormat="0" applyFill="0" applyAlignment="0" applyProtection="0"/>
    <xf numFmtId="0" fontId="43" fillId="56" borderId="83" applyNumberFormat="0" applyAlignment="0" applyProtection="0"/>
    <xf numFmtId="0" fontId="46" fillId="56" borderId="84" applyNumberFormat="0" applyAlignment="0" applyProtection="0"/>
    <xf numFmtId="0" fontId="34" fillId="34" borderId="122">
      <alignment horizontal="left" vertical="center" wrapText="1" indent="2"/>
    </xf>
    <xf numFmtId="0" fontId="34" fillId="33" borderId="74"/>
    <xf numFmtId="0" fontId="46" fillId="56" borderId="71" applyNumberFormat="0" applyAlignment="0" applyProtection="0"/>
    <xf numFmtId="4" fontId="32" fillId="34" borderId="74">
      <alignment horizontal="right" vertical="center"/>
    </xf>
    <xf numFmtId="0" fontId="34" fillId="34" borderId="82">
      <alignment horizontal="left" vertical="center" wrapText="1" indent="2"/>
    </xf>
    <xf numFmtId="0" fontId="65" fillId="0" borderId="72" applyNumberFormat="0" applyFill="0" applyAlignment="0" applyProtection="0"/>
    <xf numFmtId="0" fontId="32" fillId="34" borderId="75">
      <alignment horizontal="right" vertical="center"/>
    </xf>
    <xf numFmtId="0" fontId="34" fillId="0" borderId="77">
      <alignment horizontal="left" vertical="center" wrapText="1" indent="2"/>
    </xf>
    <xf numFmtId="0" fontId="45" fillId="56" borderId="71" applyNumberFormat="0" applyAlignment="0" applyProtection="0"/>
    <xf numFmtId="0" fontId="34" fillId="0" borderId="106" applyNumberFormat="0" applyFill="0" applyAlignment="0" applyProtection="0"/>
    <xf numFmtId="0" fontId="26" fillId="18" borderId="0" applyNumberFormat="0" applyBorder="0" applyAlignment="0" applyProtection="0"/>
    <xf numFmtId="0" fontId="34" fillId="34" borderId="82">
      <alignment horizontal="left" vertical="center" wrapText="1" indent="2"/>
    </xf>
    <xf numFmtId="0" fontId="32" fillId="34" borderId="74">
      <alignment horizontal="right" vertical="center"/>
    </xf>
    <xf numFmtId="0" fontId="43" fillId="56" borderId="70" applyNumberFormat="0" applyAlignment="0" applyProtection="0"/>
    <xf numFmtId="0" fontId="32" fillId="32" borderId="79">
      <alignment horizontal="right" vertical="center"/>
    </xf>
    <xf numFmtId="173" fontId="34" fillId="60" borderId="74" applyNumberFormat="0" applyFont="0" applyBorder="0" applyAlignment="0" applyProtection="0">
      <alignment horizontal="right" vertical="center"/>
    </xf>
    <xf numFmtId="0" fontId="32" fillId="34" borderId="129">
      <alignment horizontal="right" vertical="center"/>
    </xf>
    <xf numFmtId="4" fontId="34" fillId="33" borderId="74"/>
    <xf numFmtId="4" fontId="32" fillId="34" borderId="74">
      <alignment horizontal="right" vertical="center"/>
    </xf>
    <xf numFmtId="4" fontId="34" fillId="33" borderId="74"/>
    <xf numFmtId="0" fontId="32" fillId="34" borderId="74">
      <alignment horizontal="right" vertical="center"/>
    </xf>
    <xf numFmtId="0" fontId="34" fillId="32" borderId="75">
      <alignment horizontal="left" vertical="center"/>
    </xf>
    <xf numFmtId="0" fontId="1" fillId="0" borderId="0" applyNumberFormat="0" applyFill="0" applyBorder="0" applyAlignment="0" applyProtection="0"/>
    <xf numFmtId="173" fontId="34" fillId="60" borderId="74" applyNumberFormat="0" applyFont="0" applyBorder="0" applyAlignment="0" applyProtection="0">
      <alignment horizontal="right" vertical="center"/>
    </xf>
    <xf numFmtId="4" fontId="34" fillId="0" borderId="66" applyFill="0" applyBorder="0" applyProtection="0">
      <alignment horizontal="right" vertical="center"/>
    </xf>
    <xf numFmtId="0" fontId="46" fillId="56" borderId="71" applyNumberFormat="0" applyAlignment="0" applyProtection="0"/>
    <xf numFmtId="0" fontId="32" fillId="34" borderId="115">
      <alignment horizontal="right" vertical="center"/>
    </xf>
    <xf numFmtId="0" fontId="46" fillId="56" borderId="84" applyNumberFormat="0" applyAlignment="0" applyProtection="0"/>
    <xf numFmtId="0" fontId="26" fillId="27" borderId="0" applyNumberFormat="0" applyBorder="0" applyAlignment="0" applyProtection="0"/>
    <xf numFmtId="0" fontId="32" fillId="34" borderId="79">
      <alignment horizontal="right" vertical="center"/>
    </xf>
    <xf numFmtId="0" fontId="1" fillId="0" borderId="0" applyNumberFormat="0" applyFill="0" applyBorder="0" applyAlignment="0" applyProtection="0"/>
    <xf numFmtId="0" fontId="50" fillId="0" borderId="85" applyNumberFormat="0" applyFill="0" applyAlignment="0" applyProtection="0"/>
    <xf numFmtId="4" fontId="32" fillId="34" borderId="100">
      <alignment horizontal="right" vertical="center"/>
    </xf>
    <xf numFmtId="49" fontId="33" fillId="0" borderId="98" applyNumberFormat="0" applyFill="0" applyBorder="0" applyProtection="0">
      <alignment horizontal="left" vertical="center"/>
    </xf>
    <xf numFmtId="0" fontId="32" fillId="32" borderId="74">
      <alignment horizontal="right" vertical="center"/>
    </xf>
    <xf numFmtId="0" fontId="43" fillId="56" borderId="110" applyNumberFormat="0" applyAlignment="0" applyProtection="0"/>
    <xf numFmtId="4" fontId="36" fillId="32" borderId="79">
      <alignment horizontal="right" vertical="center"/>
    </xf>
    <xf numFmtId="0" fontId="34" fillId="33" borderId="74"/>
    <xf numFmtId="0" fontId="5" fillId="59" borderId="105" applyNumberFormat="0" applyFont="0" applyAlignment="0" applyProtection="0"/>
    <xf numFmtId="0" fontId="1" fillId="0" borderId="0" applyNumberFormat="0" applyFill="0" applyBorder="0" applyAlignment="0" applyProtection="0"/>
    <xf numFmtId="0" fontId="26" fillId="23" borderId="0" applyNumberFormat="0" applyBorder="0" applyAlignment="0" applyProtection="0"/>
    <xf numFmtId="0" fontId="58" fillId="43" borderId="71" applyNumberFormat="0" applyAlignment="0" applyProtection="0"/>
    <xf numFmtId="0" fontId="12" fillId="19" borderId="0" applyNumberFormat="0" applyBorder="0" applyAlignment="0" applyProtection="0"/>
    <xf numFmtId="4" fontId="32" fillId="34" borderId="74">
      <alignment horizontal="right" vertical="center"/>
    </xf>
    <xf numFmtId="0" fontId="12" fillId="28" borderId="0" applyNumberFormat="0" applyBorder="0" applyAlignment="0" applyProtection="0"/>
    <xf numFmtId="0" fontId="49" fillId="43" borderId="84" applyNumberFormat="0" applyAlignment="0" applyProtection="0"/>
    <xf numFmtId="0" fontId="26" fillId="26" borderId="0" applyNumberFormat="0" applyBorder="0" applyAlignment="0" applyProtection="0"/>
    <xf numFmtId="0" fontId="34" fillId="0" borderId="79">
      <alignment horizontal="right" vertical="center"/>
    </xf>
    <xf numFmtId="0" fontId="26" fillId="23" borderId="0" applyNumberFormat="0" applyBorder="0" applyAlignment="0" applyProtection="0"/>
    <xf numFmtId="0" fontId="26" fillId="21" borderId="0" applyNumberFormat="0" applyBorder="0" applyAlignment="0" applyProtection="0"/>
    <xf numFmtId="0" fontId="34" fillId="0" borderId="82">
      <alignment horizontal="left" vertical="center" wrapText="1" indent="2"/>
    </xf>
    <xf numFmtId="0" fontId="2" fillId="0" borderId="15" applyNumberFormat="0" applyFill="0" applyAlignment="0" applyProtection="0"/>
    <xf numFmtId="0" fontId="26" fillId="15" borderId="0" applyNumberFormat="0" applyBorder="0" applyAlignment="0" applyProtection="0"/>
    <xf numFmtId="0" fontId="12" fillId="16" borderId="0" applyNumberFormat="0" applyBorder="0" applyAlignment="0" applyProtection="0"/>
    <xf numFmtId="0" fontId="32" fillId="34" borderId="98">
      <alignment horizontal="right" vertical="center"/>
    </xf>
    <xf numFmtId="0" fontId="26" fillId="20" borderId="0" applyNumberFormat="0" applyBorder="0" applyAlignment="0" applyProtection="0"/>
    <xf numFmtId="0" fontId="1" fillId="0" borderId="0" applyNumberFormat="0" applyFill="0" applyBorder="0" applyAlignment="0" applyProtection="0"/>
    <xf numFmtId="0" fontId="29" fillId="13" borderId="13" applyNumberFormat="0" applyAlignment="0" applyProtection="0"/>
    <xf numFmtId="0" fontId="26" fillId="24" borderId="0" applyNumberFormat="0" applyBorder="0" applyAlignment="0" applyProtection="0"/>
    <xf numFmtId="0" fontId="40" fillId="59" borderId="73" applyNumberFormat="0" applyFont="0" applyAlignment="0" applyProtection="0"/>
    <xf numFmtId="49" fontId="33" fillId="0" borderId="74" applyNumberFormat="0" applyFill="0" applyBorder="0" applyProtection="0">
      <alignment horizontal="left" vertical="center"/>
    </xf>
    <xf numFmtId="0" fontId="5" fillId="59" borderId="105" applyNumberFormat="0" applyFont="0" applyAlignment="0" applyProtection="0"/>
    <xf numFmtId="0" fontId="45" fillId="56" borderId="84" applyNumberFormat="0" applyAlignment="0" applyProtection="0"/>
    <xf numFmtId="0" fontId="58" fillId="43" borderId="71" applyNumberFormat="0" applyAlignment="0" applyProtection="0"/>
    <xf numFmtId="4" fontId="32" fillId="34" borderId="66">
      <alignment horizontal="right" vertical="center"/>
    </xf>
    <xf numFmtId="0" fontId="34" fillId="33" borderId="66"/>
    <xf numFmtId="0" fontId="45" fillId="56" borderId="63" applyNumberFormat="0" applyAlignment="0" applyProtection="0"/>
    <xf numFmtId="0" fontId="32" fillId="32" borderId="66">
      <alignment horizontal="right" vertical="center"/>
    </xf>
    <xf numFmtId="0" fontId="34" fillId="0" borderId="66">
      <alignment horizontal="right" vertical="center"/>
    </xf>
    <xf numFmtId="0" fontId="65" fillId="0" borderId="64" applyNumberFormat="0" applyFill="0" applyAlignment="0" applyProtection="0"/>
    <xf numFmtId="0" fontId="34" fillId="32" borderId="67">
      <alignment horizontal="left" vertical="center"/>
    </xf>
    <xf numFmtId="0" fontId="58" fillId="43" borderId="63" applyNumberFormat="0" applyAlignment="0" applyProtection="0"/>
    <xf numFmtId="173" fontId="34" fillId="60" borderId="66" applyNumberFormat="0" applyFont="0" applyBorder="0" applyAlignment="0" applyProtection="0">
      <alignment horizontal="right" vertical="center"/>
    </xf>
    <xf numFmtId="0" fontId="40" fillId="59" borderId="65" applyNumberFormat="0" applyFont="0" applyAlignment="0" applyProtection="0"/>
    <xf numFmtId="0" fontId="34" fillId="0" borderId="69">
      <alignment horizontal="left" vertical="center" wrapText="1" indent="2"/>
    </xf>
    <xf numFmtId="4" fontId="34" fillId="33" borderId="66"/>
    <xf numFmtId="49" fontId="33" fillId="0" borderId="66" applyNumberFormat="0" applyFill="0" applyBorder="0" applyProtection="0">
      <alignment horizontal="left" vertical="center"/>
    </xf>
    <xf numFmtId="0" fontId="34" fillId="0" borderId="66">
      <alignment horizontal="right" vertical="center"/>
    </xf>
    <xf numFmtId="4" fontId="32" fillId="34" borderId="68">
      <alignment horizontal="right" vertical="center"/>
    </xf>
    <xf numFmtId="4" fontId="32" fillId="34" borderId="66">
      <alignment horizontal="right" vertical="center"/>
    </xf>
    <xf numFmtId="4" fontId="32" fillId="34" borderId="66">
      <alignment horizontal="right" vertical="center"/>
    </xf>
    <xf numFmtId="0" fontId="36" fillId="32" borderId="66">
      <alignment horizontal="right" vertical="center"/>
    </xf>
    <xf numFmtId="0" fontId="32" fillId="32" borderId="66">
      <alignment horizontal="right" vertical="center"/>
    </xf>
    <xf numFmtId="49" fontId="34" fillId="0" borderId="66" applyNumberFormat="0" applyFont="0" applyFill="0" applyBorder="0" applyProtection="0">
      <alignment horizontal="left" vertical="center" indent="2"/>
    </xf>
    <xf numFmtId="0" fontId="58" fillId="43" borderId="63" applyNumberFormat="0" applyAlignment="0" applyProtection="0"/>
    <xf numFmtId="0" fontId="43" fillId="56" borderId="62" applyNumberFormat="0" applyAlignment="0" applyProtection="0"/>
    <xf numFmtId="49" fontId="34" fillId="0" borderId="66" applyNumberFormat="0" applyFont="0" applyFill="0" applyBorder="0" applyProtection="0">
      <alignment horizontal="left" vertical="center" indent="2"/>
    </xf>
    <xf numFmtId="0" fontId="49" fillId="43" borderId="63" applyNumberFormat="0" applyAlignment="0" applyProtection="0"/>
    <xf numFmtId="4" fontId="34" fillId="0" borderId="66" applyFill="0" applyBorder="0" applyProtection="0">
      <alignment horizontal="right" vertical="center"/>
    </xf>
    <xf numFmtId="0" fontId="46" fillId="56" borderId="63" applyNumberFormat="0" applyAlignment="0" applyProtection="0"/>
    <xf numFmtId="0" fontId="65" fillId="0" borderId="64" applyNumberFormat="0" applyFill="0" applyAlignment="0" applyProtection="0"/>
    <xf numFmtId="0" fontId="62" fillId="56" borderId="62" applyNumberFormat="0" applyAlignment="0" applyProtection="0"/>
    <xf numFmtId="0" fontId="34" fillId="0" borderId="66" applyNumberFormat="0" applyFill="0" applyAlignment="0" applyProtection="0"/>
    <xf numFmtId="4" fontId="34" fillId="0" borderId="66">
      <alignment horizontal="right" vertical="center"/>
    </xf>
    <xf numFmtId="0" fontId="34" fillId="0" borderId="66">
      <alignment horizontal="right" vertical="center"/>
    </xf>
    <xf numFmtId="0" fontId="58" fillId="43" borderId="63" applyNumberFormat="0" applyAlignment="0" applyProtection="0"/>
    <xf numFmtId="0" fontId="43" fillId="56" borderId="62" applyNumberFormat="0" applyAlignment="0" applyProtection="0"/>
    <xf numFmtId="0" fontId="45" fillId="56" borderId="63" applyNumberFormat="0" applyAlignment="0" applyProtection="0"/>
    <xf numFmtId="0" fontId="34" fillId="34" borderId="69">
      <alignment horizontal="left" vertical="center" wrapText="1" indent="2"/>
    </xf>
    <xf numFmtId="0" fontId="46" fillId="56" borderId="63" applyNumberFormat="0" applyAlignment="0" applyProtection="0"/>
    <xf numFmtId="0" fontId="46" fillId="56" borderId="63" applyNumberFormat="0" applyAlignment="0" applyProtection="0"/>
    <xf numFmtId="4" fontId="32" fillId="34" borderId="67">
      <alignment horizontal="right" vertical="center"/>
    </xf>
    <xf numFmtId="0" fontId="32" fillId="34" borderId="67">
      <alignment horizontal="right" vertical="center"/>
    </xf>
    <xf numFmtId="0" fontId="32" fillId="34" borderId="66">
      <alignment horizontal="right" vertical="center"/>
    </xf>
    <xf numFmtId="4" fontId="36" fillId="32" borderId="66">
      <alignment horizontal="right" vertical="center"/>
    </xf>
    <xf numFmtId="0" fontId="49" fillId="43" borderId="63" applyNumberFormat="0" applyAlignment="0" applyProtection="0"/>
    <xf numFmtId="0" fontId="50" fillId="0" borderId="64" applyNumberFormat="0" applyFill="0" applyAlignment="0" applyProtection="0"/>
    <xf numFmtId="0" fontId="65" fillId="0" borderId="64" applyNumberFormat="0" applyFill="0" applyAlignment="0" applyProtection="0"/>
    <xf numFmtId="0" fontId="40" fillId="59" borderId="65" applyNumberFormat="0" applyFont="0" applyAlignment="0" applyProtection="0"/>
    <xf numFmtId="0" fontId="58" fillId="43" borderId="63" applyNumberFormat="0" applyAlignment="0" applyProtection="0"/>
    <xf numFmtId="49" fontId="33" fillId="0" borderId="66" applyNumberFormat="0" applyFill="0" applyBorder="0" applyProtection="0">
      <alignment horizontal="left" vertical="center"/>
    </xf>
    <xf numFmtId="0" fontId="34" fillId="34" borderId="69">
      <alignment horizontal="left" vertical="center" wrapText="1" indent="2"/>
    </xf>
    <xf numFmtId="0" fontId="46" fillId="56" borderId="63" applyNumberFormat="0" applyAlignment="0" applyProtection="0"/>
    <xf numFmtId="0" fontId="34" fillId="0" borderId="69">
      <alignment horizontal="left" vertical="center" wrapText="1" indent="2"/>
    </xf>
    <xf numFmtId="0" fontId="40" fillId="59" borderId="65" applyNumberFormat="0" applyFont="0" applyAlignment="0" applyProtection="0"/>
    <xf numFmtId="0" fontId="5" fillId="59" borderId="65" applyNumberFormat="0" applyFont="0" applyAlignment="0" applyProtection="0"/>
    <xf numFmtId="0" fontId="62" fillId="56" borderId="62" applyNumberFormat="0" applyAlignment="0" applyProtection="0"/>
    <xf numFmtId="0" fontId="65" fillId="0" borderId="64" applyNumberFormat="0" applyFill="0" applyAlignment="0" applyProtection="0"/>
    <xf numFmtId="4" fontId="34" fillId="33" borderId="66"/>
    <xf numFmtId="0" fontId="32" fillId="34" borderId="66">
      <alignment horizontal="right" vertical="center"/>
    </xf>
    <xf numFmtId="0" fontId="65" fillId="0" borderId="64" applyNumberFormat="0" applyFill="0" applyAlignment="0" applyProtection="0"/>
    <xf numFmtId="4" fontId="32" fillId="34" borderId="68">
      <alignment horizontal="right" vertical="center"/>
    </xf>
    <xf numFmtId="0" fontId="45" fillId="56" borderId="63" applyNumberFormat="0" applyAlignment="0" applyProtection="0"/>
    <xf numFmtId="0" fontId="32" fillId="34" borderId="67">
      <alignment horizontal="right" vertical="center"/>
    </xf>
    <xf numFmtId="0" fontId="46" fillId="56" borderId="63" applyNumberFormat="0" applyAlignment="0" applyProtection="0"/>
    <xf numFmtId="0" fontId="50" fillId="0" borderId="64" applyNumberFormat="0" applyFill="0" applyAlignment="0" applyProtection="0"/>
    <xf numFmtId="0" fontId="40" fillId="59" borderId="65" applyNumberFormat="0" applyFont="0" applyAlignment="0" applyProtection="0"/>
    <xf numFmtId="4" fontId="32" fillId="34" borderId="67">
      <alignment horizontal="right" vertical="center"/>
    </xf>
    <xf numFmtId="0" fontId="34" fillId="34" borderId="69">
      <alignment horizontal="left" vertical="center" wrapText="1" indent="2"/>
    </xf>
    <xf numFmtId="0" fontId="34" fillId="33" borderId="66"/>
    <xf numFmtId="173" fontId="34" fillId="60" borderId="66" applyNumberFormat="0" applyFont="0" applyBorder="0" applyAlignment="0" applyProtection="0">
      <alignment horizontal="right" vertical="center"/>
    </xf>
    <xf numFmtId="0" fontId="34" fillId="0" borderId="66" applyNumberFormat="0" applyFill="0" applyAlignment="0" applyProtection="0"/>
    <xf numFmtId="4" fontId="34" fillId="0" borderId="66" applyFill="0" applyBorder="0" applyProtection="0">
      <alignment horizontal="right" vertical="center"/>
    </xf>
    <xf numFmtId="4" fontId="32" fillId="32" borderId="66">
      <alignment horizontal="right" vertical="center"/>
    </xf>
    <xf numFmtId="0" fontId="50" fillId="0" borderId="64" applyNumberFormat="0" applyFill="0" applyAlignment="0" applyProtection="0"/>
    <xf numFmtId="49" fontId="33" fillId="0" borderId="66" applyNumberFormat="0" applyFill="0" applyBorder="0" applyProtection="0">
      <alignment horizontal="left" vertical="center"/>
    </xf>
    <xf numFmtId="49" fontId="34" fillId="0" borderId="67" applyNumberFormat="0" applyFont="0" applyFill="0" applyBorder="0" applyProtection="0">
      <alignment horizontal="left" vertical="center" indent="5"/>
    </xf>
    <xf numFmtId="0" fontId="34" fillId="32" borderId="67">
      <alignment horizontal="left" vertical="center"/>
    </xf>
    <xf numFmtId="0" fontId="46" fillId="56" borderId="63" applyNumberFormat="0" applyAlignment="0" applyProtection="0"/>
    <xf numFmtId="4" fontId="32" fillId="34" borderId="68">
      <alignment horizontal="right" vertical="center"/>
    </xf>
    <xf numFmtId="0" fontId="58" fillId="43" borderId="63" applyNumberFormat="0" applyAlignment="0" applyProtection="0"/>
    <xf numFmtId="0" fontId="58" fillId="43" borderId="63" applyNumberFormat="0" applyAlignment="0" applyProtection="0"/>
    <xf numFmtId="0" fontId="40" fillId="59" borderId="65" applyNumberFormat="0" applyFont="0" applyAlignment="0" applyProtection="0"/>
    <xf numFmtId="0" fontId="62" fillId="56" borderId="62" applyNumberFormat="0" applyAlignment="0" applyProtection="0"/>
    <xf numFmtId="0" fontId="65" fillId="0" borderId="64" applyNumberFormat="0" applyFill="0" applyAlignment="0" applyProtection="0"/>
    <xf numFmtId="0" fontId="32" fillId="34" borderId="66">
      <alignment horizontal="right" vertical="center"/>
    </xf>
    <xf numFmtId="0" fontId="5" fillId="59" borderId="65" applyNumberFormat="0" applyFont="0" applyAlignment="0" applyProtection="0"/>
    <xf numFmtId="4" fontId="34" fillId="0" borderId="66">
      <alignment horizontal="right" vertical="center"/>
    </xf>
    <xf numFmtId="0" fontId="65" fillId="0" borderId="64" applyNumberFormat="0" applyFill="0" applyAlignment="0" applyProtection="0"/>
    <xf numFmtId="0" fontId="32" fillId="34" borderId="66">
      <alignment horizontal="right" vertical="center"/>
    </xf>
    <xf numFmtId="0" fontId="32" fillId="34" borderId="66">
      <alignment horizontal="right" vertical="center"/>
    </xf>
    <xf numFmtId="4" fontId="36" fillId="32" borderId="66">
      <alignment horizontal="right" vertical="center"/>
    </xf>
    <xf numFmtId="0" fontId="32" fillId="32" borderId="66">
      <alignment horizontal="right" vertical="center"/>
    </xf>
    <xf numFmtId="4" fontId="32" fillId="32" borderId="66">
      <alignment horizontal="right" vertical="center"/>
    </xf>
    <xf numFmtId="0" fontId="36" fillId="32" borderId="66">
      <alignment horizontal="right" vertical="center"/>
    </xf>
    <xf numFmtId="4" fontId="36" fillId="32" borderId="66">
      <alignment horizontal="right" vertical="center"/>
    </xf>
    <xf numFmtId="0" fontId="32" fillId="34" borderId="66">
      <alignment horizontal="right" vertical="center"/>
    </xf>
    <xf numFmtId="4" fontId="32" fillId="34" borderId="66">
      <alignment horizontal="right" vertical="center"/>
    </xf>
    <xf numFmtId="0" fontId="32" fillId="34" borderId="66">
      <alignment horizontal="right" vertical="center"/>
    </xf>
    <xf numFmtId="4" fontId="32" fillId="34" borderId="66">
      <alignment horizontal="right" vertical="center"/>
    </xf>
    <xf numFmtId="0" fontId="32" fillId="34" borderId="67">
      <alignment horizontal="right" vertical="center"/>
    </xf>
    <xf numFmtId="4" fontId="32" fillId="34" borderId="67">
      <alignment horizontal="right" vertical="center"/>
    </xf>
    <xf numFmtId="0" fontId="32" fillId="34" borderId="68">
      <alignment horizontal="right" vertical="center"/>
    </xf>
    <xf numFmtId="4" fontId="32" fillId="34" borderId="68">
      <alignment horizontal="right" vertical="center"/>
    </xf>
    <xf numFmtId="0" fontId="46" fillId="56" borderId="63" applyNumberFormat="0" applyAlignment="0" applyProtection="0"/>
    <xf numFmtId="0" fontId="34" fillId="34" borderId="69">
      <alignment horizontal="left" vertical="center" wrapText="1" indent="2"/>
    </xf>
    <xf numFmtId="0" fontId="34" fillId="0" borderId="69">
      <alignment horizontal="left" vertical="center" wrapText="1" indent="2"/>
    </xf>
    <xf numFmtId="0" fontId="34" fillId="32" borderId="67">
      <alignment horizontal="left" vertical="center"/>
    </xf>
    <xf numFmtId="0" fontId="58" fillId="43" borderId="63" applyNumberFormat="0" applyAlignment="0" applyProtection="0"/>
    <xf numFmtId="0" fontId="34" fillId="0" borderId="66">
      <alignment horizontal="right" vertical="center"/>
    </xf>
    <xf numFmtId="4" fontId="34" fillId="0" borderId="66">
      <alignment horizontal="right" vertical="center"/>
    </xf>
    <xf numFmtId="0" fontId="34" fillId="0" borderId="66" applyNumberFormat="0" applyFill="0" applyAlignment="0" applyProtection="0"/>
    <xf numFmtId="0" fontId="62" fillId="56" borderId="62" applyNumberFormat="0" applyAlignment="0" applyProtection="0"/>
    <xf numFmtId="173" fontId="34" fillId="60" borderId="66" applyNumberFormat="0" applyFont="0" applyBorder="0" applyAlignment="0" applyProtection="0">
      <alignment horizontal="right" vertical="center"/>
    </xf>
    <xf numFmtId="0" fontId="34" fillId="33" borderId="66"/>
    <xf numFmtId="4" fontId="34" fillId="33" borderId="66"/>
    <xf numFmtId="0" fontId="65" fillId="0" borderId="64" applyNumberFormat="0" applyFill="0" applyAlignment="0" applyProtection="0"/>
    <xf numFmtId="0" fontId="5" fillId="59" borderId="65" applyNumberFormat="0" applyFont="0" applyAlignment="0" applyProtection="0"/>
    <xf numFmtId="0" fontId="40" fillId="59" borderId="65" applyNumberFormat="0" applyFont="0" applyAlignment="0" applyProtection="0"/>
    <xf numFmtId="0" fontId="34" fillId="0" borderId="66" applyNumberFormat="0" applyFill="0" applyAlignment="0" applyProtection="0"/>
    <xf numFmtId="0" fontId="50" fillId="0" borderId="64" applyNumberFormat="0" applyFill="0" applyAlignment="0" applyProtection="0"/>
    <xf numFmtId="0" fontId="65" fillId="0" borderId="64" applyNumberFormat="0" applyFill="0" applyAlignment="0" applyProtection="0"/>
    <xf numFmtId="0" fontId="49" fillId="43" borderId="63" applyNumberFormat="0" applyAlignment="0" applyProtection="0"/>
    <xf numFmtId="0" fontId="46" fillId="56" borderId="63" applyNumberFormat="0" applyAlignment="0" applyProtection="0"/>
    <xf numFmtId="4" fontId="36" fillId="32" borderId="66">
      <alignment horizontal="right" vertical="center"/>
    </xf>
    <xf numFmtId="0" fontId="32" fillId="32" borderId="66">
      <alignment horizontal="right" vertical="center"/>
    </xf>
    <xf numFmtId="173" fontId="34" fillId="60" borderId="66" applyNumberFormat="0" applyFont="0" applyBorder="0" applyAlignment="0" applyProtection="0">
      <alignment horizontal="right" vertical="center"/>
    </xf>
    <xf numFmtId="0" fontId="50" fillId="0" borderId="64" applyNumberFormat="0" applyFill="0" applyAlignment="0" applyProtection="0"/>
    <xf numFmtId="49" fontId="34" fillId="0" borderId="66" applyNumberFormat="0" applyFont="0" applyFill="0" applyBorder="0" applyProtection="0">
      <alignment horizontal="left" vertical="center" indent="2"/>
    </xf>
    <xf numFmtId="49" fontId="34" fillId="0" borderId="67" applyNumberFormat="0" applyFont="0" applyFill="0" applyBorder="0" applyProtection="0">
      <alignment horizontal="left" vertical="center" indent="5"/>
    </xf>
    <xf numFmtId="49" fontId="34" fillId="0" borderId="66" applyNumberFormat="0" applyFont="0" applyFill="0" applyBorder="0" applyProtection="0">
      <alignment horizontal="left" vertical="center" indent="2"/>
    </xf>
    <xf numFmtId="4" fontId="34" fillId="0" borderId="66" applyFill="0" applyBorder="0" applyProtection="0">
      <alignment horizontal="right" vertical="center"/>
    </xf>
    <xf numFmtId="49" fontId="33" fillId="0" borderId="66" applyNumberFormat="0" applyFill="0" applyBorder="0" applyProtection="0">
      <alignment horizontal="left" vertical="center"/>
    </xf>
    <xf numFmtId="0" fontId="34" fillId="0" borderId="69">
      <alignment horizontal="left" vertical="center" wrapText="1" indent="2"/>
    </xf>
    <xf numFmtId="0" fontId="62" fillId="56" borderId="62" applyNumberFormat="0" applyAlignment="0" applyProtection="0"/>
    <xf numFmtId="0" fontId="32" fillId="34" borderId="68">
      <alignment horizontal="right" vertical="center"/>
    </xf>
    <xf numFmtId="0" fontId="49" fillId="43" borderId="63" applyNumberFormat="0" applyAlignment="0" applyProtection="0"/>
    <xf numFmtId="0" fontId="32" fillId="34" borderId="68">
      <alignment horizontal="right" vertical="center"/>
    </xf>
    <xf numFmtId="4" fontId="32" fillId="34" borderId="66">
      <alignment horizontal="right" vertical="center"/>
    </xf>
    <xf numFmtId="0" fontId="32" fillId="34" borderId="66">
      <alignment horizontal="right" vertical="center"/>
    </xf>
    <xf numFmtId="0" fontId="43" fillId="56" borderId="62" applyNumberFormat="0" applyAlignment="0" applyProtection="0"/>
    <xf numFmtId="0" fontId="45" fillId="56" borderId="63" applyNumberFormat="0" applyAlignment="0" applyProtection="0"/>
    <xf numFmtId="0" fontId="50" fillId="0" borderId="64" applyNumberFormat="0" applyFill="0" applyAlignment="0" applyProtection="0"/>
    <xf numFmtId="0" fontId="34" fillId="33" borderId="66"/>
    <xf numFmtId="4" fontId="34" fillId="33" borderId="66"/>
    <xf numFmtId="4" fontId="32" fillId="34" borderId="66">
      <alignment horizontal="right" vertical="center"/>
    </xf>
    <xf numFmtId="0" fontId="36" fillId="32" borderId="66">
      <alignment horizontal="right" vertical="center"/>
    </xf>
    <xf numFmtId="0" fontId="49" fillId="43" borderId="63" applyNumberFormat="0" applyAlignment="0" applyProtection="0"/>
    <xf numFmtId="0" fontId="46" fillId="56" borderId="63" applyNumberFormat="0" applyAlignment="0" applyProtection="0"/>
    <xf numFmtId="4" fontId="34" fillId="0" borderId="66">
      <alignment horizontal="right" vertical="center"/>
    </xf>
    <xf numFmtId="0" fontId="34" fillId="34" borderId="69">
      <alignment horizontal="left" vertical="center" wrapText="1" indent="2"/>
    </xf>
    <xf numFmtId="0" fontId="34" fillId="0" borderId="69">
      <alignment horizontal="left" vertical="center" wrapText="1" indent="2"/>
    </xf>
    <xf numFmtId="0" fontId="62" fillId="56" borderId="62" applyNumberFormat="0" applyAlignment="0" applyProtection="0"/>
    <xf numFmtId="0" fontId="58" fillId="43" borderId="63" applyNumberFormat="0" applyAlignment="0" applyProtection="0"/>
    <xf numFmtId="0" fontId="45" fillId="56" borderId="63" applyNumberFormat="0" applyAlignment="0" applyProtection="0"/>
    <xf numFmtId="0" fontId="43" fillId="56" borderId="62" applyNumberFormat="0" applyAlignment="0" applyProtection="0"/>
    <xf numFmtId="0" fontId="32" fillId="34" borderId="68">
      <alignment horizontal="right" vertical="center"/>
    </xf>
    <xf numFmtId="0" fontId="36" fillId="32" borderId="66">
      <alignment horizontal="right" vertical="center"/>
    </xf>
    <xf numFmtId="4" fontId="32" fillId="32" borderId="66">
      <alignment horizontal="right" vertical="center"/>
    </xf>
    <xf numFmtId="4" fontId="32" fillId="34" borderId="66">
      <alignment horizontal="right" vertical="center"/>
    </xf>
    <xf numFmtId="49" fontId="34" fillId="0" borderId="67" applyNumberFormat="0" applyFont="0" applyFill="0" applyBorder="0" applyProtection="0">
      <alignment horizontal="left" vertical="center" indent="5"/>
    </xf>
    <xf numFmtId="4" fontId="34" fillId="0" borderId="66" applyFill="0" applyBorder="0" applyProtection="0">
      <alignment horizontal="right" vertical="center"/>
    </xf>
    <xf numFmtId="4" fontId="32" fillId="32" borderId="66">
      <alignment horizontal="right" vertical="center"/>
    </xf>
    <xf numFmtId="0" fontId="36" fillId="32" borderId="74">
      <alignment horizontal="right" vertical="center"/>
    </xf>
    <xf numFmtId="0" fontId="58" fillId="43" borderId="63" applyNumberFormat="0" applyAlignment="0" applyProtection="0"/>
    <xf numFmtId="0" fontId="49" fillId="43" borderId="63" applyNumberFormat="0" applyAlignment="0" applyProtection="0"/>
    <xf numFmtId="0" fontId="45" fillId="56" borderId="63" applyNumberFormat="0" applyAlignment="0" applyProtection="0"/>
    <xf numFmtId="0" fontId="34" fillId="34" borderId="69">
      <alignment horizontal="left" vertical="center" wrapText="1" indent="2"/>
    </xf>
    <xf numFmtId="0" fontId="34" fillId="0" borderId="69">
      <alignment horizontal="left" vertical="center" wrapText="1" indent="2"/>
    </xf>
    <xf numFmtId="0" fontId="34" fillId="34" borderId="69">
      <alignment horizontal="left" vertical="center" wrapText="1" indent="2"/>
    </xf>
    <xf numFmtId="0" fontId="34" fillId="0" borderId="69">
      <alignment horizontal="left" vertical="center" wrapText="1" indent="2"/>
    </xf>
    <xf numFmtId="0" fontId="43" fillId="56" borderId="62" applyNumberFormat="0" applyAlignment="0" applyProtection="0"/>
    <xf numFmtId="0" fontId="45" fillId="56" borderId="63" applyNumberFormat="0" applyAlignment="0" applyProtection="0"/>
    <xf numFmtId="0" fontId="46" fillId="56" borderId="63" applyNumberFormat="0" applyAlignment="0" applyProtection="0"/>
    <xf numFmtId="0" fontId="49" fillId="43" borderId="63" applyNumberFormat="0" applyAlignment="0" applyProtection="0"/>
    <xf numFmtId="0" fontId="50" fillId="0" borderId="64" applyNumberFormat="0" applyFill="0" applyAlignment="0" applyProtection="0"/>
    <xf numFmtId="0" fontId="58" fillId="43" borderId="63" applyNumberFormat="0" applyAlignment="0" applyProtection="0"/>
    <xf numFmtId="0" fontId="40" fillId="59" borderId="65" applyNumberFormat="0" applyFont="0" applyAlignment="0" applyProtection="0"/>
    <xf numFmtId="0" fontId="5" fillId="59" borderId="65" applyNumberFormat="0" applyFont="0" applyAlignment="0" applyProtection="0"/>
    <xf numFmtId="0" fontId="62" fillId="56" borderId="62" applyNumberFormat="0" applyAlignment="0" applyProtection="0"/>
    <xf numFmtId="0" fontId="65" fillId="0" borderId="64" applyNumberFormat="0" applyFill="0" applyAlignment="0" applyProtection="0"/>
    <xf numFmtId="0" fontId="46" fillId="56" borderId="63" applyNumberFormat="0" applyAlignment="0" applyProtection="0"/>
    <xf numFmtId="0" fontId="58" fillId="43" borderId="63" applyNumberFormat="0" applyAlignment="0" applyProtection="0"/>
    <xf numFmtId="0" fontId="40" fillId="59" borderId="65" applyNumberFormat="0" applyFont="0" applyAlignment="0" applyProtection="0"/>
    <xf numFmtId="0" fontId="62" fillId="56" borderId="62" applyNumberFormat="0" applyAlignment="0" applyProtection="0"/>
    <xf numFmtId="0" fontId="65" fillId="0" borderId="64" applyNumberFormat="0" applyFill="0" applyAlignment="0" applyProtection="0"/>
    <xf numFmtId="0" fontId="40" fillId="59" borderId="73" applyNumberFormat="0" applyFont="0" applyAlignment="0" applyProtection="0"/>
    <xf numFmtId="0" fontId="34" fillId="0" borderId="74" applyNumberFormat="0" applyFill="0" applyAlignment="0" applyProtection="0"/>
    <xf numFmtId="0" fontId="32" fillId="34" borderId="107">
      <alignment horizontal="right" vertical="center"/>
    </xf>
    <xf numFmtId="4" fontId="34" fillId="0" borderId="74" applyFill="0" applyBorder="0" applyProtection="0">
      <alignment horizontal="right" vertical="center"/>
    </xf>
    <xf numFmtId="0" fontId="46" fillId="56" borderId="63" applyNumberFormat="0" applyAlignment="0" applyProtection="0"/>
    <xf numFmtId="0" fontId="26" fillId="15" borderId="0" applyNumberFormat="0" applyBorder="0" applyAlignment="0" applyProtection="0"/>
    <xf numFmtId="0" fontId="40" fillId="59" borderId="105" applyNumberFormat="0" applyFont="0" applyAlignment="0" applyProtection="0"/>
    <xf numFmtId="0" fontId="32" fillId="34" borderId="76">
      <alignment horizontal="right" vertical="center"/>
    </xf>
    <xf numFmtId="0" fontId="58" fillId="43" borderId="63" applyNumberFormat="0" applyAlignment="0" applyProtection="0"/>
    <xf numFmtId="0" fontId="62" fillId="56" borderId="62" applyNumberFormat="0" applyAlignment="0" applyProtection="0"/>
    <xf numFmtId="0" fontId="65" fillId="0" borderId="64" applyNumberFormat="0" applyFill="0" applyAlignment="0" applyProtection="0"/>
    <xf numFmtId="4" fontId="32" fillId="34" borderId="74">
      <alignment horizontal="right" vertical="center"/>
    </xf>
    <xf numFmtId="0" fontId="43" fillId="56" borderId="62" applyNumberFormat="0" applyAlignment="0" applyProtection="0"/>
    <xf numFmtId="0" fontId="45" fillId="56" borderId="63" applyNumberFormat="0" applyAlignment="0" applyProtection="0"/>
    <xf numFmtId="0" fontId="50" fillId="0" borderId="64" applyNumberFormat="0" applyFill="0" applyAlignment="0" applyProtection="0"/>
    <xf numFmtId="49" fontId="34" fillId="0" borderId="66" applyNumberFormat="0" applyFont="0" applyFill="0" applyBorder="0" applyProtection="0">
      <alignment horizontal="left" vertical="center" indent="2"/>
    </xf>
    <xf numFmtId="0" fontId="32" fillId="32" borderId="66">
      <alignment horizontal="right" vertical="center"/>
    </xf>
    <xf numFmtId="4" fontId="32" fillId="32" borderId="66">
      <alignment horizontal="right" vertical="center"/>
    </xf>
    <xf numFmtId="0" fontId="36" fillId="32" borderId="66">
      <alignment horizontal="right" vertical="center"/>
    </xf>
    <xf numFmtId="4" fontId="36" fillId="32" borderId="66">
      <alignment horizontal="right" vertical="center"/>
    </xf>
    <xf numFmtId="0" fontId="32" fillId="34" borderId="66">
      <alignment horizontal="right" vertical="center"/>
    </xf>
    <xf numFmtId="4" fontId="32" fillId="34" borderId="66">
      <alignment horizontal="right" vertical="center"/>
    </xf>
    <xf numFmtId="0" fontId="32" fillId="34" borderId="66">
      <alignment horizontal="right" vertical="center"/>
    </xf>
    <xf numFmtId="4" fontId="32" fillId="34" borderId="66">
      <alignment horizontal="right" vertical="center"/>
    </xf>
    <xf numFmtId="0" fontId="49" fillId="43" borderId="63" applyNumberFormat="0" applyAlignment="0" applyProtection="0"/>
    <xf numFmtId="0" fontId="34" fillId="0" borderId="66">
      <alignment horizontal="right" vertical="center"/>
    </xf>
    <xf numFmtId="4" fontId="34" fillId="0" borderId="66">
      <alignment horizontal="right" vertical="center"/>
    </xf>
    <xf numFmtId="4" fontId="34" fillId="0" borderId="66" applyFill="0" applyBorder="0" applyProtection="0">
      <alignment horizontal="right" vertical="center"/>
    </xf>
    <xf numFmtId="49" fontId="33" fillId="0" borderId="66" applyNumberFormat="0" applyFill="0" applyBorder="0" applyProtection="0">
      <alignment horizontal="left" vertical="center"/>
    </xf>
    <xf numFmtId="0" fontId="34" fillId="0" borderId="66" applyNumberFormat="0" applyFill="0" applyAlignment="0" applyProtection="0"/>
    <xf numFmtId="173" fontId="34" fillId="60" borderId="66" applyNumberFormat="0" applyFont="0" applyBorder="0" applyAlignment="0" applyProtection="0">
      <alignment horizontal="right" vertical="center"/>
    </xf>
    <xf numFmtId="0" fontId="34" fillId="33" borderId="66"/>
    <xf numFmtId="4" fontId="34" fillId="33" borderId="66"/>
    <xf numFmtId="4" fontId="32" fillId="34" borderId="66">
      <alignment horizontal="right" vertical="center"/>
    </xf>
    <xf numFmtId="0" fontId="34" fillId="33" borderId="66"/>
    <xf numFmtId="0" fontId="45" fillId="56" borderId="63" applyNumberFormat="0" applyAlignment="0" applyProtection="0"/>
    <xf numFmtId="0" fontId="32" fillId="32" borderId="66">
      <alignment horizontal="right" vertical="center"/>
    </xf>
    <xf numFmtId="0" fontId="34" fillId="0" borderId="66">
      <alignment horizontal="right" vertical="center"/>
    </xf>
    <xf numFmtId="0" fontId="65" fillId="0" borderId="64" applyNumberFormat="0" applyFill="0" applyAlignment="0" applyProtection="0"/>
    <xf numFmtId="0" fontId="34" fillId="32" borderId="67">
      <alignment horizontal="left" vertical="center"/>
    </xf>
    <xf numFmtId="0" fontId="58" fillId="43" borderId="63" applyNumberFormat="0" applyAlignment="0" applyProtection="0"/>
    <xf numFmtId="173" fontId="34" fillId="60" borderId="66" applyNumberFormat="0" applyFont="0" applyBorder="0" applyAlignment="0" applyProtection="0">
      <alignment horizontal="right" vertical="center"/>
    </xf>
    <xf numFmtId="0" fontId="40" fillId="59" borderId="65" applyNumberFormat="0" applyFont="0" applyAlignment="0" applyProtection="0"/>
    <xf numFmtId="0" fontId="34" fillId="0" borderId="69">
      <alignment horizontal="left" vertical="center" wrapText="1" indent="2"/>
    </xf>
    <xf numFmtId="4" fontId="34" fillId="33" borderId="66"/>
    <xf numFmtId="49" fontId="33" fillId="0" borderId="66" applyNumberFormat="0" applyFill="0" applyBorder="0" applyProtection="0">
      <alignment horizontal="left" vertical="center"/>
    </xf>
    <xf numFmtId="0" fontId="34" fillId="0" borderId="66">
      <alignment horizontal="right" vertical="center"/>
    </xf>
    <xf numFmtId="4" fontId="32" fillId="34" borderId="68">
      <alignment horizontal="right" vertical="center"/>
    </xf>
    <xf numFmtId="4" fontId="32" fillId="34" borderId="66">
      <alignment horizontal="right" vertical="center"/>
    </xf>
    <xf numFmtId="4" fontId="32" fillId="34" borderId="66">
      <alignment horizontal="right" vertical="center"/>
    </xf>
    <xf numFmtId="0" fontId="36" fillId="32" borderId="66">
      <alignment horizontal="right" vertical="center"/>
    </xf>
    <xf numFmtId="0" fontId="32" fillId="32" borderId="66">
      <alignment horizontal="right" vertical="center"/>
    </xf>
    <xf numFmtId="49" fontId="34" fillId="0" borderId="66" applyNumberFormat="0" applyFont="0" applyFill="0" applyBorder="0" applyProtection="0">
      <alignment horizontal="left" vertical="center" indent="2"/>
    </xf>
    <xf numFmtId="0" fontId="58" fillId="43" borderId="63" applyNumberFormat="0" applyAlignment="0" applyProtection="0"/>
    <xf numFmtId="0" fontId="43" fillId="56" borderId="62" applyNumberFormat="0" applyAlignment="0" applyProtection="0"/>
    <xf numFmtId="49" fontId="34" fillId="0" borderId="66" applyNumberFormat="0" applyFont="0" applyFill="0" applyBorder="0" applyProtection="0">
      <alignment horizontal="left" vertical="center" indent="2"/>
    </xf>
    <xf numFmtId="0" fontId="49" fillId="43" borderId="63" applyNumberFormat="0" applyAlignment="0" applyProtection="0"/>
    <xf numFmtId="4" fontId="34" fillId="0" borderId="66" applyFill="0" applyBorder="0" applyProtection="0">
      <alignment horizontal="right" vertical="center"/>
    </xf>
    <xf numFmtId="0" fontId="46" fillId="56" borderId="63" applyNumberFormat="0" applyAlignment="0" applyProtection="0"/>
    <xf numFmtId="0" fontId="65" fillId="0" borderId="64" applyNumberFormat="0" applyFill="0" applyAlignment="0" applyProtection="0"/>
    <xf numFmtId="0" fontId="62" fillId="56" borderId="62" applyNumberFormat="0" applyAlignment="0" applyProtection="0"/>
    <xf numFmtId="0" fontId="34" fillId="0" borderId="66" applyNumberFormat="0" applyFill="0" applyAlignment="0" applyProtection="0"/>
    <xf numFmtId="4" fontId="34" fillId="0" borderId="66">
      <alignment horizontal="right" vertical="center"/>
    </xf>
    <xf numFmtId="0" fontId="34" fillId="0" borderId="66">
      <alignment horizontal="right" vertical="center"/>
    </xf>
    <xf numFmtId="0" fontId="58" fillId="43" borderId="63" applyNumberFormat="0" applyAlignment="0" applyProtection="0"/>
    <xf numFmtId="0" fontId="43" fillId="56" borderId="62" applyNumberFormat="0" applyAlignment="0" applyProtection="0"/>
    <xf numFmtId="0" fontId="45" fillId="56" borderId="63" applyNumberFormat="0" applyAlignment="0" applyProtection="0"/>
    <xf numFmtId="0" fontId="34" fillId="34" borderId="69">
      <alignment horizontal="left" vertical="center" wrapText="1" indent="2"/>
    </xf>
    <xf numFmtId="0" fontId="46" fillId="56" borderId="63" applyNumberFormat="0" applyAlignment="0" applyProtection="0"/>
    <xf numFmtId="0" fontId="46" fillId="56" borderId="63" applyNumberFormat="0" applyAlignment="0" applyProtection="0"/>
    <xf numFmtId="4" fontId="32" fillId="34" borderId="67">
      <alignment horizontal="right" vertical="center"/>
    </xf>
    <xf numFmtId="0" fontId="32" fillId="34" borderId="67">
      <alignment horizontal="right" vertical="center"/>
    </xf>
    <xf numFmtId="0" fontId="32" fillId="34" borderId="66">
      <alignment horizontal="right" vertical="center"/>
    </xf>
    <xf numFmtId="4" fontId="36" fillId="32" borderId="66">
      <alignment horizontal="right" vertical="center"/>
    </xf>
    <xf numFmtId="0" fontId="49" fillId="43" borderId="63" applyNumberFormat="0" applyAlignment="0" applyProtection="0"/>
    <xf numFmtId="0" fontId="50" fillId="0" borderId="64" applyNumberFormat="0" applyFill="0" applyAlignment="0" applyProtection="0"/>
    <xf numFmtId="0" fontId="65" fillId="0" borderId="64" applyNumberFormat="0" applyFill="0" applyAlignment="0" applyProtection="0"/>
    <xf numFmtId="0" fontId="40" fillId="59" borderId="65" applyNumberFormat="0" applyFont="0" applyAlignment="0" applyProtection="0"/>
    <xf numFmtId="0" fontId="58" fillId="43" borderId="63" applyNumberFormat="0" applyAlignment="0" applyProtection="0"/>
    <xf numFmtId="49" fontId="33" fillId="0" borderId="66" applyNumberFormat="0" applyFill="0" applyBorder="0" applyProtection="0">
      <alignment horizontal="left" vertical="center"/>
    </xf>
    <xf numFmtId="0" fontId="34" fillId="34" borderId="69">
      <alignment horizontal="left" vertical="center" wrapText="1" indent="2"/>
    </xf>
    <xf numFmtId="0" fontId="46" fillId="56" borderId="63" applyNumberFormat="0" applyAlignment="0" applyProtection="0"/>
    <xf numFmtId="0" fontId="34" fillId="0" borderId="69">
      <alignment horizontal="left" vertical="center" wrapText="1" indent="2"/>
    </xf>
    <xf numFmtId="0" fontId="40" fillId="59" borderId="65" applyNumberFormat="0" applyFont="0" applyAlignment="0" applyProtection="0"/>
    <xf numFmtId="0" fontId="5" fillId="59" borderId="65" applyNumberFormat="0" applyFont="0" applyAlignment="0" applyProtection="0"/>
    <xf numFmtId="0" fontId="62" fillId="56" borderId="62" applyNumberFormat="0" applyAlignment="0" applyProtection="0"/>
    <xf numFmtId="0" fontId="65" fillId="0" borderId="64" applyNumberFormat="0" applyFill="0" applyAlignment="0" applyProtection="0"/>
    <xf numFmtId="4" fontId="34" fillId="33" borderId="66"/>
    <xf numFmtId="0" fontId="32" fillId="34" borderId="66">
      <alignment horizontal="right" vertical="center"/>
    </xf>
    <xf numFmtId="0" fontId="65" fillId="0" borderId="64" applyNumberFormat="0" applyFill="0" applyAlignment="0" applyProtection="0"/>
    <xf numFmtId="4" fontId="32" fillId="34" borderId="68">
      <alignment horizontal="right" vertical="center"/>
    </xf>
    <xf numFmtId="0" fontId="45" fillId="56" borderId="63" applyNumberFormat="0" applyAlignment="0" applyProtection="0"/>
    <xf numFmtId="0" fontId="32" fillId="34" borderId="67">
      <alignment horizontal="right" vertical="center"/>
    </xf>
    <xf numFmtId="0" fontId="46" fillId="56" borderId="63" applyNumberFormat="0" applyAlignment="0" applyProtection="0"/>
    <xf numFmtId="0" fontId="50" fillId="0" borderId="64" applyNumberFormat="0" applyFill="0" applyAlignment="0" applyProtection="0"/>
    <xf numFmtId="0" fontId="40" fillId="59" borderId="65" applyNumberFormat="0" applyFont="0" applyAlignment="0" applyProtection="0"/>
    <xf numFmtId="4" fontId="32" fillId="34" borderId="67">
      <alignment horizontal="right" vertical="center"/>
    </xf>
    <xf numFmtId="0" fontId="34" fillId="34" borderId="69">
      <alignment horizontal="left" vertical="center" wrapText="1" indent="2"/>
    </xf>
    <xf numFmtId="0" fontId="34" fillId="33" borderId="66"/>
    <xf numFmtId="173" fontId="34" fillId="60" borderId="66" applyNumberFormat="0" applyFont="0" applyBorder="0" applyAlignment="0" applyProtection="0">
      <alignment horizontal="right" vertical="center"/>
    </xf>
    <xf numFmtId="0" fontId="34" fillId="0" borderId="66" applyNumberFormat="0" applyFill="0" applyAlignment="0" applyProtection="0"/>
    <xf numFmtId="4" fontId="34" fillId="0" borderId="66" applyFill="0" applyBorder="0" applyProtection="0">
      <alignment horizontal="right" vertical="center"/>
    </xf>
    <xf numFmtId="4" fontId="32" fillId="32" borderId="66">
      <alignment horizontal="right" vertical="center"/>
    </xf>
    <xf numFmtId="0" fontId="50" fillId="0" borderId="64" applyNumberFormat="0" applyFill="0" applyAlignment="0" applyProtection="0"/>
    <xf numFmtId="49" fontId="33" fillId="0" borderId="66" applyNumberFormat="0" applyFill="0" applyBorder="0" applyProtection="0">
      <alignment horizontal="left" vertical="center"/>
    </xf>
    <xf numFmtId="49" fontId="34" fillId="0" borderId="67" applyNumberFormat="0" applyFont="0" applyFill="0" applyBorder="0" applyProtection="0">
      <alignment horizontal="left" vertical="center" indent="5"/>
    </xf>
    <xf numFmtId="0" fontId="34" fillId="32" borderId="67">
      <alignment horizontal="left" vertical="center"/>
    </xf>
    <xf numFmtId="0" fontId="46" fillId="56" borderId="63" applyNumberFormat="0" applyAlignment="0" applyProtection="0"/>
    <xf numFmtId="4" fontId="32" fillId="34" borderId="68">
      <alignment horizontal="right" vertical="center"/>
    </xf>
    <xf numFmtId="0" fontId="58" fillId="43" borderId="63" applyNumberFormat="0" applyAlignment="0" applyProtection="0"/>
    <xf numFmtId="0" fontId="58" fillId="43" borderId="63" applyNumberFormat="0" applyAlignment="0" applyProtection="0"/>
    <xf numFmtId="0" fontId="40" fillId="59" borderId="65" applyNumberFormat="0" applyFont="0" applyAlignment="0" applyProtection="0"/>
    <xf numFmtId="0" fontId="62" fillId="56" borderId="62" applyNumberFormat="0" applyAlignment="0" applyProtection="0"/>
    <xf numFmtId="0" fontId="65" fillId="0" borderId="64" applyNumberFormat="0" applyFill="0" applyAlignment="0" applyProtection="0"/>
    <xf numFmtId="0" fontId="32" fillId="34" borderId="66">
      <alignment horizontal="right" vertical="center"/>
    </xf>
    <xf numFmtId="0" fontId="5" fillId="59" borderId="65" applyNumberFormat="0" applyFont="0" applyAlignment="0" applyProtection="0"/>
    <xf numFmtId="4" fontId="34" fillId="0" borderId="66">
      <alignment horizontal="right" vertical="center"/>
    </xf>
    <xf numFmtId="0" fontId="65" fillId="0" borderId="64" applyNumberFormat="0" applyFill="0" applyAlignment="0" applyProtection="0"/>
    <xf numFmtId="0" fontId="32" fillId="34" borderId="66">
      <alignment horizontal="right" vertical="center"/>
    </xf>
    <xf numFmtId="0" fontId="32" fillId="34" borderId="66">
      <alignment horizontal="right" vertical="center"/>
    </xf>
    <xf numFmtId="4" fontId="36" fillId="32" borderId="66">
      <alignment horizontal="right" vertical="center"/>
    </xf>
    <xf numFmtId="0" fontId="32" fillId="32" borderId="66">
      <alignment horizontal="right" vertical="center"/>
    </xf>
    <xf numFmtId="4" fontId="32" fillId="32" borderId="66">
      <alignment horizontal="right" vertical="center"/>
    </xf>
    <xf numFmtId="0" fontId="36" fillId="32" borderId="66">
      <alignment horizontal="right" vertical="center"/>
    </xf>
    <xf numFmtId="4" fontId="36" fillId="32" borderId="66">
      <alignment horizontal="right" vertical="center"/>
    </xf>
    <xf numFmtId="0" fontId="32" fillId="34" borderId="66">
      <alignment horizontal="right" vertical="center"/>
    </xf>
    <xf numFmtId="4" fontId="32" fillId="34" borderId="66">
      <alignment horizontal="right" vertical="center"/>
    </xf>
    <xf numFmtId="0" fontId="32" fillId="34" borderId="66">
      <alignment horizontal="right" vertical="center"/>
    </xf>
    <xf numFmtId="4" fontId="32" fillId="34" borderId="66">
      <alignment horizontal="right" vertical="center"/>
    </xf>
    <xf numFmtId="0" fontId="32" fillId="34" borderId="67">
      <alignment horizontal="right" vertical="center"/>
    </xf>
    <xf numFmtId="4" fontId="32" fillId="34" borderId="67">
      <alignment horizontal="right" vertical="center"/>
    </xf>
    <xf numFmtId="0" fontId="32" fillId="34" borderId="68">
      <alignment horizontal="right" vertical="center"/>
    </xf>
    <xf numFmtId="4" fontId="32" fillId="34" borderId="68">
      <alignment horizontal="right" vertical="center"/>
    </xf>
    <xf numFmtId="0" fontId="46" fillId="56" borderId="63" applyNumberFormat="0" applyAlignment="0" applyProtection="0"/>
    <xf numFmtId="0" fontId="34" fillId="34" borderId="69">
      <alignment horizontal="left" vertical="center" wrapText="1" indent="2"/>
    </xf>
    <xf numFmtId="0" fontId="34" fillId="0" borderId="69">
      <alignment horizontal="left" vertical="center" wrapText="1" indent="2"/>
    </xf>
    <xf numFmtId="0" fontId="34" fillId="32" borderId="67">
      <alignment horizontal="left" vertical="center"/>
    </xf>
    <xf numFmtId="0" fontId="58" fillId="43" borderId="63" applyNumberFormat="0" applyAlignment="0" applyProtection="0"/>
    <xf numFmtId="0" fontId="34" fillId="0" borderId="66">
      <alignment horizontal="right" vertical="center"/>
    </xf>
    <xf numFmtId="4" fontId="34" fillId="0" borderId="66">
      <alignment horizontal="right" vertical="center"/>
    </xf>
    <xf numFmtId="0" fontId="34" fillId="0" borderId="66" applyNumberFormat="0" applyFill="0" applyAlignment="0" applyProtection="0"/>
    <xf numFmtId="0" fontId="62" fillId="56" borderId="62" applyNumberFormat="0" applyAlignment="0" applyProtection="0"/>
    <xf numFmtId="173" fontId="34" fillId="60" borderId="66" applyNumberFormat="0" applyFont="0" applyBorder="0" applyAlignment="0" applyProtection="0">
      <alignment horizontal="right" vertical="center"/>
    </xf>
    <xf numFmtId="0" fontId="34" fillId="33" borderId="66"/>
    <xf numFmtId="4" fontId="34" fillId="33" borderId="66"/>
    <xf numFmtId="0" fontId="65" fillId="0" borderId="64" applyNumberFormat="0" applyFill="0" applyAlignment="0" applyProtection="0"/>
    <xf numFmtId="0" fontId="5" fillId="59" borderId="65" applyNumberFormat="0" applyFont="0" applyAlignment="0" applyProtection="0"/>
    <xf numFmtId="0" fontId="40" fillId="59" borderId="65" applyNumberFormat="0" applyFont="0" applyAlignment="0" applyProtection="0"/>
    <xf numFmtId="0" fontId="34" fillId="0" borderId="66" applyNumberFormat="0" applyFill="0" applyAlignment="0" applyProtection="0"/>
    <xf numFmtId="0" fontId="50" fillId="0" borderId="64" applyNumberFormat="0" applyFill="0" applyAlignment="0" applyProtection="0"/>
    <xf numFmtId="0" fontId="65" fillId="0" borderId="64" applyNumberFormat="0" applyFill="0" applyAlignment="0" applyProtection="0"/>
    <xf numFmtId="0" fontId="49" fillId="43" borderId="63" applyNumberFormat="0" applyAlignment="0" applyProtection="0"/>
    <xf numFmtId="0" fontId="46" fillId="56" borderId="63" applyNumberFormat="0" applyAlignment="0" applyProtection="0"/>
    <xf numFmtId="4" fontId="36" fillId="32" borderId="66">
      <alignment horizontal="right" vertical="center"/>
    </xf>
    <xf numFmtId="0" fontId="32" fillId="32" borderId="66">
      <alignment horizontal="right" vertical="center"/>
    </xf>
    <xf numFmtId="173" fontId="34" fillId="60" borderId="66" applyNumberFormat="0" applyFont="0" applyBorder="0" applyAlignment="0" applyProtection="0">
      <alignment horizontal="right" vertical="center"/>
    </xf>
    <xf numFmtId="0" fontId="50" fillId="0" borderId="64" applyNumberFormat="0" applyFill="0" applyAlignment="0" applyProtection="0"/>
    <xf numFmtId="49" fontId="34" fillId="0" borderId="66" applyNumberFormat="0" applyFont="0" applyFill="0" applyBorder="0" applyProtection="0">
      <alignment horizontal="left" vertical="center" indent="2"/>
    </xf>
    <xf numFmtId="49" fontId="34" fillId="0" borderId="67" applyNumberFormat="0" applyFont="0" applyFill="0" applyBorder="0" applyProtection="0">
      <alignment horizontal="left" vertical="center" indent="5"/>
    </xf>
    <xf numFmtId="49" fontId="34" fillId="0" borderId="66" applyNumberFormat="0" applyFont="0" applyFill="0" applyBorder="0" applyProtection="0">
      <alignment horizontal="left" vertical="center" indent="2"/>
    </xf>
    <xf numFmtId="4" fontId="34" fillId="0" borderId="66" applyFill="0" applyBorder="0" applyProtection="0">
      <alignment horizontal="right" vertical="center"/>
    </xf>
    <xf numFmtId="49" fontId="33" fillId="0" borderId="66" applyNumberFormat="0" applyFill="0" applyBorder="0" applyProtection="0">
      <alignment horizontal="left" vertical="center"/>
    </xf>
    <xf numFmtId="0" fontId="34" fillId="0" borderId="69">
      <alignment horizontal="left" vertical="center" wrapText="1" indent="2"/>
    </xf>
    <xf numFmtId="0" fontId="62" fillId="56" borderId="62" applyNumberFormat="0" applyAlignment="0" applyProtection="0"/>
    <xf numFmtId="0" fontId="32" fillId="34" borderId="68">
      <alignment horizontal="right" vertical="center"/>
    </xf>
    <xf numFmtId="0" fontId="49" fillId="43" borderId="63" applyNumberFormat="0" applyAlignment="0" applyProtection="0"/>
    <xf numFmtId="0" fontId="32" fillId="34" borderId="68">
      <alignment horizontal="right" vertical="center"/>
    </xf>
    <xf numFmtId="4" fontId="32" fillId="34" borderId="66">
      <alignment horizontal="right" vertical="center"/>
    </xf>
    <xf numFmtId="0" fontId="32" fillId="34" borderId="66">
      <alignment horizontal="right" vertical="center"/>
    </xf>
    <xf numFmtId="0" fontId="43" fillId="56" borderId="62" applyNumberFormat="0" applyAlignment="0" applyProtection="0"/>
    <xf numFmtId="0" fontId="45" fillId="56" borderId="63" applyNumberFormat="0" applyAlignment="0" applyProtection="0"/>
    <xf numFmtId="0" fontId="50" fillId="0" borderId="64" applyNumberFormat="0" applyFill="0" applyAlignment="0" applyProtection="0"/>
    <xf numFmtId="0" fontId="34" fillId="33" borderId="66"/>
    <xf numFmtId="4" fontId="34" fillId="33" borderId="66"/>
    <xf numFmtId="4" fontId="32" fillId="34" borderId="66">
      <alignment horizontal="right" vertical="center"/>
    </xf>
    <xf numFmtId="0" fontId="36" fillId="32" borderId="66">
      <alignment horizontal="right" vertical="center"/>
    </xf>
    <xf numFmtId="0" fontId="49" fillId="43" borderId="63" applyNumberFormat="0" applyAlignment="0" applyProtection="0"/>
    <xf numFmtId="0" fontId="46" fillId="56" borderId="63" applyNumberFormat="0" applyAlignment="0" applyProtection="0"/>
    <xf numFmtId="4" fontId="34" fillId="0" borderId="66">
      <alignment horizontal="right" vertical="center"/>
    </xf>
    <xf numFmtId="0" fontId="34" fillId="34" borderId="69">
      <alignment horizontal="left" vertical="center" wrapText="1" indent="2"/>
    </xf>
    <xf numFmtId="0" fontId="34" fillId="0" borderId="69">
      <alignment horizontal="left" vertical="center" wrapText="1" indent="2"/>
    </xf>
    <xf numFmtId="0" fontId="62" fillId="56" borderId="62" applyNumberFormat="0" applyAlignment="0" applyProtection="0"/>
    <xf numFmtId="0" fontId="58" fillId="43" borderId="63" applyNumberFormat="0" applyAlignment="0" applyProtection="0"/>
    <xf numFmtId="0" fontId="45" fillId="56" borderId="63" applyNumberFormat="0" applyAlignment="0" applyProtection="0"/>
    <xf numFmtId="0" fontId="43" fillId="56" borderId="62" applyNumberFormat="0" applyAlignment="0" applyProtection="0"/>
    <xf numFmtId="0" fontId="32" fillId="34" borderId="68">
      <alignment horizontal="right" vertical="center"/>
    </xf>
    <xf numFmtId="0" fontId="36" fillId="32" borderId="66">
      <alignment horizontal="right" vertical="center"/>
    </xf>
    <xf numFmtId="4" fontId="32" fillId="32" borderId="66">
      <alignment horizontal="right" vertical="center"/>
    </xf>
    <xf numFmtId="4" fontId="32" fillId="34" borderId="66">
      <alignment horizontal="right" vertical="center"/>
    </xf>
    <xf numFmtId="49" fontId="34" fillId="0" borderId="67" applyNumberFormat="0" applyFont="0" applyFill="0" applyBorder="0" applyProtection="0">
      <alignment horizontal="left" vertical="center" indent="5"/>
    </xf>
    <xf numFmtId="4" fontId="34" fillId="0" borderId="66" applyFill="0" applyBorder="0" applyProtection="0">
      <alignment horizontal="right" vertical="center"/>
    </xf>
    <xf numFmtId="4" fontId="32" fillId="32" borderId="66">
      <alignment horizontal="right" vertical="center"/>
    </xf>
    <xf numFmtId="0" fontId="58" fillId="43" borderId="63" applyNumberFormat="0" applyAlignment="0" applyProtection="0"/>
    <xf numFmtId="0" fontId="49" fillId="43" borderId="63" applyNumberFormat="0" applyAlignment="0" applyProtection="0"/>
    <xf numFmtId="0" fontId="45" fillId="56" borderId="63" applyNumberFormat="0" applyAlignment="0" applyProtection="0"/>
    <xf numFmtId="0" fontId="34" fillId="34" borderId="69">
      <alignment horizontal="left" vertical="center" wrapText="1" indent="2"/>
    </xf>
    <xf numFmtId="0" fontId="34" fillId="0" borderId="69">
      <alignment horizontal="left" vertical="center" wrapText="1" indent="2"/>
    </xf>
    <xf numFmtId="0" fontId="34" fillId="34" borderId="69">
      <alignment horizontal="left" vertical="center" wrapText="1" indent="2"/>
    </xf>
    <xf numFmtId="0" fontId="32" fillId="34" borderId="74">
      <alignment horizontal="right" vertical="center"/>
    </xf>
    <xf numFmtId="0" fontId="34" fillId="0" borderId="74" applyNumberFormat="0" applyFill="0" applyAlignment="0" applyProtection="0"/>
    <xf numFmtId="0" fontId="34" fillId="0" borderId="79">
      <alignment horizontal="right" vertical="center"/>
    </xf>
    <xf numFmtId="4" fontId="32" fillId="34" borderId="74">
      <alignment horizontal="right" vertical="center"/>
    </xf>
    <xf numFmtId="4" fontId="32" fillId="34" borderId="80">
      <alignment horizontal="right" vertical="center"/>
    </xf>
    <xf numFmtId="0" fontId="40" fillId="59" borderId="73" applyNumberFormat="0" applyFont="0" applyAlignment="0" applyProtection="0"/>
    <xf numFmtId="0" fontId="36" fillId="32" borderId="74">
      <alignment horizontal="right" vertical="center"/>
    </xf>
    <xf numFmtId="4" fontId="34" fillId="33" borderId="74"/>
    <xf numFmtId="0" fontId="62" fillId="56" borderId="70" applyNumberFormat="0" applyAlignment="0" applyProtection="0"/>
    <xf numFmtId="0" fontId="32" fillId="34" borderId="75">
      <alignment horizontal="right" vertical="center"/>
    </xf>
    <xf numFmtId="4" fontId="32" fillId="34" borderId="108">
      <alignment horizontal="right" vertical="center"/>
    </xf>
    <xf numFmtId="0" fontId="32" fillId="34" borderId="79">
      <alignment horizontal="right" vertical="center"/>
    </xf>
    <xf numFmtId="0" fontId="34" fillId="33" borderId="79"/>
    <xf numFmtId="0" fontId="26" fillId="23" borderId="0" applyNumberFormat="0" applyBorder="0" applyAlignment="0" applyProtection="0"/>
    <xf numFmtId="4" fontId="32" fillId="34" borderId="75">
      <alignment horizontal="right" vertical="center"/>
    </xf>
    <xf numFmtId="0" fontId="26" fillId="17" borderId="0" applyNumberFormat="0" applyBorder="0" applyAlignment="0" applyProtection="0"/>
    <xf numFmtId="4" fontId="34" fillId="0" borderId="119">
      <alignment horizontal="right" vertical="center"/>
    </xf>
    <xf numFmtId="4" fontId="36" fillId="32" borderId="98">
      <alignment horizontal="right" vertical="center"/>
    </xf>
    <xf numFmtId="0" fontId="34" fillId="33" borderId="79"/>
    <xf numFmtId="0" fontId="29" fillId="13" borderId="13" applyNumberFormat="0" applyAlignment="0" applyProtection="0"/>
    <xf numFmtId="4" fontId="36" fillId="32" borderId="74">
      <alignment horizontal="right" vertical="center"/>
    </xf>
    <xf numFmtId="0" fontId="34" fillId="34" borderId="77">
      <alignment horizontal="left" vertical="center" wrapText="1" indent="2"/>
    </xf>
    <xf numFmtId="0" fontId="26" fillId="26" borderId="0" applyNumberFormat="0" applyBorder="0" applyAlignment="0" applyProtection="0"/>
    <xf numFmtId="0" fontId="26" fillId="17" borderId="0" applyNumberFormat="0" applyBorder="0" applyAlignment="0" applyProtection="0"/>
    <xf numFmtId="4" fontId="32" fillId="34" borderId="79">
      <alignment horizontal="right" vertical="center"/>
    </xf>
    <xf numFmtId="4" fontId="36" fillId="32" borderId="129">
      <alignment horizontal="right" vertical="center"/>
    </xf>
    <xf numFmtId="0" fontId="65" fillId="0" borderId="72" applyNumberFormat="0" applyFill="0" applyAlignment="0" applyProtection="0"/>
    <xf numFmtId="0" fontId="40" fillId="59" borderId="118" applyNumberFormat="0" applyFont="0" applyAlignment="0" applyProtection="0"/>
    <xf numFmtId="0" fontId="49" fillId="43" borderId="103" applyNumberFormat="0" applyAlignment="0" applyProtection="0"/>
    <xf numFmtId="4" fontId="36" fillId="32" borderId="79">
      <alignment horizontal="right" vertical="center"/>
    </xf>
    <xf numFmtId="4" fontId="32" fillId="34" borderId="76">
      <alignment horizontal="right" vertical="center"/>
    </xf>
    <xf numFmtId="0" fontId="58" fillId="43" borderId="103" applyNumberFormat="0" applyAlignment="0" applyProtection="0"/>
    <xf numFmtId="0" fontId="5" fillId="59" borderId="73" applyNumberFormat="0" applyFont="0" applyAlignment="0" applyProtection="0"/>
    <xf numFmtId="0" fontId="1" fillId="0" borderId="0" applyNumberFormat="0" applyFill="0" applyBorder="0" applyAlignment="0" applyProtection="0"/>
    <xf numFmtId="0" fontId="26" fillId="15" borderId="0" applyNumberFormat="0" applyBorder="0" applyAlignment="0" applyProtection="0"/>
    <xf numFmtId="0" fontId="26" fillId="23" borderId="0" applyNumberFormat="0" applyBorder="0" applyAlignment="0" applyProtection="0"/>
    <xf numFmtId="0" fontId="34" fillId="32" borderId="120">
      <alignment horizontal="left" vertical="center"/>
    </xf>
    <xf numFmtId="0" fontId="62" fillId="56" borderId="94" applyNumberFormat="0" applyAlignment="0" applyProtection="0"/>
    <xf numFmtId="0" fontId="34" fillId="34" borderId="117">
      <alignment horizontal="left" vertical="center" wrapText="1" indent="2"/>
    </xf>
    <xf numFmtId="0" fontId="34" fillId="34" borderId="77">
      <alignment horizontal="left" vertical="center" wrapText="1" indent="2"/>
    </xf>
    <xf numFmtId="4" fontId="32" fillId="34" borderId="76">
      <alignment horizontal="right" vertical="center"/>
    </xf>
    <xf numFmtId="0" fontId="62" fillId="56" borderId="70" applyNumberFormat="0" applyAlignment="0" applyProtection="0"/>
    <xf numFmtId="4" fontId="36" fillId="32" borderId="74">
      <alignment horizontal="right" vertical="center"/>
    </xf>
    <xf numFmtId="4" fontId="32" fillId="34" borderId="74">
      <alignment horizontal="right" vertical="center"/>
    </xf>
    <xf numFmtId="0" fontId="46" fillId="56" borderId="71" applyNumberFormat="0" applyAlignment="0" applyProtection="0"/>
    <xf numFmtId="0" fontId="65" fillId="0" borderId="72" applyNumberFormat="0" applyFill="0" applyAlignment="0" applyProtection="0"/>
    <xf numFmtId="4" fontId="32" fillId="34" borderId="74">
      <alignment horizontal="right" vertical="center"/>
    </xf>
    <xf numFmtId="4" fontId="36" fillId="32" borderId="74">
      <alignment horizontal="right" vertical="center"/>
    </xf>
    <xf numFmtId="0" fontId="30" fillId="0" borderId="0" applyNumberFormat="0" applyFill="0" applyBorder="0" applyAlignment="0" applyProtection="0"/>
    <xf numFmtId="0" fontId="50" fillId="0" borderId="72" applyNumberFormat="0" applyFill="0" applyAlignment="0" applyProtection="0"/>
    <xf numFmtId="0" fontId="49" fillId="43" borderId="71" applyNumberFormat="0" applyAlignment="0" applyProtection="0"/>
    <xf numFmtId="0" fontId="62" fillId="56" borderId="70" applyNumberFormat="0" applyAlignment="0" applyProtection="0"/>
    <xf numFmtId="0" fontId="43" fillId="56" borderId="70" applyNumberFormat="0" applyAlignment="0" applyProtection="0"/>
    <xf numFmtId="0" fontId="26" fillId="15" borderId="0" applyNumberFormat="0" applyBorder="0" applyAlignment="0" applyProtection="0"/>
    <xf numFmtId="4" fontId="34" fillId="0" borderId="106" applyFill="0" applyBorder="0" applyProtection="0">
      <alignment horizontal="right" vertical="center"/>
    </xf>
    <xf numFmtId="0" fontId="40" fillId="59" borderId="105" applyNumberFormat="0" applyFont="0" applyAlignment="0" applyProtection="0"/>
    <xf numFmtId="0" fontId="2" fillId="0" borderId="15" applyNumberFormat="0" applyFill="0" applyAlignment="0" applyProtection="0"/>
    <xf numFmtId="0" fontId="46" fillId="56" borderId="71" applyNumberFormat="0" applyAlignment="0" applyProtection="0"/>
    <xf numFmtId="0" fontId="40" fillId="59" borderId="78" applyNumberFormat="0" applyFont="0" applyAlignment="0" applyProtection="0"/>
    <xf numFmtId="0" fontId="34" fillId="0" borderId="119">
      <alignment horizontal="right" vertical="center"/>
    </xf>
    <xf numFmtId="0" fontId="26" fillId="21" borderId="0" applyNumberFormat="0" applyBorder="0" applyAlignment="0" applyProtection="0"/>
    <xf numFmtId="0" fontId="50" fillId="0" borderId="72" applyNumberFormat="0" applyFill="0" applyAlignment="0" applyProtection="0"/>
    <xf numFmtId="0" fontId="62" fillId="56" borderId="70" applyNumberFormat="0" applyAlignment="0" applyProtection="0"/>
    <xf numFmtId="4" fontId="34" fillId="0" borderId="74" applyFill="0" applyBorder="0" applyProtection="0">
      <alignment horizontal="right" vertical="center"/>
    </xf>
    <xf numFmtId="0" fontId="45" fillId="56" borderId="71" applyNumberFormat="0" applyAlignment="0" applyProtection="0"/>
    <xf numFmtId="0" fontId="62" fillId="56" borderId="70" applyNumberFormat="0" applyAlignment="0" applyProtection="0"/>
    <xf numFmtId="0" fontId="34" fillId="34" borderId="77">
      <alignment horizontal="left" vertical="center" wrapText="1" indent="2"/>
    </xf>
    <xf numFmtId="0" fontId="58" fillId="43" borderId="71" applyNumberFormat="0" applyAlignment="0" applyProtection="0"/>
    <xf numFmtId="0" fontId="5" fillId="59" borderId="73" applyNumberFormat="0" applyFont="0" applyAlignment="0" applyProtection="0"/>
    <xf numFmtId="4" fontId="36" fillId="32" borderId="74">
      <alignment horizontal="right" vertical="center"/>
    </xf>
    <xf numFmtId="0" fontId="32" fillId="34" borderId="74">
      <alignment horizontal="right" vertical="center"/>
    </xf>
    <xf numFmtId="0" fontId="49" fillId="43" borderId="71" applyNumberFormat="0" applyAlignment="0" applyProtection="0"/>
    <xf numFmtId="173" fontId="34" fillId="60" borderId="74" applyNumberFormat="0" applyFont="0" applyBorder="0" applyAlignment="0" applyProtection="0">
      <alignment horizontal="right" vertical="center"/>
    </xf>
    <xf numFmtId="49" fontId="34" fillId="0" borderId="74" applyNumberFormat="0" applyFont="0" applyFill="0" applyBorder="0" applyProtection="0">
      <alignment horizontal="left" vertical="center" indent="2"/>
    </xf>
    <xf numFmtId="0" fontId="49" fillId="43" borderId="84" applyNumberFormat="0" applyAlignment="0" applyProtection="0"/>
    <xf numFmtId="0" fontId="50" fillId="0" borderId="85" applyNumberFormat="0" applyFill="0" applyAlignment="0" applyProtection="0"/>
    <xf numFmtId="4" fontId="32" fillId="34" borderId="108">
      <alignment horizontal="right" vertical="center"/>
    </xf>
    <xf numFmtId="4" fontId="32" fillId="34" borderId="106">
      <alignment horizontal="right" vertical="center"/>
    </xf>
    <xf numFmtId="0" fontId="34" fillId="33" borderId="74"/>
    <xf numFmtId="0" fontId="34" fillId="0" borderId="74">
      <alignment horizontal="right" vertical="center"/>
    </xf>
    <xf numFmtId="0" fontId="46" fillId="56" borderId="95" applyNumberFormat="0" applyAlignment="0" applyProtection="0"/>
    <xf numFmtId="0" fontId="5" fillId="59" borderId="105" applyNumberFormat="0" applyFont="0" applyAlignment="0" applyProtection="0"/>
    <xf numFmtId="0" fontId="46" fillId="56" borderId="95" applyNumberFormat="0" applyAlignment="0" applyProtection="0"/>
    <xf numFmtId="0" fontId="34" fillId="0" borderId="106">
      <alignment horizontal="right" vertical="center"/>
    </xf>
    <xf numFmtId="0" fontId="46" fillId="56" borderId="84" applyNumberFormat="0" applyAlignment="0" applyProtection="0"/>
    <xf numFmtId="0" fontId="46" fillId="56" borderId="103" applyNumberFormat="0" applyAlignment="0" applyProtection="0"/>
    <xf numFmtId="0" fontId="26" fillId="27" borderId="0" applyNumberFormat="0" applyBorder="0" applyAlignment="0" applyProtection="0"/>
    <xf numFmtId="0" fontId="26" fillId="18" borderId="0" applyNumberFormat="0" applyBorder="0" applyAlignment="0" applyProtection="0"/>
    <xf numFmtId="0" fontId="5" fillId="59" borderId="105" applyNumberFormat="0" applyFont="0" applyAlignment="0" applyProtection="0"/>
    <xf numFmtId="0" fontId="12" fillId="19" borderId="0" applyNumberFormat="0" applyBorder="0" applyAlignment="0" applyProtection="0"/>
    <xf numFmtId="0" fontId="32" fillId="34" borderId="80">
      <alignment horizontal="right" vertical="center"/>
    </xf>
    <xf numFmtId="0" fontId="65" fillId="0" borderId="85" applyNumberFormat="0" applyFill="0" applyAlignment="0" applyProtection="0"/>
    <xf numFmtId="0" fontId="26" fillId="30" borderId="0" applyNumberFormat="0" applyBorder="0" applyAlignment="0" applyProtection="0"/>
    <xf numFmtId="4" fontId="32" fillId="34" borderId="74">
      <alignment horizontal="right" vertical="center"/>
    </xf>
    <xf numFmtId="0" fontId="34" fillId="0" borderId="79" applyNumberFormat="0" applyFill="0" applyAlignment="0" applyProtection="0"/>
    <xf numFmtId="0" fontId="46" fillId="56" borderId="84" applyNumberFormat="0" applyAlignment="0" applyProtection="0"/>
    <xf numFmtId="49" fontId="33" fillId="0" borderId="137" applyNumberFormat="0" applyFill="0" applyBorder="0" applyProtection="0">
      <alignment horizontal="left" vertical="center"/>
    </xf>
    <xf numFmtId="0" fontId="40" fillId="59" borderId="89" applyNumberFormat="0" applyFont="0" applyAlignment="0" applyProtection="0"/>
    <xf numFmtId="0" fontId="32" fillId="32" borderId="79">
      <alignment horizontal="right" vertical="center"/>
    </xf>
    <xf numFmtId="0" fontId="46" fillId="56" borderId="84" applyNumberFormat="0" applyAlignment="0" applyProtection="0"/>
    <xf numFmtId="0" fontId="49" fillId="43" borderId="126" applyNumberFormat="0" applyAlignment="0" applyProtection="0"/>
    <xf numFmtId="0" fontId="62" fillId="56" borderId="110" applyNumberFormat="0" applyAlignment="0" applyProtection="0"/>
    <xf numFmtId="0" fontId="50" fillId="0" borderId="72" applyNumberFormat="0" applyFill="0" applyAlignment="0" applyProtection="0"/>
    <xf numFmtId="0" fontId="34" fillId="0" borderId="77">
      <alignment horizontal="left" vertical="center" wrapText="1" indent="2"/>
    </xf>
    <xf numFmtId="4" fontId="34" fillId="33" borderId="79"/>
    <xf numFmtId="0" fontId="26" fillId="21" borderId="0" applyNumberFormat="0" applyBorder="0" applyAlignment="0" applyProtection="0"/>
    <xf numFmtId="0" fontId="65" fillId="0" borderId="72" applyNumberFormat="0" applyFill="0" applyAlignment="0" applyProtection="0"/>
    <xf numFmtId="0" fontId="26" fillId="30" borderId="0" applyNumberFormat="0" applyBorder="0" applyAlignment="0" applyProtection="0"/>
    <xf numFmtId="0" fontId="2" fillId="0" borderId="15" applyNumberFormat="0" applyFill="0" applyAlignment="0" applyProtection="0"/>
    <xf numFmtId="4" fontId="34" fillId="0" borderId="106">
      <alignment horizontal="right" vertical="center"/>
    </xf>
    <xf numFmtId="0" fontId="34" fillId="0" borderId="109">
      <alignment horizontal="left" vertical="center" wrapText="1" indent="2"/>
    </xf>
    <xf numFmtId="0" fontId="62" fillId="56" borderId="70" applyNumberFormat="0" applyAlignment="0" applyProtection="0"/>
    <xf numFmtId="173" fontId="34" fillId="60" borderId="74" applyNumberFormat="0" applyFont="0" applyBorder="0" applyAlignment="0" applyProtection="0">
      <alignment horizontal="right" vertical="center"/>
    </xf>
    <xf numFmtId="0" fontId="34" fillId="0" borderId="82">
      <alignment horizontal="left" vertical="center" wrapText="1" indent="2"/>
    </xf>
    <xf numFmtId="0" fontId="12" fillId="28" borderId="0" applyNumberFormat="0" applyBorder="0" applyAlignment="0" applyProtection="0"/>
    <xf numFmtId="0" fontId="43" fillId="56" borderId="86" applyNumberFormat="0" applyAlignment="0" applyProtection="0"/>
    <xf numFmtId="4" fontId="32" fillId="34" borderId="81">
      <alignment horizontal="right" vertical="center"/>
    </xf>
    <xf numFmtId="0" fontId="26" fillId="18" borderId="0" applyNumberFormat="0" applyBorder="0" applyAlignment="0" applyProtection="0"/>
    <xf numFmtId="0" fontId="34" fillId="0" borderId="79" applyNumberFormat="0" applyFill="0" applyAlignment="0" applyProtection="0"/>
    <xf numFmtId="4" fontId="32" fillId="34" borderId="106">
      <alignment horizontal="right" vertical="center"/>
    </xf>
    <xf numFmtId="0" fontId="26" fillId="29" borderId="0" applyNumberFormat="0" applyBorder="0" applyAlignment="0" applyProtection="0"/>
    <xf numFmtId="0" fontId="50" fillId="0" borderId="85" applyNumberFormat="0" applyFill="0" applyAlignment="0" applyProtection="0"/>
    <xf numFmtId="0" fontId="26" fillId="21" borderId="0" applyNumberFormat="0" applyBorder="0" applyAlignment="0" applyProtection="0"/>
    <xf numFmtId="49" fontId="34" fillId="0" borderId="74" applyNumberFormat="0" applyFont="0" applyFill="0" applyBorder="0" applyProtection="0">
      <alignment horizontal="left" vertical="center" indent="2"/>
    </xf>
    <xf numFmtId="4" fontId="34" fillId="0" borderId="74" applyFill="0" applyBorder="0" applyProtection="0">
      <alignment horizontal="right" vertical="center"/>
    </xf>
    <xf numFmtId="4" fontId="32" fillId="32" borderId="74">
      <alignment horizontal="right" vertical="center"/>
    </xf>
    <xf numFmtId="0" fontId="34" fillId="34" borderId="82">
      <alignment horizontal="left" vertical="center" wrapText="1" indent="2"/>
    </xf>
    <xf numFmtId="0" fontId="26" fillId="26" borderId="0" applyNumberFormat="0" applyBorder="0" applyAlignment="0" applyProtection="0"/>
    <xf numFmtId="0" fontId="43" fillId="56" borderId="123" applyNumberFormat="0" applyAlignment="0" applyProtection="0"/>
    <xf numFmtId="4" fontId="34" fillId="33" borderId="74"/>
    <xf numFmtId="0" fontId="28" fillId="13" borderId="14" applyNumberFormat="0" applyAlignment="0" applyProtection="0"/>
    <xf numFmtId="0" fontId="32" fillId="34" borderId="131">
      <alignment horizontal="right" vertical="center"/>
    </xf>
    <xf numFmtId="0" fontId="26" fillId="21" borderId="0" applyNumberFormat="0" applyBorder="0" applyAlignment="0" applyProtection="0"/>
    <xf numFmtId="0" fontId="32" fillId="34" borderId="76">
      <alignment horizontal="right" vertical="center"/>
    </xf>
    <xf numFmtId="0" fontId="26" fillId="24" borderId="0" applyNumberFormat="0" applyBorder="0" applyAlignment="0" applyProtection="0"/>
    <xf numFmtId="0" fontId="40" fillId="59" borderId="73" applyNumberFormat="0" applyFont="0" applyAlignment="0" applyProtection="0"/>
    <xf numFmtId="0" fontId="12" fillId="25" borderId="0" applyNumberFormat="0" applyBorder="0" applyAlignment="0" applyProtection="0"/>
    <xf numFmtId="0" fontId="34" fillId="0" borderId="74">
      <alignment horizontal="right" vertical="center"/>
    </xf>
    <xf numFmtId="4" fontId="34" fillId="33" borderId="74"/>
    <xf numFmtId="0" fontId="40" fillId="59" borderId="73" applyNumberFormat="0" applyFont="0" applyAlignment="0" applyProtection="0"/>
    <xf numFmtId="4" fontId="32" fillId="34" borderId="74">
      <alignment horizontal="right" vertical="center"/>
    </xf>
    <xf numFmtId="0" fontId="62" fillId="56" borderId="110" applyNumberFormat="0" applyAlignment="0" applyProtection="0"/>
    <xf numFmtId="49" fontId="34" fillId="0" borderId="106" applyNumberFormat="0" applyFont="0" applyFill="0" applyBorder="0" applyProtection="0">
      <alignment horizontal="left" vertical="center" indent="2"/>
    </xf>
    <xf numFmtId="4" fontId="32" fillId="32" borderId="90">
      <alignment horizontal="right" vertical="center"/>
    </xf>
    <xf numFmtId="0" fontId="12" fillId="22" borderId="0" applyNumberFormat="0" applyBorder="0" applyAlignment="0" applyProtection="0"/>
    <xf numFmtId="0" fontId="62" fillId="56" borderId="70" applyNumberFormat="0" applyAlignment="0" applyProtection="0"/>
    <xf numFmtId="49" fontId="34" fillId="0" borderId="75" applyNumberFormat="0" applyFont="0" applyFill="0" applyBorder="0" applyProtection="0">
      <alignment horizontal="left" vertical="center" indent="5"/>
    </xf>
    <xf numFmtId="4" fontId="36" fillId="32" borderId="129">
      <alignment horizontal="right" vertical="center"/>
    </xf>
    <xf numFmtId="49" fontId="34" fillId="0" borderId="75" applyNumberFormat="0" applyFont="0" applyFill="0" applyBorder="0" applyProtection="0">
      <alignment horizontal="left" vertical="center" indent="5"/>
    </xf>
    <xf numFmtId="0" fontId="12" fillId="22" borderId="0" applyNumberFormat="0" applyBorder="0" applyAlignment="0" applyProtection="0"/>
    <xf numFmtId="0" fontId="45" fillId="56" borderId="84" applyNumberFormat="0" applyAlignment="0" applyProtection="0"/>
    <xf numFmtId="0" fontId="32" fillId="32" borderId="74">
      <alignment horizontal="right" vertical="center"/>
    </xf>
    <xf numFmtId="0" fontId="32" fillId="34" borderId="129">
      <alignment horizontal="right" vertical="center"/>
    </xf>
    <xf numFmtId="0" fontId="58" fillId="43" borderId="71" applyNumberFormat="0" applyAlignment="0" applyProtection="0"/>
    <xf numFmtId="0" fontId="46" fillId="56" borderId="71" applyNumberFormat="0" applyAlignment="0" applyProtection="0"/>
    <xf numFmtId="0" fontId="34" fillId="34" borderId="77">
      <alignment horizontal="left" vertical="center" wrapText="1" indent="2"/>
    </xf>
    <xf numFmtId="173" fontId="34" fillId="60" borderId="79" applyNumberFormat="0" applyFont="0" applyBorder="0" applyAlignment="0" applyProtection="0">
      <alignment horizontal="right" vertical="center"/>
    </xf>
    <xf numFmtId="0" fontId="50" fillId="0" borderId="72" applyNumberFormat="0" applyFill="0" applyAlignment="0" applyProtection="0"/>
    <xf numFmtId="0" fontId="40" fillId="59" borderId="97" applyNumberFormat="0" applyFont="0" applyAlignment="0" applyProtection="0"/>
    <xf numFmtId="0" fontId="32" fillId="34" borderId="81">
      <alignment horizontal="right" vertical="center"/>
    </xf>
    <xf numFmtId="0" fontId="34" fillId="33" borderId="79"/>
    <xf numFmtId="0" fontId="29" fillId="13" borderId="13" applyNumberFormat="0" applyAlignment="0" applyProtection="0"/>
    <xf numFmtId="0" fontId="45" fillId="56" borderId="71" applyNumberFormat="0" applyAlignment="0" applyProtection="0"/>
    <xf numFmtId="0" fontId="29" fillId="13" borderId="13" applyNumberFormat="0" applyAlignment="0" applyProtection="0"/>
    <xf numFmtId="0" fontId="36" fillId="32" borderId="74">
      <alignment horizontal="right" vertical="center"/>
    </xf>
    <xf numFmtId="0" fontId="28" fillId="13" borderId="14" applyNumberFormat="0" applyAlignment="0" applyProtection="0"/>
    <xf numFmtId="0" fontId="26" fillId="20" borderId="0" applyNumberFormat="0" applyBorder="0" applyAlignment="0" applyProtection="0"/>
    <xf numFmtId="0" fontId="49" fillId="43" borderId="84" applyNumberFormat="0" applyAlignment="0" applyProtection="0"/>
    <xf numFmtId="0" fontId="32" fillId="34" borderId="75">
      <alignment horizontal="right" vertical="center"/>
    </xf>
    <xf numFmtId="0" fontId="58" fillId="43" borderId="84" applyNumberFormat="0" applyAlignment="0" applyProtection="0"/>
    <xf numFmtId="0" fontId="12" fillId="22" borderId="0" applyNumberFormat="0" applyBorder="0" applyAlignment="0" applyProtection="0"/>
    <xf numFmtId="0" fontId="32" fillId="34" borderId="75">
      <alignment horizontal="right" vertical="center"/>
    </xf>
    <xf numFmtId="0" fontId="34" fillId="0" borderId="109">
      <alignment horizontal="left" vertical="center" wrapText="1" indent="2"/>
    </xf>
    <xf numFmtId="0" fontId="32" fillId="32" borderId="74">
      <alignment horizontal="right" vertical="center"/>
    </xf>
    <xf numFmtId="0" fontId="12" fillId="31" borderId="0" applyNumberFormat="0" applyBorder="0" applyAlignment="0" applyProtection="0"/>
    <xf numFmtId="0" fontId="34" fillId="33" borderId="74"/>
    <xf numFmtId="0" fontId="26" fillId="17" borderId="0" applyNumberFormat="0" applyBorder="0" applyAlignment="0" applyProtection="0"/>
    <xf numFmtId="4" fontId="36" fillId="32" borderId="74">
      <alignment horizontal="right" vertical="center"/>
    </xf>
    <xf numFmtId="0" fontId="34" fillId="32" borderId="75">
      <alignment horizontal="left" vertical="center"/>
    </xf>
    <xf numFmtId="0" fontId="65" fillId="0" borderId="72" applyNumberFormat="0" applyFill="0" applyAlignment="0" applyProtection="0"/>
    <xf numFmtId="0" fontId="49" fillId="43" borderId="84" applyNumberFormat="0" applyAlignment="0" applyProtection="0"/>
    <xf numFmtId="0" fontId="34" fillId="32" borderId="80">
      <alignment horizontal="left" vertical="center"/>
    </xf>
    <xf numFmtId="49" fontId="33" fillId="0" borderId="74" applyNumberFormat="0" applyFill="0" applyBorder="0" applyProtection="0">
      <alignment horizontal="left" vertical="center"/>
    </xf>
    <xf numFmtId="0" fontId="34" fillId="0" borderId="77">
      <alignment horizontal="left" vertical="center" wrapText="1" indent="2"/>
    </xf>
    <xf numFmtId="0" fontId="32" fillId="32" borderId="79">
      <alignment horizontal="right" vertical="center"/>
    </xf>
    <xf numFmtId="0" fontId="50" fillId="0" borderId="127" applyNumberFormat="0" applyFill="0" applyAlignment="0" applyProtection="0"/>
    <xf numFmtId="4" fontId="34" fillId="0" borderId="79">
      <alignment horizontal="right" vertical="center"/>
    </xf>
    <xf numFmtId="0" fontId="65" fillId="0" borderId="72" applyNumberFormat="0" applyFill="0" applyAlignment="0" applyProtection="0"/>
    <xf numFmtId="0" fontId="36" fillId="32" borderId="74">
      <alignment horizontal="right" vertical="center"/>
    </xf>
    <xf numFmtId="0" fontId="34" fillId="0" borderId="77">
      <alignment horizontal="left" vertical="center" wrapText="1" indent="2"/>
    </xf>
    <xf numFmtId="0" fontId="26" fillId="29" borderId="0" applyNumberFormat="0" applyBorder="0" applyAlignment="0" applyProtection="0"/>
    <xf numFmtId="49" fontId="34" fillId="0" borderId="75" applyNumberFormat="0" applyFont="0" applyFill="0" applyBorder="0" applyProtection="0">
      <alignment horizontal="left" vertical="center" indent="5"/>
    </xf>
    <xf numFmtId="0" fontId="1" fillId="0" borderId="0" applyNumberFormat="0" applyFill="0" applyBorder="0" applyAlignment="0" applyProtection="0"/>
    <xf numFmtId="0" fontId="50" fillId="0" borderId="72" applyNumberFormat="0" applyFill="0" applyAlignment="0" applyProtection="0"/>
    <xf numFmtId="4" fontId="36" fillId="32" borderId="79">
      <alignment horizontal="right" vertical="center"/>
    </xf>
    <xf numFmtId="0" fontId="26" fillId="29" borderId="0" applyNumberFormat="0" applyBorder="0" applyAlignment="0" applyProtection="0"/>
    <xf numFmtId="0" fontId="26" fillId="17" borderId="0" applyNumberFormat="0" applyBorder="0" applyAlignment="0" applyProtection="0"/>
    <xf numFmtId="0" fontId="65" fillId="0" borderId="72" applyNumberFormat="0" applyFill="0" applyAlignment="0" applyProtection="0"/>
    <xf numFmtId="0" fontId="32" fillId="34" borderId="74">
      <alignment horizontal="right" vertical="center"/>
    </xf>
    <xf numFmtId="0" fontId="65" fillId="0" borderId="125" applyNumberFormat="0" applyFill="0" applyAlignment="0" applyProtection="0"/>
    <xf numFmtId="0" fontId="65" fillId="0" borderId="85" applyNumberFormat="0" applyFill="0" applyAlignment="0" applyProtection="0"/>
    <xf numFmtId="173" fontId="34" fillId="60" borderId="74" applyNumberFormat="0" applyFont="0" applyBorder="0" applyAlignment="0" applyProtection="0">
      <alignment horizontal="right" vertical="center"/>
    </xf>
    <xf numFmtId="0" fontId="40" fillId="59" borderId="73" applyNumberFormat="0" applyFont="0" applyAlignment="0" applyProtection="0"/>
    <xf numFmtId="4" fontId="32" fillId="34" borderId="108">
      <alignment horizontal="right" vertical="center"/>
    </xf>
    <xf numFmtId="4" fontId="34" fillId="33" borderId="79"/>
    <xf numFmtId="0" fontId="58" fillId="43" borderId="71" applyNumberFormat="0" applyAlignment="0" applyProtection="0"/>
    <xf numFmtId="0" fontId="58" fillId="43" borderId="84" applyNumberFormat="0" applyAlignment="0" applyProtection="0"/>
    <xf numFmtId="0" fontId="46" fillId="56" borderId="71" applyNumberFormat="0" applyAlignment="0" applyProtection="0"/>
    <xf numFmtId="0" fontId="34" fillId="0" borderId="77">
      <alignment horizontal="left" vertical="center" wrapText="1" indent="2"/>
    </xf>
    <xf numFmtId="0" fontId="58" fillId="43" borderId="71" applyNumberFormat="0" applyAlignment="0" applyProtection="0"/>
    <xf numFmtId="0" fontId="43" fillId="56" borderId="70" applyNumberFormat="0" applyAlignment="0" applyProtection="0"/>
    <xf numFmtId="0" fontId="46" fillId="56" borderId="71" applyNumberFormat="0" applyAlignment="0" applyProtection="0"/>
    <xf numFmtId="0" fontId="34" fillId="34" borderId="77">
      <alignment horizontal="left" vertical="center" wrapText="1" indent="2"/>
    </xf>
    <xf numFmtId="0" fontId="5" fillId="59" borderId="78" applyNumberFormat="0" applyFont="0" applyAlignment="0" applyProtection="0"/>
    <xf numFmtId="4" fontId="32" fillId="34" borderId="138">
      <alignment horizontal="right" vertical="center"/>
    </xf>
    <xf numFmtId="0" fontId="34" fillId="34" borderId="77">
      <alignment horizontal="left" vertical="center" wrapText="1" indent="2"/>
    </xf>
    <xf numFmtId="0" fontId="34" fillId="33" borderId="74"/>
    <xf numFmtId="0" fontId="29" fillId="13" borderId="13" applyNumberFormat="0" applyAlignment="0" applyProtection="0"/>
    <xf numFmtId="49" fontId="34" fillId="0" borderId="106" applyNumberFormat="0" applyFont="0" applyFill="0" applyBorder="0" applyProtection="0">
      <alignment horizontal="left" vertical="center" indent="2"/>
    </xf>
    <xf numFmtId="0" fontId="34" fillId="0" borderId="77">
      <alignment horizontal="left" vertical="center" wrapText="1" indent="2"/>
    </xf>
    <xf numFmtId="4" fontId="32" fillId="32" borderId="74">
      <alignment horizontal="right" vertical="center"/>
    </xf>
    <xf numFmtId="0" fontId="34" fillId="0" borderId="106">
      <alignment horizontal="right" vertical="center"/>
    </xf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49" fillId="43" borderId="84" applyNumberFormat="0" applyAlignment="0" applyProtection="0"/>
    <xf numFmtId="0" fontId="26" fillId="29" borderId="0" applyNumberFormat="0" applyBorder="0" applyAlignment="0" applyProtection="0"/>
    <xf numFmtId="0" fontId="32" fillId="32" borderId="79">
      <alignment horizontal="right" vertical="center"/>
    </xf>
    <xf numFmtId="0" fontId="12" fillId="28" borderId="0" applyNumberFormat="0" applyBorder="0" applyAlignment="0" applyProtection="0"/>
    <xf numFmtId="0" fontId="5" fillId="59" borderId="73" applyNumberFormat="0" applyFont="0" applyAlignment="0" applyProtection="0"/>
    <xf numFmtId="4" fontId="32" fillId="34" borderId="74">
      <alignment horizontal="right" vertical="center"/>
    </xf>
    <xf numFmtId="49" fontId="34" fillId="0" borderId="74" applyNumberFormat="0" applyFont="0" applyFill="0" applyBorder="0" applyProtection="0">
      <alignment horizontal="left" vertical="center" indent="2"/>
    </xf>
    <xf numFmtId="0" fontId="26" fillId="26" borderId="0" applyNumberFormat="0" applyBorder="0" applyAlignment="0" applyProtection="0"/>
    <xf numFmtId="0" fontId="65" fillId="0" borderId="72" applyNumberFormat="0" applyFill="0" applyAlignment="0" applyProtection="0"/>
    <xf numFmtId="0" fontId="36" fillId="32" borderId="66">
      <alignment horizontal="right" vertical="center"/>
    </xf>
    <xf numFmtId="0" fontId="40" fillId="59" borderId="118" applyNumberFormat="0" applyFont="0" applyAlignment="0" applyProtection="0"/>
    <xf numFmtId="0" fontId="29" fillId="13" borderId="13" applyNumberFormat="0" applyAlignment="0" applyProtection="0"/>
    <xf numFmtId="4" fontId="32" fillId="34" borderId="79">
      <alignment horizontal="right" vertical="center"/>
    </xf>
    <xf numFmtId="0" fontId="34" fillId="0" borderId="79">
      <alignment horizontal="right" vertical="center"/>
    </xf>
    <xf numFmtId="0" fontId="62" fillId="56" borderId="70" applyNumberFormat="0" applyAlignment="0" applyProtection="0"/>
    <xf numFmtId="0" fontId="58" fillId="43" borderId="71" applyNumberFormat="0" applyAlignment="0" applyProtection="0"/>
    <xf numFmtId="4" fontId="34" fillId="0" borderId="79" applyFill="0" applyBorder="0" applyProtection="0">
      <alignment horizontal="right" vertical="center"/>
    </xf>
    <xf numFmtId="49" fontId="33" fillId="0" borderId="79" applyNumberFormat="0" applyFill="0" applyBorder="0" applyProtection="0">
      <alignment horizontal="left" vertical="center"/>
    </xf>
    <xf numFmtId="0" fontId="43" fillId="56" borderId="83" applyNumberFormat="0" applyAlignment="0" applyProtection="0"/>
    <xf numFmtId="173" fontId="34" fillId="60" borderId="79" applyNumberFormat="0" applyFont="0" applyBorder="0" applyAlignment="0" applyProtection="0">
      <alignment horizontal="right" vertical="center"/>
    </xf>
    <xf numFmtId="0" fontId="12" fillId="16" borderId="0" applyNumberFormat="0" applyBorder="0" applyAlignment="0" applyProtection="0"/>
    <xf numFmtId="0" fontId="65" fillId="0" borderId="72" applyNumberFormat="0" applyFill="0" applyAlignment="0" applyProtection="0"/>
    <xf numFmtId="0" fontId="34" fillId="0" borderId="98" applyNumberFormat="0" applyFill="0" applyAlignment="0" applyProtection="0"/>
    <xf numFmtId="0" fontId="26" fillId="29" borderId="0" applyNumberFormat="0" applyBorder="0" applyAlignment="0" applyProtection="0"/>
    <xf numFmtId="0" fontId="5" fillId="59" borderId="78" applyNumberFormat="0" applyFont="0" applyAlignment="0" applyProtection="0"/>
    <xf numFmtId="0" fontId="26" fillId="26" borderId="0" applyNumberFormat="0" applyBorder="0" applyAlignment="0" applyProtection="0"/>
    <xf numFmtId="4" fontId="34" fillId="0" borderId="74">
      <alignment horizontal="right" vertical="center"/>
    </xf>
    <xf numFmtId="4" fontId="32" fillId="34" borderId="79">
      <alignment horizontal="right" vertical="center"/>
    </xf>
    <xf numFmtId="0" fontId="36" fillId="32" borderId="119">
      <alignment horizontal="right" vertical="center"/>
    </xf>
    <xf numFmtId="0" fontId="26" fillId="24" borderId="0" applyNumberFormat="0" applyBorder="0" applyAlignment="0" applyProtection="0"/>
    <xf numFmtId="0" fontId="62" fillId="56" borderId="83" applyNumberFormat="0" applyAlignment="0" applyProtection="0"/>
    <xf numFmtId="0" fontId="40" fillId="59" borderId="128" applyNumberFormat="0" applyFont="0" applyAlignment="0" applyProtection="0"/>
    <xf numFmtId="0" fontId="65" fillId="0" borderId="127" applyNumberFormat="0" applyFill="0" applyAlignment="0" applyProtection="0"/>
    <xf numFmtId="0" fontId="62" fillId="56" borderId="70" applyNumberFormat="0" applyAlignment="0" applyProtection="0"/>
    <xf numFmtId="4" fontId="32" fillId="34" borderId="98">
      <alignment horizontal="right" vertical="center"/>
    </xf>
    <xf numFmtId="0" fontId="65" fillId="0" borderId="85" applyNumberFormat="0" applyFill="0" applyAlignment="0" applyProtection="0"/>
    <xf numFmtId="0" fontId="26" fillId="17" borderId="0" applyNumberFormat="0" applyBorder="0" applyAlignment="0" applyProtection="0"/>
    <xf numFmtId="0" fontId="34" fillId="0" borderId="79">
      <alignment horizontal="right" vertical="center"/>
    </xf>
    <xf numFmtId="4" fontId="32" fillId="32" borderId="74">
      <alignment horizontal="right" vertical="center"/>
    </xf>
    <xf numFmtId="0" fontId="34" fillId="32" borderId="80">
      <alignment horizontal="left" vertical="center"/>
    </xf>
    <xf numFmtId="0" fontId="32" fillId="34" borderId="79">
      <alignment horizontal="right" vertical="center"/>
    </xf>
    <xf numFmtId="0" fontId="34" fillId="0" borderId="82">
      <alignment horizontal="left" vertical="center" wrapText="1" indent="2"/>
    </xf>
    <xf numFmtId="0" fontId="28" fillId="13" borderId="14" applyNumberFormat="0" applyAlignment="0" applyProtection="0"/>
    <xf numFmtId="0" fontId="65" fillId="0" borderId="72" applyNumberFormat="0" applyFill="0" applyAlignment="0" applyProtection="0"/>
    <xf numFmtId="0" fontId="58" fillId="43" borderId="126" applyNumberFormat="0" applyAlignment="0" applyProtection="0"/>
    <xf numFmtId="0" fontId="5" fillId="59" borderId="73" applyNumberFormat="0" applyFont="0" applyAlignment="0" applyProtection="0"/>
    <xf numFmtId="0" fontId="32" fillId="34" borderId="107">
      <alignment horizontal="right" vertical="center"/>
    </xf>
    <xf numFmtId="0" fontId="34" fillId="33" borderId="119"/>
    <xf numFmtId="0" fontId="32" fillId="34" borderId="81">
      <alignment horizontal="right" vertical="center"/>
    </xf>
    <xf numFmtId="0" fontId="32" fillId="32" borderId="74">
      <alignment horizontal="right" vertical="center"/>
    </xf>
    <xf numFmtId="0" fontId="12" fillId="28" borderId="0" applyNumberFormat="0" applyBorder="0" applyAlignment="0" applyProtection="0"/>
    <xf numFmtId="4" fontId="32" fillId="34" borderId="79">
      <alignment horizontal="right" vertical="center"/>
    </xf>
    <xf numFmtId="0" fontId="43" fillId="56" borderId="70" applyNumberFormat="0" applyAlignment="0" applyProtection="0"/>
    <xf numFmtId="0" fontId="65" fillId="0" borderId="85" applyNumberFormat="0" applyFill="0" applyAlignment="0" applyProtection="0"/>
    <xf numFmtId="49" fontId="33" fillId="0" borderId="106" applyNumberFormat="0" applyFill="0" applyBorder="0" applyProtection="0">
      <alignment horizontal="left" vertical="center"/>
    </xf>
    <xf numFmtId="0" fontId="65" fillId="0" borderId="85" applyNumberFormat="0" applyFill="0" applyAlignment="0" applyProtection="0"/>
    <xf numFmtId="0" fontId="58" fillId="43" borderId="71" applyNumberFormat="0" applyAlignment="0" applyProtection="0"/>
    <xf numFmtId="0" fontId="49" fillId="43" borderId="84" applyNumberFormat="0" applyAlignment="0" applyProtection="0"/>
    <xf numFmtId="49" fontId="34" fillId="0" borderId="106" applyNumberFormat="0" applyFont="0" applyFill="0" applyBorder="0" applyProtection="0">
      <alignment horizontal="left" vertical="center" indent="2"/>
    </xf>
    <xf numFmtId="4" fontId="34" fillId="0" borderId="74">
      <alignment horizontal="right" vertical="center"/>
    </xf>
    <xf numFmtId="0" fontId="12" fillId="19" borderId="0" applyNumberFormat="0" applyBorder="0" applyAlignment="0" applyProtection="0"/>
    <xf numFmtId="0" fontId="62" fillId="56" borderId="83" applyNumberFormat="0" applyAlignment="0" applyProtection="0"/>
    <xf numFmtId="0" fontId="65" fillId="0" borderId="72" applyNumberFormat="0" applyFill="0" applyAlignment="0" applyProtection="0"/>
    <xf numFmtId="0" fontId="12" fillId="25" borderId="0" applyNumberFormat="0" applyBorder="0" applyAlignment="0" applyProtection="0"/>
    <xf numFmtId="0" fontId="65" fillId="0" borderId="85" applyNumberFormat="0" applyFill="0" applyAlignment="0" applyProtection="0"/>
    <xf numFmtId="0" fontId="58" fillId="43" borderId="111" applyNumberFormat="0" applyAlignment="0" applyProtection="0"/>
    <xf numFmtId="0" fontId="58" fillId="43" borderId="71" applyNumberFormat="0" applyAlignment="0" applyProtection="0"/>
    <xf numFmtId="0" fontId="34" fillId="33" borderId="106"/>
    <xf numFmtId="0" fontId="49" fillId="43" borderId="71" applyNumberFormat="0" applyAlignment="0" applyProtection="0"/>
    <xf numFmtId="49" fontId="34" fillId="0" borderId="80" applyNumberFormat="0" applyFont="0" applyFill="0" applyBorder="0" applyProtection="0">
      <alignment horizontal="left" vertical="center" indent="5"/>
    </xf>
    <xf numFmtId="0" fontId="62" fillId="56" borderId="102" applyNumberFormat="0" applyAlignment="0" applyProtection="0"/>
    <xf numFmtId="0" fontId="40" fillId="59" borderId="78" applyNumberFormat="0" applyFont="0" applyAlignment="0" applyProtection="0"/>
    <xf numFmtId="0" fontId="58" fillId="43" borderId="71" applyNumberFormat="0" applyAlignment="0" applyProtection="0"/>
    <xf numFmtId="0" fontId="26" fillId="14" borderId="0" applyNumberFormat="0" applyBorder="0" applyAlignment="0" applyProtection="0"/>
    <xf numFmtId="4" fontId="32" fillId="32" borderId="74">
      <alignment horizontal="right" vertical="center"/>
    </xf>
    <xf numFmtId="4" fontId="32" fillId="34" borderId="79">
      <alignment horizontal="right" vertical="center"/>
    </xf>
    <xf numFmtId="0" fontId="50" fillId="0" borderId="85" applyNumberFormat="0" applyFill="0" applyAlignment="0" applyProtection="0"/>
    <xf numFmtId="0" fontId="65" fillId="0" borderId="85" applyNumberFormat="0" applyFill="0" applyAlignment="0" applyProtection="0"/>
    <xf numFmtId="0" fontId="29" fillId="13" borderId="13" applyNumberFormat="0" applyAlignment="0" applyProtection="0"/>
    <xf numFmtId="0" fontId="12" fillId="22" borderId="0" applyNumberFormat="0" applyBorder="0" applyAlignment="0" applyProtection="0"/>
    <xf numFmtId="0" fontId="26" fillId="29" borderId="0" applyNumberFormat="0" applyBorder="0" applyAlignment="0" applyProtection="0"/>
    <xf numFmtId="0" fontId="46" fillId="56" borderId="71" applyNumberFormat="0" applyAlignment="0" applyProtection="0"/>
    <xf numFmtId="0" fontId="26" fillId="24" borderId="0" applyNumberFormat="0" applyBorder="0" applyAlignment="0" applyProtection="0"/>
    <xf numFmtId="0" fontId="34" fillId="0" borderId="82">
      <alignment horizontal="left" vertical="center" wrapText="1" indent="2"/>
    </xf>
    <xf numFmtId="0" fontId="46" fillId="56" borderId="103" applyNumberFormat="0" applyAlignment="0" applyProtection="0"/>
    <xf numFmtId="0" fontId="50" fillId="0" borderId="85" applyNumberFormat="0" applyFill="0" applyAlignment="0" applyProtection="0"/>
    <xf numFmtId="0" fontId="40" fillId="59" borderId="78" applyNumberFormat="0" applyFont="0" applyAlignment="0" applyProtection="0"/>
    <xf numFmtId="0" fontId="43" fillId="56" borderId="70" applyNumberFormat="0" applyAlignment="0" applyProtection="0"/>
    <xf numFmtId="0" fontId="58" fillId="43" borderId="71" applyNumberFormat="0" applyAlignment="0" applyProtection="0"/>
    <xf numFmtId="0" fontId="62" fillId="56" borderId="83" applyNumberFormat="0" applyAlignment="0" applyProtection="0"/>
    <xf numFmtId="0" fontId="36" fillId="32" borderId="74">
      <alignment horizontal="right" vertical="center"/>
    </xf>
    <xf numFmtId="0" fontId="26" fillId="27" borderId="0" applyNumberFormat="0" applyBorder="0" applyAlignment="0" applyProtection="0"/>
    <xf numFmtId="4" fontId="32" fillId="32" borderId="106">
      <alignment horizontal="right" vertical="center"/>
    </xf>
    <xf numFmtId="0" fontId="26" fillId="20" borderId="0" applyNumberFormat="0" applyBorder="0" applyAlignment="0" applyProtection="0"/>
    <xf numFmtId="0" fontId="5" fillId="59" borderId="73" applyNumberFormat="0" applyFont="0" applyAlignment="0" applyProtection="0"/>
    <xf numFmtId="0" fontId="26" fillId="20" borderId="0" applyNumberFormat="0" applyBorder="0" applyAlignment="0" applyProtection="0"/>
    <xf numFmtId="0" fontId="30" fillId="0" borderId="0" applyNumberFormat="0" applyFill="0" applyBorder="0" applyAlignment="0" applyProtection="0"/>
    <xf numFmtId="0" fontId="45" fillId="56" borderId="71" applyNumberFormat="0" applyAlignment="0" applyProtection="0"/>
    <xf numFmtId="0" fontId="58" fillId="43" borderId="84" applyNumberFormat="0" applyAlignment="0" applyProtection="0"/>
    <xf numFmtId="0" fontId="50" fillId="0" borderId="72" applyNumberFormat="0" applyFill="0" applyAlignment="0" applyProtection="0"/>
    <xf numFmtId="0" fontId="58" fillId="43" borderId="95" applyNumberFormat="0" applyAlignment="0" applyProtection="0"/>
    <xf numFmtId="0" fontId="12" fillId="31" borderId="0" applyNumberFormat="0" applyBorder="0" applyAlignment="0" applyProtection="0"/>
    <xf numFmtId="0" fontId="46" fillId="56" borderId="84" applyNumberFormat="0" applyAlignment="0" applyProtection="0"/>
    <xf numFmtId="0" fontId="34" fillId="34" borderId="77">
      <alignment horizontal="left" vertical="center" wrapText="1" indent="2"/>
    </xf>
    <xf numFmtId="0" fontId="62" fillId="56" borderId="83" applyNumberFormat="0" applyAlignment="0" applyProtection="0"/>
    <xf numFmtId="0" fontId="40" fillId="59" borderId="97" applyNumberFormat="0" applyFont="0" applyAlignment="0" applyProtection="0"/>
    <xf numFmtId="0" fontId="65" fillId="0" borderId="85" applyNumberFormat="0" applyFill="0" applyAlignment="0" applyProtection="0"/>
    <xf numFmtId="0" fontId="26" fillId="27" borderId="0" applyNumberFormat="0" applyBorder="0" applyAlignment="0" applyProtection="0"/>
    <xf numFmtId="0" fontId="26" fillId="24" borderId="0" applyNumberFormat="0" applyBorder="0" applyAlignment="0" applyProtection="0"/>
    <xf numFmtId="0" fontId="46" fillId="56" borderId="103" applyNumberFormat="0" applyAlignment="0" applyProtection="0"/>
    <xf numFmtId="0" fontId="45" fillId="56" borderId="84" applyNumberFormat="0" applyAlignment="0" applyProtection="0"/>
    <xf numFmtId="0" fontId="43" fillId="56" borderId="70" applyNumberFormat="0" applyAlignment="0" applyProtection="0"/>
    <xf numFmtId="0" fontId="65" fillId="0" borderId="125" applyNumberFormat="0" applyFill="0" applyAlignment="0" applyProtection="0"/>
    <xf numFmtId="0" fontId="34" fillId="33" borderId="74"/>
    <xf numFmtId="0" fontId="26" fillId="18" borderId="0" applyNumberFormat="0" applyBorder="0" applyAlignment="0" applyProtection="0"/>
    <xf numFmtId="0" fontId="34" fillId="33" borderId="79"/>
    <xf numFmtId="0" fontId="26" fillId="14" borderId="0" applyNumberFormat="0" applyBorder="0" applyAlignment="0" applyProtection="0"/>
    <xf numFmtId="0" fontId="58" fillId="43" borderId="84" applyNumberFormat="0" applyAlignment="0" applyProtection="0"/>
    <xf numFmtId="49" fontId="33" fillId="0" borderId="74" applyNumberFormat="0" applyFill="0" applyBorder="0" applyProtection="0">
      <alignment horizontal="left" vertical="center"/>
    </xf>
    <xf numFmtId="49" fontId="34" fillId="0" borderId="107" applyNumberFormat="0" applyFont="0" applyFill="0" applyBorder="0" applyProtection="0">
      <alignment horizontal="left" vertical="center" indent="5"/>
    </xf>
    <xf numFmtId="0" fontId="2" fillId="0" borderId="15" applyNumberFormat="0" applyFill="0" applyAlignment="0" applyProtection="0"/>
    <xf numFmtId="173" fontId="34" fillId="60" borderId="74" applyNumberFormat="0" applyFont="0" applyBorder="0" applyAlignment="0" applyProtection="0">
      <alignment horizontal="right" vertical="center"/>
    </xf>
    <xf numFmtId="0" fontId="26" fillId="15" borderId="0" applyNumberFormat="0" applyBorder="0" applyAlignment="0" applyProtection="0"/>
    <xf numFmtId="0" fontId="62" fillId="56" borderId="70" applyNumberFormat="0" applyAlignment="0" applyProtection="0"/>
    <xf numFmtId="4" fontId="36" fillId="32" borderId="137">
      <alignment horizontal="right" vertical="center"/>
    </xf>
    <xf numFmtId="173" fontId="34" fillId="60" borderId="74" applyNumberFormat="0" applyFont="0" applyBorder="0" applyAlignment="0" applyProtection="0">
      <alignment horizontal="right" vertical="center"/>
    </xf>
    <xf numFmtId="0" fontId="46" fillId="56" borderId="87" applyNumberFormat="0" applyAlignment="0" applyProtection="0"/>
    <xf numFmtId="4" fontId="34" fillId="0" borderId="74">
      <alignment horizontal="right" vertical="center"/>
    </xf>
    <xf numFmtId="0" fontId="46" fillId="56" borderId="71" applyNumberFormat="0" applyAlignment="0" applyProtection="0"/>
    <xf numFmtId="0" fontId="34" fillId="0" borderId="74" applyNumberFormat="0" applyFill="0" applyAlignment="0" applyProtection="0"/>
    <xf numFmtId="0" fontId="26" fillId="27" borderId="0" applyNumberFormat="0" applyBorder="0" applyAlignment="0" applyProtection="0"/>
    <xf numFmtId="0" fontId="34" fillId="0" borderId="74">
      <alignment horizontal="right" vertical="center"/>
    </xf>
    <xf numFmtId="0" fontId="58" fillId="43" borderId="84" applyNumberFormat="0" applyAlignment="0" applyProtection="0"/>
    <xf numFmtId="4" fontId="32" fillId="34" borderId="107">
      <alignment horizontal="right" vertical="center"/>
    </xf>
    <xf numFmtId="49" fontId="34" fillId="0" borderId="79" applyNumberFormat="0" applyFont="0" applyFill="0" applyBorder="0" applyProtection="0">
      <alignment horizontal="left" vertical="center" indent="2"/>
    </xf>
    <xf numFmtId="4" fontId="32" fillId="34" borderId="76">
      <alignment horizontal="right" vertical="center"/>
    </xf>
    <xf numFmtId="4" fontId="34" fillId="0" borderId="74" applyFill="0" applyBorder="0" applyProtection="0">
      <alignment horizontal="right" vertical="center"/>
    </xf>
    <xf numFmtId="0" fontId="34" fillId="33" borderId="74"/>
    <xf numFmtId="0" fontId="65" fillId="0" borderId="72" applyNumberFormat="0" applyFill="0" applyAlignment="0" applyProtection="0"/>
    <xf numFmtId="4" fontId="34" fillId="33" borderId="106"/>
    <xf numFmtId="0" fontId="46" fillId="56" borderId="84" applyNumberFormat="0" applyAlignment="0" applyProtection="0"/>
    <xf numFmtId="0" fontId="12" fillId="16" borderId="0" applyNumberFormat="0" applyBorder="0" applyAlignment="0" applyProtection="0"/>
    <xf numFmtId="0" fontId="12" fillId="31" borderId="0" applyNumberFormat="0" applyBorder="0" applyAlignment="0" applyProtection="0"/>
    <xf numFmtId="0" fontId="34" fillId="0" borderId="79" applyNumberFormat="0" applyFill="0" applyAlignment="0" applyProtection="0"/>
    <xf numFmtId="0" fontId="45" fillId="56" borderId="71" applyNumberFormat="0" applyAlignment="0" applyProtection="0"/>
    <xf numFmtId="0" fontId="34" fillId="32" borderId="120">
      <alignment horizontal="left" vertical="center"/>
    </xf>
    <xf numFmtId="0" fontId="32" fillId="32" borderId="74">
      <alignment horizontal="right" vertical="center"/>
    </xf>
    <xf numFmtId="0" fontId="46" fillId="56" borderId="71" applyNumberFormat="0" applyAlignment="0" applyProtection="0"/>
    <xf numFmtId="0" fontId="34" fillId="0" borderId="109">
      <alignment horizontal="left" vertical="center" wrapText="1" indent="2"/>
    </xf>
    <xf numFmtId="49" fontId="34" fillId="0" borderId="79" applyNumberFormat="0" applyFont="0" applyFill="0" applyBorder="0" applyProtection="0">
      <alignment horizontal="left" vertical="center" indent="2"/>
    </xf>
    <xf numFmtId="4" fontId="34" fillId="0" borderId="106" applyFill="0" applyBorder="0" applyProtection="0">
      <alignment horizontal="right" vertical="center"/>
    </xf>
    <xf numFmtId="0" fontId="12" fillId="25" borderId="0" applyNumberFormat="0" applyBorder="0" applyAlignment="0" applyProtection="0"/>
    <xf numFmtId="0" fontId="32" fillId="34" borderId="75">
      <alignment horizontal="right" vertical="center"/>
    </xf>
    <xf numFmtId="0" fontId="12" fillId="31" borderId="0" applyNumberFormat="0" applyBorder="0" applyAlignment="0" applyProtection="0"/>
    <xf numFmtId="0" fontId="45" fillId="56" borderId="71" applyNumberFormat="0" applyAlignment="0" applyProtection="0"/>
    <xf numFmtId="0" fontId="12" fillId="25" borderId="0" applyNumberFormat="0" applyBorder="0" applyAlignment="0" applyProtection="0"/>
    <xf numFmtId="0" fontId="26" fillId="14" borderId="0" applyNumberFormat="0" applyBorder="0" applyAlignment="0" applyProtection="0"/>
    <xf numFmtId="0" fontId="45" fillId="56" borderId="71" applyNumberFormat="0" applyAlignment="0" applyProtection="0"/>
    <xf numFmtId="4" fontId="32" fillId="34" borderId="74">
      <alignment horizontal="right" vertical="center"/>
    </xf>
    <xf numFmtId="4" fontId="36" fillId="32" borderId="74">
      <alignment horizontal="right" vertical="center"/>
    </xf>
    <xf numFmtId="0" fontId="58" fillId="43" borderId="71" applyNumberFormat="0" applyAlignment="0" applyProtection="0"/>
    <xf numFmtId="0" fontId="26" fillId="20" borderId="0" applyNumberFormat="0" applyBorder="0" applyAlignment="0" applyProtection="0"/>
    <xf numFmtId="0" fontId="26" fillId="30" borderId="0" applyNumberFormat="0" applyBorder="0" applyAlignment="0" applyProtection="0"/>
    <xf numFmtId="0" fontId="36" fillId="32" borderId="74">
      <alignment horizontal="right" vertical="center"/>
    </xf>
    <xf numFmtId="0" fontId="26" fillId="30" borderId="0" applyNumberFormat="0" applyBorder="0" applyAlignment="0" applyProtection="0"/>
    <xf numFmtId="49" fontId="34" fillId="0" borderId="91" applyNumberFormat="0" applyFont="0" applyFill="0" applyBorder="0" applyProtection="0">
      <alignment horizontal="left" vertical="center" indent="5"/>
    </xf>
    <xf numFmtId="0" fontId="36" fillId="32" borderId="79">
      <alignment horizontal="right" vertical="center"/>
    </xf>
    <xf numFmtId="49" fontId="34" fillId="0" borderId="74" applyNumberFormat="0" applyFont="0" applyFill="0" applyBorder="0" applyProtection="0">
      <alignment horizontal="left" vertical="center" indent="2"/>
    </xf>
    <xf numFmtId="173" fontId="34" fillId="60" borderId="74" applyNumberFormat="0" applyFont="0" applyBorder="0" applyAlignment="0" applyProtection="0">
      <alignment horizontal="right" vertical="center"/>
    </xf>
    <xf numFmtId="0" fontId="65" fillId="0" borderId="85" applyNumberFormat="0" applyFill="0" applyAlignment="0" applyProtection="0"/>
    <xf numFmtId="0" fontId="65" fillId="0" borderId="104" applyNumberFormat="0" applyFill="0" applyAlignment="0" applyProtection="0"/>
    <xf numFmtId="0" fontId="34" fillId="32" borderId="80">
      <alignment horizontal="left" vertical="center"/>
    </xf>
    <xf numFmtId="4" fontId="32" fillId="34" borderId="79">
      <alignment horizontal="right" vertical="center"/>
    </xf>
    <xf numFmtId="0" fontId="36" fillId="32" borderId="74">
      <alignment horizontal="right" vertical="center"/>
    </xf>
    <xf numFmtId="0" fontId="32" fillId="34" borderId="81">
      <alignment horizontal="right" vertical="center"/>
    </xf>
    <xf numFmtId="4" fontId="32" fillId="34" borderId="79">
      <alignment horizontal="right" vertical="center"/>
    </xf>
    <xf numFmtId="49" fontId="34" fillId="0" borderId="74" applyNumberFormat="0" applyFont="0" applyFill="0" applyBorder="0" applyProtection="0">
      <alignment horizontal="left" vertical="center" indent="2"/>
    </xf>
    <xf numFmtId="49" fontId="34" fillId="0" borderId="74" applyNumberFormat="0" applyFont="0" applyFill="0" applyBorder="0" applyProtection="0">
      <alignment horizontal="left" vertical="center" indent="2"/>
    </xf>
    <xf numFmtId="0" fontId="26" fillId="23" borderId="0" applyNumberFormat="0" applyBorder="0" applyAlignment="0" applyProtection="0"/>
    <xf numFmtId="4" fontId="34" fillId="0" borderId="98" applyFill="0" applyBorder="0" applyProtection="0">
      <alignment horizontal="right" vertical="center"/>
    </xf>
    <xf numFmtId="0" fontId="34" fillId="34" borderId="93">
      <alignment horizontal="left" vertical="center" wrapText="1" indent="2"/>
    </xf>
    <xf numFmtId="0" fontId="34" fillId="0" borderId="74" applyNumberFormat="0" applyFill="0" applyAlignment="0" applyProtection="0"/>
    <xf numFmtId="0" fontId="26" fillId="26" borderId="0" applyNumberFormat="0" applyBorder="0" applyAlignment="0" applyProtection="0"/>
    <xf numFmtId="0" fontId="34" fillId="32" borderId="107">
      <alignment horizontal="left" vertical="center"/>
    </xf>
    <xf numFmtId="49" fontId="34" fillId="0" borderId="75" applyNumberFormat="0" applyFont="0" applyFill="0" applyBorder="0" applyProtection="0">
      <alignment horizontal="left" vertical="center" indent="5"/>
    </xf>
    <xf numFmtId="0" fontId="46" fillId="56" borderId="71" applyNumberFormat="0" applyAlignment="0" applyProtection="0"/>
    <xf numFmtId="173" fontId="34" fillId="60" borderId="90" applyNumberFormat="0" applyFont="0" applyBorder="0" applyAlignment="0" applyProtection="0">
      <alignment horizontal="right" vertical="center"/>
    </xf>
    <xf numFmtId="0" fontId="58" fillId="43" borderId="87" applyNumberFormat="0" applyAlignment="0" applyProtection="0"/>
    <xf numFmtId="4" fontId="32" fillId="34" borderId="75">
      <alignment horizontal="right" vertical="center"/>
    </xf>
    <xf numFmtId="0" fontId="26" fillId="17" borderId="0" applyNumberFormat="0" applyBorder="0" applyAlignment="0" applyProtection="0"/>
    <xf numFmtId="0" fontId="12" fillId="16" borderId="0" applyNumberFormat="0" applyBorder="0" applyAlignment="0" applyProtection="0"/>
    <xf numFmtId="49" fontId="33" fillId="0" borderId="74" applyNumberFormat="0" applyFill="0" applyBorder="0" applyProtection="0">
      <alignment horizontal="left" vertical="center"/>
    </xf>
    <xf numFmtId="4" fontId="32" fillId="34" borderId="75">
      <alignment horizontal="right" vertical="center"/>
    </xf>
    <xf numFmtId="0" fontId="32" fillId="34" borderId="131">
      <alignment horizontal="right" vertical="center"/>
    </xf>
    <xf numFmtId="0" fontId="12" fillId="22" borderId="0" applyNumberFormat="0" applyBorder="0" applyAlignment="0" applyProtection="0"/>
    <xf numFmtId="0" fontId="46" fillId="56" borderId="84" applyNumberFormat="0" applyAlignment="0" applyProtection="0"/>
    <xf numFmtId="0" fontId="34" fillId="0" borderId="109">
      <alignment horizontal="left" vertical="center" wrapText="1" indent="2"/>
    </xf>
    <xf numFmtId="0" fontId="32" fillId="34" borderId="74">
      <alignment horizontal="right" vertical="center"/>
    </xf>
    <xf numFmtId="4" fontId="34" fillId="0" borderId="106" applyFill="0" applyBorder="0" applyProtection="0">
      <alignment horizontal="right" vertical="center"/>
    </xf>
    <xf numFmtId="0" fontId="58" fillId="43" borderId="71" applyNumberFormat="0" applyAlignment="0" applyProtection="0"/>
    <xf numFmtId="0" fontId="45" fillId="56" borderId="71" applyNumberFormat="0" applyAlignment="0" applyProtection="0"/>
    <xf numFmtId="0" fontId="5" fillId="59" borderId="73" applyNumberFormat="0" applyFont="0" applyAlignment="0" applyProtection="0"/>
    <xf numFmtId="0" fontId="46" fillId="56" borderId="84" applyNumberFormat="0" applyAlignment="0" applyProtection="0"/>
    <xf numFmtId="0" fontId="40" fillId="59" borderId="73" applyNumberFormat="0" applyFont="0" applyAlignment="0" applyProtection="0"/>
    <xf numFmtId="0" fontId="12" fillId="19" borderId="0" applyNumberFormat="0" applyBorder="0" applyAlignment="0" applyProtection="0"/>
    <xf numFmtId="0" fontId="32" fillId="34" borderId="74">
      <alignment horizontal="right" vertical="center"/>
    </xf>
    <xf numFmtId="4" fontId="32" fillId="34" borderId="74">
      <alignment horizontal="right" vertical="center"/>
    </xf>
    <xf numFmtId="0" fontId="12" fillId="19" borderId="0" applyNumberFormat="0" applyBorder="0" applyAlignment="0" applyProtection="0"/>
    <xf numFmtId="4" fontId="32" fillId="34" borderId="107">
      <alignment horizontal="right" vertical="center"/>
    </xf>
    <xf numFmtId="173" fontId="34" fillId="60" borderId="119" applyNumberFormat="0" applyFont="0" applyBorder="0" applyAlignment="0" applyProtection="0">
      <alignment horizontal="right" vertical="center"/>
    </xf>
    <xf numFmtId="0" fontId="34" fillId="34" borderId="82">
      <alignment horizontal="left" vertical="center" wrapText="1" indent="2"/>
    </xf>
    <xf numFmtId="0" fontId="58" fillId="43" borderId="95" applyNumberFormat="0" applyAlignment="0" applyProtection="0"/>
    <xf numFmtId="0" fontId="2" fillId="0" borderId="15" applyNumberFormat="0" applyFill="0" applyAlignment="0" applyProtection="0"/>
    <xf numFmtId="0" fontId="12" fillId="22" borderId="0" applyNumberFormat="0" applyBorder="0" applyAlignment="0" applyProtection="0"/>
    <xf numFmtId="0" fontId="40" fillId="59" borderId="118" applyNumberFormat="0" applyFont="0" applyAlignment="0" applyProtection="0"/>
    <xf numFmtId="0" fontId="34" fillId="34" borderId="101">
      <alignment horizontal="left" vertical="center" wrapText="1" indent="2"/>
    </xf>
    <xf numFmtId="0" fontId="32" fillId="32" borderId="74">
      <alignment horizontal="right" vertical="center"/>
    </xf>
    <xf numFmtId="0" fontId="26" fillId="14" borderId="0" applyNumberFormat="0" applyBorder="0" applyAlignment="0" applyProtection="0"/>
    <xf numFmtId="0" fontId="34" fillId="0" borderId="74">
      <alignment horizontal="right" vertical="center"/>
    </xf>
    <xf numFmtId="4" fontId="32" fillId="34" borderId="76">
      <alignment horizontal="right" vertical="center"/>
    </xf>
    <xf numFmtId="49" fontId="33" fillId="0" borderId="74" applyNumberFormat="0" applyFill="0" applyBorder="0" applyProtection="0">
      <alignment horizontal="left" vertical="center"/>
    </xf>
    <xf numFmtId="0" fontId="34" fillId="0" borderId="77">
      <alignment horizontal="left" vertical="center" wrapText="1" indent="2"/>
    </xf>
    <xf numFmtId="49" fontId="33" fillId="0" borderId="74" applyNumberFormat="0" applyFill="0" applyBorder="0" applyProtection="0">
      <alignment horizontal="left" vertical="center"/>
    </xf>
    <xf numFmtId="0" fontId="32" fillId="34" borderId="79">
      <alignment horizontal="right" vertical="center"/>
    </xf>
    <xf numFmtId="0" fontId="12" fillId="19" borderId="0" applyNumberFormat="0" applyBorder="0" applyAlignment="0" applyProtection="0"/>
    <xf numFmtId="0" fontId="28" fillId="13" borderId="14" applyNumberFormat="0" applyAlignment="0" applyProtection="0"/>
    <xf numFmtId="0" fontId="58" fillId="43" borderId="103" applyNumberFormat="0" applyAlignment="0" applyProtection="0"/>
    <xf numFmtId="173" fontId="34" fillId="60" borderId="79" applyNumberFormat="0" applyFont="0" applyBorder="0" applyAlignment="0" applyProtection="0">
      <alignment horizontal="right" vertical="center"/>
    </xf>
    <xf numFmtId="0" fontId="34" fillId="34" borderId="77">
      <alignment horizontal="left" vertical="center" wrapText="1" indent="2"/>
    </xf>
    <xf numFmtId="0" fontId="26" fillId="24" borderId="0" applyNumberFormat="0" applyBorder="0" applyAlignment="0" applyProtection="0"/>
    <xf numFmtId="173" fontId="34" fillId="60" borderId="106" applyNumberFormat="0" applyFont="0" applyBorder="0" applyAlignment="0" applyProtection="0">
      <alignment horizontal="right" vertical="center"/>
    </xf>
    <xf numFmtId="0" fontId="34" fillId="32" borderId="107">
      <alignment horizontal="left" vertical="center"/>
    </xf>
    <xf numFmtId="0" fontId="65" fillId="0" borderId="85" applyNumberFormat="0" applyFill="0" applyAlignment="0" applyProtection="0"/>
    <xf numFmtId="4" fontId="34" fillId="0" borderId="74">
      <alignment horizontal="right" vertical="center"/>
    </xf>
    <xf numFmtId="0" fontId="32" fillId="32" borderId="106">
      <alignment horizontal="right" vertical="center"/>
    </xf>
    <xf numFmtId="0" fontId="34" fillId="0" borderId="74">
      <alignment horizontal="right" vertical="center"/>
    </xf>
    <xf numFmtId="4" fontId="34" fillId="33" borderId="79"/>
    <xf numFmtId="0" fontId="34" fillId="0" borderId="82">
      <alignment horizontal="left" vertical="center" wrapText="1" indent="2"/>
    </xf>
    <xf numFmtId="0" fontId="29" fillId="13" borderId="13" applyNumberFormat="0" applyAlignment="0" applyProtection="0"/>
    <xf numFmtId="49" fontId="34" fillId="0" borderId="106" applyNumberFormat="0" applyFont="0" applyFill="0" applyBorder="0" applyProtection="0">
      <alignment horizontal="left" vertical="center" indent="2"/>
    </xf>
    <xf numFmtId="49" fontId="34" fillId="0" borderId="75" applyNumberFormat="0" applyFont="0" applyFill="0" applyBorder="0" applyProtection="0">
      <alignment horizontal="left" vertical="center" indent="5"/>
    </xf>
    <xf numFmtId="0" fontId="40" fillId="59" borderId="128" applyNumberFormat="0" applyFont="0" applyAlignment="0" applyProtection="0"/>
    <xf numFmtId="4" fontId="32" fillId="34" borderId="121">
      <alignment horizontal="right" vertical="center"/>
    </xf>
    <xf numFmtId="0" fontId="26" fillId="23" borderId="0" applyNumberFormat="0" applyBorder="0" applyAlignment="0" applyProtection="0"/>
    <xf numFmtId="49" fontId="34" fillId="0" borderId="99" applyNumberFormat="0" applyFont="0" applyFill="0" applyBorder="0" applyProtection="0">
      <alignment horizontal="left" vertical="center" indent="5"/>
    </xf>
    <xf numFmtId="0" fontId="34" fillId="32" borderId="75">
      <alignment horizontal="left" vertical="center"/>
    </xf>
    <xf numFmtId="0" fontId="34" fillId="0" borderId="77">
      <alignment horizontal="left" vertical="center" wrapText="1" indent="2"/>
    </xf>
    <xf numFmtId="0" fontId="62" fillId="56" borderId="83" applyNumberFormat="0" applyAlignment="0" applyProtection="0"/>
    <xf numFmtId="0" fontId="34" fillId="33" borderId="79"/>
    <xf numFmtId="0" fontId="50" fillId="0" borderId="104" applyNumberFormat="0" applyFill="0" applyAlignment="0" applyProtection="0"/>
    <xf numFmtId="0" fontId="62" fillId="56" borderId="70" applyNumberFormat="0" applyAlignment="0" applyProtection="0"/>
    <xf numFmtId="0" fontId="26" fillId="18" borderId="0" applyNumberFormat="0" applyBorder="0" applyAlignment="0" applyProtection="0"/>
    <xf numFmtId="0" fontId="26" fillId="20" borderId="0" applyNumberFormat="0" applyBorder="0" applyAlignment="0" applyProtection="0"/>
    <xf numFmtId="0" fontId="65" fillId="0" borderId="104" applyNumberFormat="0" applyFill="0" applyAlignment="0" applyProtection="0"/>
    <xf numFmtId="0" fontId="65" fillId="0" borderId="85" applyNumberFormat="0" applyFill="0" applyAlignment="0" applyProtection="0"/>
    <xf numFmtId="0" fontId="26" fillId="21" borderId="0" applyNumberFormat="0" applyBorder="0" applyAlignment="0" applyProtection="0"/>
    <xf numFmtId="4" fontId="32" fillId="34" borderId="80">
      <alignment horizontal="right" vertical="center"/>
    </xf>
    <xf numFmtId="0" fontId="50" fillId="0" borderId="85" applyNumberFormat="0" applyFill="0" applyAlignment="0" applyProtection="0"/>
    <xf numFmtId="0" fontId="32" fillId="32" borderId="74">
      <alignment horizontal="right" vertical="center"/>
    </xf>
    <xf numFmtId="0" fontId="50" fillId="0" borderId="72" applyNumberFormat="0" applyFill="0" applyAlignment="0" applyProtection="0"/>
    <xf numFmtId="0" fontId="34" fillId="0" borderId="74" applyNumberFormat="0" applyFill="0" applyAlignment="0" applyProtection="0"/>
    <xf numFmtId="0" fontId="50" fillId="0" borderId="72" applyNumberFormat="0" applyFill="0" applyAlignment="0" applyProtection="0"/>
    <xf numFmtId="4" fontId="34" fillId="0" borderId="74" applyFill="0" applyBorder="0" applyProtection="0">
      <alignment horizontal="right" vertical="center"/>
    </xf>
    <xf numFmtId="49" fontId="34" fillId="0" borderId="75" applyNumberFormat="0" applyFont="0" applyFill="0" applyBorder="0" applyProtection="0">
      <alignment horizontal="left" vertical="center" indent="5"/>
    </xf>
    <xf numFmtId="0" fontId="34" fillId="0" borderId="74" applyNumberFormat="0" applyFill="0" applyAlignment="0" applyProtection="0"/>
    <xf numFmtId="0" fontId="12" fillId="16" borderId="0" applyNumberFormat="0" applyBorder="0" applyAlignment="0" applyProtection="0"/>
    <xf numFmtId="0" fontId="34" fillId="0" borderId="74" applyNumberFormat="0" applyFill="0" applyAlignment="0" applyProtection="0"/>
    <xf numFmtId="0" fontId="62" fillId="56" borderId="83" applyNumberFormat="0" applyAlignment="0" applyProtection="0"/>
    <xf numFmtId="4" fontId="34" fillId="33" borderId="79"/>
    <xf numFmtId="4" fontId="32" fillId="34" borderId="74">
      <alignment horizontal="right" vertical="center"/>
    </xf>
    <xf numFmtId="173" fontId="34" fillId="60" borderId="106" applyNumberFormat="0" applyFont="0" applyBorder="0" applyAlignment="0" applyProtection="0">
      <alignment horizontal="right" vertical="center"/>
    </xf>
    <xf numFmtId="0" fontId="34" fillId="32" borderId="80">
      <alignment horizontal="left" vertical="center"/>
    </xf>
    <xf numFmtId="0" fontId="12" fillId="19" borderId="0" applyNumberFormat="0" applyBorder="0" applyAlignment="0" applyProtection="0"/>
    <xf numFmtId="0" fontId="26" fillId="21" borderId="0" applyNumberFormat="0" applyBorder="0" applyAlignment="0" applyProtection="0"/>
    <xf numFmtId="0" fontId="49" fillId="43" borderId="71" applyNumberFormat="0" applyAlignment="0" applyProtection="0"/>
    <xf numFmtId="0" fontId="46" fillId="56" borderId="71" applyNumberFormat="0" applyAlignment="0" applyProtection="0"/>
    <xf numFmtId="4" fontId="34" fillId="0" borderId="74">
      <alignment horizontal="right" vertical="center"/>
    </xf>
    <xf numFmtId="0" fontId="34" fillId="34" borderId="77">
      <alignment horizontal="left" vertical="center" wrapText="1" indent="2"/>
    </xf>
    <xf numFmtId="0" fontId="34" fillId="0" borderId="77">
      <alignment horizontal="left" vertical="center" wrapText="1" indent="2"/>
    </xf>
    <xf numFmtId="0" fontId="62" fillId="56" borderId="70" applyNumberFormat="0" applyAlignment="0" applyProtection="0"/>
    <xf numFmtId="0" fontId="58" fillId="43" borderId="71" applyNumberFormat="0" applyAlignment="0" applyProtection="0"/>
    <xf numFmtId="0" fontId="45" fillId="56" borderId="71" applyNumberFormat="0" applyAlignment="0" applyProtection="0"/>
    <xf numFmtId="0" fontId="43" fillId="56" borderId="70" applyNumberFormat="0" applyAlignment="0" applyProtection="0"/>
    <xf numFmtId="0" fontId="32" fillId="34" borderId="76">
      <alignment horizontal="right" vertical="center"/>
    </xf>
    <xf numFmtId="0" fontId="36" fillId="32" borderId="74">
      <alignment horizontal="right" vertical="center"/>
    </xf>
    <xf numFmtId="4" fontId="32" fillId="32" borderId="74">
      <alignment horizontal="right" vertical="center"/>
    </xf>
    <xf numFmtId="4" fontId="32" fillId="34" borderId="74">
      <alignment horizontal="right" vertical="center"/>
    </xf>
    <xf numFmtId="49" fontId="34" fillId="0" borderId="75" applyNumberFormat="0" applyFont="0" applyFill="0" applyBorder="0" applyProtection="0">
      <alignment horizontal="left" vertical="center" indent="5"/>
    </xf>
    <xf numFmtId="4" fontId="34" fillId="0" borderId="74" applyFill="0" applyBorder="0" applyProtection="0">
      <alignment horizontal="right" vertical="center"/>
    </xf>
    <xf numFmtId="4" fontId="32" fillId="32" borderId="74">
      <alignment horizontal="right" vertical="center"/>
    </xf>
    <xf numFmtId="0" fontId="58" fillId="43" borderId="71" applyNumberFormat="0" applyAlignment="0" applyProtection="0"/>
    <xf numFmtId="0" fontId="49" fillId="43" borderId="71" applyNumberFormat="0" applyAlignment="0" applyProtection="0"/>
    <xf numFmtId="0" fontId="45" fillId="56" borderId="71" applyNumberFormat="0" applyAlignment="0" applyProtection="0"/>
    <xf numFmtId="0" fontId="34" fillId="34" borderId="77">
      <alignment horizontal="left" vertical="center" wrapText="1" indent="2"/>
    </xf>
    <xf numFmtId="0" fontId="34" fillId="0" borderId="77">
      <alignment horizontal="left" vertical="center" wrapText="1" indent="2"/>
    </xf>
    <xf numFmtId="0" fontId="34" fillId="34" borderId="77">
      <alignment horizontal="left" vertical="center" wrapText="1" indent="2"/>
    </xf>
    <xf numFmtId="4" fontId="32" fillId="34" borderId="120">
      <alignment horizontal="right" vertical="center"/>
    </xf>
    <xf numFmtId="0" fontId="46" fillId="56" borderId="111" applyNumberFormat="0" applyAlignment="0" applyProtection="0"/>
    <xf numFmtId="0" fontId="34" fillId="32" borderId="130">
      <alignment horizontal="left" vertical="center"/>
    </xf>
    <xf numFmtId="49" fontId="34" fillId="0" borderId="80" applyNumberFormat="0" applyFont="0" applyFill="0" applyBorder="0" applyProtection="0">
      <alignment horizontal="left" vertical="center" indent="5"/>
    </xf>
    <xf numFmtId="0" fontId="62" fillId="56" borderId="83" applyNumberFormat="0" applyAlignment="0" applyProtection="0"/>
    <xf numFmtId="4" fontId="32" fillId="34" borderId="107">
      <alignment horizontal="right" vertical="center"/>
    </xf>
    <xf numFmtId="4" fontId="34" fillId="0" borderId="106">
      <alignment horizontal="right" vertical="center"/>
    </xf>
    <xf numFmtId="0" fontId="34" fillId="32" borderId="80">
      <alignment horizontal="left" vertical="center"/>
    </xf>
    <xf numFmtId="0" fontId="26" fillId="30" borderId="0" applyNumberFormat="0" applyBorder="0" applyAlignment="0" applyProtection="0"/>
    <xf numFmtId="0" fontId="50" fillId="0" borderId="85" applyNumberFormat="0" applyFill="0" applyAlignment="0" applyProtection="0"/>
    <xf numFmtId="4" fontId="36" fillId="32" borderId="79">
      <alignment horizontal="right" vertical="center"/>
    </xf>
    <xf numFmtId="0" fontId="40" fillId="59" borderId="78" applyNumberFormat="0" applyFont="0" applyAlignment="0" applyProtection="0"/>
    <xf numFmtId="0" fontId="65" fillId="0" borderId="96" applyNumberFormat="0" applyFill="0" applyAlignment="0" applyProtection="0"/>
    <xf numFmtId="0" fontId="12" fillId="19" borderId="0" applyNumberFormat="0" applyBorder="0" applyAlignment="0" applyProtection="0"/>
    <xf numFmtId="0" fontId="49" fillId="43" borderId="103" applyNumberFormat="0" applyAlignment="0" applyProtection="0"/>
    <xf numFmtId="0" fontId="65" fillId="0" borderId="104" applyNumberFormat="0" applyFill="0" applyAlignment="0" applyProtection="0"/>
    <xf numFmtId="0" fontId="26" fillId="30" borderId="0" applyNumberFormat="0" applyBorder="0" applyAlignment="0" applyProtection="0"/>
    <xf numFmtId="0" fontId="29" fillId="13" borderId="13" applyNumberFormat="0" applyAlignment="0" applyProtection="0"/>
    <xf numFmtId="0" fontId="32" fillId="34" borderId="80">
      <alignment horizontal="right" vertical="center"/>
    </xf>
    <xf numFmtId="0" fontId="26" fillId="18" borderId="0" applyNumberFormat="0" applyBorder="0" applyAlignment="0" applyProtection="0"/>
    <xf numFmtId="0" fontId="34" fillId="34" borderId="82">
      <alignment horizontal="left" vertical="center" wrapText="1" indent="2"/>
    </xf>
    <xf numFmtId="0" fontId="32" fillId="32" borderId="79">
      <alignment horizontal="right" vertical="center"/>
    </xf>
    <xf numFmtId="0" fontId="49" fillId="43" borderId="84" applyNumberFormat="0" applyAlignment="0" applyProtection="0"/>
    <xf numFmtId="173" fontId="34" fillId="60" borderId="79" applyNumberFormat="0" applyFont="0" applyBorder="0" applyAlignment="0" applyProtection="0">
      <alignment horizontal="right" vertical="center"/>
    </xf>
    <xf numFmtId="0" fontId="46" fillId="56" borderId="84" applyNumberFormat="0" applyAlignment="0" applyProtection="0"/>
    <xf numFmtId="4" fontId="34" fillId="0" borderId="90">
      <alignment horizontal="right" vertical="center"/>
    </xf>
    <xf numFmtId="0" fontId="34" fillId="33" borderId="129"/>
    <xf numFmtId="0" fontId="58" fillId="43" borderId="87" applyNumberFormat="0" applyAlignment="0" applyProtection="0"/>
    <xf numFmtId="0" fontId="45" fillId="56" borderId="84" applyNumberFormat="0" applyAlignment="0" applyProtection="0"/>
    <xf numFmtId="0" fontId="26" fillId="23" borderId="0" applyNumberFormat="0" applyBorder="0" applyAlignment="0" applyProtection="0"/>
    <xf numFmtId="0" fontId="45" fillId="56" borderId="84" applyNumberFormat="0" applyAlignment="0" applyProtection="0"/>
    <xf numFmtId="0" fontId="34" fillId="0" borderId="119">
      <alignment horizontal="right" vertical="center"/>
    </xf>
    <xf numFmtId="0" fontId="26" fillId="17" borderId="0" applyNumberFormat="0" applyBorder="0" applyAlignment="0" applyProtection="0"/>
    <xf numFmtId="0" fontId="32" fillId="34" borderId="107">
      <alignment horizontal="right" vertical="center"/>
    </xf>
    <xf numFmtId="4" fontId="32" fillId="32" borderId="79">
      <alignment horizontal="right" vertical="center"/>
    </xf>
    <xf numFmtId="0" fontId="34" fillId="0" borderId="79" applyNumberFormat="0" applyFill="0" applyAlignment="0" applyProtection="0"/>
    <xf numFmtId="4" fontId="34" fillId="0" borderId="129" applyFill="0" applyBorder="0" applyProtection="0">
      <alignment horizontal="right" vertical="center"/>
    </xf>
    <xf numFmtId="0" fontId="32" fillId="32" borderId="90">
      <alignment horizontal="right" vertical="center"/>
    </xf>
    <xf numFmtId="0" fontId="26" fillId="21" borderId="0" applyNumberFormat="0" applyBorder="0" applyAlignment="0" applyProtection="0"/>
    <xf numFmtId="49" fontId="34" fillId="0" borderId="119" applyNumberFormat="0" applyFont="0" applyFill="0" applyBorder="0" applyProtection="0">
      <alignment horizontal="left" vertical="center" indent="2"/>
    </xf>
    <xf numFmtId="0" fontId="32" fillId="34" borderId="106">
      <alignment horizontal="right" vertical="center"/>
    </xf>
    <xf numFmtId="0" fontId="26" fillId="30" borderId="0" applyNumberFormat="0" applyBorder="0" applyAlignment="0" applyProtection="0"/>
    <xf numFmtId="0" fontId="34" fillId="32" borderId="80">
      <alignment horizontal="left" vertical="center"/>
    </xf>
    <xf numFmtId="0" fontId="45" fillId="56" borderId="124" applyNumberFormat="0" applyAlignment="0" applyProtection="0"/>
    <xf numFmtId="4" fontId="34" fillId="0" borderId="79">
      <alignment horizontal="right" vertical="center"/>
    </xf>
    <xf numFmtId="0" fontId="50" fillId="0" borderId="125" applyNumberFormat="0" applyFill="0" applyAlignment="0" applyProtection="0"/>
    <xf numFmtId="0" fontId="62" fillId="56" borderId="83" applyNumberFormat="0" applyAlignment="0" applyProtection="0"/>
    <xf numFmtId="0" fontId="34" fillId="32" borderId="107">
      <alignment horizontal="left" vertical="center"/>
    </xf>
    <xf numFmtId="0" fontId="26" fillId="14" borderId="0" applyNumberFormat="0" applyBorder="0" applyAlignment="0" applyProtection="0"/>
    <xf numFmtId="0" fontId="34" fillId="0" borderId="106">
      <alignment horizontal="right" vertical="center"/>
    </xf>
    <xf numFmtId="0" fontId="30" fillId="0" borderId="0" applyNumberFormat="0" applyFill="0" applyBorder="0" applyAlignment="0" applyProtection="0"/>
    <xf numFmtId="4" fontId="34" fillId="33" borderId="106"/>
    <xf numFmtId="0" fontId="29" fillId="13" borderId="13" applyNumberFormat="0" applyAlignment="0" applyProtection="0"/>
    <xf numFmtId="4" fontId="32" fillId="34" borderId="81">
      <alignment horizontal="right" vertical="center"/>
    </xf>
    <xf numFmtId="0" fontId="32" fillId="34" borderId="79">
      <alignment horizontal="right" vertical="center"/>
    </xf>
    <xf numFmtId="173" fontId="34" fillId="60" borderId="114" applyNumberFormat="0" applyFont="0" applyBorder="0" applyAlignment="0" applyProtection="0">
      <alignment horizontal="right" vertical="center"/>
    </xf>
    <xf numFmtId="0" fontId="58" fillId="43" borderId="84" applyNumberFormat="0" applyAlignment="0" applyProtection="0"/>
    <xf numFmtId="0" fontId="32" fillId="34" borderId="79">
      <alignment horizontal="right" vertical="center"/>
    </xf>
    <xf numFmtId="0" fontId="34" fillId="0" borderId="82">
      <alignment horizontal="left" vertical="center" wrapText="1" indent="2"/>
    </xf>
    <xf numFmtId="4" fontId="34" fillId="0" borderId="106">
      <alignment horizontal="right" vertical="center"/>
    </xf>
    <xf numFmtId="49" fontId="34" fillId="0" borderId="79" applyNumberFormat="0" applyFont="0" applyFill="0" applyBorder="0" applyProtection="0">
      <alignment horizontal="left" vertical="center" indent="2"/>
    </xf>
    <xf numFmtId="0" fontId="46" fillId="56" borderId="84" applyNumberFormat="0" applyAlignment="0" applyProtection="0"/>
    <xf numFmtId="4" fontId="34" fillId="0" borderId="79" applyFill="0" applyBorder="0" applyProtection="0">
      <alignment horizontal="right" vertical="center"/>
    </xf>
    <xf numFmtId="0" fontId="26" fillId="29" borderId="0" applyNumberFormat="0" applyBorder="0" applyAlignment="0" applyProtection="0"/>
    <xf numFmtId="4" fontId="32" fillId="34" borderId="79">
      <alignment horizontal="right" vertical="center"/>
    </xf>
    <xf numFmtId="0" fontId="45" fillId="56" borderId="84" applyNumberFormat="0" applyAlignment="0" applyProtection="0"/>
    <xf numFmtId="0" fontId="26" fillId="21" borderId="0" applyNumberFormat="0" applyBorder="0" applyAlignment="0" applyProtection="0"/>
    <xf numFmtId="0" fontId="12" fillId="25" borderId="0" applyNumberFormat="0" applyBorder="0" applyAlignment="0" applyProtection="0"/>
    <xf numFmtId="0" fontId="58" fillId="43" borderId="134" applyNumberFormat="0" applyAlignment="0" applyProtection="0"/>
    <xf numFmtId="0" fontId="2" fillId="0" borderId="15" applyNumberFormat="0" applyFill="0" applyAlignment="0" applyProtection="0"/>
    <xf numFmtId="4" fontId="34" fillId="0" borderId="79">
      <alignment horizontal="right" vertical="center"/>
    </xf>
    <xf numFmtId="0" fontId="65" fillId="0" borderId="85" applyNumberFormat="0" applyFill="0" applyAlignment="0" applyProtection="0"/>
    <xf numFmtId="0" fontId="12" fillId="28" borderId="0" applyNumberFormat="0" applyBorder="0" applyAlignment="0" applyProtection="0"/>
    <xf numFmtId="0" fontId="65" fillId="0" borderId="88" applyNumberFormat="0" applyFill="0" applyAlignment="0" applyProtection="0"/>
    <xf numFmtId="0" fontId="46" fillId="56" borderId="87" applyNumberFormat="0" applyAlignment="0" applyProtection="0"/>
    <xf numFmtId="0" fontId="26" fillId="26" borderId="0" applyNumberFormat="0" applyBorder="0" applyAlignment="0" applyProtection="0"/>
    <xf numFmtId="4" fontId="32" fillId="34" borderId="80">
      <alignment horizontal="right" vertical="center"/>
    </xf>
    <xf numFmtId="0" fontId="30" fillId="0" borderId="0" applyNumberFormat="0" applyFill="0" applyBorder="0" applyAlignment="0" applyProtection="0"/>
    <xf numFmtId="4" fontId="32" fillId="34" borderId="106">
      <alignment horizontal="right" vertical="center"/>
    </xf>
    <xf numFmtId="49" fontId="34" fillId="0" borderId="80" applyNumberFormat="0" applyFont="0" applyFill="0" applyBorder="0" applyProtection="0">
      <alignment horizontal="left" vertical="center" indent="5"/>
    </xf>
    <xf numFmtId="0" fontId="46" fillId="56" borderId="84" applyNumberFormat="0" applyAlignment="0" applyProtection="0"/>
    <xf numFmtId="0" fontId="32" fillId="34" borderId="114">
      <alignment horizontal="right" vertical="center"/>
    </xf>
    <xf numFmtId="4" fontId="32" fillId="32" borderId="79">
      <alignment horizontal="right" vertical="center"/>
    </xf>
    <xf numFmtId="4" fontId="32" fillId="34" borderId="108">
      <alignment horizontal="right" vertical="center"/>
    </xf>
    <xf numFmtId="0" fontId="45" fillId="56" borderId="84" applyNumberFormat="0" applyAlignment="0" applyProtection="0"/>
    <xf numFmtId="0" fontId="12" fillId="28" borderId="0" applyNumberFormat="0" applyBorder="0" applyAlignment="0" applyProtection="0"/>
    <xf numFmtId="0" fontId="46" fillId="56" borderId="84" applyNumberFormat="0" applyAlignment="0" applyProtection="0"/>
    <xf numFmtId="0" fontId="30" fillId="0" borderId="0" applyNumberFormat="0" applyFill="0" applyBorder="0" applyAlignment="0" applyProtection="0"/>
    <xf numFmtId="49" fontId="34" fillId="0" borderId="79" applyNumberFormat="0" applyFont="0" applyFill="0" applyBorder="0" applyProtection="0">
      <alignment horizontal="left" vertical="center" indent="2"/>
    </xf>
    <xf numFmtId="0" fontId="12" fillId="25" borderId="0" applyNumberFormat="0" applyBorder="0" applyAlignment="0" applyProtection="0"/>
    <xf numFmtId="0" fontId="65" fillId="0" borderId="85" applyNumberFormat="0" applyFill="0" applyAlignment="0" applyProtection="0"/>
    <xf numFmtId="0" fontId="32" fillId="34" borderId="79">
      <alignment horizontal="right" vertical="center"/>
    </xf>
    <xf numFmtId="0" fontId="32" fillId="32" borderId="106">
      <alignment horizontal="right" vertical="center"/>
    </xf>
    <xf numFmtId="0" fontId="62" fillId="56" borderId="83" applyNumberFormat="0" applyAlignment="0" applyProtection="0"/>
    <xf numFmtId="0" fontId="36" fillId="32" borderId="79">
      <alignment horizontal="right" vertical="center"/>
    </xf>
    <xf numFmtId="0" fontId="32" fillId="32" borderId="106">
      <alignment horizontal="right" vertical="center"/>
    </xf>
    <xf numFmtId="0" fontId="26" fillId="30" borderId="0" applyNumberFormat="0" applyBorder="0" applyAlignment="0" applyProtection="0"/>
    <xf numFmtId="0" fontId="65" fillId="0" borderId="135" applyNumberFormat="0" applyFill="0" applyAlignment="0" applyProtection="0"/>
    <xf numFmtId="0" fontId="32" fillId="32" borderId="119">
      <alignment horizontal="right" vertical="center"/>
    </xf>
    <xf numFmtId="0" fontId="28" fillId="13" borderId="14" applyNumberFormat="0" applyAlignment="0" applyProtection="0"/>
    <xf numFmtId="4" fontId="34" fillId="0" borderId="114" applyFill="0" applyBorder="0" applyProtection="0">
      <alignment horizontal="right" vertical="center"/>
    </xf>
    <xf numFmtId="0" fontId="36" fillId="32" borderId="106">
      <alignment horizontal="right" vertical="center"/>
    </xf>
    <xf numFmtId="0" fontId="49" fillId="43" borderId="84" applyNumberFormat="0" applyAlignment="0" applyProtection="0"/>
    <xf numFmtId="0" fontId="2" fillId="0" borderId="15" applyNumberFormat="0" applyFill="0" applyAlignment="0" applyProtection="0"/>
    <xf numFmtId="173" fontId="34" fillId="60" borderId="79" applyNumberFormat="0" applyFont="0" applyBorder="0" applyAlignment="0" applyProtection="0">
      <alignment horizontal="right" vertical="center"/>
    </xf>
    <xf numFmtId="0" fontId="12" fillId="19" borderId="0" applyNumberFormat="0" applyBorder="0" applyAlignment="0" applyProtection="0"/>
    <xf numFmtId="0" fontId="26" fillId="26" borderId="0" applyNumberFormat="0" applyBorder="0" applyAlignment="0" applyProtection="0"/>
    <xf numFmtId="0" fontId="28" fillId="13" borderId="14" applyNumberFormat="0" applyAlignment="0" applyProtection="0"/>
    <xf numFmtId="0" fontId="34" fillId="33" borderId="106"/>
    <xf numFmtId="0" fontId="34" fillId="32" borderId="80">
      <alignment horizontal="left" vertical="center"/>
    </xf>
    <xf numFmtId="0" fontId="34" fillId="0" borderId="66">
      <alignment horizontal="right" vertical="center"/>
    </xf>
    <xf numFmtId="0" fontId="40" fillId="59" borderId="105" applyNumberFormat="0" applyFont="0" applyAlignment="0" applyProtection="0"/>
    <xf numFmtId="0" fontId="30" fillId="0" borderId="0" applyNumberFormat="0" applyFill="0" applyBorder="0" applyAlignment="0" applyProtection="0"/>
    <xf numFmtId="0" fontId="34" fillId="33" borderId="79"/>
    <xf numFmtId="0" fontId="40" fillId="59" borderId="128" applyNumberFormat="0" applyFont="0" applyAlignment="0" applyProtection="0"/>
    <xf numFmtId="49" fontId="33" fillId="0" borderId="79" applyNumberFormat="0" applyFill="0" applyBorder="0" applyProtection="0">
      <alignment horizontal="left" vertical="center"/>
    </xf>
    <xf numFmtId="4" fontId="32" fillId="34" borderId="81">
      <alignment horizontal="right" vertical="center"/>
    </xf>
    <xf numFmtId="4" fontId="34" fillId="0" borderId="98">
      <alignment horizontal="right" vertical="center"/>
    </xf>
    <xf numFmtId="4" fontId="32" fillId="34" borderId="106">
      <alignment horizontal="right" vertical="center"/>
    </xf>
    <xf numFmtId="0" fontId="32" fillId="34" borderId="79">
      <alignment horizontal="right" vertical="center"/>
    </xf>
    <xf numFmtId="0" fontId="32" fillId="34" borderId="139">
      <alignment horizontal="right" vertical="center"/>
    </xf>
    <xf numFmtId="0" fontId="45" fillId="56" borderId="84" applyNumberFormat="0" applyAlignment="0" applyProtection="0"/>
    <xf numFmtId="0" fontId="40" fillId="59" borderId="105" applyNumberFormat="0" applyFont="0" applyAlignment="0" applyProtection="0"/>
    <xf numFmtId="0" fontId="49" fillId="43" borderId="87" applyNumberFormat="0" applyAlignment="0" applyProtection="0"/>
    <xf numFmtId="0" fontId="50" fillId="0" borderId="85" applyNumberFormat="0" applyFill="0" applyAlignment="0" applyProtection="0"/>
    <xf numFmtId="0" fontId="62" fillId="56" borderId="86" applyNumberFormat="0" applyAlignment="0" applyProtection="0"/>
    <xf numFmtId="0" fontId="40" fillId="59" borderId="78" applyNumberFormat="0" applyFont="0" applyAlignment="0" applyProtection="0"/>
    <xf numFmtId="0" fontId="45" fillId="56" borderId="103" applyNumberFormat="0" applyAlignment="0" applyProtection="0"/>
    <xf numFmtId="49" fontId="34" fillId="0" borderId="79" applyNumberFormat="0" applyFont="0" applyFill="0" applyBorder="0" applyProtection="0">
      <alignment horizontal="left" vertical="center" indent="2"/>
    </xf>
    <xf numFmtId="0" fontId="46" fillId="56" borderId="84" applyNumberFormat="0" applyAlignment="0" applyProtection="0"/>
    <xf numFmtId="49" fontId="34" fillId="0" borderId="106" applyNumberFormat="0" applyFont="0" applyFill="0" applyBorder="0" applyProtection="0">
      <alignment horizontal="left" vertical="center" indent="2"/>
    </xf>
    <xf numFmtId="0" fontId="40" fillId="59" borderId="113" applyNumberFormat="0" applyFont="0" applyAlignment="0" applyProtection="0"/>
    <xf numFmtId="0" fontId="58" fillId="43" borderId="84" applyNumberFormat="0" applyAlignment="0" applyProtection="0"/>
    <xf numFmtId="0" fontId="26" fillId="26" borderId="0" applyNumberFormat="0" applyBorder="0" applyAlignment="0" applyProtection="0"/>
    <xf numFmtId="4" fontId="34" fillId="0" borderId="79" applyFill="0" applyBorder="0" applyProtection="0">
      <alignment horizontal="right" vertical="center"/>
    </xf>
    <xf numFmtId="4" fontId="32" fillId="34" borderId="91">
      <alignment horizontal="right" vertical="center"/>
    </xf>
    <xf numFmtId="0" fontId="12" fillId="31" borderId="0" applyNumberFormat="0" applyBorder="0" applyAlignment="0" applyProtection="0"/>
    <xf numFmtId="0" fontId="65" fillId="0" borderId="112" applyNumberFormat="0" applyFill="0" applyAlignment="0" applyProtection="0"/>
    <xf numFmtId="0" fontId="45" fillId="56" borderId="103" applyNumberFormat="0" applyAlignment="0" applyProtection="0"/>
    <xf numFmtId="0" fontId="32" fillId="34" borderId="106">
      <alignment horizontal="right" vertical="center"/>
    </xf>
    <xf numFmtId="4" fontId="32" fillId="34" borderId="79">
      <alignment horizontal="right" vertical="center"/>
    </xf>
    <xf numFmtId="49" fontId="33" fillId="0" borderId="90" applyNumberFormat="0" applyFill="0" applyBorder="0" applyProtection="0">
      <alignment horizontal="left" vertical="center"/>
    </xf>
    <xf numFmtId="4" fontId="32" fillId="34" borderId="79">
      <alignment horizontal="right" vertical="center"/>
    </xf>
    <xf numFmtId="0" fontId="62" fillId="56" borderId="102" applyNumberFormat="0" applyAlignment="0" applyProtection="0"/>
    <xf numFmtId="4" fontId="32" fillId="34" borderId="80">
      <alignment horizontal="right" vertical="center"/>
    </xf>
    <xf numFmtId="4" fontId="36" fillId="32" borderId="106">
      <alignment horizontal="right" vertical="center"/>
    </xf>
    <xf numFmtId="0" fontId="65" fillId="0" borderId="88" applyNumberFormat="0" applyFill="0" applyAlignment="0" applyProtection="0"/>
    <xf numFmtId="0" fontId="29" fillId="13" borderId="13" applyNumberFormat="0" applyAlignment="0" applyProtection="0"/>
    <xf numFmtId="4" fontId="36" fillId="32" borderId="79">
      <alignment horizontal="right" vertical="center"/>
    </xf>
    <xf numFmtId="0" fontId="50" fillId="0" borderId="85" applyNumberFormat="0" applyFill="0" applyAlignment="0" applyProtection="0"/>
    <xf numFmtId="0" fontId="43" fillId="56" borderId="123" applyNumberFormat="0" applyAlignment="0" applyProtection="0"/>
    <xf numFmtId="0" fontId="50" fillId="0" borderId="112" applyNumberFormat="0" applyFill="0" applyAlignment="0" applyProtection="0"/>
    <xf numFmtId="0" fontId="12" fillId="28" borderId="0" applyNumberFormat="0" applyBorder="0" applyAlignment="0" applyProtection="0"/>
    <xf numFmtId="0" fontId="40" fillId="59" borderId="105" applyNumberFormat="0" applyFont="0" applyAlignment="0" applyProtection="0"/>
    <xf numFmtId="4" fontId="32" fillId="34" borderId="81">
      <alignment horizontal="right" vertical="center"/>
    </xf>
    <xf numFmtId="4" fontId="32" fillId="32" borderId="79">
      <alignment horizontal="right" vertical="center"/>
    </xf>
    <xf numFmtId="49" fontId="34" fillId="0" borderId="79" applyNumberFormat="0" applyFont="0" applyFill="0" applyBorder="0" applyProtection="0">
      <alignment horizontal="left" vertical="center" indent="2"/>
    </xf>
    <xf numFmtId="4" fontId="34" fillId="0" borderId="79" applyFill="0" applyBorder="0" applyProtection="0">
      <alignment horizontal="right" vertical="center"/>
    </xf>
    <xf numFmtId="0" fontId="34" fillId="0" borderId="79" applyNumberFormat="0" applyFill="0" applyAlignment="0" applyProtection="0"/>
    <xf numFmtId="4" fontId="32" fillId="34" borderId="120">
      <alignment horizontal="right" vertical="center"/>
    </xf>
    <xf numFmtId="0" fontId="32" fillId="34" borderId="137">
      <alignment horizontal="right" vertical="center"/>
    </xf>
    <xf numFmtId="0" fontId="40" fillId="59" borderId="78" applyNumberFormat="0" applyFont="0" applyAlignment="0" applyProtection="0"/>
    <xf numFmtId="0" fontId="50" fillId="0" borderId="85" applyNumberFormat="0" applyFill="0" applyAlignment="0" applyProtection="0"/>
    <xf numFmtId="0" fontId="65" fillId="0" borderId="104" applyNumberFormat="0" applyFill="0" applyAlignment="0" applyProtection="0"/>
    <xf numFmtId="0" fontId="26" fillId="21" borderId="0" applyNumberFormat="0" applyBorder="0" applyAlignment="0" applyProtection="0"/>
    <xf numFmtId="4" fontId="32" fillId="34" borderId="120">
      <alignment horizontal="right" vertical="center"/>
    </xf>
    <xf numFmtId="0" fontId="34" fillId="0" borderId="101">
      <alignment horizontal="left" vertical="center" wrapText="1" indent="2"/>
    </xf>
    <xf numFmtId="0" fontId="46" fillId="56" borderId="84" applyNumberFormat="0" applyAlignment="0" applyProtection="0"/>
    <xf numFmtId="0" fontId="65" fillId="0" borderId="96" applyNumberFormat="0" applyFill="0" applyAlignment="0" applyProtection="0"/>
    <xf numFmtId="0" fontId="40" fillId="59" borderId="78" applyNumberFormat="0" applyFont="0" applyAlignment="0" applyProtection="0"/>
    <xf numFmtId="4" fontId="32" fillId="34" borderId="81">
      <alignment horizontal="right" vertical="center"/>
    </xf>
    <xf numFmtId="173" fontId="34" fillId="60" borderId="79" applyNumberFormat="0" applyFont="0" applyBorder="0" applyAlignment="0" applyProtection="0">
      <alignment horizontal="right" vertical="center"/>
    </xf>
    <xf numFmtId="0" fontId="30" fillId="0" borderId="0" applyNumberFormat="0" applyFill="0" applyBorder="0" applyAlignment="0" applyProtection="0"/>
    <xf numFmtId="0" fontId="62" fillId="56" borderId="94" applyNumberFormat="0" applyAlignment="0" applyProtection="0"/>
    <xf numFmtId="0" fontId="50" fillId="0" borderId="85" applyNumberFormat="0" applyFill="0" applyAlignment="0" applyProtection="0"/>
    <xf numFmtId="0" fontId="26" fillId="14" borderId="0" applyNumberFormat="0" applyBorder="0" applyAlignment="0" applyProtection="0"/>
    <xf numFmtId="0" fontId="12" fillId="28" borderId="0" applyNumberFormat="0" applyBorder="0" applyAlignment="0" applyProtection="0"/>
    <xf numFmtId="0" fontId="30" fillId="0" borderId="0" applyNumberFormat="0" applyFill="0" applyBorder="0" applyAlignment="0" applyProtection="0"/>
    <xf numFmtId="4" fontId="32" fillId="34" borderId="107">
      <alignment horizontal="right" vertical="center"/>
    </xf>
    <xf numFmtId="0" fontId="34" fillId="34" borderId="82">
      <alignment horizontal="left" vertical="center" wrapText="1" indent="2"/>
    </xf>
    <xf numFmtId="0" fontId="62" fillId="56" borderId="83" applyNumberFormat="0" applyAlignment="0" applyProtection="0"/>
    <xf numFmtId="0" fontId="58" fillId="43" borderId="103" applyNumberFormat="0" applyAlignment="0" applyProtection="0"/>
    <xf numFmtId="0" fontId="46" fillId="56" borderId="124" applyNumberFormat="0" applyAlignment="0" applyProtection="0"/>
    <xf numFmtId="0" fontId="32" fillId="32" borderId="114">
      <alignment horizontal="right" vertical="center"/>
    </xf>
    <xf numFmtId="0" fontId="2" fillId="0" borderId="15" applyNumberFormat="0" applyFill="0" applyAlignment="0" applyProtection="0"/>
    <xf numFmtId="0" fontId="1" fillId="0" borderId="0" applyNumberFormat="0" applyFill="0" applyBorder="0" applyAlignment="0" applyProtection="0"/>
    <xf numFmtId="4" fontId="32" fillId="32" borderId="137">
      <alignment horizontal="right" vertical="center"/>
    </xf>
    <xf numFmtId="0" fontId="26" fillId="29" borderId="0" applyNumberFormat="0" applyBorder="0" applyAlignment="0" applyProtection="0"/>
    <xf numFmtId="49" fontId="34" fillId="0" borderId="80" applyNumberFormat="0" applyFont="0" applyFill="0" applyBorder="0" applyProtection="0">
      <alignment horizontal="left" vertical="center" indent="5"/>
    </xf>
    <xf numFmtId="0" fontId="43" fillId="56" borderId="83" applyNumberFormat="0" applyAlignment="0" applyProtection="0"/>
    <xf numFmtId="0" fontId="36" fillId="32" borderId="79">
      <alignment horizontal="right" vertical="center"/>
    </xf>
    <xf numFmtId="4" fontId="34" fillId="33" borderId="79"/>
    <xf numFmtId="0" fontId="62" fillId="56" borderId="102" applyNumberFormat="0" applyAlignment="0" applyProtection="0"/>
    <xf numFmtId="0" fontId="62" fillId="56" borderId="83" applyNumberFormat="0" applyAlignment="0" applyProtection="0"/>
    <xf numFmtId="4" fontId="32" fillId="34" borderId="79">
      <alignment horizontal="right" vertical="center"/>
    </xf>
    <xf numFmtId="4" fontId="34" fillId="0" borderId="90" applyFill="0" applyBorder="0" applyProtection="0">
      <alignment horizontal="right" vertical="center"/>
    </xf>
    <xf numFmtId="49" fontId="34" fillId="0" borderId="80" applyNumberFormat="0" applyFont="0" applyFill="0" applyBorder="0" applyProtection="0">
      <alignment horizontal="left" vertical="center" indent="5"/>
    </xf>
    <xf numFmtId="0" fontId="29" fillId="13" borderId="13" applyNumberFormat="0" applyAlignment="0" applyProtection="0"/>
    <xf numFmtId="49" fontId="34" fillId="0" borderId="98" applyNumberFormat="0" applyFont="0" applyFill="0" applyBorder="0" applyProtection="0">
      <alignment horizontal="left" vertical="center" indent="2"/>
    </xf>
    <xf numFmtId="0" fontId="65" fillId="0" borderId="104" applyNumberFormat="0" applyFill="0" applyAlignment="0" applyProtection="0"/>
    <xf numFmtId="4" fontId="36" fillId="32" borderId="106">
      <alignment horizontal="right" vertical="center"/>
    </xf>
    <xf numFmtId="4" fontId="34" fillId="33" borderId="106"/>
    <xf numFmtId="0" fontId="58" fillId="43" borderId="95" applyNumberFormat="0" applyAlignment="0" applyProtection="0"/>
    <xf numFmtId="0" fontId="40" fillId="59" borderId="89" applyNumberFormat="0" applyFont="0" applyAlignment="0" applyProtection="0"/>
    <xf numFmtId="0" fontId="65" fillId="0" borderId="125" applyNumberFormat="0" applyFill="0" applyAlignment="0" applyProtection="0"/>
    <xf numFmtId="0" fontId="40" fillId="59" borderId="105" applyNumberFormat="0" applyFont="0" applyAlignment="0" applyProtection="0"/>
    <xf numFmtId="0" fontId="34" fillId="0" borderId="79">
      <alignment horizontal="right" vertical="center"/>
    </xf>
    <xf numFmtId="0" fontId="40" fillId="59" borderId="113" applyNumberFormat="0" applyFont="0" applyAlignment="0" applyProtection="0"/>
    <xf numFmtId="0" fontId="65" fillId="0" borderId="104" applyNumberFormat="0" applyFill="0" applyAlignment="0" applyProtection="0"/>
    <xf numFmtId="0" fontId="62" fillId="56" borderId="83" applyNumberFormat="0" applyAlignment="0" applyProtection="0"/>
    <xf numFmtId="0" fontId="46" fillId="56" borderId="103" applyNumberFormat="0" applyAlignment="0" applyProtection="0"/>
    <xf numFmtId="0" fontId="34" fillId="0" borderId="98">
      <alignment horizontal="right" vertical="center"/>
    </xf>
    <xf numFmtId="4" fontId="34" fillId="33" borderId="79"/>
    <xf numFmtId="0" fontId="32" fillId="32" borderId="79">
      <alignment horizontal="right" vertical="center"/>
    </xf>
    <xf numFmtId="49" fontId="34" fillId="0" borderId="107" applyNumberFormat="0" applyFont="0" applyFill="0" applyBorder="0" applyProtection="0">
      <alignment horizontal="left" vertical="center" indent="5"/>
    </xf>
    <xf numFmtId="4" fontId="32" fillId="34" borderId="79">
      <alignment horizontal="right" vertical="center"/>
    </xf>
    <xf numFmtId="0" fontId="36" fillId="32" borderId="106">
      <alignment horizontal="right" vertical="center"/>
    </xf>
    <xf numFmtId="0" fontId="26" fillId="27" borderId="0" applyNumberFormat="0" applyBorder="0" applyAlignment="0" applyProtection="0"/>
    <xf numFmtId="0" fontId="65" fillId="0" borderId="125" applyNumberFormat="0" applyFill="0" applyAlignment="0" applyProtection="0"/>
    <xf numFmtId="0" fontId="34" fillId="34" borderId="82">
      <alignment horizontal="left" vertical="center" wrapText="1" indent="2"/>
    </xf>
    <xf numFmtId="0" fontId="58" fillId="43" borderId="84" applyNumberFormat="0" applyAlignment="0" applyProtection="0"/>
    <xf numFmtId="0" fontId="34" fillId="34" borderId="93">
      <alignment horizontal="left" vertical="center" wrapText="1" indent="2"/>
    </xf>
    <xf numFmtId="0" fontId="26" fillId="18" borderId="0" applyNumberFormat="0" applyBorder="0" applyAlignment="0" applyProtection="0"/>
    <xf numFmtId="4" fontId="34" fillId="0" borderId="79" applyFill="0" applyBorder="0" applyProtection="0">
      <alignment horizontal="right" vertical="center"/>
    </xf>
    <xf numFmtId="0" fontId="32" fillId="34" borderId="80">
      <alignment horizontal="right" vertical="center"/>
    </xf>
    <xf numFmtId="4" fontId="36" fillId="32" borderId="114">
      <alignment horizontal="right" vertical="center"/>
    </xf>
    <xf numFmtId="49" fontId="33" fillId="0" borderId="106" applyNumberFormat="0" applyFill="0" applyBorder="0" applyProtection="0">
      <alignment horizontal="left" vertical="center"/>
    </xf>
    <xf numFmtId="0" fontId="46" fillId="56" borderId="134" applyNumberFormat="0" applyAlignment="0" applyProtection="0"/>
    <xf numFmtId="0" fontId="58" fillId="43" borderId="84" applyNumberFormat="0" applyAlignment="0" applyProtection="0"/>
    <xf numFmtId="49" fontId="33" fillId="0" borderId="119" applyNumberFormat="0" applyFill="0" applyBorder="0" applyProtection="0">
      <alignment horizontal="left" vertical="center"/>
    </xf>
    <xf numFmtId="4" fontId="34" fillId="0" borderId="106">
      <alignment horizontal="right" vertical="center"/>
    </xf>
    <xf numFmtId="0" fontId="34" fillId="33" borderId="66"/>
    <xf numFmtId="0" fontId="32" fillId="34" borderId="66">
      <alignment horizontal="right" vertical="center"/>
    </xf>
    <xf numFmtId="0" fontId="34" fillId="0" borderId="79">
      <alignment horizontal="right" vertical="center"/>
    </xf>
    <xf numFmtId="0" fontId="12" fillId="19" borderId="0" applyNumberFormat="0" applyBorder="0" applyAlignment="0" applyProtection="0"/>
    <xf numFmtId="0" fontId="32" fillId="34" borderId="106">
      <alignment horizontal="right" vertical="center"/>
    </xf>
    <xf numFmtId="0" fontId="34" fillId="0" borderId="82">
      <alignment horizontal="left" vertical="center" wrapText="1" indent="2"/>
    </xf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43" fillId="56" borderId="123" applyNumberFormat="0" applyAlignment="0" applyProtection="0"/>
    <xf numFmtId="0" fontId="26" fillId="24" borderId="0" applyNumberFormat="0" applyBorder="0" applyAlignment="0" applyProtection="0"/>
    <xf numFmtId="0" fontId="58" fillId="43" borderId="84" applyNumberFormat="0" applyAlignment="0" applyProtection="0"/>
    <xf numFmtId="0" fontId="65" fillId="0" borderId="85" applyNumberFormat="0" applyFill="0" applyAlignment="0" applyProtection="0"/>
    <xf numFmtId="0" fontId="26" fillId="30" borderId="0" applyNumberFormat="0" applyBorder="0" applyAlignment="0" applyProtection="0"/>
    <xf numFmtId="49" fontId="34" fillId="0" borderId="79" applyNumberFormat="0" applyFont="0" applyFill="0" applyBorder="0" applyProtection="0">
      <alignment horizontal="left" vertical="center" indent="2"/>
    </xf>
    <xf numFmtId="4" fontId="34" fillId="33" borderId="79"/>
    <xf numFmtId="0" fontId="58" fillId="43" borderId="103" applyNumberFormat="0" applyAlignment="0" applyProtection="0"/>
    <xf numFmtId="0" fontId="58" fillId="43" borderId="84" applyNumberFormat="0" applyAlignment="0" applyProtection="0"/>
    <xf numFmtId="4" fontId="34" fillId="0" borderId="119">
      <alignment horizontal="right" vertical="center"/>
    </xf>
    <xf numFmtId="0" fontId="26" fillId="23" borderId="0" applyNumberFormat="0" applyBorder="0" applyAlignment="0" applyProtection="0"/>
    <xf numFmtId="0" fontId="32" fillId="34" borderId="79">
      <alignment horizontal="right" vertical="center"/>
    </xf>
    <xf numFmtId="4" fontId="36" fillId="32" borderId="106">
      <alignment horizontal="right" vertical="center"/>
    </xf>
    <xf numFmtId="0" fontId="36" fillId="32" borderId="98">
      <alignment horizontal="right" vertical="center"/>
    </xf>
    <xf numFmtId="0" fontId="29" fillId="13" borderId="13" applyNumberFormat="0" applyAlignment="0" applyProtection="0"/>
    <xf numFmtId="0" fontId="12" fillId="16" borderId="0" applyNumberFormat="0" applyBorder="0" applyAlignment="0" applyProtection="0"/>
    <xf numFmtId="0" fontId="43" fillId="56" borderId="102" applyNumberFormat="0" applyAlignment="0" applyProtection="0"/>
    <xf numFmtId="4" fontId="34" fillId="0" borderId="119">
      <alignment horizontal="right" vertical="center"/>
    </xf>
    <xf numFmtId="0" fontId="40" fillId="59" borderId="78" applyNumberFormat="0" applyFont="0" applyAlignment="0" applyProtection="0"/>
    <xf numFmtId="0" fontId="40" fillId="59" borderId="78" applyNumberFormat="0" applyFont="0" applyAlignment="0" applyProtection="0"/>
    <xf numFmtId="0" fontId="32" fillId="34" borderId="108">
      <alignment horizontal="right" vertical="center"/>
    </xf>
    <xf numFmtId="0" fontId="26" fillId="27" borderId="0" applyNumberFormat="0" applyBorder="0" applyAlignment="0" applyProtection="0"/>
    <xf numFmtId="0" fontId="26" fillId="17" borderId="0" applyNumberFormat="0" applyBorder="0" applyAlignment="0" applyProtection="0"/>
    <xf numFmtId="0" fontId="26" fillId="29" borderId="0" applyNumberFormat="0" applyBorder="0" applyAlignment="0" applyProtection="0"/>
    <xf numFmtId="4" fontId="34" fillId="0" borderId="79">
      <alignment horizontal="right" vertical="center"/>
    </xf>
    <xf numFmtId="0" fontId="26" fillId="21" borderId="0" applyNumberFormat="0" applyBorder="0" applyAlignment="0" applyProtection="0"/>
    <xf numFmtId="49" fontId="34" fillId="0" borderId="79" applyNumberFormat="0" applyFont="0" applyFill="0" applyBorder="0" applyProtection="0">
      <alignment horizontal="left" vertical="center" indent="2"/>
    </xf>
    <xf numFmtId="49" fontId="34" fillId="0" borderId="130" applyNumberFormat="0" applyFont="0" applyFill="0" applyBorder="0" applyProtection="0">
      <alignment horizontal="left" vertical="center" indent="5"/>
    </xf>
    <xf numFmtId="0" fontId="34" fillId="0" borderId="79" applyNumberFormat="0" applyFill="0" applyAlignment="0" applyProtection="0"/>
    <xf numFmtId="0" fontId="26" fillId="24" borderId="0" applyNumberFormat="0" applyBorder="0" applyAlignment="0" applyProtection="0"/>
    <xf numFmtId="0" fontId="34" fillId="33" borderId="106"/>
    <xf numFmtId="0" fontId="29" fillId="13" borderId="13" applyNumberFormat="0" applyAlignment="0" applyProtection="0"/>
    <xf numFmtId="0" fontId="34" fillId="32" borderId="107">
      <alignment horizontal="left" vertical="center"/>
    </xf>
    <xf numFmtId="0" fontId="58" fillId="43" borderId="84" applyNumberFormat="0" applyAlignment="0" applyProtection="0"/>
    <xf numFmtId="0" fontId="34" fillId="33" borderId="106"/>
    <xf numFmtId="0" fontId="32" fillId="34" borderId="81">
      <alignment horizontal="right" vertical="center"/>
    </xf>
    <xf numFmtId="0" fontId="58" fillId="43" borderId="103" applyNumberFormat="0" applyAlignment="0" applyProtection="0"/>
    <xf numFmtId="4" fontId="32" fillId="34" borderId="108">
      <alignment horizontal="right" vertical="center"/>
    </xf>
    <xf numFmtId="0" fontId="26" fillId="20" borderId="0" applyNumberFormat="0" applyBorder="0" applyAlignment="0" applyProtection="0"/>
    <xf numFmtId="4" fontId="32" fillId="34" borderId="120">
      <alignment horizontal="right" vertical="center"/>
    </xf>
    <xf numFmtId="0" fontId="26" fillId="14" borderId="0" applyNumberFormat="0" applyBorder="0" applyAlignment="0" applyProtection="0"/>
    <xf numFmtId="0" fontId="30" fillId="0" borderId="0" applyNumberFormat="0" applyFill="0" applyBorder="0" applyAlignment="0" applyProtection="0"/>
    <xf numFmtId="4" fontId="36" fillId="32" borderId="119">
      <alignment horizontal="right" vertical="center"/>
    </xf>
    <xf numFmtId="0" fontId="29" fillId="13" borderId="13" applyNumberFormat="0" applyAlignment="0" applyProtection="0"/>
    <xf numFmtId="0" fontId="32" fillId="34" borderId="79">
      <alignment horizontal="right" vertical="center"/>
    </xf>
    <xf numFmtId="0" fontId="32" fillId="34" borderId="80">
      <alignment horizontal="right" vertical="center"/>
    </xf>
    <xf numFmtId="4" fontId="32" fillId="34" borderId="90">
      <alignment horizontal="right" vertical="center"/>
    </xf>
    <xf numFmtId="0" fontId="65" fillId="0" borderId="88" applyNumberFormat="0" applyFill="0" applyAlignment="0" applyProtection="0"/>
    <xf numFmtId="4" fontId="32" fillId="34" borderId="81">
      <alignment horizontal="right" vertical="center"/>
    </xf>
    <xf numFmtId="0" fontId="28" fillId="13" borderId="14" applyNumberFormat="0" applyAlignment="0" applyProtection="0"/>
    <xf numFmtId="0" fontId="34" fillId="0" borderId="82">
      <alignment horizontal="left" vertical="center" wrapText="1" indent="2"/>
    </xf>
    <xf numFmtId="0" fontId="43" fillId="56" borderId="102" applyNumberFormat="0" applyAlignment="0" applyProtection="0"/>
    <xf numFmtId="0" fontId="26" fillId="23" borderId="0" applyNumberFormat="0" applyBorder="0" applyAlignment="0" applyProtection="0"/>
    <xf numFmtId="4" fontId="34" fillId="0" borderId="79" applyFill="0" applyBorder="0" applyProtection="0">
      <alignment horizontal="right" vertical="center"/>
    </xf>
    <xf numFmtId="0" fontId="34" fillId="34" borderId="82">
      <alignment horizontal="left" vertical="center" wrapText="1" indent="2"/>
    </xf>
    <xf numFmtId="0" fontId="34" fillId="0" borderId="79" applyNumberFormat="0" applyFill="0" applyAlignment="0" applyProtection="0"/>
    <xf numFmtId="49" fontId="33" fillId="0" borderId="79" applyNumberFormat="0" applyFill="0" applyBorder="0" applyProtection="0">
      <alignment horizontal="left" vertical="center"/>
    </xf>
    <xf numFmtId="0" fontId="46" fillId="56" borderId="84" applyNumberFormat="0" applyAlignment="0" applyProtection="0"/>
    <xf numFmtId="49" fontId="33" fillId="0" borderId="106" applyNumberFormat="0" applyFill="0" applyBorder="0" applyProtection="0">
      <alignment horizontal="left" vertical="center"/>
    </xf>
    <xf numFmtId="0" fontId="62" fillId="56" borderId="83" applyNumberFormat="0" applyAlignment="0" applyProtection="0"/>
    <xf numFmtId="0" fontId="34" fillId="33" borderId="79"/>
    <xf numFmtId="0" fontId="65" fillId="0" borderId="85" applyNumberFormat="0" applyFill="0" applyAlignment="0" applyProtection="0"/>
    <xf numFmtId="0" fontId="34" fillId="0" borderId="82">
      <alignment horizontal="left" vertical="center" wrapText="1" indent="2"/>
    </xf>
    <xf numFmtId="4" fontId="36" fillId="32" borderId="79">
      <alignment horizontal="right" vertical="center"/>
    </xf>
    <xf numFmtId="0" fontId="26" fillId="30" borderId="0" applyNumberFormat="0" applyBorder="0" applyAlignment="0" applyProtection="0"/>
    <xf numFmtId="4" fontId="36" fillId="32" borderId="79">
      <alignment horizontal="right" vertical="center"/>
    </xf>
    <xf numFmtId="173" fontId="34" fillId="60" borderId="106" applyNumberFormat="0" applyFont="0" applyBorder="0" applyAlignment="0" applyProtection="0">
      <alignment horizontal="right" vertical="center"/>
    </xf>
    <xf numFmtId="4" fontId="34" fillId="33" borderId="79"/>
    <xf numFmtId="0" fontId="40" fillId="59" borderId="78" applyNumberFormat="0" applyFont="0" applyAlignment="0" applyProtection="0"/>
    <xf numFmtId="0" fontId="32" fillId="34" borderId="80">
      <alignment horizontal="right" vertical="center"/>
    </xf>
    <xf numFmtId="0" fontId="40" fillId="59" borderId="105" applyNumberFormat="0" applyFont="0" applyAlignment="0" applyProtection="0"/>
    <xf numFmtId="0" fontId="34" fillId="0" borderId="79">
      <alignment horizontal="right" vertical="center"/>
    </xf>
    <xf numFmtId="0" fontId="32" fillId="32" borderId="79">
      <alignment horizontal="right" vertical="center"/>
    </xf>
    <xf numFmtId="0" fontId="43" fillId="56" borderId="83" applyNumberFormat="0" applyAlignment="0" applyProtection="0"/>
    <xf numFmtId="0" fontId="46" fillId="56" borderId="95" applyNumberFormat="0" applyAlignment="0" applyProtection="0"/>
    <xf numFmtId="0" fontId="34" fillId="0" borderId="106">
      <alignment horizontal="right" vertical="center"/>
    </xf>
    <xf numFmtId="0" fontId="32" fillId="34" borderId="107">
      <alignment horizontal="right" vertical="center"/>
    </xf>
    <xf numFmtId="0" fontId="50" fillId="0" borderId="85" applyNumberFormat="0" applyFill="0" applyAlignment="0" applyProtection="0"/>
    <xf numFmtId="0" fontId="32" fillId="34" borderId="79">
      <alignment horizontal="right" vertical="center"/>
    </xf>
    <xf numFmtId="4" fontId="36" fillId="32" borderId="90">
      <alignment horizontal="right" vertical="center"/>
    </xf>
    <xf numFmtId="0" fontId="36" fillId="32" borderId="90">
      <alignment horizontal="right" vertical="center"/>
    </xf>
    <xf numFmtId="0" fontId="34" fillId="0" borderId="106" applyNumberFormat="0" applyFill="0" applyAlignment="0" applyProtection="0"/>
    <xf numFmtId="0" fontId="36" fillId="32" borderId="79">
      <alignment horizontal="right" vertical="center"/>
    </xf>
    <xf numFmtId="0" fontId="58" fillId="43" borderId="84" applyNumberFormat="0" applyAlignment="0" applyProtection="0"/>
    <xf numFmtId="49" fontId="33" fillId="0" borderId="79" applyNumberFormat="0" applyFill="0" applyBorder="0" applyProtection="0">
      <alignment horizontal="left" vertical="center"/>
    </xf>
    <xf numFmtId="0" fontId="26" fillId="29" borderId="0" applyNumberFormat="0" applyBorder="0" applyAlignment="0" applyProtection="0"/>
    <xf numFmtId="0" fontId="2" fillId="0" borderId="15" applyNumberFormat="0" applyFill="0" applyAlignment="0" applyProtection="0"/>
    <xf numFmtId="0" fontId="65" fillId="0" borderId="104" applyNumberFormat="0" applyFill="0" applyAlignment="0" applyProtection="0"/>
    <xf numFmtId="0" fontId="46" fillId="56" borderId="124" applyNumberFormat="0" applyAlignment="0" applyProtection="0"/>
    <xf numFmtId="0" fontId="32" fillId="34" borderId="107">
      <alignment horizontal="right" vertical="center"/>
    </xf>
    <xf numFmtId="0" fontId="5" fillId="59" borderId="78" applyNumberFormat="0" applyFont="0" applyAlignment="0" applyProtection="0"/>
    <xf numFmtId="0" fontId="58" fillId="43" borderId="84" applyNumberFormat="0" applyAlignment="0" applyProtection="0"/>
    <xf numFmtId="0" fontId="5" fillId="59" borderId="97" applyNumberFormat="0" applyFont="0" applyAlignment="0" applyProtection="0"/>
    <xf numFmtId="4" fontId="32" fillId="34" borderId="99">
      <alignment horizontal="right" vertical="center"/>
    </xf>
    <xf numFmtId="0" fontId="12" fillId="25" borderId="0" applyNumberFormat="0" applyBorder="0" applyAlignment="0" applyProtection="0"/>
    <xf numFmtId="49" fontId="33" fillId="0" borderId="106" applyNumberFormat="0" applyFill="0" applyBorder="0" applyProtection="0">
      <alignment horizontal="left" vertical="center"/>
    </xf>
    <xf numFmtId="0" fontId="40" fillId="59" borderId="78" applyNumberFormat="0" applyFont="0" applyAlignment="0" applyProtection="0"/>
    <xf numFmtId="0" fontId="34" fillId="0" borderId="79" applyNumberFormat="0" applyFill="0" applyAlignment="0" applyProtection="0"/>
    <xf numFmtId="0" fontId="32" fillId="34" borderId="129">
      <alignment horizontal="right" vertical="center"/>
    </xf>
    <xf numFmtId="0" fontId="34" fillId="0" borderId="82">
      <alignment horizontal="left" vertical="center" wrapText="1" indent="2"/>
    </xf>
    <xf numFmtId="4" fontId="32" fillId="34" borderId="79">
      <alignment horizontal="right" vertical="center"/>
    </xf>
    <xf numFmtId="173" fontId="34" fillId="60" borderId="98" applyNumberFormat="0" applyFont="0" applyBorder="0" applyAlignment="0" applyProtection="0">
      <alignment horizontal="right" vertical="center"/>
    </xf>
    <xf numFmtId="0" fontId="36" fillId="32" borderId="79">
      <alignment horizontal="right" vertical="center"/>
    </xf>
    <xf numFmtId="0" fontId="43" fillId="56" borderId="83" applyNumberFormat="0" applyAlignment="0" applyProtection="0"/>
    <xf numFmtId="173" fontId="34" fillId="60" borderId="79" applyNumberFormat="0" applyFont="0" applyBorder="0" applyAlignment="0" applyProtection="0">
      <alignment horizontal="right" vertical="center"/>
    </xf>
    <xf numFmtId="0" fontId="65" fillId="0" borderId="104" applyNumberFormat="0" applyFill="0" applyAlignment="0" applyProtection="0"/>
    <xf numFmtId="0" fontId="43" fillId="56" borderId="83" applyNumberFormat="0" applyAlignment="0" applyProtection="0"/>
    <xf numFmtId="0" fontId="26" fillId="30" borderId="0" applyNumberFormat="0" applyBorder="0" applyAlignment="0" applyProtection="0"/>
    <xf numFmtId="0" fontId="40" fillId="59" borderId="78" applyNumberFormat="0" applyFont="0" applyAlignment="0" applyProtection="0"/>
    <xf numFmtId="49" fontId="33" fillId="0" borderId="79" applyNumberFormat="0" applyFill="0" applyBorder="0" applyProtection="0">
      <alignment horizontal="left" vertical="center"/>
    </xf>
    <xf numFmtId="0" fontId="32" fillId="32" borderId="66">
      <alignment horizontal="right" vertical="center"/>
    </xf>
    <xf numFmtId="0" fontId="58" fillId="43" borderId="103" applyNumberFormat="0" applyAlignment="0" applyProtection="0"/>
    <xf numFmtId="0" fontId="34" fillId="34" borderId="82">
      <alignment horizontal="left" vertical="center" wrapText="1" indent="2"/>
    </xf>
    <xf numFmtId="4" fontId="34" fillId="0" borderId="119" applyFill="0" applyBorder="0" applyProtection="0">
      <alignment horizontal="right" vertical="center"/>
    </xf>
    <xf numFmtId="0" fontId="26" fillId="18" borderId="0" applyNumberFormat="0" applyBorder="0" applyAlignment="0" applyProtection="0"/>
    <xf numFmtId="0" fontId="1" fillId="0" borderId="0" applyNumberFormat="0" applyFill="0" applyBorder="0" applyAlignment="0" applyProtection="0"/>
    <xf numFmtId="0" fontId="40" fillId="59" borderId="78" applyNumberFormat="0" applyFont="0" applyAlignment="0" applyProtection="0"/>
    <xf numFmtId="0" fontId="46" fillId="56" borderId="126" applyNumberFormat="0" applyAlignment="0" applyProtection="0"/>
    <xf numFmtId="0" fontId="12" fillId="31" borderId="0" applyNumberFormat="0" applyBorder="0" applyAlignment="0" applyProtection="0"/>
    <xf numFmtId="0" fontId="26" fillId="23" borderId="0" applyNumberFormat="0" applyBorder="0" applyAlignment="0" applyProtection="0"/>
    <xf numFmtId="0" fontId="32" fillId="34" borderId="79">
      <alignment horizontal="right" vertical="center"/>
    </xf>
    <xf numFmtId="0" fontId="32" fillId="34" borderId="106">
      <alignment horizontal="right" vertical="center"/>
    </xf>
    <xf numFmtId="0" fontId="32" fillId="34" borderId="79">
      <alignment horizontal="right" vertical="center"/>
    </xf>
    <xf numFmtId="0" fontId="34" fillId="32" borderId="91">
      <alignment horizontal="left" vertical="center"/>
    </xf>
    <xf numFmtId="0" fontId="32" fillId="32" borderId="79">
      <alignment horizontal="right" vertical="center"/>
    </xf>
    <xf numFmtId="0" fontId="43" fillId="56" borderId="83" applyNumberFormat="0" applyAlignment="0" applyProtection="0"/>
    <xf numFmtId="0" fontId="65" fillId="0" borderId="104" applyNumberFormat="0" applyFill="0" applyAlignment="0" applyProtection="0"/>
    <xf numFmtId="0" fontId="43" fillId="56" borderId="94" applyNumberFormat="0" applyAlignment="0" applyProtection="0"/>
    <xf numFmtId="0" fontId="32" fillId="34" borderId="106">
      <alignment horizontal="right" vertical="center"/>
    </xf>
    <xf numFmtId="0" fontId="58" fillId="43" borderId="84" applyNumberFormat="0" applyAlignment="0" applyProtection="0"/>
    <xf numFmtId="0" fontId="26" fillId="15" borderId="0" applyNumberFormat="0" applyBorder="0" applyAlignment="0" applyProtection="0"/>
    <xf numFmtId="4" fontId="34" fillId="33" borderId="106"/>
    <xf numFmtId="0" fontId="12" fillId="16" borderId="0" applyNumberFormat="0" applyBorder="0" applyAlignment="0" applyProtection="0"/>
    <xf numFmtId="0" fontId="26" fillId="20" borderId="0" applyNumberFormat="0" applyBorder="0" applyAlignment="0" applyProtection="0"/>
    <xf numFmtId="0" fontId="12" fillId="31" borderId="0" applyNumberFormat="0" applyBorder="0" applyAlignment="0" applyProtection="0"/>
    <xf numFmtId="4" fontId="32" fillId="34" borderId="79">
      <alignment horizontal="right" vertical="center"/>
    </xf>
    <xf numFmtId="0" fontId="26" fillId="29" borderId="0" applyNumberFormat="0" applyBorder="0" applyAlignment="0" applyProtection="0"/>
    <xf numFmtId="0" fontId="12" fillId="22" borderId="0" applyNumberFormat="0" applyBorder="0" applyAlignment="0" applyProtection="0"/>
    <xf numFmtId="4" fontId="32" fillId="34" borderId="106">
      <alignment horizontal="right" vertical="center"/>
    </xf>
    <xf numFmtId="0" fontId="30" fillId="0" borderId="0" applyNumberFormat="0" applyFill="0" applyBorder="0" applyAlignment="0" applyProtection="0"/>
    <xf numFmtId="0" fontId="32" fillId="34" borderId="79">
      <alignment horizontal="right" vertical="center"/>
    </xf>
    <xf numFmtId="0" fontId="26" fillId="15" borderId="0" applyNumberFormat="0" applyBorder="0" applyAlignment="0" applyProtection="0"/>
    <xf numFmtId="0" fontId="49" fillId="43" borderId="126" applyNumberFormat="0" applyAlignment="0" applyProtection="0"/>
    <xf numFmtId="0" fontId="26" fillId="24" borderId="0" applyNumberFormat="0" applyBorder="0" applyAlignment="0" applyProtection="0"/>
    <xf numFmtId="49" fontId="34" fillId="0" borderId="80" applyNumberFormat="0" applyFont="0" applyFill="0" applyBorder="0" applyProtection="0">
      <alignment horizontal="left" vertical="center" indent="5"/>
    </xf>
    <xf numFmtId="49" fontId="33" fillId="0" borderId="79" applyNumberFormat="0" applyFill="0" applyBorder="0" applyProtection="0">
      <alignment horizontal="left" vertical="center"/>
    </xf>
    <xf numFmtId="4" fontId="32" fillId="34" borderId="81">
      <alignment horizontal="right" vertical="center"/>
    </xf>
    <xf numFmtId="0" fontId="45" fillId="56" borderId="87" applyNumberFormat="0" applyAlignment="0" applyProtection="0"/>
    <xf numFmtId="0" fontId="32" fillId="34" borderId="79">
      <alignment horizontal="right" vertical="center"/>
    </xf>
    <xf numFmtId="0" fontId="65" fillId="0" borderId="104" applyNumberFormat="0" applyFill="0" applyAlignment="0" applyProtection="0"/>
    <xf numFmtId="0" fontId="12" fillId="19" borderId="0" applyNumberFormat="0" applyBorder="0" applyAlignment="0" applyProtection="0"/>
    <xf numFmtId="0" fontId="32" fillId="34" borderId="99">
      <alignment horizontal="right" vertical="center"/>
    </xf>
    <xf numFmtId="0" fontId="26" fillId="30" borderId="0" applyNumberFormat="0" applyBorder="0" applyAlignment="0" applyProtection="0"/>
    <xf numFmtId="0" fontId="58" fillId="43" borderId="84" applyNumberFormat="0" applyAlignment="0" applyProtection="0"/>
    <xf numFmtId="0" fontId="50" fillId="0" borderId="104" applyNumberFormat="0" applyFill="0" applyAlignment="0" applyProtection="0"/>
    <xf numFmtId="0" fontId="45" fillId="56" borderId="84" applyNumberFormat="0" applyAlignment="0" applyProtection="0"/>
    <xf numFmtId="0" fontId="65" fillId="0" borderId="85" applyNumberFormat="0" applyFill="0" applyAlignment="0" applyProtection="0"/>
    <xf numFmtId="0" fontId="28" fillId="13" borderId="14" applyNumberFormat="0" applyAlignment="0" applyProtection="0"/>
    <xf numFmtId="0" fontId="50" fillId="0" borderId="96" applyNumberFormat="0" applyFill="0" applyAlignment="0" applyProtection="0"/>
    <xf numFmtId="4" fontId="32" fillId="34" borderId="106">
      <alignment horizontal="right" vertical="center"/>
    </xf>
    <xf numFmtId="0" fontId="50" fillId="0" borderId="104" applyNumberFormat="0" applyFill="0" applyAlignment="0" applyProtection="0"/>
    <xf numFmtId="0" fontId="36" fillId="32" borderId="106">
      <alignment horizontal="right" vertical="center"/>
    </xf>
    <xf numFmtId="0" fontId="26" fillId="21" borderId="0" applyNumberFormat="0" applyBorder="0" applyAlignment="0" applyProtection="0"/>
    <xf numFmtId="0" fontId="32" fillId="34" borderId="90">
      <alignment horizontal="right" vertical="center"/>
    </xf>
    <xf numFmtId="0" fontId="1" fillId="0" borderId="0" applyNumberFormat="0" applyFill="0" applyBorder="0" applyAlignment="0" applyProtection="0"/>
    <xf numFmtId="0" fontId="32" fillId="34" borderId="81">
      <alignment horizontal="right" vertical="center"/>
    </xf>
    <xf numFmtId="0" fontId="28" fillId="13" borderId="14" applyNumberFormat="0" applyAlignment="0" applyProtection="0"/>
    <xf numFmtId="0" fontId="26" fillId="26" borderId="0" applyNumberFormat="0" applyBorder="0" applyAlignment="0" applyProtection="0"/>
    <xf numFmtId="0" fontId="32" fillId="34" borderId="81">
      <alignment horizontal="right" vertical="center"/>
    </xf>
    <xf numFmtId="0" fontId="34" fillId="0" borderId="106" applyNumberFormat="0" applyFill="0" applyAlignment="0" applyProtection="0"/>
    <xf numFmtId="0" fontId="5" fillId="59" borderId="78" applyNumberFormat="0" applyFont="0" applyAlignment="0" applyProtection="0"/>
    <xf numFmtId="0" fontId="26" fillId="24" borderId="0" applyNumberFormat="0" applyBorder="0" applyAlignment="0" applyProtection="0"/>
    <xf numFmtId="0" fontId="5" fillId="59" borderId="78" applyNumberFormat="0" applyFont="0" applyAlignment="0" applyProtection="0"/>
    <xf numFmtId="0" fontId="45" fillId="56" borderId="84" applyNumberFormat="0" applyAlignment="0" applyProtection="0"/>
    <xf numFmtId="0" fontId="32" fillId="34" borderId="66">
      <alignment horizontal="right" vertical="center"/>
    </xf>
    <xf numFmtId="0" fontId="43" fillId="56" borderId="102" applyNumberFormat="0" applyAlignment="0" applyProtection="0"/>
    <xf numFmtId="0" fontId="58" fillId="43" borderId="124" applyNumberFormat="0" applyAlignment="0" applyProtection="0"/>
    <xf numFmtId="4" fontId="34" fillId="0" borderId="79" applyFill="0" applyBorder="0" applyProtection="0">
      <alignment horizontal="right" vertical="center"/>
    </xf>
    <xf numFmtId="0" fontId="12" fillId="25" borderId="0" applyNumberFormat="0" applyBorder="0" applyAlignment="0" applyProtection="0"/>
    <xf numFmtId="0" fontId="45" fillId="56" borderId="126" applyNumberFormat="0" applyAlignment="0" applyProtection="0"/>
    <xf numFmtId="0" fontId="46" fillId="56" borderId="84" applyNumberFormat="0" applyAlignment="0" applyProtection="0"/>
    <xf numFmtId="0" fontId="26" fillId="30" borderId="0" applyNumberFormat="0" applyBorder="0" applyAlignment="0" applyProtection="0"/>
    <xf numFmtId="0" fontId="34" fillId="0" borderId="79" applyNumberFormat="0" applyFill="0" applyAlignment="0" applyProtection="0"/>
    <xf numFmtId="0" fontId="32" fillId="34" borderId="79">
      <alignment horizontal="right" vertical="center"/>
    </xf>
    <xf numFmtId="0" fontId="2" fillId="0" borderId="15" applyNumberFormat="0" applyFill="0" applyAlignment="0" applyProtection="0"/>
    <xf numFmtId="0" fontId="49" fillId="43" borderId="103" applyNumberFormat="0" applyAlignment="0" applyProtection="0"/>
    <xf numFmtId="0" fontId="34" fillId="0" borderId="119" applyNumberFormat="0" applyFill="0" applyAlignment="0" applyProtection="0"/>
    <xf numFmtId="0" fontId="46" fillId="56" borderId="103" applyNumberFormat="0" applyAlignment="0" applyProtection="0"/>
    <xf numFmtId="0" fontId="46" fillId="56" borderId="103" applyNumberFormat="0" applyAlignment="0" applyProtection="0"/>
    <xf numFmtId="0" fontId="34" fillId="0" borderId="93">
      <alignment horizontal="left" vertical="center" wrapText="1" indent="2"/>
    </xf>
    <xf numFmtId="49" fontId="34" fillId="0" borderId="119" applyNumberFormat="0" applyFont="0" applyFill="0" applyBorder="0" applyProtection="0">
      <alignment horizontal="left" vertical="center" indent="2"/>
    </xf>
    <xf numFmtId="4" fontId="34" fillId="0" borderId="79" applyFill="0" applyBorder="0" applyProtection="0">
      <alignment horizontal="right" vertical="center"/>
    </xf>
    <xf numFmtId="0" fontId="26" fillId="18" borderId="0" applyNumberFormat="0" applyBorder="0" applyAlignment="0" applyProtection="0"/>
    <xf numFmtId="4" fontId="34" fillId="33" borderId="79"/>
    <xf numFmtId="0" fontId="34" fillId="33" borderId="79"/>
    <xf numFmtId="4" fontId="32" fillId="34" borderId="80">
      <alignment horizontal="right" vertical="center"/>
    </xf>
    <xf numFmtId="0" fontId="2" fillId="0" borderId="15" applyNumberFormat="0" applyFill="0" applyAlignment="0" applyProtection="0"/>
    <xf numFmtId="4" fontId="32" fillId="34" borderId="137">
      <alignment horizontal="right" vertical="center"/>
    </xf>
    <xf numFmtId="0" fontId="32" fillId="34" borderId="106">
      <alignment horizontal="right" vertical="center"/>
    </xf>
    <xf numFmtId="4" fontId="32" fillId="34" borderId="106">
      <alignment horizontal="right" vertical="center"/>
    </xf>
    <xf numFmtId="0" fontId="58" fillId="43" borderId="126" applyNumberFormat="0" applyAlignment="0" applyProtection="0"/>
    <xf numFmtId="49" fontId="33" fillId="0" borderId="106" applyNumberFormat="0" applyFill="0" applyBorder="0" applyProtection="0">
      <alignment horizontal="left" vertical="center"/>
    </xf>
    <xf numFmtId="4" fontId="34" fillId="0" borderId="106" applyFill="0" applyBorder="0" applyProtection="0">
      <alignment horizontal="right" vertical="center"/>
    </xf>
    <xf numFmtId="0" fontId="65" fillId="0" borderId="104" applyNumberFormat="0" applyFill="0" applyAlignment="0" applyProtection="0"/>
    <xf numFmtId="0" fontId="58" fillId="43" borderId="124" applyNumberFormat="0" applyAlignment="0" applyProtection="0"/>
    <xf numFmtId="0" fontId="34" fillId="0" borderId="109">
      <alignment horizontal="left" vertical="center" wrapText="1" indent="2"/>
    </xf>
    <xf numFmtId="0" fontId="65" fillId="0" borderId="85" applyNumberFormat="0" applyFill="0" applyAlignment="0" applyProtection="0"/>
    <xf numFmtId="0" fontId="12" fillId="31" borderId="0" applyNumberFormat="0" applyBorder="0" applyAlignment="0" applyProtection="0"/>
    <xf numFmtId="0" fontId="26" fillId="14" borderId="0" applyNumberFormat="0" applyBorder="0" applyAlignment="0" applyProtection="0"/>
    <xf numFmtId="0" fontId="12" fillId="22" borderId="0" applyNumberFormat="0" applyBorder="0" applyAlignment="0" applyProtection="0"/>
    <xf numFmtId="4" fontId="34" fillId="0" borderId="79">
      <alignment horizontal="right" vertical="center"/>
    </xf>
    <xf numFmtId="0" fontId="32" fillId="34" borderId="81">
      <alignment horizontal="right" vertical="center"/>
    </xf>
    <xf numFmtId="0" fontId="46" fillId="56" borderId="103" applyNumberFormat="0" applyAlignment="0" applyProtection="0"/>
    <xf numFmtId="4" fontId="32" fillId="32" borderId="79">
      <alignment horizontal="right" vertical="center"/>
    </xf>
    <xf numFmtId="0" fontId="26" fillId="24" borderId="0" applyNumberFormat="0" applyBorder="0" applyAlignment="0" applyProtection="0"/>
    <xf numFmtId="0" fontId="34" fillId="33" borderId="98"/>
    <xf numFmtId="0" fontId="32" fillId="34" borderId="79">
      <alignment horizontal="right" vertical="center"/>
    </xf>
    <xf numFmtId="4" fontId="32" fillId="34" borderId="90">
      <alignment horizontal="right" vertical="center"/>
    </xf>
    <xf numFmtId="0" fontId="65" fillId="0" borderId="96" applyNumberFormat="0" applyFill="0" applyAlignment="0" applyProtection="0"/>
    <xf numFmtId="0" fontId="34" fillId="34" borderId="109">
      <alignment horizontal="left" vertical="center" wrapText="1" indent="2"/>
    </xf>
    <xf numFmtId="4" fontId="32" fillId="32" borderId="79">
      <alignment horizontal="right" vertical="center"/>
    </xf>
    <xf numFmtId="0" fontId="62" fillId="56" borderId="86" applyNumberFormat="0" applyAlignment="0" applyProtection="0"/>
    <xf numFmtId="0" fontId="28" fillId="13" borderId="14" applyNumberFormat="0" applyAlignment="0" applyProtection="0"/>
    <xf numFmtId="0" fontId="5" fillId="59" borderId="89" applyNumberFormat="0" applyFont="0" applyAlignment="0" applyProtection="0"/>
    <xf numFmtId="4" fontId="34" fillId="0" borderId="79">
      <alignment horizontal="right" vertical="center"/>
    </xf>
    <xf numFmtId="4" fontId="32" fillId="34" borderId="120">
      <alignment horizontal="right" vertical="center"/>
    </xf>
    <xf numFmtId="0" fontId="58" fillId="43" borderId="103" applyNumberFormat="0" applyAlignment="0" applyProtection="0"/>
    <xf numFmtId="0" fontId="26" fillId="15" borderId="0" applyNumberFormat="0" applyBorder="0" applyAlignment="0" applyProtection="0"/>
    <xf numFmtId="49" fontId="33" fillId="0" borderId="79" applyNumberFormat="0" applyFill="0" applyBorder="0" applyProtection="0">
      <alignment horizontal="left" vertical="center"/>
    </xf>
    <xf numFmtId="173" fontId="34" fillId="60" borderId="106" applyNumberFormat="0" applyFont="0" applyBorder="0" applyAlignment="0" applyProtection="0">
      <alignment horizontal="right" vertical="center"/>
    </xf>
    <xf numFmtId="0" fontId="62" fillId="56" borderId="141" applyNumberFormat="0" applyAlignment="0" applyProtection="0"/>
    <xf numFmtId="0" fontId="36" fillId="32" borderId="79">
      <alignment horizontal="right" vertical="center"/>
    </xf>
    <xf numFmtId="0" fontId="62" fillId="56" borderId="102" applyNumberFormat="0" applyAlignment="0" applyProtection="0"/>
    <xf numFmtId="0" fontId="32" fillId="32" borderId="79">
      <alignment horizontal="right" vertical="center"/>
    </xf>
    <xf numFmtId="4" fontId="32" fillId="34" borderId="81">
      <alignment horizontal="right" vertical="center"/>
    </xf>
    <xf numFmtId="0" fontId="32" fillId="34" borderId="106">
      <alignment horizontal="right" vertical="center"/>
    </xf>
    <xf numFmtId="0" fontId="29" fillId="13" borderId="13" applyNumberFormat="0" applyAlignment="0" applyProtection="0"/>
    <xf numFmtId="4" fontId="34" fillId="0" borderId="79" applyFill="0" applyBorder="0" applyProtection="0">
      <alignment horizontal="right" vertical="center"/>
    </xf>
    <xf numFmtId="0" fontId="45" fillId="56" borderId="84" applyNumberFormat="0" applyAlignment="0" applyProtection="0"/>
    <xf numFmtId="0" fontId="34" fillId="0" borderId="106">
      <alignment horizontal="right" vertical="center"/>
    </xf>
    <xf numFmtId="0" fontId="32" fillId="34" borderId="80">
      <alignment horizontal="right" vertical="center"/>
    </xf>
    <xf numFmtId="4" fontId="32" fillId="34" borderId="80">
      <alignment horizontal="right" vertical="center"/>
    </xf>
    <xf numFmtId="4" fontId="32" fillId="34" borderId="107">
      <alignment horizontal="right" vertical="center"/>
    </xf>
    <xf numFmtId="0" fontId="50" fillId="0" borderId="104" applyNumberFormat="0" applyFill="0" applyAlignment="0" applyProtection="0"/>
    <xf numFmtId="49" fontId="34" fillId="0" borderId="90" applyNumberFormat="0" applyFont="0" applyFill="0" applyBorder="0" applyProtection="0">
      <alignment horizontal="left" vertical="center" indent="2"/>
    </xf>
    <xf numFmtId="4" fontId="32" fillId="32" borderId="119">
      <alignment horizontal="right" vertical="center"/>
    </xf>
    <xf numFmtId="0" fontId="32" fillId="34" borderId="129">
      <alignment horizontal="right" vertical="center"/>
    </xf>
    <xf numFmtId="0" fontId="12" fillId="31" borderId="0" applyNumberFormat="0" applyBorder="0" applyAlignment="0" applyProtection="0"/>
    <xf numFmtId="0" fontId="26" fillId="21" borderId="0" applyNumberFormat="0" applyBorder="0" applyAlignment="0" applyProtection="0"/>
    <xf numFmtId="0" fontId="46" fillId="56" borderId="111" applyNumberFormat="0" applyAlignment="0" applyProtection="0"/>
    <xf numFmtId="0" fontId="26" fillId="15" borderId="0" applyNumberFormat="0" applyBorder="0" applyAlignment="0" applyProtection="0"/>
    <xf numFmtId="0" fontId="34" fillId="0" borderId="129" applyNumberFormat="0" applyFill="0" applyAlignment="0" applyProtection="0"/>
    <xf numFmtId="0" fontId="49" fillId="43" borderId="95" applyNumberFormat="0" applyAlignment="0" applyProtection="0"/>
    <xf numFmtId="0" fontId="46" fillId="56" borderId="84" applyNumberFormat="0" applyAlignment="0" applyProtection="0"/>
    <xf numFmtId="49" fontId="34" fillId="0" borderId="106" applyNumberFormat="0" applyFont="0" applyFill="0" applyBorder="0" applyProtection="0">
      <alignment horizontal="left" vertical="center" indent="2"/>
    </xf>
    <xf numFmtId="0" fontId="49" fillId="43" borderId="84" applyNumberFormat="0" applyAlignment="0" applyProtection="0"/>
    <xf numFmtId="0" fontId="26" fillId="21" borderId="0" applyNumberFormat="0" applyBorder="0" applyAlignment="0" applyProtection="0"/>
    <xf numFmtId="0" fontId="30" fillId="0" borderId="0" applyNumberFormat="0" applyFill="0" applyBorder="0" applyAlignment="0" applyProtection="0"/>
    <xf numFmtId="173" fontId="34" fillId="60" borderId="106" applyNumberFormat="0" applyFont="0" applyBorder="0" applyAlignment="0" applyProtection="0">
      <alignment horizontal="right" vertical="center"/>
    </xf>
    <xf numFmtId="4" fontId="36" fillId="32" borderId="129">
      <alignment horizontal="right" vertical="center"/>
    </xf>
    <xf numFmtId="49" fontId="33" fillId="0" borderId="79" applyNumberFormat="0" applyFill="0" applyBorder="0" applyProtection="0">
      <alignment horizontal="left" vertical="center"/>
    </xf>
    <xf numFmtId="4" fontId="32" fillId="34" borderId="119">
      <alignment horizontal="right" vertical="center"/>
    </xf>
    <xf numFmtId="0" fontId="26" fillId="17" borderId="0" applyNumberFormat="0" applyBorder="0" applyAlignment="0" applyProtection="0"/>
    <xf numFmtId="0" fontId="2" fillId="0" borderId="15" applyNumberFormat="0" applyFill="0" applyAlignment="0" applyProtection="0"/>
    <xf numFmtId="0" fontId="34" fillId="0" borderId="82">
      <alignment horizontal="left" vertical="center" wrapText="1" indent="2"/>
    </xf>
    <xf numFmtId="0" fontId="34" fillId="34" borderId="82">
      <alignment horizontal="left" vertical="center" wrapText="1" indent="2"/>
    </xf>
    <xf numFmtId="0" fontId="26" fillId="30" borderId="0" applyNumberFormat="0" applyBorder="0" applyAlignment="0" applyProtection="0"/>
    <xf numFmtId="4" fontId="34" fillId="33" borderId="90"/>
    <xf numFmtId="4" fontId="34" fillId="0" borderId="106">
      <alignment horizontal="right" vertical="center"/>
    </xf>
    <xf numFmtId="0" fontId="40" fillId="59" borderId="78" applyNumberFormat="0" applyFont="0" applyAlignment="0" applyProtection="0"/>
    <xf numFmtId="0" fontId="34" fillId="33" borderId="106"/>
    <xf numFmtId="4" fontId="32" fillId="34" borderId="92">
      <alignment horizontal="right" vertical="center"/>
    </xf>
    <xf numFmtId="0" fontId="26" fillId="29" borderId="0" applyNumberFormat="0" applyBorder="0" applyAlignment="0" applyProtection="0"/>
    <xf numFmtId="4" fontId="34" fillId="0" borderId="119">
      <alignment horizontal="right" vertical="center"/>
    </xf>
    <xf numFmtId="4" fontId="32" fillId="34" borderId="106">
      <alignment horizontal="right" vertical="center"/>
    </xf>
    <xf numFmtId="0" fontId="62" fillId="56" borderId="133" applyNumberFormat="0" applyAlignment="0" applyProtection="0"/>
    <xf numFmtId="0" fontId="34" fillId="33" borderId="90"/>
    <xf numFmtId="0" fontId="36" fillId="32" borderId="79">
      <alignment horizontal="right" vertical="center"/>
    </xf>
    <xf numFmtId="0" fontId="49" fillId="43" borderId="84" applyNumberFormat="0" applyAlignment="0" applyProtection="0"/>
    <xf numFmtId="173" fontId="34" fillId="60" borderId="79" applyNumberFormat="0" applyFont="0" applyBorder="0" applyAlignment="0" applyProtection="0">
      <alignment horizontal="right" vertical="center"/>
    </xf>
    <xf numFmtId="0" fontId="49" fillId="43" borderId="84" applyNumberFormat="0" applyAlignment="0" applyProtection="0"/>
    <xf numFmtId="4" fontId="34" fillId="0" borderId="79">
      <alignment horizontal="right" vertical="center"/>
    </xf>
    <xf numFmtId="49" fontId="34" fillId="0" borderId="79" applyNumberFormat="0" applyFont="0" applyFill="0" applyBorder="0" applyProtection="0">
      <alignment horizontal="left" vertical="center" indent="2"/>
    </xf>
    <xf numFmtId="173" fontId="34" fillId="60" borderId="79" applyNumberFormat="0" applyFont="0" applyBorder="0" applyAlignment="0" applyProtection="0">
      <alignment horizontal="right" vertical="center"/>
    </xf>
    <xf numFmtId="0" fontId="58" fillId="43" borderId="87" applyNumberFormat="0" applyAlignment="0" applyProtection="0"/>
    <xf numFmtId="49" fontId="33" fillId="0" borderId="79" applyNumberFormat="0" applyFill="0" applyBorder="0" applyProtection="0">
      <alignment horizontal="left" vertical="center"/>
    </xf>
    <xf numFmtId="0" fontId="26" fillId="17" borderId="0" applyNumberFormat="0" applyBorder="0" applyAlignment="0" applyProtection="0"/>
    <xf numFmtId="0" fontId="45" fillId="56" borderId="111" applyNumberFormat="0" applyAlignment="0" applyProtection="0"/>
    <xf numFmtId="4" fontId="32" fillId="34" borderId="79">
      <alignment horizontal="right" vertical="center"/>
    </xf>
    <xf numFmtId="0" fontId="32" fillId="32" borderId="106">
      <alignment horizontal="right" vertical="center"/>
    </xf>
    <xf numFmtId="4" fontId="34" fillId="33" borderId="98"/>
    <xf numFmtId="0" fontId="46" fillId="56" borderId="103" applyNumberFormat="0" applyAlignment="0" applyProtection="0"/>
    <xf numFmtId="0" fontId="32" fillId="34" borderId="100">
      <alignment horizontal="right" vertical="center"/>
    </xf>
    <xf numFmtId="0" fontId="36" fillId="32" borderId="79">
      <alignment horizontal="right" vertical="center"/>
    </xf>
    <xf numFmtId="0" fontId="49" fillId="43" borderId="84" applyNumberFormat="0" applyAlignment="0" applyProtection="0"/>
    <xf numFmtId="0" fontId="46" fillId="56" borderId="84" applyNumberFormat="0" applyAlignment="0" applyProtection="0"/>
    <xf numFmtId="4" fontId="34" fillId="0" borderId="79">
      <alignment horizontal="right" vertical="center"/>
    </xf>
    <xf numFmtId="0" fontId="34" fillId="34" borderId="82">
      <alignment horizontal="left" vertical="center" wrapText="1" indent="2"/>
    </xf>
    <xf numFmtId="0" fontId="34" fillId="0" borderId="82">
      <alignment horizontal="left" vertical="center" wrapText="1" indent="2"/>
    </xf>
    <xf numFmtId="0" fontId="62" fillId="56" borderId="83" applyNumberFormat="0" applyAlignment="0" applyProtection="0"/>
    <xf numFmtId="0" fontId="58" fillId="43" borderId="84" applyNumberFormat="0" applyAlignment="0" applyProtection="0"/>
    <xf numFmtId="0" fontId="45" fillId="56" borderId="84" applyNumberFormat="0" applyAlignment="0" applyProtection="0"/>
    <xf numFmtId="0" fontId="43" fillId="56" borderId="83" applyNumberFormat="0" applyAlignment="0" applyProtection="0"/>
    <xf numFmtId="0" fontId="32" fillId="34" borderId="81">
      <alignment horizontal="right" vertical="center"/>
    </xf>
    <xf numFmtId="0" fontId="36" fillId="32" borderId="79">
      <alignment horizontal="right" vertical="center"/>
    </xf>
    <xf numFmtId="4" fontId="32" fillId="32" borderId="79">
      <alignment horizontal="right" vertical="center"/>
    </xf>
    <xf numFmtId="4" fontId="32" fillId="34" borderId="79">
      <alignment horizontal="right" vertical="center"/>
    </xf>
    <xf numFmtId="49" fontId="34" fillId="0" borderId="80" applyNumberFormat="0" applyFont="0" applyFill="0" applyBorder="0" applyProtection="0">
      <alignment horizontal="left" vertical="center" indent="5"/>
    </xf>
    <xf numFmtId="4" fontId="34" fillId="0" borderId="79" applyFill="0" applyBorder="0" applyProtection="0">
      <alignment horizontal="right" vertical="center"/>
    </xf>
    <xf numFmtId="4" fontId="32" fillId="32" borderId="79">
      <alignment horizontal="right" vertical="center"/>
    </xf>
    <xf numFmtId="0" fontId="58" fillId="43" borderId="84" applyNumberFormat="0" applyAlignment="0" applyProtection="0"/>
    <xf numFmtId="0" fontId="49" fillId="43" borderId="84" applyNumberFormat="0" applyAlignment="0" applyProtection="0"/>
    <xf numFmtId="0" fontId="45" fillId="56" borderId="84" applyNumberFormat="0" applyAlignment="0" applyProtection="0"/>
    <xf numFmtId="0" fontId="34" fillId="34" borderId="82">
      <alignment horizontal="left" vertical="center" wrapText="1" indent="2"/>
    </xf>
    <xf numFmtId="0" fontId="34" fillId="0" borderId="82">
      <alignment horizontal="left" vertical="center" wrapText="1" indent="2"/>
    </xf>
    <xf numFmtId="0" fontId="34" fillId="34" borderId="82">
      <alignment horizontal="left" vertical="center" wrapText="1" indent="2"/>
    </xf>
    <xf numFmtId="0" fontId="32" fillId="34" borderId="92">
      <alignment horizontal="right" vertical="center"/>
    </xf>
    <xf numFmtId="0" fontId="58" fillId="43" borderId="124" applyNumberFormat="0" applyAlignment="0" applyProtection="0"/>
    <xf numFmtId="0" fontId="2" fillId="0" borderId="15" applyNumberFormat="0" applyFill="0" applyAlignment="0" applyProtection="0"/>
    <xf numFmtId="0" fontId="34" fillId="33" borderId="106"/>
    <xf numFmtId="0" fontId="34" fillId="0" borderId="129">
      <alignment horizontal="right" vertical="center"/>
    </xf>
    <xf numFmtId="0" fontId="32" fillId="34" borderId="129">
      <alignment horizontal="right" vertical="center"/>
    </xf>
    <xf numFmtId="4" fontId="32" fillId="34" borderId="129">
      <alignment horizontal="right" vertical="center"/>
    </xf>
    <xf numFmtId="4" fontId="32" fillId="34" borderId="106">
      <alignment horizontal="right" vertical="center"/>
    </xf>
    <xf numFmtId="0" fontId="2" fillId="0" borderId="15" applyNumberFormat="0" applyFill="0" applyAlignment="0" applyProtection="0"/>
    <xf numFmtId="49" fontId="33" fillId="0" borderId="106" applyNumberFormat="0" applyFill="0" applyBorder="0" applyProtection="0">
      <alignment horizontal="left" vertical="center"/>
    </xf>
    <xf numFmtId="0" fontId="32" fillId="32" borderId="106">
      <alignment horizontal="right" vertical="center"/>
    </xf>
    <xf numFmtId="0" fontId="34" fillId="0" borderId="114" applyNumberFormat="0" applyFill="0" applyAlignment="0" applyProtection="0"/>
    <xf numFmtId="4" fontId="32" fillId="32" borderId="137">
      <alignment horizontal="right" vertical="center"/>
    </xf>
    <xf numFmtId="49" fontId="34" fillId="0" borderId="107" applyNumberFormat="0" applyFont="0" applyFill="0" applyBorder="0" applyProtection="0">
      <alignment horizontal="left" vertical="center" indent="5"/>
    </xf>
    <xf numFmtId="0" fontId="62" fillId="56" borderId="141" applyNumberFormat="0" applyAlignment="0" applyProtection="0"/>
    <xf numFmtId="4" fontId="32" fillId="32" borderId="129">
      <alignment horizontal="right" vertical="center"/>
    </xf>
    <xf numFmtId="0" fontId="46" fillId="56" borderId="103" applyNumberFormat="0" applyAlignment="0" applyProtection="0"/>
    <xf numFmtId="0" fontId="58" fillId="43" borderId="103" applyNumberFormat="0" applyAlignment="0" applyProtection="0"/>
    <xf numFmtId="0" fontId="32" fillId="32" borderId="106">
      <alignment horizontal="right" vertical="center"/>
    </xf>
    <xf numFmtId="4" fontId="32" fillId="32" borderId="106">
      <alignment horizontal="right" vertical="center"/>
    </xf>
    <xf numFmtId="0" fontId="12" fillId="19" borderId="0" applyNumberFormat="0" applyBorder="0" applyAlignment="0" applyProtection="0"/>
    <xf numFmtId="0" fontId="12" fillId="31" borderId="0" applyNumberFormat="0" applyBorder="0" applyAlignment="0" applyProtection="0"/>
    <xf numFmtId="0" fontId="65" fillId="0" borderId="125" applyNumberFormat="0" applyFill="0" applyAlignment="0" applyProtection="0"/>
    <xf numFmtId="0" fontId="32" fillId="32" borderId="119">
      <alignment horizontal="right" vertical="center"/>
    </xf>
    <xf numFmtId="0" fontId="34" fillId="33" borderId="119"/>
    <xf numFmtId="0" fontId="34" fillId="32" borderId="107">
      <alignment horizontal="left" vertical="center"/>
    </xf>
    <xf numFmtId="0" fontId="26" fillId="17" borderId="0" applyNumberFormat="0" applyBorder="0" applyAlignment="0" applyProtection="0"/>
    <xf numFmtId="0" fontId="62" fillId="56" borderId="102" applyNumberFormat="0" applyAlignment="0" applyProtection="0"/>
    <xf numFmtId="0" fontId="32" fillId="34" borderId="108">
      <alignment horizontal="right" vertical="center"/>
    </xf>
    <xf numFmtId="0" fontId="12" fillId="25" borderId="0" applyNumberFormat="0" applyBorder="0" applyAlignment="0" applyProtection="0"/>
    <xf numFmtId="0" fontId="26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2" borderId="0" applyNumberFormat="0" applyBorder="0" applyAlignment="0" applyProtection="0"/>
    <xf numFmtId="0" fontId="40" fillId="59" borderId="136" applyNumberFormat="0" applyFont="0" applyAlignment="0" applyProtection="0"/>
    <xf numFmtId="0" fontId="26" fillId="20" borderId="0" applyNumberFormat="0" applyBorder="0" applyAlignment="0" applyProtection="0"/>
    <xf numFmtId="0" fontId="26" fillId="14" borderId="0" applyNumberFormat="0" applyBorder="0" applyAlignment="0" applyProtection="0"/>
    <xf numFmtId="4" fontId="36" fillId="32" borderId="137">
      <alignment horizontal="right" vertical="center"/>
    </xf>
    <xf numFmtId="4" fontId="36" fillId="32" borderId="106">
      <alignment horizontal="right" vertical="center"/>
    </xf>
    <xf numFmtId="4" fontId="32" fillId="34" borderId="98">
      <alignment horizontal="right" vertical="center"/>
    </xf>
    <xf numFmtId="4" fontId="32" fillId="32" borderId="98">
      <alignment horizontal="right" vertical="center"/>
    </xf>
    <xf numFmtId="49" fontId="34" fillId="0" borderId="129" applyNumberFormat="0" applyFont="0" applyFill="0" applyBorder="0" applyProtection="0">
      <alignment horizontal="left" vertical="center" indent="2"/>
    </xf>
    <xf numFmtId="4" fontId="32" fillId="34" borderId="90">
      <alignment horizontal="right" vertical="center"/>
    </xf>
    <xf numFmtId="0" fontId="34" fillId="33" borderId="90"/>
    <xf numFmtId="0" fontId="45" fillId="56" borderId="87" applyNumberFormat="0" applyAlignment="0" applyProtection="0"/>
    <xf numFmtId="0" fontId="32" fillId="32" borderId="90">
      <alignment horizontal="right" vertical="center"/>
    </xf>
    <xf numFmtId="0" fontId="34" fillId="0" borderId="90">
      <alignment horizontal="right" vertical="center"/>
    </xf>
    <xf numFmtId="0" fontId="65" fillId="0" borderId="88" applyNumberFormat="0" applyFill="0" applyAlignment="0" applyProtection="0"/>
    <xf numFmtId="0" fontId="34" fillId="32" borderId="91">
      <alignment horizontal="left" vertical="center"/>
    </xf>
    <xf numFmtId="0" fontId="58" fillId="43" borderId="87" applyNumberFormat="0" applyAlignment="0" applyProtection="0"/>
    <xf numFmtId="173" fontId="34" fillId="60" borderId="90" applyNumberFormat="0" applyFont="0" applyBorder="0" applyAlignment="0" applyProtection="0">
      <alignment horizontal="right" vertical="center"/>
    </xf>
    <xf numFmtId="0" fontId="40" fillId="59" borderId="89" applyNumberFormat="0" applyFont="0" applyAlignment="0" applyProtection="0"/>
    <xf numFmtId="0" fontId="34" fillId="0" borderId="93">
      <alignment horizontal="left" vertical="center" wrapText="1" indent="2"/>
    </xf>
    <xf numFmtId="4" fontId="34" fillId="33" borderId="90"/>
    <xf numFmtId="49" fontId="33" fillId="0" borderId="90" applyNumberFormat="0" applyFill="0" applyBorder="0" applyProtection="0">
      <alignment horizontal="left" vertical="center"/>
    </xf>
    <xf numFmtId="0" fontId="34" fillId="0" borderId="90">
      <alignment horizontal="right" vertical="center"/>
    </xf>
    <xf numFmtId="4" fontId="32" fillId="34" borderId="92">
      <alignment horizontal="right" vertical="center"/>
    </xf>
    <xf numFmtId="4" fontId="32" fillId="34" borderId="90">
      <alignment horizontal="right" vertical="center"/>
    </xf>
    <xf numFmtId="4" fontId="32" fillId="34" borderId="90">
      <alignment horizontal="right" vertical="center"/>
    </xf>
    <xf numFmtId="0" fontId="36" fillId="32" borderId="90">
      <alignment horizontal="right" vertical="center"/>
    </xf>
    <xf numFmtId="0" fontId="32" fillId="32" borderId="90">
      <alignment horizontal="right" vertical="center"/>
    </xf>
    <xf numFmtId="49" fontId="34" fillId="0" borderId="90" applyNumberFormat="0" applyFont="0" applyFill="0" applyBorder="0" applyProtection="0">
      <alignment horizontal="left" vertical="center" indent="2"/>
    </xf>
    <xf numFmtId="0" fontId="58" fillId="43" borderId="87" applyNumberFormat="0" applyAlignment="0" applyProtection="0"/>
    <xf numFmtId="0" fontId="43" fillId="56" borderId="86" applyNumberFormat="0" applyAlignment="0" applyProtection="0"/>
    <xf numFmtId="49" fontId="34" fillId="0" borderId="90" applyNumberFormat="0" applyFont="0" applyFill="0" applyBorder="0" applyProtection="0">
      <alignment horizontal="left" vertical="center" indent="2"/>
    </xf>
    <xf numFmtId="0" fontId="49" fillId="43" borderId="87" applyNumberFormat="0" applyAlignment="0" applyProtection="0"/>
    <xf numFmtId="4" fontId="34" fillId="0" borderId="90" applyFill="0" applyBorder="0" applyProtection="0">
      <alignment horizontal="right" vertical="center"/>
    </xf>
    <xf numFmtId="0" fontId="46" fillId="56" borderId="87" applyNumberFormat="0" applyAlignment="0" applyProtection="0"/>
    <xf numFmtId="0" fontId="65" fillId="0" borderId="88" applyNumberFormat="0" applyFill="0" applyAlignment="0" applyProtection="0"/>
    <xf numFmtId="0" fontId="62" fillId="56" borderId="86" applyNumberFormat="0" applyAlignment="0" applyProtection="0"/>
    <xf numFmtId="0" fontId="34" fillId="0" borderId="90" applyNumberFormat="0" applyFill="0" applyAlignment="0" applyProtection="0"/>
    <xf numFmtId="4" fontId="34" fillId="0" borderId="90">
      <alignment horizontal="right" vertical="center"/>
    </xf>
    <xf numFmtId="0" fontId="34" fillId="0" borderId="90">
      <alignment horizontal="right" vertical="center"/>
    </xf>
    <xf numFmtId="0" fontId="58" fillId="43" borderId="87" applyNumberFormat="0" applyAlignment="0" applyProtection="0"/>
    <xf numFmtId="0" fontId="43" fillId="56" borderId="86" applyNumberFormat="0" applyAlignment="0" applyProtection="0"/>
    <xf numFmtId="0" fontId="45" fillId="56" borderId="87" applyNumberFormat="0" applyAlignment="0" applyProtection="0"/>
    <xf numFmtId="0" fontId="34" fillId="34" borderId="93">
      <alignment horizontal="left" vertical="center" wrapText="1" indent="2"/>
    </xf>
    <xf numFmtId="0" fontId="46" fillId="56" borderId="87" applyNumberFormat="0" applyAlignment="0" applyProtection="0"/>
    <xf numFmtId="0" fontId="46" fillId="56" borderId="87" applyNumberFormat="0" applyAlignment="0" applyProtection="0"/>
    <xf numFmtId="4" fontId="32" fillId="34" borderId="91">
      <alignment horizontal="right" vertical="center"/>
    </xf>
    <xf numFmtId="0" fontId="32" fillId="34" borderId="91">
      <alignment horizontal="right" vertical="center"/>
    </xf>
    <xf numFmtId="0" fontId="32" fillId="34" borderId="90">
      <alignment horizontal="right" vertical="center"/>
    </xf>
    <xf numFmtId="4" fontId="36" fillId="32" borderId="90">
      <alignment horizontal="right" vertical="center"/>
    </xf>
    <xf numFmtId="0" fontId="49" fillId="43" borderId="87" applyNumberFormat="0" applyAlignment="0" applyProtection="0"/>
    <xf numFmtId="0" fontId="50" fillId="0" borderId="88" applyNumberFormat="0" applyFill="0" applyAlignment="0" applyProtection="0"/>
    <xf numFmtId="0" fontId="65" fillId="0" borderId="88" applyNumberFormat="0" applyFill="0" applyAlignment="0" applyProtection="0"/>
    <xf numFmtId="0" fontId="40" fillId="59" borderId="89" applyNumberFormat="0" applyFont="0" applyAlignment="0" applyProtection="0"/>
    <xf numFmtId="0" fontId="58" fillId="43" borderId="87" applyNumberFormat="0" applyAlignment="0" applyProtection="0"/>
    <xf numFmtId="49" fontId="33" fillId="0" borderId="90" applyNumberFormat="0" applyFill="0" applyBorder="0" applyProtection="0">
      <alignment horizontal="left" vertical="center"/>
    </xf>
    <xf numFmtId="0" fontId="34" fillId="34" borderId="93">
      <alignment horizontal="left" vertical="center" wrapText="1" indent="2"/>
    </xf>
    <xf numFmtId="0" fontId="46" fillId="56" borderId="87" applyNumberFormat="0" applyAlignment="0" applyProtection="0"/>
    <xf numFmtId="0" fontId="34" fillId="0" borderId="93">
      <alignment horizontal="left" vertical="center" wrapText="1" indent="2"/>
    </xf>
    <xf numFmtId="0" fontId="40" fillId="59" borderId="89" applyNumberFormat="0" applyFont="0" applyAlignment="0" applyProtection="0"/>
    <xf numFmtId="0" fontId="5" fillId="59" borderId="89" applyNumberFormat="0" applyFont="0" applyAlignment="0" applyProtection="0"/>
    <xf numFmtId="0" fontId="62" fillId="56" borderId="86" applyNumberFormat="0" applyAlignment="0" applyProtection="0"/>
    <xf numFmtId="0" fontId="65" fillId="0" borderId="88" applyNumberFormat="0" applyFill="0" applyAlignment="0" applyProtection="0"/>
    <xf numFmtId="4" fontId="34" fillId="33" borderId="90"/>
    <xf numFmtId="0" fontId="32" fillId="34" borderId="90">
      <alignment horizontal="right" vertical="center"/>
    </xf>
    <xf numFmtId="0" fontId="65" fillId="0" borderId="88" applyNumberFormat="0" applyFill="0" applyAlignment="0" applyProtection="0"/>
    <xf numFmtId="4" fontId="32" fillId="34" borderId="92">
      <alignment horizontal="right" vertical="center"/>
    </xf>
    <xf numFmtId="0" fontId="45" fillId="56" borderId="87" applyNumberFormat="0" applyAlignment="0" applyProtection="0"/>
    <xf numFmtId="0" fontId="32" fillId="34" borderId="91">
      <alignment horizontal="right" vertical="center"/>
    </xf>
    <xf numFmtId="0" fontId="46" fillId="56" borderId="87" applyNumberFormat="0" applyAlignment="0" applyProtection="0"/>
    <xf numFmtId="0" fontId="50" fillId="0" borderId="88" applyNumberFormat="0" applyFill="0" applyAlignment="0" applyProtection="0"/>
    <xf numFmtId="0" fontId="40" fillId="59" borderId="89" applyNumberFormat="0" applyFont="0" applyAlignment="0" applyProtection="0"/>
    <xf numFmtId="4" fontId="32" fillId="34" borderId="91">
      <alignment horizontal="right" vertical="center"/>
    </xf>
    <xf numFmtId="0" fontId="34" fillId="34" borderId="93">
      <alignment horizontal="left" vertical="center" wrapText="1" indent="2"/>
    </xf>
    <xf numFmtId="0" fontId="34" fillId="33" borderId="90"/>
    <xf numFmtId="173" fontId="34" fillId="60" borderId="90" applyNumberFormat="0" applyFont="0" applyBorder="0" applyAlignment="0" applyProtection="0">
      <alignment horizontal="right" vertical="center"/>
    </xf>
    <xf numFmtId="0" fontId="34" fillId="0" borderId="90" applyNumberFormat="0" applyFill="0" applyAlignment="0" applyProtection="0"/>
    <xf numFmtId="4" fontId="34" fillId="0" borderId="90" applyFill="0" applyBorder="0" applyProtection="0">
      <alignment horizontal="right" vertical="center"/>
    </xf>
    <xf numFmtId="4" fontId="32" fillId="32" borderId="90">
      <alignment horizontal="right" vertical="center"/>
    </xf>
    <xf numFmtId="0" fontId="50" fillId="0" borderId="88" applyNumberFormat="0" applyFill="0" applyAlignment="0" applyProtection="0"/>
    <xf numFmtId="49" fontId="33" fillId="0" borderId="90" applyNumberFormat="0" applyFill="0" applyBorder="0" applyProtection="0">
      <alignment horizontal="left" vertical="center"/>
    </xf>
    <xf numFmtId="49" fontId="34" fillId="0" borderId="91" applyNumberFormat="0" applyFont="0" applyFill="0" applyBorder="0" applyProtection="0">
      <alignment horizontal="left" vertical="center" indent="5"/>
    </xf>
    <xf numFmtId="0" fontId="34" fillId="32" borderId="91">
      <alignment horizontal="left" vertical="center"/>
    </xf>
    <xf numFmtId="0" fontId="46" fillId="56" borderId="87" applyNumberFormat="0" applyAlignment="0" applyProtection="0"/>
    <xf numFmtId="4" fontId="32" fillId="34" borderId="92">
      <alignment horizontal="right" vertical="center"/>
    </xf>
    <xf numFmtId="0" fontId="58" fillId="43" borderId="87" applyNumberFormat="0" applyAlignment="0" applyProtection="0"/>
    <xf numFmtId="0" fontId="58" fillId="43" borderId="87" applyNumberFormat="0" applyAlignment="0" applyProtection="0"/>
    <xf numFmtId="0" fontId="40" fillId="59" borderId="89" applyNumberFormat="0" applyFont="0" applyAlignment="0" applyProtection="0"/>
    <xf numFmtId="0" fontId="62" fillId="56" borderId="86" applyNumberFormat="0" applyAlignment="0" applyProtection="0"/>
    <xf numFmtId="0" fontId="65" fillId="0" borderId="88" applyNumberFormat="0" applyFill="0" applyAlignment="0" applyProtection="0"/>
    <xf numFmtId="0" fontId="32" fillId="34" borderId="90">
      <alignment horizontal="right" vertical="center"/>
    </xf>
    <xf numFmtId="0" fontId="5" fillId="59" borderId="89" applyNumberFormat="0" applyFont="0" applyAlignment="0" applyProtection="0"/>
    <xf numFmtId="4" fontId="34" fillId="0" borderId="90">
      <alignment horizontal="right" vertical="center"/>
    </xf>
    <xf numFmtId="0" fontId="65" fillId="0" borderId="88" applyNumberFormat="0" applyFill="0" applyAlignment="0" applyProtection="0"/>
    <xf numFmtId="0" fontId="32" fillId="34" borderId="90">
      <alignment horizontal="right" vertical="center"/>
    </xf>
    <xf numFmtId="0" fontId="32" fillId="34" borderId="90">
      <alignment horizontal="right" vertical="center"/>
    </xf>
    <xf numFmtId="4" fontId="36" fillId="32" borderId="90">
      <alignment horizontal="right" vertical="center"/>
    </xf>
    <xf numFmtId="0" fontId="32" fillId="32" borderId="90">
      <alignment horizontal="right" vertical="center"/>
    </xf>
    <xf numFmtId="4" fontId="32" fillId="32" borderId="90">
      <alignment horizontal="right" vertical="center"/>
    </xf>
    <xf numFmtId="0" fontId="36" fillId="32" borderId="90">
      <alignment horizontal="right" vertical="center"/>
    </xf>
    <xf numFmtId="4" fontId="36" fillId="32" borderId="90">
      <alignment horizontal="right" vertical="center"/>
    </xf>
    <xf numFmtId="0" fontId="32" fillId="34" borderId="90">
      <alignment horizontal="right" vertical="center"/>
    </xf>
    <xf numFmtId="4" fontId="32" fillId="34" borderId="90">
      <alignment horizontal="right" vertical="center"/>
    </xf>
    <xf numFmtId="0" fontId="32" fillId="34" borderId="90">
      <alignment horizontal="right" vertical="center"/>
    </xf>
    <xf numFmtId="4" fontId="32" fillId="34" borderId="90">
      <alignment horizontal="right" vertical="center"/>
    </xf>
    <xf numFmtId="0" fontId="32" fillId="34" borderId="91">
      <alignment horizontal="right" vertical="center"/>
    </xf>
    <xf numFmtId="4" fontId="32" fillId="34" borderId="91">
      <alignment horizontal="right" vertical="center"/>
    </xf>
    <xf numFmtId="0" fontId="32" fillId="34" borderId="92">
      <alignment horizontal="right" vertical="center"/>
    </xf>
    <xf numFmtId="4" fontId="32" fillId="34" borderId="92">
      <alignment horizontal="right" vertical="center"/>
    </xf>
    <xf numFmtId="0" fontId="46" fillId="56" borderId="87" applyNumberFormat="0" applyAlignment="0" applyProtection="0"/>
    <xf numFmtId="0" fontId="34" fillId="34" borderId="93">
      <alignment horizontal="left" vertical="center" wrapText="1" indent="2"/>
    </xf>
    <xf numFmtId="0" fontId="34" fillId="0" borderId="93">
      <alignment horizontal="left" vertical="center" wrapText="1" indent="2"/>
    </xf>
    <xf numFmtId="0" fontId="34" fillId="32" borderId="91">
      <alignment horizontal="left" vertical="center"/>
    </xf>
    <xf numFmtId="0" fontId="58" fillId="43" borderId="87" applyNumberFormat="0" applyAlignment="0" applyProtection="0"/>
    <xf numFmtId="0" fontId="34" fillId="0" borderId="90">
      <alignment horizontal="right" vertical="center"/>
    </xf>
    <xf numFmtId="4" fontId="34" fillId="0" borderId="90">
      <alignment horizontal="right" vertical="center"/>
    </xf>
    <xf numFmtId="0" fontId="34" fillId="0" borderId="90" applyNumberFormat="0" applyFill="0" applyAlignment="0" applyProtection="0"/>
    <xf numFmtId="0" fontId="62" fillId="56" borderId="86" applyNumberFormat="0" applyAlignment="0" applyProtection="0"/>
    <xf numFmtId="173" fontId="34" fillId="60" borderId="90" applyNumberFormat="0" applyFont="0" applyBorder="0" applyAlignment="0" applyProtection="0">
      <alignment horizontal="right" vertical="center"/>
    </xf>
    <xf numFmtId="0" fontId="34" fillId="33" borderId="90"/>
    <xf numFmtId="4" fontId="34" fillId="33" borderId="90"/>
    <xf numFmtId="0" fontId="65" fillId="0" borderId="88" applyNumberFormat="0" applyFill="0" applyAlignment="0" applyProtection="0"/>
    <xf numFmtId="0" fontId="5" fillId="59" borderId="89" applyNumberFormat="0" applyFont="0" applyAlignment="0" applyProtection="0"/>
    <xf numFmtId="0" fontId="40" fillId="59" borderId="89" applyNumberFormat="0" applyFont="0" applyAlignment="0" applyProtection="0"/>
    <xf numFmtId="0" fontId="34" fillId="0" borderId="90" applyNumberFormat="0" applyFill="0" applyAlignment="0" applyProtection="0"/>
    <xf numFmtId="0" fontId="50" fillId="0" borderId="88" applyNumberFormat="0" applyFill="0" applyAlignment="0" applyProtection="0"/>
    <xf numFmtId="0" fontId="65" fillId="0" borderId="88" applyNumberFormat="0" applyFill="0" applyAlignment="0" applyProtection="0"/>
    <xf numFmtId="0" fontId="49" fillId="43" borderId="87" applyNumberFormat="0" applyAlignment="0" applyProtection="0"/>
    <xf numFmtId="0" fontId="46" fillId="56" borderId="87" applyNumberFormat="0" applyAlignment="0" applyProtection="0"/>
    <xf numFmtId="4" fontId="36" fillId="32" borderId="90">
      <alignment horizontal="right" vertical="center"/>
    </xf>
    <xf numFmtId="0" fontId="32" fillId="32" borderId="90">
      <alignment horizontal="right" vertical="center"/>
    </xf>
    <xf numFmtId="173" fontId="34" fillId="60" borderId="90" applyNumberFormat="0" applyFont="0" applyBorder="0" applyAlignment="0" applyProtection="0">
      <alignment horizontal="right" vertical="center"/>
    </xf>
    <xf numFmtId="0" fontId="50" fillId="0" borderId="88" applyNumberFormat="0" applyFill="0" applyAlignment="0" applyProtection="0"/>
    <xf numFmtId="49" fontId="34" fillId="0" borderId="90" applyNumberFormat="0" applyFont="0" applyFill="0" applyBorder="0" applyProtection="0">
      <alignment horizontal="left" vertical="center" indent="2"/>
    </xf>
    <xf numFmtId="49" fontId="34" fillId="0" borderId="91" applyNumberFormat="0" applyFont="0" applyFill="0" applyBorder="0" applyProtection="0">
      <alignment horizontal="left" vertical="center" indent="5"/>
    </xf>
    <xf numFmtId="49" fontId="34" fillId="0" borderId="90" applyNumberFormat="0" applyFont="0" applyFill="0" applyBorder="0" applyProtection="0">
      <alignment horizontal="left" vertical="center" indent="2"/>
    </xf>
    <xf numFmtId="4" fontId="34" fillId="0" borderId="90" applyFill="0" applyBorder="0" applyProtection="0">
      <alignment horizontal="right" vertical="center"/>
    </xf>
    <xf numFmtId="49" fontId="33" fillId="0" borderId="90" applyNumberFormat="0" applyFill="0" applyBorder="0" applyProtection="0">
      <alignment horizontal="left" vertical="center"/>
    </xf>
    <xf numFmtId="0" fontId="34" fillId="0" borderId="93">
      <alignment horizontal="left" vertical="center" wrapText="1" indent="2"/>
    </xf>
    <xf numFmtId="0" fontId="62" fillId="56" borderId="86" applyNumberFormat="0" applyAlignment="0" applyProtection="0"/>
    <xf numFmtId="0" fontId="32" fillId="34" borderId="92">
      <alignment horizontal="right" vertical="center"/>
    </xf>
    <xf numFmtId="0" fontId="49" fillId="43" borderId="87" applyNumberFormat="0" applyAlignment="0" applyProtection="0"/>
    <xf numFmtId="0" fontId="32" fillId="34" borderId="92">
      <alignment horizontal="right" vertical="center"/>
    </xf>
    <xf numFmtId="4" fontId="32" fillId="34" borderId="90">
      <alignment horizontal="right" vertical="center"/>
    </xf>
    <xf numFmtId="0" fontId="32" fillId="34" borderId="90">
      <alignment horizontal="right" vertical="center"/>
    </xf>
    <xf numFmtId="0" fontId="43" fillId="56" borderId="86" applyNumberFormat="0" applyAlignment="0" applyProtection="0"/>
    <xf numFmtId="0" fontId="45" fillId="56" borderId="87" applyNumberFormat="0" applyAlignment="0" applyProtection="0"/>
    <xf numFmtId="0" fontId="50" fillId="0" borderId="88" applyNumberFormat="0" applyFill="0" applyAlignment="0" applyProtection="0"/>
    <xf numFmtId="0" fontId="34" fillId="33" borderId="90"/>
    <xf numFmtId="4" fontId="34" fillId="33" borderId="90"/>
    <xf numFmtId="4" fontId="32" fillId="34" borderId="90">
      <alignment horizontal="right" vertical="center"/>
    </xf>
    <xf numFmtId="0" fontId="36" fillId="32" borderId="90">
      <alignment horizontal="right" vertical="center"/>
    </xf>
    <xf numFmtId="0" fontId="49" fillId="43" borderId="87" applyNumberFormat="0" applyAlignment="0" applyProtection="0"/>
    <xf numFmtId="0" fontId="46" fillId="56" borderId="87" applyNumberFormat="0" applyAlignment="0" applyProtection="0"/>
    <xf numFmtId="4" fontId="34" fillId="0" borderId="90">
      <alignment horizontal="right" vertical="center"/>
    </xf>
    <xf numFmtId="0" fontId="34" fillId="34" borderId="93">
      <alignment horizontal="left" vertical="center" wrapText="1" indent="2"/>
    </xf>
    <xf numFmtId="0" fontId="34" fillId="0" borderId="93">
      <alignment horizontal="left" vertical="center" wrapText="1" indent="2"/>
    </xf>
    <xf numFmtId="0" fontId="62" fillId="56" borderId="86" applyNumberFormat="0" applyAlignment="0" applyProtection="0"/>
    <xf numFmtId="0" fontId="58" fillId="43" borderId="87" applyNumberFormat="0" applyAlignment="0" applyProtection="0"/>
    <xf numFmtId="0" fontId="45" fillId="56" borderId="87" applyNumberFormat="0" applyAlignment="0" applyProtection="0"/>
    <xf numFmtId="0" fontId="43" fillId="56" borderId="86" applyNumberFormat="0" applyAlignment="0" applyProtection="0"/>
    <xf numFmtId="0" fontId="32" fillId="34" borderId="92">
      <alignment horizontal="right" vertical="center"/>
    </xf>
    <xf numFmtId="0" fontId="36" fillId="32" borderId="90">
      <alignment horizontal="right" vertical="center"/>
    </xf>
    <xf numFmtId="4" fontId="32" fillId="32" borderId="90">
      <alignment horizontal="right" vertical="center"/>
    </xf>
    <xf numFmtId="4" fontId="32" fillId="34" borderId="90">
      <alignment horizontal="right" vertical="center"/>
    </xf>
    <xf numFmtId="49" fontId="34" fillId="0" borderId="91" applyNumberFormat="0" applyFont="0" applyFill="0" applyBorder="0" applyProtection="0">
      <alignment horizontal="left" vertical="center" indent="5"/>
    </xf>
    <xf numFmtId="4" fontId="34" fillId="0" borderId="90" applyFill="0" applyBorder="0" applyProtection="0">
      <alignment horizontal="right" vertical="center"/>
    </xf>
    <xf numFmtId="4" fontId="32" fillId="32" borderId="90">
      <alignment horizontal="right" vertical="center"/>
    </xf>
    <xf numFmtId="4" fontId="32" fillId="34" borderId="121">
      <alignment horizontal="right" vertical="center"/>
    </xf>
    <xf numFmtId="0" fontId="58" fillId="43" borderId="87" applyNumberFormat="0" applyAlignment="0" applyProtection="0"/>
    <xf numFmtId="0" fontId="49" fillId="43" borderId="87" applyNumberFormat="0" applyAlignment="0" applyProtection="0"/>
    <xf numFmtId="0" fontId="45" fillId="56" borderId="87" applyNumberFormat="0" applyAlignment="0" applyProtection="0"/>
    <xf numFmtId="0" fontId="34" fillId="34" borderId="93">
      <alignment horizontal="left" vertical="center" wrapText="1" indent="2"/>
    </xf>
    <xf numFmtId="0" fontId="34" fillId="0" borderId="93">
      <alignment horizontal="left" vertical="center" wrapText="1" indent="2"/>
    </xf>
    <xf numFmtId="0" fontId="34" fillId="34" borderId="93">
      <alignment horizontal="left" vertical="center" wrapText="1" indent="2"/>
    </xf>
    <xf numFmtId="0" fontId="34" fillId="0" borderId="93">
      <alignment horizontal="left" vertical="center" wrapText="1" indent="2"/>
    </xf>
    <xf numFmtId="0" fontId="43" fillId="56" borderId="86" applyNumberFormat="0" applyAlignment="0" applyProtection="0"/>
    <xf numFmtId="0" fontId="45" fillId="56" borderId="87" applyNumberFormat="0" applyAlignment="0" applyProtection="0"/>
    <xf numFmtId="0" fontId="46" fillId="56" borderId="87" applyNumberFormat="0" applyAlignment="0" applyProtection="0"/>
    <xf numFmtId="0" fontId="49" fillId="43" borderId="87" applyNumberFormat="0" applyAlignment="0" applyProtection="0"/>
    <xf numFmtId="0" fontId="50" fillId="0" borderId="88" applyNumberFormat="0" applyFill="0" applyAlignment="0" applyProtection="0"/>
    <xf numFmtId="0" fontId="58" fillId="43" borderId="87" applyNumberFormat="0" applyAlignment="0" applyProtection="0"/>
    <xf numFmtId="0" fontId="40" fillId="59" borderId="89" applyNumberFormat="0" applyFont="0" applyAlignment="0" applyProtection="0"/>
    <xf numFmtId="0" fontId="5" fillId="59" borderId="89" applyNumberFormat="0" applyFont="0" applyAlignment="0" applyProtection="0"/>
    <xf numFmtId="0" fontId="62" fillId="56" borderId="86" applyNumberFormat="0" applyAlignment="0" applyProtection="0"/>
    <xf numFmtId="0" fontId="65" fillId="0" borderId="88" applyNumberFormat="0" applyFill="0" applyAlignment="0" applyProtection="0"/>
    <xf numFmtId="0" fontId="46" fillId="56" borderId="87" applyNumberFormat="0" applyAlignment="0" applyProtection="0"/>
    <xf numFmtId="0" fontId="58" fillId="43" borderId="87" applyNumberFormat="0" applyAlignment="0" applyProtection="0"/>
    <xf numFmtId="0" fontId="40" fillId="59" borderId="89" applyNumberFormat="0" applyFont="0" applyAlignment="0" applyProtection="0"/>
    <xf numFmtId="0" fontId="62" fillId="56" borderId="86" applyNumberFormat="0" applyAlignment="0" applyProtection="0"/>
    <xf numFmtId="0" fontId="65" fillId="0" borderId="88" applyNumberFormat="0" applyFill="0" applyAlignment="0" applyProtection="0"/>
    <xf numFmtId="0" fontId="40" fillId="59" borderId="128" applyNumberFormat="0" applyFont="0" applyAlignment="0" applyProtection="0"/>
    <xf numFmtId="0" fontId="34" fillId="0" borderId="109">
      <alignment horizontal="left" vertical="center" wrapText="1" indent="2"/>
    </xf>
    <xf numFmtId="4" fontId="36" fillId="32" borderId="119">
      <alignment horizontal="right" vertical="center"/>
    </xf>
    <xf numFmtId="0" fontId="46" fillId="56" borderId="103" applyNumberFormat="0" applyAlignment="0" applyProtection="0"/>
    <xf numFmtId="0" fontId="46" fillId="56" borderId="87" applyNumberFormat="0" applyAlignment="0" applyProtection="0"/>
    <xf numFmtId="0" fontId="32" fillId="34" borderId="98">
      <alignment horizontal="right" vertical="center"/>
    </xf>
    <xf numFmtId="0" fontId="32" fillId="32" borderId="106">
      <alignment horizontal="right" vertical="center"/>
    </xf>
    <xf numFmtId="49" fontId="33" fillId="0" borderId="106" applyNumberFormat="0" applyFill="0" applyBorder="0" applyProtection="0">
      <alignment horizontal="left" vertical="center"/>
    </xf>
    <xf numFmtId="0" fontId="58" fillId="43" borderId="87" applyNumberFormat="0" applyAlignment="0" applyProtection="0"/>
    <xf numFmtId="0" fontId="62" fillId="56" borderId="86" applyNumberFormat="0" applyAlignment="0" applyProtection="0"/>
    <xf numFmtId="0" fontId="65" fillId="0" borderId="88" applyNumberFormat="0" applyFill="0" applyAlignment="0" applyProtection="0"/>
    <xf numFmtId="0" fontId="45" fillId="56" borderId="95" applyNumberFormat="0" applyAlignment="0" applyProtection="0"/>
    <xf numFmtId="0" fontId="43" fillId="56" borderId="86" applyNumberFormat="0" applyAlignment="0" applyProtection="0"/>
    <xf numFmtId="0" fontId="45" fillId="56" borderId="87" applyNumberFormat="0" applyAlignment="0" applyProtection="0"/>
    <xf numFmtId="0" fontId="50" fillId="0" borderId="88" applyNumberFormat="0" applyFill="0" applyAlignment="0" applyProtection="0"/>
    <xf numFmtId="49" fontId="34" fillId="0" borderId="90" applyNumberFormat="0" applyFont="0" applyFill="0" applyBorder="0" applyProtection="0">
      <alignment horizontal="left" vertical="center" indent="2"/>
    </xf>
    <xf numFmtId="0" fontId="32" fillId="32" borderId="90">
      <alignment horizontal="right" vertical="center"/>
    </xf>
    <xf numFmtId="4" fontId="32" fillId="32" borderId="90">
      <alignment horizontal="right" vertical="center"/>
    </xf>
    <xf numFmtId="0" fontId="36" fillId="32" borderId="90">
      <alignment horizontal="right" vertical="center"/>
    </xf>
    <xf numFmtId="4" fontId="36" fillId="32" borderId="90">
      <alignment horizontal="right" vertical="center"/>
    </xf>
    <xf numFmtId="0" fontId="32" fillId="34" borderId="90">
      <alignment horizontal="right" vertical="center"/>
    </xf>
    <xf numFmtId="4" fontId="32" fillId="34" borderId="90">
      <alignment horizontal="right" vertical="center"/>
    </xf>
    <xf numFmtId="0" fontId="32" fillId="34" borderId="90">
      <alignment horizontal="right" vertical="center"/>
    </xf>
    <xf numFmtId="4" fontId="32" fillId="34" borderId="90">
      <alignment horizontal="right" vertical="center"/>
    </xf>
    <xf numFmtId="0" fontId="49" fillId="43" borderId="87" applyNumberFormat="0" applyAlignment="0" applyProtection="0"/>
    <xf numFmtId="0" fontId="34" fillId="0" borderId="90">
      <alignment horizontal="right" vertical="center"/>
    </xf>
    <xf numFmtId="4" fontId="34" fillId="0" borderId="90">
      <alignment horizontal="right" vertical="center"/>
    </xf>
    <xf numFmtId="4" fontId="34" fillId="0" borderId="90" applyFill="0" applyBorder="0" applyProtection="0">
      <alignment horizontal="right" vertical="center"/>
    </xf>
    <xf numFmtId="49" fontId="33" fillId="0" borderId="90" applyNumberFormat="0" applyFill="0" applyBorder="0" applyProtection="0">
      <alignment horizontal="left" vertical="center"/>
    </xf>
    <xf numFmtId="0" fontId="34" fillId="0" borderId="90" applyNumberFormat="0" applyFill="0" applyAlignment="0" applyProtection="0"/>
    <xf numFmtId="173" fontId="34" fillId="60" borderId="90" applyNumberFormat="0" applyFont="0" applyBorder="0" applyAlignment="0" applyProtection="0">
      <alignment horizontal="right" vertical="center"/>
    </xf>
    <xf numFmtId="0" fontId="34" fillId="33" borderId="90"/>
    <xf numFmtId="4" fontId="34" fillId="33" borderId="90"/>
    <xf numFmtId="4" fontId="32" fillId="34" borderId="90">
      <alignment horizontal="right" vertical="center"/>
    </xf>
    <xf numFmtId="0" fontId="34" fillId="33" borderId="90"/>
    <xf numFmtId="0" fontId="45" fillId="56" borderId="87" applyNumberFormat="0" applyAlignment="0" applyProtection="0"/>
    <xf numFmtId="0" fontId="32" fillId="32" borderId="90">
      <alignment horizontal="right" vertical="center"/>
    </xf>
    <xf numFmtId="0" fontId="34" fillId="0" borderId="90">
      <alignment horizontal="right" vertical="center"/>
    </xf>
    <xf numFmtId="0" fontId="65" fillId="0" borderId="88" applyNumberFormat="0" applyFill="0" applyAlignment="0" applyProtection="0"/>
    <xf numFmtId="0" fontId="34" fillId="32" borderId="91">
      <alignment horizontal="left" vertical="center"/>
    </xf>
    <xf numFmtId="0" fontId="58" fillId="43" borderId="87" applyNumberFormat="0" applyAlignment="0" applyProtection="0"/>
    <xf numFmtId="173" fontId="34" fillId="60" borderId="90" applyNumberFormat="0" applyFont="0" applyBorder="0" applyAlignment="0" applyProtection="0">
      <alignment horizontal="right" vertical="center"/>
    </xf>
    <xf numFmtId="0" fontId="40" fillId="59" borderId="89" applyNumberFormat="0" applyFont="0" applyAlignment="0" applyProtection="0"/>
    <xf numFmtId="0" fontId="34" fillId="0" borderId="93">
      <alignment horizontal="left" vertical="center" wrapText="1" indent="2"/>
    </xf>
    <xf numFmtId="4" fontId="34" fillId="33" borderId="90"/>
    <xf numFmtId="49" fontId="33" fillId="0" borderId="90" applyNumberFormat="0" applyFill="0" applyBorder="0" applyProtection="0">
      <alignment horizontal="left" vertical="center"/>
    </xf>
    <xf numFmtId="0" fontId="34" fillId="0" borderId="90">
      <alignment horizontal="right" vertical="center"/>
    </xf>
    <xf numFmtId="4" fontId="32" fillId="34" borderId="92">
      <alignment horizontal="right" vertical="center"/>
    </xf>
    <xf numFmtId="4" fontId="32" fillId="34" borderId="90">
      <alignment horizontal="right" vertical="center"/>
    </xf>
    <xf numFmtId="4" fontId="32" fillId="34" borderId="90">
      <alignment horizontal="right" vertical="center"/>
    </xf>
    <xf numFmtId="0" fontId="36" fillId="32" borderId="90">
      <alignment horizontal="right" vertical="center"/>
    </xf>
    <xf numFmtId="0" fontId="32" fillId="32" borderId="90">
      <alignment horizontal="right" vertical="center"/>
    </xf>
    <xf numFmtId="49" fontId="34" fillId="0" borderId="90" applyNumberFormat="0" applyFont="0" applyFill="0" applyBorder="0" applyProtection="0">
      <alignment horizontal="left" vertical="center" indent="2"/>
    </xf>
    <xf numFmtId="0" fontId="58" fillId="43" borderId="87" applyNumberFormat="0" applyAlignment="0" applyProtection="0"/>
    <xf numFmtId="0" fontId="43" fillId="56" borderId="86" applyNumberFormat="0" applyAlignment="0" applyProtection="0"/>
    <xf numFmtId="49" fontId="34" fillId="0" borderId="90" applyNumberFormat="0" applyFont="0" applyFill="0" applyBorder="0" applyProtection="0">
      <alignment horizontal="left" vertical="center" indent="2"/>
    </xf>
    <xf numFmtId="0" fontId="49" fillId="43" borderId="87" applyNumberFormat="0" applyAlignment="0" applyProtection="0"/>
    <xf numFmtId="4" fontId="34" fillId="0" borderId="90" applyFill="0" applyBorder="0" applyProtection="0">
      <alignment horizontal="right" vertical="center"/>
    </xf>
    <xf numFmtId="0" fontId="46" fillId="56" borderId="87" applyNumberFormat="0" applyAlignment="0" applyProtection="0"/>
    <xf numFmtId="0" fontId="65" fillId="0" borderId="88" applyNumberFormat="0" applyFill="0" applyAlignment="0" applyProtection="0"/>
    <xf numFmtId="0" fontId="62" fillId="56" borderId="86" applyNumberFormat="0" applyAlignment="0" applyProtection="0"/>
    <xf numFmtId="0" fontId="34" fillId="0" borderId="90" applyNumberFormat="0" applyFill="0" applyAlignment="0" applyProtection="0"/>
    <xf numFmtId="4" fontId="34" fillId="0" borderId="90">
      <alignment horizontal="right" vertical="center"/>
    </xf>
    <xf numFmtId="0" fontId="34" fillId="0" borderId="90">
      <alignment horizontal="right" vertical="center"/>
    </xf>
    <xf numFmtId="0" fontId="58" fillId="43" borderId="87" applyNumberFormat="0" applyAlignment="0" applyProtection="0"/>
    <xf numFmtId="0" fontId="43" fillId="56" borderId="86" applyNumberFormat="0" applyAlignment="0" applyProtection="0"/>
    <xf numFmtId="0" fontId="45" fillId="56" borderId="87" applyNumberFormat="0" applyAlignment="0" applyProtection="0"/>
    <xf numFmtId="0" fontId="34" fillId="34" borderId="93">
      <alignment horizontal="left" vertical="center" wrapText="1" indent="2"/>
    </xf>
    <xf numFmtId="0" fontId="46" fillId="56" borderId="87" applyNumberFormat="0" applyAlignment="0" applyProtection="0"/>
    <xf numFmtId="0" fontId="46" fillId="56" borderId="87" applyNumberFormat="0" applyAlignment="0" applyProtection="0"/>
    <xf numFmtId="4" fontId="32" fillId="34" borderId="91">
      <alignment horizontal="right" vertical="center"/>
    </xf>
    <xf numFmtId="0" fontId="32" fillId="34" borderId="91">
      <alignment horizontal="right" vertical="center"/>
    </xf>
    <xf numFmtId="0" fontId="32" fillId="34" borderId="90">
      <alignment horizontal="right" vertical="center"/>
    </xf>
    <xf numFmtId="4" fontId="36" fillId="32" borderId="90">
      <alignment horizontal="right" vertical="center"/>
    </xf>
    <xf numFmtId="0" fontId="49" fillId="43" borderId="87" applyNumberFormat="0" applyAlignment="0" applyProtection="0"/>
    <xf numFmtId="0" fontId="50" fillId="0" borderId="88" applyNumberFormat="0" applyFill="0" applyAlignment="0" applyProtection="0"/>
    <xf numFmtId="0" fontId="65" fillId="0" borderId="88" applyNumberFormat="0" applyFill="0" applyAlignment="0" applyProtection="0"/>
    <xf numFmtId="0" fontId="40" fillId="59" borderId="89" applyNumberFormat="0" applyFont="0" applyAlignment="0" applyProtection="0"/>
    <xf numFmtId="0" fontId="58" fillId="43" borderId="87" applyNumberFormat="0" applyAlignment="0" applyProtection="0"/>
    <xf numFmtId="49" fontId="33" fillId="0" borderId="90" applyNumberFormat="0" applyFill="0" applyBorder="0" applyProtection="0">
      <alignment horizontal="left" vertical="center"/>
    </xf>
    <xf numFmtId="0" fontId="34" fillId="34" borderId="93">
      <alignment horizontal="left" vertical="center" wrapText="1" indent="2"/>
    </xf>
    <xf numFmtId="0" fontId="46" fillId="56" borderId="87" applyNumberFormat="0" applyAlignment="0" applyProtection="0"/>
    <xf numFmtId="0" fontId="34" fillId="0" borderId="93">
      <alignment horizontal="left" vertical="center" wrapText="1" indent="2"/>
    </xf>
    <xf numFmtId="0" fontId="40" fillId="59" borderId="89" applyNumberFormat="0" applyFont="0" applyAlignment="0" applyProtection="0"/>
    <xf numFmtId="0" fontId="5" fillId="59" borderId="89" applyNumberFormat="0" applyFont="0" applyAlignment="0" applyProtection="0"/>
    <xf numFmtId="0" fontId="62" fillId="56" borderId="86" applyNumberFormat="0" applyAlignment="0" applyProtection="0"/>
    <xf numFmtId="0" fontId="65" fillId="0" borderId="88" applyNumberFormat="0" applyFill="0" applyAlignment="0" applyProtection="0"/>
    <xf numFmtId="4" fontId="34" fillId="33" borderId="90"/>
    <xf numFmtId="0" fontId="32" fillId="34" borderId="90">
      <alignment horizontal="right" vertical="center"/>
    </xf>
    <xf numFmtId="0" fontId="65" fillId="0" borderId="88" applyNumberFormat="0" applyFill="0" applyAlignment="0" applyProtection="0"/>
    <xf numFmtId="4" fontId="32" fillId="34" borderId="92">
      <alignment horizontal="right" vertical="center"/>
    </xf>
    <xf numFmtId="0" fontId="45" fillId="56" borderId="87" applyNumberFormat="0" applyAlignment="0" applyProtection="0"/>
    <xf numFmtId="0" fontId="32" fillId="34" borderId="91">
      <alignment horizontal="right" vertical="center"/>
    </xf>
    <xf numFmtId="0" fontId="46" fillId="56" borderId="87" applyNumberFormat="0" applyAlignment="0" applyProtection="0"/>
    <xf numFmtId="0" fontId="50" fillId="0" borderId="88" applyNumberFormat="0" applyFill="0" applyAlignment="0" applyProtection="0"/>
    <xf numFmtId="0" fontId="40" fillId="59" borderId="89" applyNumberFormat="0" applyFont="0" applyAlignment="0" applyProtection="0"/>
    <xf numFmtId="4" fontId="32" fillId="34" borderId="91">
      <alignment horizontal="right" vertical="center"/>
    </xf>
    <xf numFmtId="0" fontId="34" fillId="34" borderId="93">
      <alignment horizontal="left" vertical="center" wrapText="1" indent="2"/>
    </xf>
    <xf numFmtId="0" fontId="34" fillId="33" borderId="90"/>
    <xf numFmtId="173" fontId="34" fillId="60" borderId="90" applyNumberFormat="0" applyFont="0" applyBorder="0" applyAlignment="0" applyProtection="0">
      <alignment horizontal="right" vertical="center"/>
    </xf>
    <xf numFmtId="0" fontId="34" fillId="0" borderId="90" applyNumberFormat="0" applyFill="0" applyAlignment="0" applyProtection="0"/>
    <xf numFmtId="4" fontId="34" fillId="0" borderId="90" applyFill="0" applyBorder="0" applyProtection="0">
      <alignment horizontal="right" vertical="center"/>
    </xf>
    <xf numFmtId="4" fontId="32" fillId="32" borderId="90">
      <alignment horizontal="right" vertical="center"/>
    </xf>
    <xf numFmtId="0" fontId="50" fillId="0" borderId="88" applyNumberFormat="0" applyFill="0" applyAlignment="0" applyProtection="0"/>
    <xf numFmtId="49" fontId="33" fillId="0" borderId="90" applyNumberFormat="0" applyFill="0" applyBorder="0" applyProtection="0">
      <alignment horizontal="left" vertical="center"/>
    </xf>
    <xf numFmtId="49" fontId="34" fillId="0" borderId="91" applyNumberFormat="0" applyFont="0" applyFill="0" applyBorder="0" applyProtection="0">
      <alignment horizontal="left" vertical="center" indent="5"/>
    </xf>
    <xf numFmtId="0" fontId="34" fillId="32" borderId="91">
      <alignment horizontal="left" vertical="center"/>
    </xf>
    <xf numFmtId="0" fontId="46" fillId="56" borderId="87" applyNumberFormat="0" applyAlignment="0" applyProtection="0"/>
    <xf numFmtId="4" fontId="32" fillId="34" borderId="92">
      <alignment horizontal="right" vertical="center"/>
    </xf>
    <xf numFmtId="0" fontId="58" fillId="43" borderId="87" applyNumberFormat="0" applyAlignment="0" applyProtection="0"/>
    <xf numFmtId="0" fontId="58" fillId="43" borderId="87" applyNumberFormat="0" applyAlignment="0" applyProtection="0"/>
    <xf numFmtId="0" fontId="40" fillId="59" borderId="89" applyNumberFormat="0" applyFont="0" applyAlignment="0" applyProtection="0"/>
    <xf numFmtId="0" fontId="62" fillId="56" borderId="86" applyNumberFormat="0" applyAlignment="0" applyProtection="0"/>
    <xf numFmtId="0" fontId="65" fillId="0" borderId="88" applyNumberFormat="0" applyFill="0" applyAlignment="0" applyProtection="0"/>
    <xf numFmtId="0" fontId="32" fillId="34" borderId="90">
      <alignment horizontal="right" vertical="center"/>
    </xf>
    <xf numFmtId="0" fontId="5" fillId="59" borderId="89" applyNumberFormat="0" applyFont="0" applyAlignment="0" applyProtection="0"/>
    <xf numFmtId="4" fontId="34" fillId="0" borderId="90">
      <alignment horizontal="right" vertical="center"/>
    </xf>
    <xf numFmtId="0" fontId="65" fillId="0" borderId="88" applyNumberFormat="0" applyFill="0" applyAlignment="0" applyProtection="0"/>
    <xf numFmtId="0" fontId="32" fillId="34" borderId="90">
      <alignment horizontal="right" vertical="center"/>
    </xf>
    <xf numFmtId="0" fontId="32" fillId="34" borderId="90">
      <alignment horizontal="right" vertical="center"/>
    </xf>
    <xf numFmtId="4" fontId="36" fillId="32" borderId="90">
      <alignment horizontal="right" vertical="center"/>
    </xf>
    <xf numFmtId="0" fontId="32" fillId="32" borderId="90">
      <alignment horizontal="right" vertical="center"/>
    </xf>
    <xf numFmtId="4" fontId="32" fillId="32" borderId="90">
      <alignment horizontal="right" vertical="center"/>
    </xf>
    <xf numFmtId="0" fontId="36" fillId="32" borderId="90">
      <alignment horizontal="right" vertical="center"/>
    </xf>
    <xf numFmtId="4" fontId="36" fillId="32" borderId="90">
      <alignment horizontal="right" vertical="center"/>
    </xf>
    <xf numFmtId="0" fontId="32" fillId="34" borderId="90">
      <alignment horizontal="right" vertical="center"/>
    </xf>
    <xf numFmtId="4" fontId="32" fillId="34" borderId="90">
      <alignment horizontal="right" vertical="center"/>
    </xf>
    <xf numFmtId="0" fontId="32" fillId="34" borderId="90">
      <alignment horizontal="right" vertical="center"/>
    </xf>
    <xf numFmtId="4" fontId="32" fillId="34" borderId="90">
      <alignment horizontal="right" vertical="center"/>
    </xf>
    <xf numFmtId="0" fontId="32" fillId="34" borderId="91">
      <alignment horizontal="right" vertical="center"/>
    </xf>
    <xf numFmtId="4" fontId="32" fillId="34" borderId="91">
      <alignment horizontal="right" vertical="center"/>
    </xf>
    <xf numFmtId="0" fontId="32" fillId="34" borderId="92">
      <alignment horizontal="right" vertical="center"/>
    </xf>
    <xf numFmtId="4" fontId="32" fillId="34" borderId="92">
      <alignment horizontal="right" vertical="center"/>
    </xf>
    <xf numFmtId="0" fontId="46" fillId="56" borderId="87" applyNumberFormat="0" applyAlignment="0" applyProtection="0"/>
    <xf numFmtId="0" fontId="34" fillId="34" borderId="93">
      <alignment horizontal="left" vertical="center" wrapText="1" indent="2"/>
    </xf>
    <xf numFmtId="0" fontId="34" fillId="0" borderId="93">
      <alignment horizontal="left" vertical="center" wrapText="1" indent="2"/>
    </xf>
    <xf numFmtId="0" fontId="34" fillId="32" borderId="91">
      <alignment horizontal="left" vertical="center"/>
    </xf>
    <xf numFmtId="0" fontId="58" fillId="43" borderId="87" applyNumberFormat="0" applyAlignment="0" applyProtection="0"/>
    <xf numFmtId="0" fontId="34" fillId="0" borderId="90">
      <alignment horizontal="right" vertical="center"/>
    </xf>
    <xf numFmtId="4" fontId="34" fillId="0" borderId="90">
      <alignment horizontal="right" vertical="center"/>
    </xf>
    <xf numFmtId="0" fontId="34" fillId="0" borderId="90" applyNumberFormat="0" applyFill="0" applyAlignment="0" applyProtection="0"/>
    <xf numFmtId="0" fontId="62" fillId="56" borderId="86" applyNumberFormat="0" applyAlignment="0" applyProtection="0"/>
    <xf numFmtId="173" fontId="34" fillId="60" borderId="90" applyNumberFormat="0" applyFont="0" applyBorder="0" applyAlignment="0" applyProtection="0">
      <alignment horizontal="right" vertical="center"/>
    </xf>
    <xf numFmtId="0" fontId="34" fillId="33" borderId="90"/>
    <xf numFmtId="4" fontId="34" fillId="33" borderId="90"/>
    <xf numFmtId="0" fontId="65" fillId="0" borderId="88" applyNumberFormat="0" applyFill="0" applyAlignment="0" applyProtection="0"/>
    <xf numFmtId="0" fontId="5" fillId="59" borderId="89" applyNumberFormat="0" applyFont="0" applyAlignment="0" applyProtection="0"/>
    <xf numFmtId="0" fontId="40" fillId="59" borderId="89" applyNumberFormat="0" applyFont="0" applyAlignment="0" applyProtection="0"/>
    <xf numFmtId="0" fontId="34" fillId="0" borderId="90" applyNumberFormat="0" applyFill="0" applyAlignment="0" applyProtection="0"/>
    <xf numFmtId="0" fontId="50" fillId="0" borderId="88" applyNumberFormat="0" applyFill="0" applyAlignment="0" applyProtection="0"/>
    <xf numFmtId="0" fontId="65" fillId="0" borderId="88" applyNumberFormat="0" applyFill="0" applyAlignment="0" applyProtection="0"/>
    <xf numFmtId="0" fontId="49" fillId="43" borderId="87" applyNumberFormat="0" applyAlignment="0" applyProtection="0"/>
    <xf numFmtId="0" fontId="46" fillId="56" borderId="87" applyNumberFormat="0" applyAlignment="0" applyProtection="0"/>
    <xf numFmtId="4" fontId="36" fillId="32" borderId="90">
      <alignment horizontal="right" vertical="center"/>
    </xf>
    <xf numFmtId="0" fontId="32" fillId="32" borderId="90">
      <alignment horizontal="right" vertical="center"/>
    </xf>
    <xf numFmtId="173" fontId="34" fillId="60" borderId="90" applyNumberFormat="0" applyFont="0" applyBorder="0" applyAlignment="0" applyProtection="0">
      <alignment horizontal="right" vertical="center"/>
    </xf>
    <xf numFmtId="0" fontId="50" fillId="0" borderId="88" applyNumberFormat="0" applyFill="0" applyAlignment="0" applyProtection="0"/>
    <xf numFmtId="49" fontId="34" fillId="0" borderId="90" applyNumberFormat="0" applyFont="0" applyFill="0" applyBorder="0" applyProtection="0">
      <alignment horizontal="left" vertical="center" indent="2"/>
    </xf>
    <xf numFmtId="49" fontId="34" fillId="0" borderId="91" applyNumberFormat="0" applyFont="0" applyFill="0" applyBorder="0" applyProtection="0">
      <alignment horizontal="left" vertical="center" indent="5"/>
    </xf>
    <xf numFmtId="49" fontId="34" fillId="0" borderId="90" applyNumberFormat="0" applyFont="0" applyFill="0" applyBorder="0" applyProtection="0">
      <alignment horizontal="left" vertical="center" indent="2"/>
    </xf>
    <xf numFmtId="4" fontId="34" fillId="0" borderId="90" applyFill="0" applyBorder="0" applyProtection="0">
      <alignment horizontal="right" vertical="center"/>
    </xf>
    <xf numFmtId="49" fontId="33" fillId="0" borderId="90" applyNumberFormat="0" applyFill="0" applyBorder="0" applyProtection="0">
      <alignment horizontal="left" vertical="center"/>
    </xf>
    <xf numFmtId="0" fontId="34" fillId="0" borderId="93">
      <alignment horizontal="left" vertical="center" wrapText="1" indent="2"/>
    </xf>
    <xf numFmtId="0" fontId="62" fillId="56" borderId="86" applyNumberFormat="0" applyAlignment="0" applyProtection="0"/>
    <xf numFmtId="0" fontId="32" fillId="34" borderId="92">
      <alignment horizontal="right" vertical="center"/>
    </xf>
    <xf numFmtId="0" fontId="49" fillId="43" borderId="87" applyNumberFormat="0" applyAlignment="0" applyProtection="0"/>
    <xf numFmtId="0" fontId="32" fillId="34" borderId="92">
      <alignment horizontal="right" vertical="center"/>
    </xf>
    <xf numFmtId="4" fontId="32" fillId="34" borderId="90">
      <alignment horizontal="right" vertical="center"/>
    </xf>
    <xf numFmtId="0" fontId="32" fillId="34" borderId="90">
      <alignment horizontal="right" vertical="center"/>
    </xf>
    <xf numFmtId="0" fontId="43" fillId="56" borderId="86" applyNumberFormat="0" applyAlignment="0" applyProtection="0"/>
    <xf numFmtId="0" fontId="45" fillId="56" borderId="87" applyNumberFormat="0" applyAlignment="0" applyProtection="0"/>
    <xf numFmtId="0" fontId="50" fillId="0" borderId="88" applyNumberFormat="0" applyFill="0" applyAlignment="0" applyProtection="0"/>
    <xf numFmtId="0" fontId="34" fillId="33" borderId="90"/>
    <xf numFmtId="4" fontId="34" fillId="33" borderId="90"/>
    <xf numFmtId="4" fontId="32" fillId="34" borderId="90">
      <alignment horizontal="right" vertical="center"/>
    </xf>
    <xf numFmtId="0" fontId="36" fillId="32" borderId="90">
      <alignment horizontal="right" vertical="center"/>
    </xf>
    <xf numFmtId="0" fontId="49" fillId="43" borderId="87" applyNumberFormat="0" applyAlignment="0" applyProtection="0"/>
    <xf numFmtId="0" fontId="46" fillId="56" borderId="87" applyNumberFormat="0" applyAlignment="0" applyProtection="0"/>
    <xf numFmtId="4" fontId="34" fillId="0" borderId="90">
      <alignment horizontal="right" vertical="center"/>
    </xf>
    <xf numFmtId="0" fontId="34" fillId="34" borderId="93">
      <alignment horizontal="left" vertical="center" wrapText="1" indent="2"/>
    </xf>
    <xf numFmtId="0" fontId="34" fillId="0" borderId="93">
      <alignment horizontal="left" vertical="center" wrapText="1" indent="2"/>
    </xf>
    <xf numFmtId="0" fontId="62" fillId="56" borderId="86" applyNumberFormat="0" applyAlignment="0" applyProtection="0"/>
    <xf numFmtId="0" fontId="58" fillId="43" borderId="87" applyNumberFormat="0" applyAlignment="0" applyProtection="0"/>
    <xf numFmtId="0" fontId="45" fillId="56" borderId="87" applyNumberFormat="0" applyAlignment="0" applyProtection="0"/>
    <xf numFmtId="0" fontId="43" fillId="56" borderId="86" applyNumberFormat="0" applyAlignment="0" applyProtection="0"/>
    <xf numFmtId="0" fontId="32" fillId="34" borderId="92">
      <alignment horizontal="right" vertical="center"/>
    </xf>
    <xf numFmtId="0" fontId="36" fillId="32" borderId="90">
      <alignment horizontal="right" vertical="center"/>
    </xf>
    <xf numFmtId="4" fontId="32" fillId="32" borderId="90">
      <alignment horizontal="right" vertical="center"/>
    </xf>
    <xf numFmtId="4" fontId="32" fillId="34" borderId="90">
      <alignment horizontal="right" vertical="center"/>
    </xf>
    <xf numFmtId="49" fontId="34" fillId="0" borderId="91" applyNumberFormat="0" applyFont="0" applyFill="0" applyBorder="0" applyProtection="0">
      <alignment horizontal="left" vertical="center" indent="5"/>
    </xf>
    <xf numFmtId="4" fontId="34" fillId="0" borderId="90" applyFill="0" applyBorder="0" applyProtection="0">
      <alignment horizontal="right" vertical="center"/>
    </xf>
    <xf numFmtId="4" fontId="32" fillId="32" borderId="90">
      <alignment horizontal="right" vertical="center"/>
    </xf>
    <xf numFmtId="0" fontId="58" fillId="43" borderId="87" applyNumberFormat="0" applyAlignment="0" applyProtection="0"/>
    <xf numFmtId="0" fontId="49" fillId="43" borderId="87" applyNumberFormat="0" applyAlignment="0" applyProtection="0"/>
    <xf numFmtId="0" fontId="45" fillId="56" borderId="87" applyNumberFormat="0" applyAlignment="0" applyProtection="0"/>
    <xf numFmtId="0" fontId="34" fillId="34" borderId="93">
      <alignment horizontal="left" vertical="center" wrapText="1" indent="2"/>
    </xf>
    <xf numFmtId="0" fontId="34" fillId="0" borderId="93">
      <alignment horizontal="left" vertical="center" wrapText="1" indent="2"/>
    </xf>
    <xf numFmtId="0" fontId="34" fillId="34" borderId="93">
      <alignment horizontal="left" vertical="center" wrapText="1" indent="2"/>
    </xf>
    <xf numFmtId="0" fontId="32" fillId="32" borderId="98">
      <alignment horizontal="right" vertical="center"/>
    </xf>
    <xf numFmtId="0" fontId="32" fillId="34" borderId="106">
      <alignment horizontal="right" vertical="center"/>
    </xf>
    <xf numFmtId="0" fontId="62" fillId="56" borderId="102" applyNumberFormat="0" applyAlignment="0" applyProtection="0"/>
    <xf numFmtId="0" fontId="34" fillId="0" borderId="106" applyNumberFormat="0" applyFill="0" applyAlignment="0" applyProtection="0"/>
    <xf numFmtId="0" fontId="62" fillId="56" borderId="123" applyNumberFormat="0" applyAlignment="0" applyProtection="0"/>
    <xf numFmtId="0" fontId="26" fillId="29" borderId="0" applyNumberFormat="0" applyBorder="0" applyAlignment="0" applyProtection="0"/>
    <xf numFmtId="4" fontId="34" fillId="0" borderId="106" applyFill="0" applyBorder="0" applyProtection="0">
      <alignment horizontal="right" vertical="center"/>
    </xf>
    <xf numFmtId="0" fontId="34" fillId="33" borderId="119"/>
    <xf numFmtId="0" fontId="12" fillId="25" borderId="0" applyNumberFormat="0" applyBorder="0" applyAlignment="0" applyProtection="0"/>
    <xf numFmtId="0" fontId="34" fillId="34" borderId="109">
      <alignment horizontal="left" vertical="center" wrapText="1" indent="2"/>
    </xf>
    <xf numFmtId="0" fontId="26" fillId="27" borderId="0" applyNumberFormat="0" applyBorder="0" applyAlignment="0" applyProtection="0"/>
    <xf numFmtId="0" fontId="26" fillId="18" borderId="0" applyNumberFormat="0" applyBorder="0" applyAlignment="0" applyProtection="0"/>
    <xf numFmtId="0" fontId="32" fillId="32" borderId="129">
      <alignment horizontal="right" vertical="center"/>
    </xf>
    <xf numFmtId="0" fontId="29" fillId="13" borderId="13" applyNumberFormat="0" applyAlignment="0" applyProtection="0"/>
    <xf numFmtId="4" fontId="32" fillId="34" borderId="106">
      <alignment horizontal="right" vertical="center"/>
    </xf>
    <xf numFmtId="0" fontId="32" fillId="34" borderId="129">
      <alignment horizontal="right" vertical="center"/>
    </xf>
    <xf numFmtId="0" fontId="40" fillId="59" borderId="105" applyNumberFormat="0" applyFont="0" applyAlignment="0" applyProtection="0"/>
    <xf numFmtId="49" fontId="33" fillId="0" borderId="106" applyNumberFormat="0" applyFill="0" applyBorder="0" applyProtection="0">
      <alignment horizontal="left" vertical="center"/>
    </xf>
    <xf numFmtId="0" fontId="36" fillId="32" borderId="106">
      <alignment horizontal="right" vertical="center"/>
    </xf>
    <xf numFmtId="0" fontId="34" fillId="0" borderId="106" applyNumberFormat="0" applyFill="0" applyAlignment="0" applyProtection="0"/>
    <xf numFmtId="4" fontId="32" fillId="32" borderId="106">
      <alignment horizontal="right" vertical="center"/>
    </xf>
    <xf numFmtId="173" fontId="34" fillId="60" borderId="106" applyNumberFormat="0" applyFont="0" applyBorder="0" applyAlignment="0" applyProtection="0">
      <alignment horizontal="right" vertical="center"/>
    </xf>
    <xf numFmtId="0" fontId="49" fillId="43" borderId="103" applyNumberFormat="0" applyAlignment="0" applyProtection="0"/>
    <xf numFmtId="173" fontId="34" fillId="60" borderId="106" applyNumberFormat="0" applyFont="0" applyBorder="0" applyAlignment="0" applyProtection="0">
      <alignment horizontal="right" vertical="center"/>
    </xf>
    <xf numFmtId="0" fontId="58" fillId="43" borderId="103" applyNumberFormat="0" applyAlignment="0" applyProtection="0"/>
    <xf numFmtId="4" fontId="32" fillId="34" borderId="108">
      <alignment horizontal="right" vertical="center"/>
    </xf>
    <xf numFmtId="0" fontId="46" fillId="56" borderId="103" applyNumberFormat="0" applyAlignment="0" applyProtection="0"/>
    <xf numFmtId="0" fontId="34" fillId="0" borderId="106">
      <alignment horizontal="right" vertical="center"/>
    </xf>
    <xf numFmtId="0" fontId="34" fillId="0" borderId="106" applyNumberFormat="0" applyFill="0" applyAlignment="0" applyProtection="0"/>
    <xf numFmtId="0" fontId="34" fillId="34" borderId="109">
      <alignment horizontal="left" vertical="center" wrapText="1" indent="2"/>
    </xf>
    <xf numFmtId="4" fontId="32" fillId="34" borderId="107">
      <alignment horizontal="right" vertical="center"/>
    </xf>
    <xf numFmtId="0" fontId="40" fillId="59" borderId="105" applyNumberFormat="0" applyFont="0" applyAlignment="0" applyProtection="0"/>
    <xf numFmtId="4" fontId="34" fillId="0" borderId="106" applyFill="0" applyBorder="0" applyProtection="0">
      <alignment horizontal="right" vertical="center"/>
    </xf>
    <xf numFmtId="49" fontId="34" fillId="0" borderId="107" applyNumberFormat="0" applyFont="0" applyFill="0" applyBorder="0" applyProtection="0">
      <alignment horizontal="left" vertical="center" indent="5"/>
    </xf>
    <xf numFmtId="0" fontId="58" fillId="43" borderId="103" applyNumberFormat="0" applyAlignment="0" applyProtection="0"/>
    <xf numFmtId="0" fontId="34" fillId="34" borderId="109">
      <alignment horizontal="left" vertical="center" wrapText="1" indent="2"/>
    </xf>
    <xf numFmtId="0" fontId="12" fillId="19" borderId="0" applyNumberFormat="0" applyBorder="0" applyAlignment="0" applyProtection="0"/>
    <xf numFmtId="0" fontId="12" fillId="31" borderId="0" applyNumberFormat="0" applyBorder="0" applyAlignment="0" applyProtection="0"/>
    <xf numFmtId="4" fontId="34" fillId="33" borderId="114"/>
    <xf numFmtId="0" fontId="34" fillId="0" borderId="106" applyNumberFormat="0" applyFill="0" applyAlignment="0" applyProtection="0"/>
    <xf numFmtId="0" fontId="5" fillId="59" borderId="105" applyNumberFormat="0" applyFont="0" applyAlignment="0" applyProtection="0"/>
    <xf numFmtId="0" fontId="58" fillId="43" borderId="103" applyNumberFormat="0" applyAlignment="0" applyProtection="0"/>
    <xf numFmtId="0" fontId="5" fillId="59" borderId="105" applyNumberFormat="0" applyFont="0" applyAlignment="0" applyProtection="0"/>
    <xf numFmtId="0" fontId="34" fillId="0" borderId="119" applyNumberFormat="0" applyFill="0" applyAlignment="0" applyProtection="0"/>
    <xf numFmtId="0" fontId="32" fillId="34" borderId="108">
      <alignment horizontal="right" vertical="center"/>
    </xf>
    <xf numFmtId="0" fontId="12" fillId="25" borderId="0" applyNumberFormat="0" applyBorder="0" applyAlignment="0" applyProtection="0"/>
    <xf numFmtId="0" fontId="26" fillId="27" borderId="0" applyNumberFormat="0" applyBorder="0" applyAlignment="0" applyProtection="0"/>
    <xf numFmtId="0" fontId="12" fillId="28" borderId="0" applyNumberFormat="0" applyBorder="0" applyAlignment="0" applyProtection="0"/>
    <xf numFmtId="0" fontId="65" fillId="0" borderId="112" applyNumberFormat="0" applyFill="0" applyAlignment="0" applyProtection="0"/>
    <xf numFmtId="0" fontId="12" fillId="22" borderId="0" applyNumberFormat="0" applyBorder="0" applyAlignment="0" applyProtection="0"/>
    <xf numFmtId="0" fontId="34" fillId="0" borderId="119">
      <alignment horizontal="right" vertical="center"/>
    </xf>
    <xf numFmtId="0" fontId="26" fillId="20" borderId="0" applyNumberFormat="0" applyBorder="0" applyAlignment="0" applyProtection="0"/>
    <xf numFmtId="0" fontId="26" fillId="14" borderId="0" applyNumberFormat="0" applyBorder="0" applyAlignment="0" applyProtection="0"/>
    <xf numFmtId="0" fontId="32" fillId="34" borderId="108">
      <alignment horizontal="right" vertical="center"/>
    </xf>
    <xf numFmtId="0" fontId="62" fillId="56" borderId="102" applyNumberFormat="0" applyAlignment="0" applyProtection="0"/>
    <xf numFmtId="0" fontId="58" fillId="43" borderId="103" applyNumberFormat="0" applyAlignment="0" applyProtection="0"/>
    <xf numFmtId="4" fontId="36" fillId="32" borderId="106">
      <alignment horizontal="right" vertical="center"/>
    </xf>
    <xf numFmtId="0" fontId="34" fillId="34" borderId="140">
      <alignment horizontal="left" vertical="center" wrapText="1" indent="2"/>
    </xf>
    <xf numFmtId="4" fontId="32" fillId="34" borderId="98">
      <alignment horizontal="right" vertical="center"/>
    </xf>
    <xf numFmtId="0" fontId="34" fillId="33" borderId="98"/>
    <xf numFmtId="0" fontId="45" fillId="56" borderId="95" applyNumberFormat="0" applyAlignment="0" applyProtection="0"/>
    <xf numFmtId="0" fontId="32" fillId="32" borderId="98">
      <alignment horizontal="right" vertical="center"/>
    </xf>
    <xf numFmtId="0" fontId="34" fillId="0" borderId="98">
      <alignment horizontal="right" vertical="center"/>
    </xf>
    <xf numFmtId="0" fontId="65" fillId="0" borderId="96" applyNumberFormat="0" applyFill="0" applyAlignment="0" applyProtection="0"/>
    <xf numFmtId="0" fontId="34" fillId="32" borderId="99">
      <alignment horizontal="left" vertical="center"/>
    </xf>
    <xf numFmtId="0" fontId="58" fillId="43" borderId="95" applyNumberFormat="0" applyAlignment="0" applyProtection="0"/>
    <xf numFmtId="173" fontId="34" fillId="60" borderId="98" applyNumberFormat="0" applyFont="0" applyBorder="0" applyAlignment="0" applyProtection="0">
      <alignment horizontal="right" vertical="center"/>
    </xf>
    <xf numFmtId="0" fontId="40" fillId="59" borderId="97" applyNumberFormat="0" applyFont="0" applyAlignment="0" applyProtection="0"/>
    <xf numFmtId="0" fontId="34" fillId="0" borderId="101">
      <alignment horizontal="left" vertical="center" wrapText="1" indent="2"/>
    </xf>
    <xf numFmtId="4" fontId="34" fillId="33" borderId="98"/>
    <xf numFmtId="49" fontId="33" fillId="0" borderId="98" applyNumberFormat="0" applyFill="0" applyBorder="0" applyProtection="0">
      <alignment horizontal="left" vertical="center"/>
    </xf>
    <xf numFmtId="0" fontId="34" fillId="0" borderId="98">
      <alignment horizontal="right" vertical="center"/>
    </xf>
    <xf numFmtId="4" fontId="32" fillId="34" borderId="100">
      <alignment horizontal="right" vertical="center"/>
    </xf>
    <xf numFmtId="4" fontId="32" fillId="34" borderId="98">
      <alignment horizontal="right" vertical="center"/>
    </xf>
    <xf numFmtId="4" fontId="32" fillId="34" borderId="98">
      <alignment horizontal="right" vertical="center"/>
    </xf>
    <xf numFmtId="0" fontId="36" fillId="32" borderId="98">
      <alignment horizontal="right" vertical="center"/>
    </xf>
    <xf numFmtId="0" fontId="32" fillId="32" borderId="98">
      <alignment horizontal="right" vertical="center"/>
    </xf>
    <xf numFmtId="49" fontId="34" fillId="0" borderId="98" applyNumberFormat="0" applyFont="0" applyFill="0" applyBorder="0" applyProtection="0">
      <alignment horizontal="left" vertical="center" indent="2"/>
    </xf>
    <xf numFmtId="0" fontId="58" fillId="43" borderId="95" applyNumberFormat="0" applyAlignment="0" applyProtection="0"/>
    <xf numFmtId="0" fontId="43" fillId="56" borderId="94" applyNumberFormat="0" applyAlignment="0" applyProtection="0"/>
    <xf numFmtId="49" fontId="34" fillId="0" borderId="98" applyNumberFormat="0" applyFont="0" applyFill="0" applyBorder="0" applyProtection="0">
      <alignment horizontal="left" vertical="center" indent="2"/>
    </xf>
    <xf numFmtId="0" fontId="49" fillId="43" borderId="95" applyNumberFormat="0" applyAlignment="0" applyProtection="0"/>
    <xf numFmtId="4" fontId="34" fillId="0" borderId="98" applyFill="0" applyBorder="0" applyProtection="0">
      <alignment horizontal="right" vertical="center"/>
    </xf>
    <xf numFmtId="0" fontId="46" fillId="56" borderId="95" applyNumberFormat="0" applyAlignment="0" applyProtection="0"/>
    <xf numFmtId="0" fontId="65" fillId="0" borderId="96" applyNumberFormat="0" applyFill="0" applyAlignment="0" applyProtection="0"/>
    <xf numFmtId="0" fontId="62" fillId="56" borderId="94" applyNumberFormat="0" applyAlignment="0" applyProtection="0"/>
    <xf numFmtId="0" fontId="34" fillId="0" borderId="98" applyNumberFormat="0" applyFill="0" applyAlignment="0" applyProtection="0"/>
    <xf numFmtId="4" fontId="34" fillId="0" borderId="98">
      <alignment horizontal="right" vertical="center"/>
    </xf>
    <xf numFmtId="0" fontId="34" fillId="0" borderId="98">
      <alignment horizontal="right" vertical="center"/>
    </xf>
    <xf numFmtId="0" fontId="58" fillId="43" borderId="95" applyNumberFormat="0" applyAlignment="0" applyProtection="0"/>
    <xf numFmtId="0" fontId="43" fillId="56" borderId="94" applyNumberFormat="0" applyAlignment="0" applyProtection="0"/>
    <xf numFmtId="0" fontId="45" fillId="56" borderId="95" applyNumberFormat="0" applyAlignment="0" applyProtection="0"/>
    <xf numFmtId="0" fontId="34" fillId="34" borderId="101">
      <alignment horizontal="left" vertical="center" wrapText="1" indent="2"/>
    </xf>
    <xf numFmtId="0" fontId="46" fillId="56" borderId="95" applyNumberFormat="0" applyAlignment="0" applyProtection="0"/>
    <xf numFmtId="0" fontId="46" fillId="56" borderId="95" applyNumberFormat="0" applyAlignment="0" applyProtection="0"/>
    <xf numFmtId="4" fontId="32" fillId="34" borderId="99">
      <alignment horizontal="right" vertical="center"/>
    </xf>
    <xf numFmtId="0" fontId="32" fillId="34" borderId="99">
      <alignment horizontal="right" vertical="center"/>
    </xf>
    <xf numFmtId="0" fontId="32" fillId="34" borderId="98">
      <alignment horizontal="right" vertical="center"/>
    </xf>
    <xf numFmtId="4" fontId="36" fillId="32" borderId="98">
      <alignment horizontal="right" vertical="center"/>
    </xf>
    <xf numFmtId="0" fontId="49" fillId="43" borderId="95" applyNumberFormat="0" applyAlignment="0" applyProtection="0"/>
    <xf numFmtId="0" fontId="50" fillId="0" borderId="96" applyNumberFormat="0" applyFill="0" applyAlignment="0" applyProtection="0"/>
    <xf numFmtId="0" fontId="65" fillId="0" borderId="96" applyNumberFormat="0" applyFill="0" applyAlignment="0" applyProtection="0"/>
    <xf numFmtId="0" fontId="40" fillId="59" borderId="97" applyNumberFormat="0" applyFont="0" applyAlignment="0" applyProtection="0"/>
    <xf numFmtId="0" fontId="58" fillId="43" borderId="95" applyNumberFormat="0" applyAlignment="0" applyProtection="0"/>
    <xf numFmtId="49" fontId="33" fillId="0" borderId="98" applyNumberFormat="0" applyFill="0" applyBorder="0" applyProtection="0">
      <alignment horizontal="left" vertical="center"/>
    </xf>
    <xf numFmtId="0" fontId="34" fillId="34" borderId="101">
      <alignment horizontal="left" vertical="center" wrapText="1" indent="2"/>
    </xf>
    <xf numFmtId="0" fontId="46" fillId="56" borderId="95" applyNumberFormat="0" applyAlignment="0" applyProtection="0"/>
    <xf numFmtId="0" fontId="34" fillId="0" borderId="101">
      <alignment horizontal="left" vertical="center" wrapText="1" indent="2"/>
    </xf>
    <xf numFmtId="0" fontId="40" fillId="59" borderId="97" applyNumberFormat="0" applyFont="0" applyAlignment="0" applyProtection="0"/>
    <xf numFmtId="0" fontId="5" fillId="59" borderId="97" applyNumberFormat="0" applyFont="0" applyAlignment="0" applyProtection="0"/>
    <xf numFmtId="0" fontId="62" fillId="56" borderId="94" applyNumberFormat="0" applyAlignment="0" applyProtection="0"/>
    <xf numFmtId="0" fontId="65" fillId="0" borderId="96" applyNumberFormat="0" applyFill="0" applyAlignment="0" applyProtection="0"/>
    <xf numFmtId="4" fontId="34" fillId="33" borderId="98"/>
    <xf numFmtId="0" fontId="32" fillId="34" borderId="98">
      <alignment horizontal="right" vertical="center"/>
    </xf>
    <xf numFmtId="0" fontId="65" fillId="0" borderId="96" applyNumberFormat="0" applyFill="0" applyAlignment="0" applyProtection="0"/>
    <xf numFmtId="4" fontId="32" fillId="34" borderId="100">
      <alignment horizontal="right" vertical="center"/>
    </xf>
    <xf numFmtId="0" fontId="45" fillId="56" borderId="95" applyNumberFormat="0" applyAlignment="0" applyProtection="0"/>
    <xf numFmtId="0" fontId="32" fillId="34" borderId="99">
      <alignment horizontal="right" vertical="center"/>
    </xf>
    <xf numFmtId="0" fontId="46" fillId="56" borderId="95" applyNumberFormat="0" applyAlignment="0" applyProtection="0"/>
    <xf numFmtId="0" fontId="50" fillId="0" borderId="96" applyNumberFormat="0" applyFill="0" applyAlignment="0" applyProtection="0"/>
    <xf numFmtId="0" fontId="40" fillId="59" borderId="97" applyNumberFormat="0" applyFont="0" applyAlignment="0" applyProtection="0"/>
    <xf numFmtId="4" fontId="32" fillId="34" borderId="99">
      <alignment horizontal="right" vertical="center"/>
    </xf>
    <xf numFmtId="0" fontId="34" fillId="34" borderId="101">
      <alignment horizontal="left" vertical="center" wrapText="1" indent="2"/>
    </xf>
    <xf numFmtId="0" fontId="34" fillId="33" borderId="98"/>
    <xf numFmtId="173" fontId="34" fillId="60" borderId="98" applyNumberFormat="0" applyFont="0" applyBorder="0" applyAlignment="0" applyProtection="0">
      <alignment horizontal="right" vertical="center"/>
    </xf>
    <xf numFmtId="0" fontId="34" fillId="0" borderId="98" applyNumberFormat="0" applyFill="0" applyAlignment="0" applyProtection="0"/>
    <xf numFmtId="4" fontId="34" fillId="0" borderId="98" applyFill="0" applyBorder="0" applyProtection="0">
      <alignment horizontal="right" vertical="center"/>
    </xf>
    <xf numFmtId="4" fontId="32" fillId="32" borderId="98">
      <alignment horizontal="right" vertical="center"/>
    </xf>
    <xf numFmtId="0" fontId="50" fillId="0" borderId="96" applyNumberFormat="0" applyFill="0" applyAlignment="0" applyProtection="0"/>
    <xf numFmtId="49" fontId="33" fillId="0" borderId="98" applyNumberFormat="0" applyFill="0" applyBorder="0" applyProtection="0">
      <alignment horizontal="left" vertical="center"/>
    </xf>
    <xf numFmtId="49" fontId="34" fillId="0" borderId="99" applyNumberFormat="0" applyFont="0" applyFill="0" applyBorder="0" applyProtection="0">
      <alignment horizontal="left" vertical="center" indent="5"/>
    </xf>
    <xf numFmtId="0" fontId="34" fillId="32" borderId="99">
      <alignment horizontal="left" vertical="center"/>
    </xf>
    <xf numFmtId="0" fontId="46" fillId="56" borderId="95" applyNumberFormat="0" applyAlignment="0" applyProtection="0"/>
    <xf numFmtId="4" fontId="32" fillId="34" borderId="100">
      <alignment horizontal="right" vertical="center"/>
    </xf>
    <xf numFmtId="0" fontId="58" fillId="43" borderId="95" applyNumberFormat="0" applyAlignment="0" applyProtection="0"/>
    <xf numFmtId="0" fontId="58" fillId="43" borderId="95" applyNumberFormat="0" applyAlignment="0" applyProtection="0"/>
    <xf numFmtId="0" fontId="40" fillId="59" borderId="97" applyNumberFormat="0" applyFont="0" applyAlignment="0" applyProtection="0"/>
    <xf numFmtId="0" fontId="62" fillId="56" borderId="94" applyNumberFormat="0" applyAlignment="0" applyProtection="0"/>
    <xf numFmtId="0" fontId="65" fillId="0" borderId="96" applyNumberFormat="0" applyFill="0" applyAlignment="0" applyProtection="0"/>
    <xf numFmtId="0" fontId="32" fillId="34" borderId="98">
      <alignment horizontal="right" vertical="center"/>
    </xf>
    <xf numFmtId="0" fontId="5" fillId="59" borderId="97" applyNumberFormat="0" applyFont="0" applyAlignment="0" applyProtection="0"/>
    <xf numFmtId="4" fontId="34" fillId="0" borderId="98">
      <alignment horizontal="right" vertical="center"/>
    </xf>
    <xf numFmtId="0" fontId="65" fillId="0" borderId="96" applyNumberFormat="0" applyFill="0" applyAlignment="0" applyProtection="0"/>
    <xf numFmtId="0" fontId="32" fillId="34" borderId="98">
      <alignment horizontal="right" vertical="center"/>
    </xf>
    <xf numFmtId="0" fontId="32" fillId="34" borderId="98">
      <alignment horizontal="right" vertical="center"/>
    </xf>
    <xf numFmtId="4" fontId="36" fillId="32" borderId="98">
      <alignment horizontal="right" vertical="center"/>
    </xf>
    <xf numFmtId="0" fontId="32" fillId="32" borderId="98">
      <alignment horizontal="right" vertical="center"/>
    </xf>
    <xf numFmtId="4" fontId="32" fillId="32" borderId="98">
      <alignment horizontal="right" vertical="center"/>
    </xf>
    <xf numFmtId="0" fontId="36" fillId="32" borderId="98">
      <alignment horizontal="right" vertical="center"/>
    </xf>
    <xf numFmtId="4" fontId="36" fillId="32" borderId="98">
      <alignment horizontal="right" vertical="center"/>
    </xf>
    <xf numFmtId="0" fontId="32" fillId="34" borderId="98">
      <alignment horizontal="right" vertical="center"/>
    </xf>
    <xf numFmtId="4" fontId="32" fillId="34" borderId="98">
      <alignment horizontal="right" vertical="center"/>
    </xf>
    <xf numFmtId="0" fontId="32" fillId="34" borderId="98">
      <alignment horizontal="right" vertical="center"/>
    </xf>
    <xf numFmtId="4" fontId="32" fillId="34" borderId="98">
      <alignment horizontal="right" vertical="center"/>
    </xf>
    <xf numFmtId="0" fontId="32" fillId="34" borderId="99">
      <alignment horizontal="right" vertical="center"/>
    </xf>
    <xf numFmtId="4" fontId="32" fillId="34" borderId="99">
      <alignment horizontal="right" vertical="center"/>
    </xf>
    <xf numFmtId="0" fontId="32" fillId="34" borderId="100">
      <alignment horizontal="right" vertical="center"/>
    </xf>
    <xf numFmtId="4" fontId="32" fillId="34" borderId="100">
      <alignment horizontal="right" vertical="center"/>
    </xf>
    <xf numFmtId="0" fontId="46" fillId="56" borderId="95" applyNumberFormat="0" applyAlignment="0" applyProtection="0"/>
    <xf numFmtId="0" fontId="34" fillId="34" borderId="101">
      <alignment horizontal="left" vertical="center" wrapText="1" indent="2"/>
    </xf>
    <xf numFmtId="0" fontId="34" fillId="0" borderId="101">
      <alignment horizontal="left" vertical="center" wrapText="1" indent="2"/>
    </xf>
    <xf numFmtId="0" fontId="34" fillId="32" borderId="99">
      <alignment horizontal="left" vertical="center"/>
    </xf>
    <xf numFmtId="0" fontId="58" fillId="43" borderId="95" applyNumberFormat="0" applyAlignment="0" applyProtection="0"/>
    <xf numFmtId="0" fontId="34" fillId="0" borderId="98">
      <alignment horizontal="right" vertical="center"/>
    </xf>
    <xf numFmtId="4" fontId="34" fillId="0" borderId="98">
      <alignment horizontal="right" vertical="center"/>
    </xf>
    <xf numFmtId="0" fontId="34" fillId="0" borderId="98" applyNumberFormat="0" applyFill="0" applyAlignment="0" applyProtection="0"/>
    <xf numFmtId="0" fontId="62" fillId="56" borderId="94" applyNumberFormat="0" applyAlignment="0" applyProtection="0"/>
    <xf numFmtId="173" fontId="34" fillId="60" borderId="98" applyNumberFormat="0" applyFont="0" applyBorder="0" applyAlignment="0" applyProtection="0">
      <alignment horizontal="right" vertical="center"/>
    </xf>
    <xf numFmtId="0" fontId="34" fillId="33" borderId="98"/>
    <xf numFmtId="4" fontId="34" fillId="33" borderId="98"/>
    <xf numFmtId="0" fontId="65" fillId="0" borderId="96" applyNumberFormat="0" applyFill="0" applyAlignment="0" applyProtection="0"/>
    <xf numFmtId="0" fontId="5" fillId="59" borderId="97" applyNumberFormat="0" applyFont="0" applyAlignment="0" applyProtection="0"/>
    <xf numFmtId="0" fontId="40" fillId="59" borderId="97" applyNumberFormat="0" applyFont="0" applyAlignment="0" applyProtection="0"/>
    <xf numFmtId="0" fontId="34" fillId="0" borderId="98" applyNumberFormat="0" applyFill="0" applyAlignment="0" applyProtection="0"/>
    <xf numFmtId="0" fontId="50" fillId="0" borderId="96" applyNumberFormat="0" applyFill="0" applyAlignment="0" applyProtection="0"/>
    <xf numFmtId="0" fontId="65" fillId="0" borderId="96" applyNumberFormat="0" applyFill="0" applyAlignment="0" applyProtection="0"/>
    <xf numFmtId="0" fontId="49" fillId="43" borderId="95" applyNumberFormat="0" applyAlignment="0" applyProtection="0"/>
    <xf numFmtId="0" fontId="46" fillId="56" borderId="95" applyNumberFormat="0" applyAlignment="0" applyProtection="0"/>
    <xf numFmtId="4" fontId="36" fillId="32" borderId="98">
      <alignment horizontal="right" vertical="center"/>
    </xf>
    <xf numFmtId="0" fontId="32" fillId="32" borderId="98">
      <alignment horizontal="right" vertical="center"/>
    </xf>
    <xf numFmtId="173" fontId="34" fillId="60" borderId="98" applyNumberFormat="0" applyFont="0" applyBorder="0" applyAlignment="0" applyProtection="0">
      <alignment horizontal="right" vertical="center"/>
    </xf>
    <xf numFmtId="0" fontId="50" fillId="0" borderId="96" applyNumberFormat="0" applyFill="0" applyAlignment="0" applyProtection="0"/>
    <xf numFmtId="49" fontId="34" fillId="0" borderId="98" applyNumberFormat="0" applyFont="0" applyFill="0" applyBorder="0" applyProtection="0">
      <alignment horizontal="left" vertical="center" indent="2"/>
    </xf>
    <xf numFmtId="49" fontId="34" fillId="0" borderId="99" applyNumberFormat="0" applyFont="0" applyFill="0" applyBorder="0" applyProtection="0">
      <alignment horizontal="left" vertical="center" indent="5"/>
    </xf>
    <xf numFmtId="49" fontId="34" fillId="0" borderId="98" applyNumberFormat="0" applyFont="0" applyFill="0" applyBorder="0" applyProtection="0">
      <alignment horizontal="left" vertical="center" indent="2"/>
    </xf>
    <xf numFmtId="4" fontId="34" fillId="0" borderId="98" applyFill="0" applyBorder="0" applyProtection="0">
      <alignment horizontal="right" vertical="center"/>
    </xf>
    <xf numFmtId="49" fontId="33" fillId="0" borderId="98" applyNumberFormat="0" applyFill="0" applyBorder="0" applyProtection="0">
      <alignment horizontal="left" vertical="center"/>
    </xf>
    <xf numFmtId="0" fontId="34" fillId="0" borderId="101">
      <alignment horizontal="left" vertical="center" wrapText="1" indent="2"/>
    </xf>
    <xf numFmtId="0" fontId="62" fillId="56" borderId="94" applyNumberFormat="0" applyAlignment="0" applyProtection="0"/>
    <xf numFmtId="0" fontId="32" fillId="34" borderId="100">
      <alignment horizontal="right" vertical="center"/>
    </xf>
    <xf numFmtId="0" fontId="49" fillId="43" borderId="95" applyNumberFormat="0" applyAlignment="0" applyProtection="0"/>
    <xf numFmtId="0" fontId="32" fillId="34" borderId="100">
      <alignment horizontal="right" vertical="center"/>
    </xf>
    <xf numFmtId="4" fontId="32" fillId="34" borderId="98">
      <alignment horizontal="right" vertical="center"/>
    </xf>
    <xf numFmtId="0" fontId="32" fillId="34" borderId="98">
      <alignment horizontal="right" vertical="center"/>
    </xf>
    <xf numFmtId="0" fontId="43" fillId="56" borderId="94" applyNumberFormat="0" applyAlignment="0" applyProtection="0"/>
    <xf numFmtId="0" fontId="45" fillId="56" borderId="95" applyNumberFormat="0" applyAlignment="0" applyProtection="0"/>
    <xf numFmtId="0" fontId="50" fillId="0" borderId="96" applyNumberFormat="0" applyFill="0" applyAlignment="0" applyProtection="0"/>
    <xf numFmtId="0" fontId="34" fillId="33" borderId="98"/>
    <xf numFmtId="4" fontId="34" fillId="33" borderId="98"/>
    <xf numFmtId="4" fontId="32" fillId="34" borderId="98">
      <alignment horizontal="right" vertical="center"/>
    </xf>
    <xf numFmtId="0" fontId="36" fillId="32" borderId="98">
      <alignment horizontal="right" vertical="center"/>
    </xf>
    <xf numFmtId="0" fontId="49" fillId="43" borderId="95" applyNumberFormat="0" applyAlignment="0" applyProtection="0"/>
    <xf numFmtId="0" fontId="46" fillId="56" borderId="95" applyNumberFormat="0" applyAlignment="0" applyProtection="0"/>
    <xf numFmtId="4" fontId="34" fillId="0" borderId="98">
      <alignment horizontal="right" vertical="center"/>
    </xf>
    <xf numFmtId="0" fontId="34" fillId="34" borderId="101">
      <alignment horizontal="left" vertical="center" wrapText="1" indent="2"/>
    </xf>
    <xf numFmtId="0" fontId="34" fillId="0" borderId="101">
      <alignment horizontal="left" vertical="center" wrapText="1" indent="2"/>
    </xf>
    <xf numFmtId="0" fontId="62" fillId="56" borderId="94" applyNumberFormat="0" applyAlignment="0" applyProtection="0"/>
    <xf numFmtId="0" fontId="58" fillId="43" borderId="95" applyNumberFormat="0" applyAlignment="0" applyProtection="0"/>
    <xf numFmtId="0" fontId="45" fillId="56" borderId="95" applyNumberFormat="0" applyAlignment="0" applyProtection="0"/>
    <xf numFmtId="0" fontId="43" fillId="56" borderId="94" applyNumberFormat="0" applyAlignment="0" applyProtection="0"/>
    <xf numFmtId="0" fontId="32" fillId="34" borderId="100">
      <alignment horizontal="right" vertical="center"/>
    </xf>
    <xf numFmtId="0" fontId="36" fillId="32" borderId="98">
      <alignment horizontal="right" vertical="center"/>
    </xf>
    <xf numFmtId="4" fontId="32" fillId="32" borderId="98">
      <alignment horizontal="right" vertical="center"/>
    </xf>
    <xf numFmtId="4" fontId="32" fillId="34" borderId="98">
      <alignment horizontal="right" vertical="center"/>
    </xf>
    <xf numFmtId="49" fontId="34" fillId="0" borderId="99" applyNumberFormat="0" applyFont="0" applyFill="0" applyBorder="0" applyProtection="0">
      <alignment horizontal="left" vertical="center" indent="5"/>
    </xf>
    <xf numFmtId="4" fontId="34" fillId="0" borderId="98" applyFill="0" applyBorder="0" applyProtection="0">
      <alignment horizontal="right" vertical="center"/>
    </xf>
    <xf numFmtId="4" fontId="32" fillId="32" borderId="98">
      <alignment horizontal="right" vertical="center"/>
    </xf>
    <xf numFmtId="0" fontId="62" fillId="56" borderId="123" applyNumberFormat="0" applyAlignment="0" applyProtection="0"/>
    <xf numFmtId="0" fontId="58" fillId="43" borderId="95" applyNumberFormat="0" applyAlignment="0" applyProtection="0"/>
    <xf numFmtId="0" fontId="49" fillId="43" borderId="95" applyNumberFormat="0" applyAlignment="0" applyProtection="0"/>
    <xf numFmtId="0" fontId="45" fillId="56" borderId="95" applyNumberFormat="0" applyAlignment="0" applyProtection="0"/>
    <xf numFmtId="0" fontId="34" fillId="34" borderId="101">
      <alignment horizontal="left" vertical="center" wrapText="1" indent="2"/>
    </xf>
    <xf numFmtId="0" fontId="34" fillId="0" borderId="101">
      <alignment horizontal="left" vertical="center" wrapText="1" indent="2"/>
    </xf>
    <xf numFmtId="0" fontId="34" fillId="34" borderId="101">
      <alignment horizontal="left" vertical="center" wrapText="1" indent="2"/>
    </xf>
    <xf numFmtId="0" fontId="34" fillId="0" borderId="101">
      <alignment horizontal="left" vertical="center" wrapText="1" indent="2"/>
    </xf>
    <xf numFmtId="0" fontId="43" fillId="56" borderId="94" applyNumberFormat="0" applyAlignment="0" applyProtection="0"/>
    <xf numFmtId="0" fontId="45" fillId="56" borderId="95" applyNumberFormat="0" applyAlignment="0" applyProtection="0"/>
    <xf numFmtId="0" fontId="46" fillId="56" borderId="95" applyNumberFormat="0" applyAlignment="0" applyProtection="0"/>
    <xf numFmtId="0" fontId="49" fillId="43" borderId="95" applyNumberFormat="0" applyAlignment="0" applyProtection="0"/>
    <xf numFmtId="0" fontId="50" fillId="0" borderId="96" applyNumberFormat="0" applyFill="0" applyAlignment="0" applyProtection="0"/>
    <xf numFmtId="0" fontId="58" fillId="43" borderId="95" applyNumberFormat="0" applyAlignment="0" applyProtection="0"/>
    <xf numFmtId="0" fontId="40" fillId="59" borderId="97" applyNumberFormat="0" applyFont="0" applyAlignment="0" applyProtection="0"/>
    <xf numFmtId="0" fontId="5" fillId="59" borderId="97" applyNumberFormat="0" applyFont="0" applyAlignment="0" applyProtection="0"/>
    <xf numFmtId="0" fontId="62" fillId="56" borderId="94" applyNumberFormat="0" applyAlignment="0" applyProtection="0"/>
    <xf numFmtId="0" fontId="65" fillId="0" borderId="96" applyNumberFormat="0" applyFill="0" applyAlignment="0" applyProtection="0"/>
    <xf numFmtId="0" fontId="46" fillId="56" borderId="95" applyNumberFormat="0" applyAlignment="0" applyProtection="0"/>
    <xf numFmtId="0" fontId="58" fillId="43" borderId="95" applyNumberFormat="0" applyAlignment="0" applyProtection="0"/>
    <xf numFmtId="0" fontId="40" fillId="59" borderId="97" applyNumberFormat="0" applyFont="0" applyAlignment="0" applyProtection="0"/>
    <xf numFmtId="0" fontId="62" fillId="56" borderId="94" applyNumberFormat="0" applyAlignment="0" applyProtection="0"/>
    <xf numFmtId="0" fontId="65" fillId="0" borderId="96" applyNumberFormat="0" applyFill="0" applyAlignment="0" applyProtection="0"/>
    <xf numFmtId="0" fontId="40" fillId="59" borderId="105" applyNumberFormat="0" applyFont="0" applyAlignment="0" applyProtection="0"/>
    <xf numFmtId="49" fontId="34" fillId="0" borderId="114" applyNumberFormat="0" applyFont="0" applyFill="0" applyBorder="0" applyProtection="0">
      <alignment horizontal="left" vertical="center" indent="2"/>
    </xf>
    <xf numFmtId="0" fontId="26" fillId="14" borderId="0" applyNumberFormat="0" applyBorder="0" applyAlignment="0" applyProtection="0"/>
    <xf numFmtId="0" fontId="46" fillId="56" borderId="95" applyNumberFormat="0" applyAlignment="0" applyProtection="0"/>
    <xf numFmtId="0" fontId="50" fillId="0" borderId="104" applyNumberFormat="0" applyFill="0" applyAlignment="0" applyProtection="0"/>
    <xf numFmtId="0" fontId="32" fillId="34" borderId="106">
      <alignment horizontal="right" vertical="center"/>
    </xf>
    <xf numFmtId="0" fontId="34" fillId="34" borderId="109">
      <alignment horizontal="left" vertical="center" wrapText="1" indent="2"/>
    </xf>
    <xf numFmtId="0" fontId="58" fillId="43" borderId="95" applyNumberFormat="0" applyAlignment="0" applyProtection="0"/>
    <xf numFmtId="0" fontId="62" fillId="56" borderId="94" applyNumberFormat="0" applyAlignment="0" applyProtection="0"/>
    <xf numFmtId="0" fontId="65" fillId="0" borderId="96" applyNumberFormat="0" applyFill="0" applyAlignment="0" applyProtection="0"/>
    <xf numFmtId="0" fontId="49" fillId="43" borderId="103" applyNumberFormat="0" applyAlignment="0" applyProtection="0"/>
    <xf numFmtId="0" fontId="43" fillId="56" borderId="94" applyNumberFormat="0" applyAlignment="0" applyProtection="0"/>
    <xf numFmtId="0" fontId="45" fillId="56" borderId="95" applyNumberFormat="0" applyAlignment="0" applyProtection="0"/>
    <xf numFmtId="0" fontId="50" fillId="0" borderId="96" applyNumberFormat="0" applyFill="0" applyAlignment="0" applyProtection="0"/>
    <xf numFmtId="49" fontId="34" fillId="0" borderId="98" applyNumberFormat="0" applyFont="0" applyFill="0" applyBorder="0" applyProtection="0">
      <alignment horizontal="left" vertical="center" indent="2"/>
    </xf>
    <xf numFmtId="0" fontId="32" fillId="32" borderId="98">
      <alignment horizontal="right" vertical="center"/>
    </xf>
    <xf numFmtId="4" fontId="32" fillId="32" borderId="98">
      <alignment horizontal="right" vertical="center"/>
    </xf>
    <xf numFmtId="0" fontId="36" fillId="32" borderId="98">
      <alignment horizontal="right" vertical="center"/>
    </xf>
    <xf numFmtId="4" fontId="36" fillId="32" borderId="98">
      <alignment horizontal="right" vertical="center"/>
    </xf>
    <xf numFmtId="0" fontId="32" fillId="34" borderId="98">
      <alignment horizontal="right" vertical="center"/>
    </xf>
    <xf numFmtId="4" fontId="32" fillId="34" borderId="98">
      <alignment horizontal="right" vertical="center"/>
    </xf>
    <xf numFmtId="0" fontId="32" fillId="34" borderId="98">
      <alignment horizontal="right" vertical="center"/>
    </xf>
    <xf numFmtId="4" fontId="32" fillId="34" borderId="98">
      <alignment horizontal="right" vertical="center"/>
    </xf>
    <xf numFmtId="0" fontId="49" fillId="43" borderId="95" applyNumberFormat="0" applyAlignment="0" applyProtection="0"/>
    <xf numFmtId="0" fontId="34" fillId="0" borderId="98">
      <alignment horizontal="right" vertical="center"/>
    </xf>
    <xf numFmtId="4" fontId="34" fillId="0" borderId="98">
      <alignment horizontal="right" vertical="center"/>
    </xf>
    <xf numFmtId="4" fontId="34" fillId="0" borderId="98" applyFill="0" applyBorder="0" applyProtection="0">
      <alignment horizontal="right" vertical="center"/>
    </xf>
    <xf numFmtId="49" fontId="33" fillId="0" borderId="98" applyNumberFormat="0" applyFill="0" applyBorder="0" applyProtection="0">
      <alignment horizontal="left" vertical="center"/>
    </xf>
    <xf numFmtId="0" fontId="34" fillId="0" borderId="98" applyNumberFormat="0" applyFill="0" applyAlignment="0" applyProtection="0"/>
    <xf numFmtId="173" fontId="34" fillId="60" borderId="98" applyNumberFormat="0" applyFont="0" applyBorder="0" applyAlignment="0" applyProtection="0">
      <alignment horizontal="right" vertical="center"/>
    </xf>
    <xf numFmtId="0" fontId="34" fillId="33" borderId="98"/>
    <xf numFmtId="4" fontId="34" fillId="33" borderId="98"/>
    <xf numFmtId="4" fontId="32" fillId="34" borderId="98">
      <alignment horizontal="right" vertical="center"/>
    </xf>
    <xf numFmtId="0" fontId="34" fillId="33" borderId="98"/>
    <xf numFmtId="0" fontId="45" fillId="56" borderId="95" applyNumberFormat="0" applyAlignment="0" applyProtection="0"/>
    <xf numFmtId="0" fontId="32" fillId="32" borderId="98">
      <alignment horizontal="right" vertical="center"/>
    </xf>
    <xf numFmtId="0" fontId="34" fillId="0" borderId="98">
      <alignment horizontal="right" vertical="center"/>
    </xf>
    <xf numFmtId="0" fontId="65" fillId="0" borderId="96" applyNumberFormat="0" applyFill="0" applyAlignment="0" applyProtection="0"/>
    <xf numFmtId="0" fontId="34" fillId="32" borderId="99">
      <alignment horizontal="left" vertical="center"/>
    </xf>
    <xf numFmtId="0" fontId="58" fillId="43" borderId="95" applyNumberFormat="0" applyAlignment="0" applyProtection="0"/>
    <xf numFmtId="173" fontId="34" fillId="60" borderId="98" applyNumberFormat="0" applyFont="0" applyBorder="0" applyAlignment="0" applyProtection="0">
      <alignment horizontal="right" vertical="center"/>
    </xf>
    <xf numFmtId="0" fontId="40" fillId="59" borderId="97" applyNumberFormat="0" applyFont="0" applyAlignment="0" applyProtection="0"/>
    <xf numFmtId="0" fontId="34" fillId="0" borderId="101">
      <alignment horizontal="left" vertical="center" wrapText="1" indent="2"/>
    </xf>
    <xf numFmtId="4" fontId="34" fillId="33" borderId="98"/>
    <xf numFmtId="49" fontId="33" fillId="0" borderId="98" applyNumberFormat="0" applyFill="0" applyBorder="0" applyProtection="0">
      <alignment horizontal="left" vertical="center"/>
    </xf>
    <xf numFmtId="0" fontId="34" fillId="0" borderId="98">
      <alignment horizontal="right" vertical="center"/>
    </xf>
    <xf numFmtId="4" fontId="32" fillId="34" borderId="100">
      <alignment horizontal="right" vertical="center"/>
    </xf>
    <xf numFmtId="4" fontId="32" fillId="34" borderId="98">
      <alignment horizontal="right" vertical="center"/>
    </xf>
    <xf numFmtId="4" fontId="32" fillId="34" borderId="98">
      <alignment horizontal="right" vertical="center"/>
    </xf>
    <xf numFmtId="0" fontId="36" fillId="32" borderId="98">
      <alignment horizontal="right" vertical="center"/>
    </xf>
    <xf numFmtId="0" fontId="32" fillId="32" borderId="98">
      <alignment horizontal="right" vertical="center"/>
    </xf>
    <xf numFmtId="49" fontId="34" fillId="0" borderId="98" applyNumberFormat="0" applyFont="0" applyFill="0" applyBorder="0" applyProtection="0">
      <alignment horizontal="left" vertical="center" indent="2"/>
    </xf>
    <xf numFmtId="0" fontId="58" fillId="43" borderId="95" applyNumberFormat="0" applyAlignment="0" applyProtection="0"/>
    <xf numFmtId="0" fontId="43" fillId="56" borderId="94" applyNumberFormat="0" applyAlignment="0" applyProtection="0"/>
    <xf numFmtId="49" fontId="34" fillId="0" borderId="98" applyNumberFormat="0" applyFont="0" applyFill="0" applyBorder="0" applyProtection="0">
      <alignment horizontal="left" vertical="center" indent="2"/>
    </xf>
    <xf numFmtId="0" fontId="49" fillId="43" borderId="95" applyNumberFormat="0" applyAlignment="0" applyProtection="0"/>
    <xf numFmtId="4" fontId="34" fillId="0" borderId="98" applyFill="0" applyBorder="0" applyProtection="0">
      <alignment horizontal="right" vertical="center"/>
    </xf>
    <xf numFmtId="0" fontId="46" fillId="56" borderId="95" applyNumberFormat="0" applyAlignment="0" applyProtection="0"/>
    <xf numFmtId="0" fontId="65" fillId="0" borderId="96" applyNumberFormat="0" applyFill="0" applyAlignment="0" applyProtection="0"/>
    <xf numFmtId="0" fontId="62" fillId="56" borderId="94" applyNumberFormat="0" applyAlignment="0" applyProtection="0"/>
    <xf numFmtId="0" fontId="34" fillId="0" borderId="98" applyNumberFormat="0" applyFill="0" applyAlignment="0" applyProtection="0"/>
    <xf numFmtId="4" fontId="34" fillId="0" borderId="98">
      <alignment horizontal="right" vertical="center"/>
    </xf>
    <xf numFmtId="0" fontId="34" fillId="0" borderId="98">
      <alignment horizontal="right" vertical="center"/>
    </xf>
    <xf numFmtId="0" fontId="58" fillId="43" borderId="95" applyNumberFormat="0" applyAlignment="0" applyProtection="0"/>
    <xf numFmtId="0" fontId="43" fillId="56" borderId="94" applyNumberFormat="0" applyAlignment="0" applyProtection="0"/>
    <xf numFmtId="0" fontId="45" fillId="56" borderId="95" applyNumberFormat="0" applyAlignment="0" applyProtection="0"/>
    <xf numFmtId="0" fontId="34" fillId="34" borderId="101">
      <alignment horizontal="left" vertical="center" wrapText="1" indent="2"/>
    </xf>
    <xf numFmtId="0" fontId="46" fillId="56" borderId="95" applyNumberFormat="0" applyAlignment="0" applyProtection="0"/>
    <xf numFmtId="0" fontId="46" fillId="56" borderId="95" applyNumberFormat="0" applyAlignment="0" applyProtection="0"/>
    <xf numFmtId="4" fontId="32" fillId="34" borderId="99">
      <alignment horizontal="right" vertical="center"/>
    </xf>
    <xf numFmtId="0" fontId="32" fillId="34" borderId="99">
      <alignment horizontal="right" vertical="center"/>
    </xf>
    <xf numFmtId="0" fontId="32" fillId="34" borderId="98">
      <alignment horizontal="right" vertical="center"/>
    </xf>
    <xf numFmtId="4" fontId="36" fillId="32" borderId="98">
      <alignment horizontal="right" vertical="center"/>
    </xf>
    <xf numFmtId="0" fontId="49" fillId="43" borderId="95" applyNumberFormat="0" applyAlignment="0" applyProtection="0"/>
    <xf numFmtId="0" fontId="50" fillId="0" borderId="96" applyNumberFormat="0" applyFill="0" applyAlignment="0" applyProtection="0"/>
    <xf numFmtId="0" fontId="65" fillId="0" borderId="96" applyNumberFormat="0" applyFill="0" applyAlignment="0" applyProtection="0"/>
    <xf numFmtId="0" fontId="40" fillId="59" borderId="97" applyNumberFormat="0" applyFont="0" applyAlignment="0" applyProtection="0"/>
    <xf numFmtId="0" fontId="58" fillId="43" borderId="95" applyNumberFormat="0" applyAlignment="0" applyProtection="0"/>
    <xf numFmtId="49" fontId="33" fillId="0" borderId="98" applyNumberFormat="0" applyFill="0" applyBorder="0" applyProtection="0">
      <alignment horizontal="left" vertical="center"/>
    </xf>
    <xf numFmtId="0" fontId="34" fillId="34" borderId="101">
      <alignment horizontal="left" vertical="center" wrapText="1" indent="2"/>
    </xf>
    <xf numFmtId="0" fontId="46" fillId="56" borderId="95" applyNumberFormat="0" applyAlignment="0" applyProtection="0"/>
    <xf numFmtId="0" fontId="34" fillId="0" borderId="101">
      <alignment horizontal="left" vertical="center" wrapText="1" indent="2"/>
    </xf>
    <xf numFmtId="0" fontId="40" fillId="59" borderId="97" applyNumberFormat="0" applyFont="0" applyAlignment="0" applyProtection="0"/>
    <xf numFmtId="0" fontId="5" fillId="59" borderId="97" applyNumberFormat="0" applyFont="0" applyAlignment="0" applyProtection="0"/>
    <xf numFmtId="0" fontId="62" fillId="56" borderId="94" applyNumberFormat="0" applyAlignment="0" applyProtection="0"/>
    <xf numFmtId="0" fontId="65" fillId="0" borderId="96" applyNumberFormat="0" applyFill="0" applyAlignment="0" applyProtection="0"/>
    <xf numFmtId="4" fontId="34" fillId="33" borderId="98"/>
    <xf numFmtId="0" fontId="32" fillId="34" borderId="98">
      <alignment horizontal="right" vertical="center"/>
    </xf>
    <xf numFmtId="0" fontId="65" fillId="0" borderId="96" applyNumberFormat="0" applyFill="0" applyAlignment="0" applyProtection="0"/>
    <xf numFmtId="4" fontId="32" fillId="34" borderId="100">
      <alignment horizontal="right" vertical="center"/>
    </xf>
    <xf numFmtId="0" fontId="45" fillId="56" borderId="95" applyNumberFormat="0" applyAlignment="0" applyProtection="0"/>
    <xf numFmtId="0" fontId="32" fillId="34" borderId="99">
      <alignment horizontal="right" vertical="center"/>
    </xf>
    <xf numFmtId="0" fontId="46" fillId="56" borderId="95" applyNumberFormat="0" applyAlignment="0" applyProtection="0"/>
    <xf numFmtId="0" fontId="50" fillId="0" borderId="96" applyNumberFormat="0" applyFill="0" applyAlignment="0" applyProtection="0"/>
    <xf numFmtId="0" fontId="40" fillId="59" borderId="97" applyNumberFormat="0" applyFont="0" applyAlignment="0" applyProtection="0"/>
    <xf numFmtId="4" fontId="32" fillId="34" borderId="99">
      <alignment horizontal="right" vertical="center"/>
    </xf>
    <xf numFmtId="0" fontId="34" fillId="34" borderId="101">
      <alignment horizontal="left" vertical="center" wrapText="1" indent="2"/>
    </xf>
    <xf numFmtId="0" fontId="34" fillId="33" borderId="98"/>
    <xf numFmtId="173" fontId="34" fillId="60" borderId="98" applyNumberFormat="0" applyFont="0" applyBorder="0" applyAlignment="0" applyProtection="0">
      <alignment horizontal="right" vertical="center"/>
    </xf>
    <xf numFmtId="0" fontId="34" fillId="0" borderId="98" applyNumberFormat="0" applyFill="0" applyAlignment="0" applyProtection="0"/>
    <xf numFmtId="4" fontId="34" fillId="0" borderId="98" applyFill="0" applyBorder="0" applyProtection="0">
      <alignment horizontal="right" vertical="center"/>
    </xf>
    <xf numFmtId="4" fontId="32" fillId="32" borderId="98">
      <alignment horizontal="right" vertical="center"/>
    </xf>
    <xf numFmtId="0" fontId="50" fillId="0" borderId="96" applyNumberFormat="0" applyFill="0" applyAlignment="0" applyProtection="0"/>
    <xf numFmtId="49" fontId="33" fillId="0" borderId="98" applyNumberFormat="0" applyFill="0" applyBorder="0" applyProtection="0">
      <alignment horizontal="left" vertical="center"/>
    </xf>
    <xf numFmtId="49" fontId="34" fillId="0" borderId="99" applyNumberFormat="0" applyFont="0" applyFill="0" applyBorder="0" applyProtection="0">
      <alignment horizontal="left" vertical="center" indent="5"/>
    </xf>
    <xf numFmtId="0" fontId="34" fillId="32" borderId="99">
      <alignment horizontal="left" vertical="center"/>
    </xf>
    <xf numFmtId="0" fontId="46" fillId="56" borderId="95" applyNumberFormat="0" applyAlignment="0" applyProtection="0"/>
    <xf numFmtId="4" fontId="32" fillId="34" borderId="100">
      <alignment horizontal="right" vertical="center"/>
    </xf>
    <xf numFmtId="0" fontId="58" fillId="43" borderId="95" applyNumberFormat="0" applyAlignment="0" applyProtection="0"/>
    <xf numFmtId="0" fontId="58" fillId="43" borderId="95" applyNumberFormat="0" applyAlignment="0" applyProtection="0"/>
    <xf numFmtId="0" fontId="40" fillId="59" borderId="97" applyNumberFormat="0" applyFont="0" applyAlignment="0" applyProtection="0"/>
    <xf numFmtId="0" fontId="62" fillId="56" borderId="94" applyNumberFormat="0" applyAlignment="0" applyProtection="0"/>
    <xf numFmtId="0" fontId="65" fillId="0" borderId="96" applyNumberFormat="0" applyFill="0" applyAlignment="0" applyProtection="0"/>
    <xf numFmtId="0" fontId="32" fillId="34" borderId="98">
      <alignment horizontal="right" vertical="center"/>
    </xf>
    <xf numFmtId="0" fontId="5" fillId="59" borderId="97" applyNumberFormat="0" applyFont="0" applyAlignment="0" applyProtection="0"/>
    <xf numFmtId="4" fontId="34" fillId="0" borderId="98">
      <alignment horizontal="right" vertical="center"/>
    </xf>
    <xf numFmtId="0" fontId="65" fillId="0" borderId="96" applyNumberFormat="0" applyFill="0" applyAlignment="0" applyProtection="0"/>
    <xf numFmtId="0" fontId="32" fillId="34" borderId="98">
      <alignment horizontal="right" vertical="center"/>
    </xf>
    <xf numFmtId="0" fontId="32" fillId="34" borderId="98">
      <alignment horizontal="right" vertical="center"/>
    </xf>
    <xf numFmtId="4" fontId="36" fillId="32" borderId="98">
      <alignment horizontal="right" vertical="center"/>
    </xf>
    <xf numFmtId="0" fontId="32" fillId="32" borderId="98">
      <alignment horizontal="right" vertical="center"/>
    </xf>
    <xf numFmtId="4" fontId="32" fillId="32" borderId="98">
      <alignment horizontal="right" vertical="center"/>
    </xf>
    <xf numFmtId="0" fontId="36" fillId="32" borderId="98">
      <alignment horizontal="right" vertical="center"/>
    </xf>
    <xf numFmtId="4" fontId="36" fillId="32" borderId="98">
      <alignment horizontal="right" vertical="center"/>
    </xf>
    <xf numFmtId="0" fontId="32" fillId="34" borderId="98">
      <alignment horizontal="right" vertical="center"/>
    </xf>
    <xf numFmtId="4" fontId="32" fillId="34" borderId="98">
      <alignment horizontal="right" vertical="center"/>
    </xf>
    <xf numFmtId="0" fontId="32" fillId="34" borderId="98">
      <alignment horizontal="right" vertical="center"/>
    </xf>
    <xf numFmtId="4" fontId="32" fillId="34" borderId="98">
      <alignment horizontal="right" vertical="center"/>
    </xf>
    <xf numFmtId="0" fontId="32" fillId="34" borderId="99">
      <alignment horizontal="right" vertical="center"/>
    </xf>
    <xf numFmtId="4" fontId="32" fillId="34" borderId="99">
      <alignment horizontal="right" vertical="center"/>
    </xf>
    <xf numFmtId="0" fontId="32" fillId="34" borderId="100">
      <alignment horizontal="right" vertical="center"/>
    </xf>
    <xf numFmtId="4" fontId="32" fillId="34" borderId="100">
      <alignment horizontal="right" vertical="center"/>
    </xf>
    <xf numFmtId="0" fontId="46" fillId="56" borderId="95" applyNumberFormat="0" applyAlignment="0" applyProtection="0"/>
    <xf numFmtId="0" fontId="34" fillId="34" borderId="101">
      <alignment horizontal="left" vertical="center" wrapText="1" indent="2"/>
    </xf>
    <xf numFmtId="0" fontId="34" fillId="0" borderId="101">
      <alignment horizontal="left" vertical="center" wrapText="1" indent="2"/>
    </xf>
    <xf numFmtId="0" fontId="34" fillId="32" borderId="99">
      <alignment horizontal="left" vertical="center"/>
    </xf>
    <xf numFmtId="0" fontId="58" fillId="43" borderId="95" applyNumberFormat="0" applyAlignment="0" applyProtection="0"/>
    <xf numFmtId="0" fontId="34" fillId="0" borderId="98">
      <alignment horizontal="right" vertical="center"/>
    </xf>
    <xf numFmtId="4" fontId="34" fillId="0" borderId="98">
      <alignment horizontal="right" vertical="center"/>
    </xf>
    <xf numFmtId="0" fontId="34" fillId="0" borderId="98" applyNumberFormat="0" applyFill="0" applyAlignment="0" applyProtection="0"/>
    <xf numFmtId="0" fontId="62" fillId="56" borderId="94" applyNumberFormat="0" applyAlignment="0" applyProtection="0"/>
    <xf numFmtId="173" fontId="34" fillId="60" borderId="98" applyNumberFormat="0" applyFont="0" applyBorder="0" applyAlignment="0" applyProtection="0">
      <alignment horizontal="right" vertical="center"/>
    </xf>
    <xf numFmtId="0" fontId="34" fillId="33" borderId="98"/>
    <xf numFmtId="4" fontId="34" fillId="33" borderId="98"/>
    <xf numFmtId="0" fontId="65" fillId="0" borderId="96" applyNumberFormat="0" applyFill="0" applyAlignment="0" applyProtection="0"/>
    <xf numFmtId="0" fontId="5" fillId="59" borderId="97" applyNumberFormat="0" applyFont="0" applyAlignment="0" applyProtection="0"/>
    <xf numFmtId="0" fontId="40" fillId="59" borderId="97" applyNumberFormat="0" applyFont="0" applyAlignment="0" applyProtection="0"/>
    <xf numFmtId="0" fontId="34" fillId="0" borderId="98" applyNumberFormat="0" applyFill="0" applyAlignment="0" applyProtection="0"/>
    <xf numFmtId="0" fontId="50" fillId="0" borderId="96" applyNumberFormat="0" applyFill="0" applyAlignment="0" applyProtection="0"/>
    <xf numFmtId="0" fontId="65" fillId="0" borderId="96" applyNumberFormat="0" applyFill="0" applyAlignment="0" applyProtection="0"/>
    <xf numFmtId="0" fontId="49" fillId="43" borderId="95" applyNumberFormat="0" applyAlignment="0" applyProtection="0"/>
    <xf numFmtId="0" fontId="46" fillId="56" borderId="95" applyNumberFormat="0" applyAlignment="0" applyProtection="0"/>
    <xf numFmtId="4" fontId="36" fillId="32" borderId="98">
      <alignment horizontal="right" vertical="center"/>
    </xf>
    <xf numFmtId="0" fontId="32" fillId="32" borderId="98">
      <alignment horizontal="right" vertical="center"/>
    </xf>
    <xf numFmtId="173" fontId="34" fillId="60" borderId="98" applyNumberFormat="0" applyFont="0" applyBorder="0" applyAlignment="0" applyProtection="0">
      <alignment horizontal="right" vertical="center"/>
    </xf>
    <xf numFmtId="0" fontId="50" fillId="0" borderId="96" applyNumberFormat="0" applyFill="0" applyAlignment="0" applyProtection="0"/>
    <xf numFmtId="49" fontId="34" fillId="0" borderId="98" applyNumberFormat="0" applyFont="0" applyFill="0" applyBorder="0" applyProtection="0">
      <alignment horizontal="left" vertical="center" indent="2"/>
    </xf>
    <xf numFmtId="49" fontId="34" fillId="0" borderId="99" applyNumberFormat="0" applyFont="0" applyFill="0" applyBorder="0" applyProtection="0">
      <alignment horizontal="left" vertical="center" indent="5"/>
    </xf>
    <xf numFmtId="49" fontId="34" fillId="0" borderId="98" applyNumberFormat="0" applyFont="0" applyFill="0" applyBorder="0" applyProtection="0">
      <alignment horizontal="left" vertical="center" indent="2"/>
    </xf>
    <xf numFmtId="4" fontId="34" fillId="0" borderId="98" applyFill="0" applyBorder="0" applyProtection="0">
      <alignment horizontal="right" vertical="center"/>
    </xf>
    <xf numFmtId="49" fontId="33" fillId="0" borderId="98" applyNumberFormat="0" applyFill="0" applyBorder="0" applyProtection="0">
      <alignment horizontal="left" vertical="center"/>
    </xf>
    <xf numFmtId="0" fontId="34" fillId="0" borderId="101">
      <alignment horizontal="left" vertical="center" wrapText="1" indent="2"/>
    </xf>
    <xf numFmtId="0" fontId="62" fillId="56" borderId="94" applyNumberFormat="0" applyAlignment="0" applyProtection="0"/>
    <xf numFmtId="0" fontId="32" fillId="34" borderId="100">
      <alignment horizontal="right" vertical="center"/>
    </xf>
    <xf numFmtId="0" fontId="49" fillId="43" borderId="95" applyNumberFormat="0" applyAlignment="0" applyProtection="0"/>
    <xf numFmtId="0" fontId="32" fillId="34" borderId="100">
      <alignment horizontal="right" vertical="center"/>
    </xf>
    <xf numFmtId="4" fontId="32" fillId="34" borderId="98">
      <alignment horizontal="right" vertical="center"/>
    </xf>
    <xf numFmtId="0" fontId="32" fillId="34" borderId="98">
      <alignment horizontal="right" vertical="center"/>
    </xf>
    <xf numFmtId="0" fontId="43" fillId="56" borderId="94" applyNumberFormat="0" applyAlignment="0" applyProtection="0"/>
    <xf numFmtId="0" fontId="45" fillId="56" borderId="95" applyNumberFormat="0" applyAlignment="0" applyProtection="0"/>
    <xf numFmtId="0" fontId="50" fillId="0" borderId="96" applyNumberFormat="0" applyFill="0" applyAlignment="0" applyProtection="0"/>
    <xf numFmtId="0" fontId="34" fillId="33" borderId="98"/>
    <xf numFmtId="4" fontId="34" fillId="33" borderId="98"/>
    <xf numFmtId="4" fontId="32" fillId="34" borderId="98">
      <alignment horizontal="right" vertical="center"/>
    </xf>
    <xf numFmtId="0" fontId="36" fillId="32" borderId="98">
      <alignment horizontal="right" vertical="center"/>
    </xf>
    <xf numFmtId="0" fontId="49" fillId="43" borderId="95" applyNumberFormat="0" applyAlignment="0" applyProtection="0"/>
    <xf numFmtId="0" fontId="46" fillId="56" borderId="95" applyNumberFormat="0" applyAlignment="0" applyProtection="0"/>
    <xf numFmtId="4" fontId="34" fillId="0" borderId="98">
      <alignment horizontal="right" vertical="center"/>
    </xf>
    <xf numFmtId="0" fontId="34" fillId="34" borderId="101">
      <alignment horizontal="left" vertical="center" wrapText="1" indent="2"/>
    </xf>
    <xf numFmtId="0" fontId="34" fillId="0" borderId="101">
      <alignment horizontal="left" vertical="center" wrapText="1" indent="2"/>
    </xf>
    <xf numFmtId="0" fontId="62" fillId="56" borderId="94" applyNumberFormat="0" applyAlignment="0" applyProtection="0"/>
    <xf numFmtId="0" fontId="58" fillId="43" borderId="95" applyNumberFormat="0" applyAlignment="0" applyProtection="0"/>
    <xf numFmtId="0" fontId="45" fillId="56" borderId="95" applyNumberFormat="0" applyAlignment="0" applyProtection="0"/>
    <xf numFmtId="0" fontId="43" fillId="56" borderId="94" applyNumberFormat="0" applyAlignment="0" applyProtection="0"/>
    <xf numFmtId="0" fontId="32" fillId="34" borderId="100">
      <alignment horizontal="right" vertical="center"/>
    </xf>
    <xf numFmtId="0" fontId="36" fillId="32" borderId="98">
      <alignment horizontal="right" vertical="center"/>
    </xf>
    <xf numFmtId="4" fontId="32" fillId="32" borderId="98">
      <alignment horizontal="right" vertical="center"/>
    </xf>
    <xf numFmtId="4" fontId="32" fillId="34" borderId="98">
      <alignment horizontal="right" vertical="center"/>
    </xf>
    <xf numFmtId="49" fontId="34" fillId="0" borderId="99" applyNumberFormat="0" applyFont="0" applyFill="0" applyBorder="0" applyProtection="0">
      <alignment horizontal="left" vertical="center" indent="5"/>
    </xf>
    <xf numFmtId="4" fontId="34" fillId="0" borderId="98" applyFill="0" applyBorder="0" applyProtection="0">
      <alignment horizontal="right" vertical="center"/>
    </xf>
    <xf numFmtId="4" fontId="32" fillId="32" borderId="98">
      <alignment horizontal="right" vertical="center"/>
    </xf>
    <xf numFmtId="0" fontId="58" fillId="43" borderId="95" applyNumberFormat="0" applyAlignment="0" applyProtection="0"/>
    <xf numFmtId="0" fontId="49" fillId="43" borderId="95" applyNumberFormat="0" applyAlignment="0" applyProtection="0"/>
    <xf numFmtId="0" fontId="45" fillId="56" borderId="95" applyNumberFormat="0" applyAlignment="0" applyProtection="0"/>
    <xf numFmtId="0" fontId="34" fillId="34" borderId="101">
      <alignment horizontal="left" vertical="center" wrapText="1" indent="2"/>
    </xf>
    <xf numFmtId="0" fontId="34" fillId="0" borderId="101">
      <alignment horizontal="left" vertical="center" wrapText="1" indent="2"/>
    </xf>
    <xf numFmtId="0" fontId="34" fillId="34" borderId="101">
      <alignment horizontal="left" vertical="center" wrapText="1" indent="2"/>
    </xf>
    <xf numFmtId="0" fontId="58" fillId="43" borderId="103" applyNumberFormat="0" applyAlignment="0" applyProtection="0"/>
    <xf numFmtId="0" fontId="34" fillId="0" borderId="129">
      <alignment horizontal="right" vertical="center"/>
    </xf>
    <xf numFmtId="0" fontId="34" fillId="0" borderId="119">
      <alignment horizontal="right" vertical="center"/>
    </xf>
    <xf numFmtId="0" fontId="34" fillId="0" borderId="129">
      <alignment horizontal="right" vertical="center"/>
    </xf>
    <xf numFmtId="0" fontId="65" fillId="0" borderId="127" applyNumberFormat="0" applyFill="0" applyAlignment="0" applyProtection="0"/>
    <xf numFmtId="0" fontId="40" fillId="59" borderId="118" applyNumberFormat="0" applyFont="0" applyAlignment="0" applyProtection="0"/>
    <xf numFmtId="0" fontId="49" fillId="43" borderId="124" applyNumberFormat="0" applyAlignment="0" applyProtection="0"/>
    <xf numFmtId="0" fontId="32" fillId="34" borderId="120">
      <alignment horizontal="right" vertical="center"/>
    </xf>
    <xf numFmtId="0" fontId="40" fillId="59" borderId="128" applyNumberFormat="0" applyFont="0" applyAlignment="0" applyProtection="0"/>
    <xf numFmtId="0" fontId="65" fillId="0" borderId="104" applyNumberFormat="0" applyFill="0" applyAlignment="0" applyProtection="0"/>
    <xf numFmtId="0" fontId="28" fillId="13" borderId="14" applyNumberFormat="0" applyAlignment="0" applyProtection="0"/>
    <xf numFmtId="0" fontId="58" fillId="43" borderId="103" applyNumberFormat="0" applyAlignment="0" applyProtection="0"/>
    <xf numFmtId="49" fontId="34" fillId="0" borderId="119" applyNumberFormat="0" applyFont="0" applyFill="0" applyBorder="0" applyProtection="0">
      <alignment horizontal="left" vertical="center" indent="2"/>
    </xf>
    <xf numFmtId="0" fontId="28" fillId="13" borderId="14" applyNumberFormat="0" applyAlignment="0" applyProtection="0"/>
    <xf numFmtId="4" fontId="32" fillId="32" borderId="114">
      <alignment horizontal="right" vertical="center"/>
    </xf>
    <xf numFmtId="0" fontId="34" fillId="34" borderId="132">
      <alignment horizontal="left" vertical="center" wrapText="1" indent="2"/>
    </xf>
    <xf numFmtId="4" fontId="32" fillId="34" borderId="114">
      <alignment horizontal="right" vertical="center"/>
    </xf>
    <xf numFmtId="0" fontId="12" fillId="19" borderId="0" applyNumberFormat="0" applyBorder="0" applyAlignment="0" applyProtection="0"/>
    <xf numFmtId="0" fontId="32" fillId="34" borderId="119">
      <alignment horizontal="right" vertical="center"/>
    </xf>
    <xf numFmtId="0" fontId="46" fillId="56" borderId="126" applyNumberFormat="0" applyAlignment="0" applyProtection="0"/>
    <xf numFmtId="173" fontId="34" fillId="60" borderId="129" applyNumberFormat="0" applyFont="0" applyBorder="0" applyAlignment="0" applyProtection="0">
      <alignment horizontal="right" vertical="center"/>
    </xf>
    <xf numFmtId="49" fontId="33" fillId="0" borderId="114" applyNumberFormat="0" applyFill="0" applyBorder="0" applyProtection="0">
      <alignment horizontal="left" vertical="center"/>
    </xf>
    <xf numFmtId="0" fontId="58" fillId="43" borderId="124" applyNumberFormat="0" applyAlignment="0" applyProtection="0"/>
    <xf numFmtId="49" fontId="34" fillId="0" borderId="120" applyNumberFormat="0" applyFont="0" applyFill="0" applyBorder="0" applyProtection="0">
      <alignment horizontal="left" vertical="center" indent="5"/>
    </xf>
    <xf numFmtId="4" fontId="34" fillId="0" borderId="119">
      <alignment horizontal="right" vertical="center"/>
    </xf>
    <xf numFmtId="173" fontId="34" fillId="60" borderId="119" applyNumberFormat="0" applyFont="0" applyBorder="0" applyAlignment="0" applyProtection="0">
      <alignment horizontal="right" vertical="center"/>
    </xf>
    <xf numFmtId="0" fontId="49" fillId="43" borderId="124" applyNumberFormat="0" applyAlignment="0" applyProtection="0"/>
    <xf numFmtId="0" fontId="34" fillId="0" borderId="129" applyNumberFormat="0" applyFill="0" applyAlignment="0" applyProtection="0"/>
    <xf numFmtId="4" fontId="36" fillId="32" borderId="119">
      <alignment horizontal="right" vertical="center"/>
    </xf>
    <xf numFmtId="0" fontId="26" fillId="30" borderId="0" applyNumberFormat="0" applyBorder="0" applyAlignment="0" applyProtection="0"/>
    <xf numFmtId="0" fontId="50" fillId="0" borderId="125" applyNumberFormat="0" applyFill="0" applyAlignment="0" applyProtection="0"/>
    <xf numFmtId="0" fontId="29" fillId="13" borderId="13" applyNumberFormat="0" applyAlignment="0" applyProtection="0"/>
    <xf numFmtId="0" fontId="46" fillId="56" borderId="124" applyNumberFormat="0" applyAlignment="0" applyProtection="0"/>
    <xf numFmtId="0" fontId="34" fillId="0" borderId="119">
      <alignment horizontal="right" vertical="center"/>
    </xf>
    <xf numFmtId="0" fontId="58" fillId="43" borderId="124" applyNumberFormat="0" applyAlignment="0" applyProtection="0"/>
    <xf numFmtId="0" fontId="32" fillId="34" borderId="121">
      <alignment horizontal="right" vertical="center"/>
    </xf>
    <xf numFmtId="0" fontId="34" fillId="34" borderId="122">
      <alignment horizontal="left" vertical="center" wrapText="1" indent="2"/>
    </xf>
    <xf numFmtId="0" fontId="34" fillId="32" borderId="130">
      <alignment horizontal="left" vertical="center"/>
    </xf>
    <xf numFmtId="0" fontId="34" fillId="0" borderId="119">
      <alignment horizontal="right" vertical="center"/>
    </xf>
    <xf numFmtId="0" fontId="40" fillId="59" borderId="105" applyNumberFormat="0" applyFont="0" applyAlignment="0" applyProtection="0"/>
    <xf numFmtId="0" fontId="40" fillId="59" borderId="118" applyNumberFormat="0" applyFont="0" applyAlignment="0" applyProtection="0"/>
    <xf numFmtId="0" fontId="62" fillId="56" borderId="123" applyNumberFormat="0" applyAlignment="0" applyProtection="0"/>
    <xf numFmtId="0" fontId="32" fillId="34" borderId="131">
      <alignment horizontal="right" vertical="center"/>
    </xf>
    <xf numFmtId="0" fontId="32" fillId="32" borderId="137">
      <alignment horizontal="right" vertical="center"/>
    </xf>
    <xf numFmtId="49" fontId="34" fillId="0" borderId="120" applyNumberFormat="0" applyFont="0" applyFill="0" applyBorder="0" applyProtection="0">
      <alignment horizontal="left" vertical="center" indent="5"/>
    </xf>
    <xf numFmtId="0" fontId="1" fillId="0" borderId="0" applyNumberFormat="0" applyFill="0" applyBorder="0" applyAlignment="0" applyProtection="0"/>
    <xf numFmtId="0" fontId="12" fillId="22" borderId="0" applyNumberFormat="0" applyBorder="0" applyAlignment="0" applyProtection="0"/>
    <xf numFmtId="4" fontId="32" fillId="34" borderId="130">
      <alignment horizontal="right" vertical="center"/>
    </xf>
    <xf numFmtId="0" fontId="34" fillId="34" borderId="140">
      <alignment horizontal="left" vertical="center" wrapText="1" indent="2"/>
    </xf>
    <xf numFmtId="4" fontId="32" fillId="32" borderId="129">
      <alignment horizontal="right" vertical="center"/>
    </xf>
    <xf numFmtId="0" fontId="65" fillId="0" borderId="125" applyNumberFormat="0" applyFill="0" applyAlignment="0" applyProtection="0"/>
    <xf numFmtId="0" fontId="32" fillId="34" borderId="130">
      <alignment horizontal="right" vertical="center"/>
    </xf>
    <xf numFmtId="0" fontId="34" fillId="34" borderId="109">
      <alignment horizontal="left" vertical="center" wrapText="1" indent="2"/>
    </xf>
    <xf numFmtId="0" fontId="26" fillId="30" borderId="0" applyNumberFormat="0" applyBorder="0" applyAlignment="0" applyProtection="0"/>
    <xf numFmtId="0" fontId="58" fillId="43" borderId="103" applyNumberFormat="0" applyAlignment="0" applyProtection="0"/>
    <xf numFmtId="0" fontId="36" fillId="32" borderId="119">
      <alignment horizontal="right" vertical="center"/>
    </xf>
    <xf numFmtId="0" fontId="5" fillId="59" borderId="118" applyNumberFormat="0" applyFont="0" applyAlignment="0" applyProtection="0"/>
    <xf numFmtId="4" fontId="34" fillId="33" borderId="119"/>
    <xf numFmtId="0" fontId="45" fillId="56" borderId="134" applyNumberFormat="0" applyAlignment="0" applyProtection="0"/>
    <xf numFmtId="0" fontId="49" fillId="43" borderId="103" applyNumberFormat="0" applyAlignment="0" applyProtection="0"/>
    <xf numFmtId="0" fontId="1" fillId="0" borderId="0" applyNumberFormat="0" applyFill="0" applyBorder="0" applyAlignment="0" applyProtection="0"/>
    <xf numFmtId="0" fontId="43" fillId="56" borderId="133" applyNumberFormat="0" applyAlignment="0" applyProtection="0"/>
    <xf numFmtId="0" fontId="28" fillId="13" borderId="14" applyNumberFormat="0" applyAlignment="0" applyProtection="0"/>
    <xf numFmtId="4" fontId="32" fillId="34" borderId="115">
      <alignment horizontal="right" vertical="center"/>
    </xf>
    <xf numFmtId="0" fontId="34" fillId="32" borderId="107">
      <alignment horizontal="left" vertical="center"/>
    </xf>
    <xf numFmtId="0" fontId="46" fillId="56" borderId="103" applyNumberFormat="0" applyAlignment="0" applyProtection="0"/>
    <xf numFmtId="0" fontId="32" fillId="34" borderId="108">
      <alignment horizontal="right" vertical="center"/>
    </xf>
    <xf numFmtId="0" fontId="34" fillId="0" borderId="109">
      <alignment horizontal="left" vertical="center" wrapText="1" indent="2"/>
    </xf>
    <xf numFmtId="0" fontId="34" fillId="34" borderId="132">
      <alignment horizontal="left" vertical="center" wrapText="1" indent="2"/>
    </xf>
    <xf numFmtId="0" fontId="32" fillId="34" borderId="108">
      <alignment horizontal="right" vertical="center"/>
    </xf>
    <xf numFmtId="4" fontId="32" fillId="32" borderId="137">
      <alignment horizontal="right" vertical="center"/>
    </xf>
    <xf numFmtId="4" fontId="36" fillId="32" borderId="106">
      <alignment horizontal="right" vertical="center"/>
    </xf>
    <xf numFmtId="0" fontId="36" fillId="32" borderId="106">
      <alignment horizontal="right" vertical="center"/>
    </xf>
    <xf numFmtId="0" fontId="34" fillId="0" borderId="119" applyNumberFormat="0" applyFill="0" applyAlignment="0" applyProtection="0"/>
    <xf numFmtId="0" fontId="46" fillId="56" borderId="124" applyNumberFormat="0" applyAlignment="0" applyProtection="0"/>
    <xf numFmtId="0" fontId="32" fillId="34" borderId="139">
      <alignment horizontal="right" vertical="center"/>
    </xf>
    <xf numFmtId="4" fontId="32" fillId="34" borderId="131">
      <alignment horizontal="right" vertical="center"/>
    </xf>
    <xf numFmtId="0" fontId="34" fillId="34" borderId="109">
      <alignment horizontal="left" vertical="center" wrapText="1" indent="2"/>
    </xf>
    <xf numFmtId="4" fontId="32" fillId="34" borderId="129">
      <alignment horizontal="right" vertical="center"/>
    </xf>
    <xf numFmtId="0" fontId="34" fillId="34" borderId="122">
      <alignment horizontal="left" vertical="center" wrapText="1" indent="2"/>
    </xf>
    <xf numFmtId="0" fontId="58" fillId="43" borderId="134" applyNumberFormat="0" applyAlignment="0" applyProtection="0"/>
    <xf numFmtId="0" fontId="62" fillId="56" borderId="141" applyNumberFormat="0" applyAlignment="0" applyProtection="0"/>
    <xf numFmtId="0" fontId="58" fillId="43" borderId="103" applyNumberFormat="0" applyAlignment="0" applyProtection="0"/>
    <xf numFmtId="0" fontId="58" fillId="43" borderId="103" applyNumberFormat="0" applyAlignment="0" applyProtection="0"/>
    <xf numFmtId="0" fontId="65" fillId="0" borderId="127" applyNumberFormat="0" applyFill="0" applyAlignment="0" applyProtection="0"/>
    <xf numFmtId="0" fontId="65" fillId="0" borderId="125" applyNumberFormat="0" applyFill="0" applyAlignment="0" applyProtection="0"/>
    <xf numFmtId="49" fontId="33" fillId="0" borderId="106" applyNumberFormat="0" applyFill="0" applyBorder="0" applyProtection="0">
      <alignment horizontal="left" vertical="center"/>
    </xf>
    <xf numFmtId="4" fontId="36" fillId="32" borderId="106">
      <alignment horizontal="right" vertical="center"/>
    </xf>
    <xf numFmtId="0" fontId="5" fillId="59" borderId="105" applyNumberFormat="0" applyFont="0" applyAlignment="0" applyProtection="0"/>
    <xf numFmtId="0" fontId="34" fillId="32" borderId="107">
      <alignment horizontal="left" vertical="center"/>
    </xf>
    <xf numFmtId="0" fontId="50" fillId="0" borderId="104" applyNumberFormat="0" applyFill="0" applyAlignment="0" applyProtection="0"/>
    <xf numFmtId="0" fontId="45" fillId="56" borderId="126" applyNumberFormat="0" applyAlignment="0" applyProtection="0"/>
    <xf numFmtId="0" fontId="12" fillId="16" borderId="0" applyNumberFormat="0" applyBorder="0" applyAlignment="0" applyProtection="0"/>
    <xf numFmtId="0" fontId="40" fillId="59" borderId="128" applyNumberFormat="0" applyFont="0" applyAlignment="0" applyProtection="0"/>
    <xf numFmtId="0" fontId="34" fillId="0" borderId="119" applyNumberFormat="0" applyFill="0" applyAlignment="0" applyProtection="0"/>
    <xf numFmtId="0" fontId="32" fillId="34" borderId="107">
      <alignment horizontal="right" vertical="center"/>
    </xf>
    <xf numFmtId="4" fontId="32" fillId="34" borderId="129">
      <alignment horizontal="right" vertical="center"/>
    </xf>
    <xf numFmtId="4" fontId="34" fillId="0" borderId="129">
      <alignment horizontal="right" vertical="center"/>
    </xf>
    <xf numFmtId="0" fontId="34" fillId="0" borderId="109">
      <alignment horizontal="left" vertical="center" wrapText="1" indent="2"/>
    </xf>
    <xf numFmtId="0" fontId="34" fillId="34" borderId="122">
      <alignment horizontal="left" vertical="center" wrapText="1" indent="2"/>
    </xf>
    <xf numFmtId="0" fontId="65" fillId="0" borderId="125" applyNumberFormat="0" applyFill="0" applyAlignment="0" applyProtection="0"/>
    <xf numFmtId="0" fontId="12" fillId="31" borderId="0" applyNumberFormat="0" applyBorder="0" applyAlignment="0" applyProtection="0"/>
    <xf numFmtId="0" fontId="12" fillId="25" borderId="0" applyNumberFormat="0" applyBorder="0" applyAlignment="0" applyProtection="0"/>
    <xf numFmtId="0" fontId="45" fillId="56" borderId="103" applyNumberFormat="0" applyAlignment="0" applyProtection="0"/>
    <xf numFmtId="0" fontId="32" fillId="34" borderId="108">
      <alignment horizontal="right" vertical="center"/>
    </xf>
    <xf numFmtId="173" fontId="34" fillId="60" borderId="106" applyNumberFormat="0" applyFont="0" applyBorder="0" applyAlignment="0" applyProtection="0">
      <alignment horizontal="right" vertical="center"/>
    </xf>
    <xf numFmtId="0" fontId="32" fillId="32" borderId="106">
      <alignment horizontal="right" vertical="center"/>
    </xf>
    <xf numFmtId="0" fontId="65" fillId="0" borderId="104" applyNumberFormat="0" applyFill="0" applyAlignment="0" applyProtection="0"/>
    <xf numFmtId="4" fontId="32" fillId="32" borderId="119">
      <alignment horizontal="right" vertical="center"/>
    </xf>
    <xf numFmtId="0" fontId="12" fillId="25" borderId="0" applyNumberFormat="0" applyBorder="0" applyAlignment="0" applyProtection="0"/>
    <xf numFmtId="4" fontId="32" fillId="32" borderId="106">
      <alignment horizontal="right" vertical="center"/>
    </xf>
    <xf numFmtId="0" fontId="36" fillId="32" borderId="119">
      <alignment horizontal="right" vertical="center"/>
    </xf>
    <xf numFmtId="0" fontId="58" fillId="43" borderId="124" applyNumberFormat="0" applyAlignment="0" applyProtection="0"/>
    <xf numFmtId="0" fontId="26" fillId="15" borderId="0" applyNumberFormat="0" applyBorder="0" applyAlignment="0" applyProtection="0"/>
    <xf numFmtId="4" fontId="32" fillId="34" borderId="121">
      <alignment horizontal="right" vertical="center"/>
    </xf>
    <xf numFmtId="49" fontId="33" fillId="0" borderId="119" applyNumberFormat="0" applyFill="0" applyBorder="0" applyProtection="0">
      <alignment horizontal="left" vertical="center"/>
    </xf>
    <xf numFmtId="0" fontId="32" fillId="34" borderId="106">
      <alignment horizontal="right" vertical="center"/>
    </xf>
    <xf numFmtId="0" fontId="34" fillId="34" borderId="122">
      <alignment horizontal="left" vertical="center" wrapText="1" indent="2"/>
    </xf>
    <xf numFmtId="0" fontId="65" fillId="0" borderId="104" applyNumberFormat="0" applyFill="0" applyAlignment="0" applyProtection="0"/>
    <xf numFmtId="0" fontId="34" fillId="0" borderId="109">
      <alignment horizontal="left" vertical="center" wrapText="1" indent="2"/>
    </xf>
    <xf numFmtId="0" fontId="26" fillId="15" borderId="0" applyNumberFormat="0" applyBorder="0" applyAlignment="0" applyProtection="0"/>
    <xf numFmtId="4" fontId="34" fillId="0" borderId="106" applyFill="0" applyBorder="0" applyProtection="0">
      <alignment horizontal="right" vertical="center"/>
    </xf>
    <xf numFmtId="49" fontId="34" fillId="0" borderId="107" applyNumberFormat="0" applyFont="0" applyFill="0" applyBorder="0" applyProtection="0">
      <alignment horizontal="left" vertical="center" indent="5"/>
    </xf>
    <xf numFmtId="0" fontId="30" fillId="0" borderId="0" applyNumberFormat="0" applyFill="0" applyBorder="0" applyAlignment="0" applyProtection="0"/>
    <xf numFmtId="0" fontId="26" fillId="14" borderId="0" applyNumberFormat="0" applyBorder="0" applyAlignment="0" applyProtection="0"/>
    <xf numFmtId="0" fontId="26" fillId="20" borderId="0" applyNumberFormat="0" applyBorder="0" applyAlignment="0" applyProtection="0"/>
    <xf numFmtId="4" fontId="32" fillId="34" borderId="119">
      <alignment horizontal="right" vertical="center"/>
    </xf>
    <xf numFmtId="0" fontId="32" fillId="34" borderId="106">
      <alignment horizontal="right" vertical="center"/>
    </xf>
    <xf numFmtId="0" fontId="12" fillId="28" borderId="0" applyNumberFormat="0" applyBorder="0" applyAlignment="0" applyProtection="0"/>
    <xf numFmtId="0" fontId="26" fillId="23" borderId="0" applyNumberFormat="0" applyBorder="0" applyAlignment="0" applyProtection="0"/>
    <xf numFmtId="0" fontId="58" fillId="43" borderId="126" applyNumberFormat="0" applyAlignment="0" applyProtection="0"/>
    <xf numFmtId="0" fontId="34" fillId="34" borderId="109">
      <alignment horizontal="left" vertical="center" wrapText="1" indent="2"/>
    </xf>
    <xf numFmtId="173" fontId="34" fillId="60" borderId="106" applyNumberFormat="0" applyFont="0" applyBorder="0" applyAlignment="0" applyProtection="0">
      <alignment horizontal="right" vertical="center"/>
    </xf>
    <xf numFmtId="0" fontId="46" fillId="56" borderId="103" applyNumberFormat="0" applyAlignment="0" applyProtection="0"/>
    <xf numFmtId="0" fontId="65" fillId="0" borderId="135" applyNumberFormat="0" applyFill="0" applyAlignment="0" applyProtection="0"/>
    <xf numFmtId="0" fontId="36" fillId="32" borderId="106">
      <alignment horizontal="right" vertical="center"/>
    </xf>
    <xf numFmtId="0" fontId="45" fillId="56" borderId="103" applyNumberFormat="0" applyAlignment="0" applyProtection="0"/>
    <xf numFmtId="0" fontId="40" fillId="59" borderId="105" applyNumberFormat="0" applyFont="0" applyAlignment="0" applyProtection="0"/>
    <xf numFmtId="0" fontId="45" fillId="56" borderId="103" applyNumberFormat="0" applyAlignment="0" applyProtection="0"/>
    <xf numFmtId="0" fontId="62" fillId="56" borderId="102" applyNumberFormat="0" applyAlignment="0" applyProtection="0"/>
    <xf numFmtId="0" fontId="34" fillId="0" borderId="106">
      <alignment horizontal="right" vertical="center"/>
    </xf>
    <xf numFmtId="0" fontId="50" fillId="0" borderId="104" applyNumberFormat="0" applyFill="0" applyAlignment="0" applyProtection="0"/>
    <xf numFmtId="0" fontId="65" fillId="0" borderId="104" applyNumberFormat="0" applyFill="0" applyAlignment="0" applyProtection="0"/>
    <xf numFmtId="4" fontId="32" fillId="34" borderId="106">
      <alignment horizontal="right" vertical="center"/>
    </xf>
    <xf numFmtId="0" fontId="45" fillId="56" borderId="103" applyNumberFormat="0" applyAlignment="0" applyProtection="0"/>
    <xf numFmtId="0" fontId="50" fillId="0" borderId="104" applyNumberFormat="0" applyFill="0" applyAlignment="0" applyProtection="0"/>
    <xf numFmtId="4" fontId="32" fillId="34" borderId="108">
      <alignment horizontal="right" vertical="center"/>
    </xf>
    <xf numFmtId="4" fontId="32" fillId="34" borderId="119">
      <alignment horizontal="right" vertical="center"/>
    </xf>
    <xf numFmtId="4" fontId="36" fillId="32" borderId="119">
      <alignment horizontal="right" vertical="center"/>
    </xf>
    <xf numFmtId="0" fontId="65" fillId="0" borderId="125" applyNumberFormat="0" applyFill="0" applyAlignment="0" applyProtection="0"/>
    <xf numFmtId="0" fontId="26" fillId="27" borderId="0" applyNumberFormat="0" applyBorder="0" applyAlignment="0" applyProtection="0"/>
    <xf numFmtId="173" fontId="34" fillId="60" borderId="119" applyNumberFormat="0" applyFont="0" applyBorder="0" applyAlignment="0" applyProtection="0">
      <alignment horizontal="right" vertical="center"/>
    </xf>
    <xf numFmtId="0" fontId="34" fillId="34" borderId="122">
      <alignment horizontal="left" vertical="center" wrapText="1" indent="2"/>
    </xf>
    <xf numFmtId="0" fontId="26" fillId="21" borderId="0" applyNumberFormat="0" applyBorder="0" applyAlignment="0" applyProtection="0"/>
    <xf numFmtId="0" fontId="46" fillId="56" borderId="103" applyNumberFormat="0" applyAlignment="0" applyProtection="0"/>
    <xf numFmtId="0" fontId="30" fillId="0" borderId="0" applyNumberFormat="0" applyFill="0" applyBorder="0" applyAlignment="0" applyProtection="0"/>
    <xf numFmtId="0" fontId="34" fillId="32" borderId="130">
      <alignment horizontal="left" vertical="center"/>
    </xf>
    <xf numFmtId="4" fontId="32" fillId="34" borderId="119">
      <alignment horizontal="right" vertical="center"/>
    </xf>
    <xf numFmtId="0" fontId="26" fillId="29" borderId="0" applyNumberFormat="0" applyBorder="0" applyAlignment="0" applyProtection="0"/>
    <xf numFmtId="49" fontId="33" fillId="0" borderId="119" applyNumberFormat="0" applyFill="0" applyBorder="0" applyProtection="0">
      <alignment horizontal="left" vertical="center"/>
    </xf>
    <xf numFmtId="0" fontId="34" fillId="0" borderId="137">
      <alignment horizontal="right" vertical="center"/>
    </xf>
    <xf numFmtId="0" fontId="50" fillId="0" borderId="125" applyNumberFormat="0" applyFill="0" applyAlignment="0" applyProtection="0"/>
    <xf numFmtId="4" fontId="34" fillId="0" borderId="114">
      <alignment horizontal="right" vertical="center"/>
    </xf>
    <xf numFmtId="173" fontId="34" fillId="60" borderId="119" applyNumberFormat="0" applyFont="0" applyBorder="0" applyAlignment="0" applyProtection="0">
      <alignment horizontal="right" vertical="center"/>
    </xf>
    <xf numFmtId="0" fontId="46" fillId="56" borderId="103" applyNumberFormat="0" applyAlignment="0" applyProtection="0"/>
    <xf numFmtId="0" fontId="34" fillId="0" borderId="114">
      <alignment horizontal="right" vertical="center"/>
    </xf>
    <xf numFmtId="4" fontId="32" fillId="34" borderId="120">
      <alignment horizontal="right" vertical="center"/>
    </xf>
    <xf numFmtId="0" fontId="32" fillId="34" borderId="106">
      <alignment horizontal="right" vertical="center"/>
    </xf>
    <xf numFmtId="0" fontId="45" fillId="56" borderId="103" applyNumberFormat="0" applyAlignment="0" applyProtection="0"/>
    <xf numFmtId="0" fontId="32" fillId="34" borderId="106">
      <alignment horizontal="right" vertical="center"/>
    </xf>
    <xf numFmtId="0" fontId="34" fillId="0" borderId="132">
      <alignment horizontal="left" vertical="center" wrapText="1" indent="2"/>
    </xf>
    <xf numFmtId="4" fontId="36" fillId="32" borderId="119">
      <alignment horizontal="right" vertical="center"/>
    </xf>
    <xf numFmtId="4" fontId="32" fillId="34" borderId="131">
      <alignment horizontal="right" vertical="center"/>
    </xf>
    <xf numFmtId="0" fontId="12" fillId="19" borderId="0" applyNumberFormat="0" applyBorder="0" applyAlignment="0" applyProtection="0"/>
    <xf numFmtId="0" fontId="65" fillId="0" borderId="104" applyNumberFormat="0" applyFill="0" applyAlignment="0" applyProtection="0"/>
    <xf numFmtId="0" fontId="40" fillId="59" borderId="128" applyNumberFormat="0" applyFont="0" applyAlignment="0" applyProtection="0"/>
    <xf numFmtId="0" fontId="50" fillId="0" borderId="104" applyNumberFormat="0" applyFill="0" applyAlignment="0" applyProtection="0"/>
    <xf numFmtId="4" fontId="36" fillId="32" borderId="106">
      <alignment horizontal="right" vertical="center"/>
    </xf>
    <xf numFmtId="4" fontId="32" fillId="34" borderId="106">
      <alignment horizontal="right" vertical="center"/>
    </xf>
    <xf numFmtId="0" fontId="50" fillId="0" borderId="104" applyNumberFormat="0" applyFill="0" applyAlignment="0" applyProtection="0"/>
    <xf numFmtId="49" fontId="34" fillId="0" borderId="106" applyNumberFormat="0" applyFont="0" applyFill="0" applyBorder="0" applyProtection="0">
      <alignment horizontal="left" vertical="center" indent="2"/>
    </xf>
    <xf numFmtId="0" fontId="32" fillId="32" borderId="119">
      <alignment horizontal="right" vertical="center"/>
    </xf>
    <xf numFmtId="0" fontId="40" fillId="59" borderId="136" applyNumberFormat="0" applyFont="0" applyAlignment="0" applyProtection="0"/>
    <xf numFmtId="0" fontId="40" fillId="59" borderId="105" applyNumberFormat="0" applyFont="0" applyAlignment="0" applyProtection="0"/>
    <xf numFmtId="0" fontId="58" fillId="43" borderId="103" applyNumberFormat="0" applyAlignment="0" applyProtection="0"/>
    <xf numFmtId="0" fontId="34" fillId="0" borderId="129" applyNumberFormat="0" applyFill="0" applyAlignment="0" applyProtection="0"/>
    <xf numFmtId="0" fontId="26" fillId="21" borderId="0" applyNumberFormat="0" applyBorder="0" applyAlignment="0" applyProtection="0"/>
    <xf numFmtId="0" fontId="32" fillId="32" borderId="119">
      <alignment horizontal="right" vertical="center"/>
    </xf>
    <xf numFmtId="4" fontId="34" fillId="0" borderId="137">
      <alignment horizontal="right" vertical="center"/>
    </xf>
    <xf numFmtId="4" fontId="32" fillId="34" borderId="130">
      <alignment horizontal="right" vertical="center"/>
    </xf>
    <xf numFmtId="0" fontId="26" fillId="23" borderId="0" applyNumberFormat="0" applyBorder="0" applyAlignment="0" applyProtection="0"/>
    <xf numFmtId="0" fontId="5" fillId="59" borderId="113" applyNumberFormat="0" applyFont="0" applyAlignment="0" applyProtection="0"/>
    <xf numFmtId="0" fontId="65" fillId="0" borderId="104" applyNumberFormat="0" applyFill="0" applyAlignment="0" applyProtection="0"/>
    <xf numFmtId="4" fontId="34" fillId="0" borderId="106">
      <alignment horizontal="right" vertical="center"/>
    </xf>
    <xf numFmtId="4" fontId="34" fillId="33" borderId="106"/>
    <xf numFmtId="4" fontId="32" fillId="32" borderId="106">
      <alignment horizontal="right" vertical="center"/>
    </xf>
    <xf numFmtId="0" fontId="50" fillId="0" borderId="104" applyNumberFormat="0" applyFill="0" applyAlignment="0" applyProtection="0"/>
    <xf numFmtId="0" fontId="65" fillId="0" borderId="104" applyNumberFormat="0" applyFill="0" applyAlignment="0" applyProtection="0"/>
    <xf numFmtId="4" fontId="34" fillId="33" borderId="106"/>
    <xf numFmtId="0" fontId="34" fillId="32" borderId="130">
      <alignment horizontal="left" vertical="center"/>
    </xf>
    <xf numFmtId="0" fontId="32" fillId="32" borderId="106">
      <alignment horizontal="right" vertical="center"/>
    </xf>
    <xf numFmtId="0" fontId="32" fillId="34" borderId="131">
      <alignment horizontal="right" vertical="center"/>
    </xf>
    <xf numFmtId="0" fontId="26" fillId="26" borderId="0" applyNumberFormat="0" applyBorder="0" applyAlignment="0" applyProtection="0"/>
    <xf numFmtId="0" fontId="65" fillId="0" borderId="112" applyNumberFormat="0" applyFill="0" applyAlignment="0" applyProtection="0"/>
    <xf numFmtId="0" fontId="32" fillId="32" borderId="106">
      <alignment horizontal="right" vertical="center"/>
    </xf>
    <xf numFmtId="0" fontId="32" fillId="34" borderId="119">
      <alignment horizontal="right" vertical="center"/>
    </xf>
    <xf numFmtId="0" fontId="32" fillId="34" borderId="121">
      <alignment horizontal="right" vertical="center"/>
    </xf>
    <xf numFmtId="0" fontId="40" fillId="59" borderId="118" applyNumberFormat="0" applyFont="0" applyAlignment="0" applyProtection="0"/>
    <xf numFmtId="0" fontId="65" fillId="0" borderId="125" applyNumberFormat="0" applyFill="0" applyAlignment="0" applyProtection="0"/>
    <xf numFmtId="0" fontId="62" fillId="56" borderId="102" applyNumberFormat="0" applyAlignment="0" applyProtection="0"/>
    <xf numFmtId="0" fontId="34" fillId="33" borderId="106"/>
    <xf numFmtId="0" fontId="30" fillId="0" borderId="0" applyNumberFormat="0" applyFill="0" applyBorder="0" applyAlignment="0" applyProtection="0"/>
    <xf numFmtId="49" fontId="34" fillId="0" borderId="120" applyNumberFormat="0" applyFont="0" applyFill="0" applyBorder="0" applyProtection="0">
      <alignment horizontal="left" vertical="center" indent="5"/>
    </xf>
    <xf numFmtId="0" fontId="2" fillId="0" borderId="15" applyNumberFormat="0" applyFill="0" applyAlignment="0" applyProtection="0"/>
    <xf numFmtId="0" fontId="12" fillId="16" borderId="0" applyNumberFormat="0" applyBorder="0" applyAlignment="0" applyProtection="0"/>
    <xf numFmtId="0" fontId="62" fillId="56" borderId="110" applyNumberFormat="0" applyAlignment="0" applyProtection="0"/>
    <xf numFmtId="0" fontId="26" fillId="26" borderId="0" applyNumberFormat="0" applyBorder="0" applyAlignment="0" applyProtection="0"/>
    <xf numFmtId="0" fontId="12" fillId="22" borderId="0" applyNumberFormat="0" applyBorder="0" applyAlignment="0" applyProtection="0"/>
    <xf numFmtId="4" fontId="34" fillId="33" borderId="119"/>
    <xf numFmtId="0" fontId="12" fillId="25" borderId="0" applyNumberFormat="0" applyBorder="0" applyAlignment="0" applyProtection="0"/>
    <xf numFmtId="0" fontId="50" fillId="0" borderId="127" applyNumberFormat="0" applyFill="0" applyAlignment="0" applyProtection="0"/>
    <xf numFmtId="0" fontId="49" fillId="43" borderId="124" applyNumberFormat="0" applyAlignment="0" applyProtection="0"/>
    <xf numFmtId="0" fontId="26" fillId="17" borderId="0" applyNumberFormat="0" applyBorder="0" applyAlignment="0" applyProtection="0"/>
    <xf numFmtId="0" fontId="43" fillId="56" borderId="123" applyNumberFormat="0" applyAlignment="0" applyProtection="0"/>
    <xf numFmtId="0" fontId="40" fillId="59" borderId="105" applyNumberFormat="0" applyFont="0" applyAlignment="0" applyProtection="0"/>
    <xf numFmtId="4" fontId="36" fillId="32" borderId="106">
      <alignment horizontal="right" vertical="center"/>
    </xf>
    <xf numFmtId="0" fontId="62" fillId="56" borderId="102" applyNumberFormat="0" applyAlignment="0" applyProtection="0"/>
    <xf numFmtId="0" fontId="34" fillId="34" borderId="109">
      <alignment horizontal="left" vertical="center" wrapText="1" indent="2"/>
    </xf>
    <xf numFmtId="173" fontId="34" fillId="60" borderId="106" applyNumberFormat="0" applyFont="0" applyBorder="0" applyAlignment="0" applyProtection="0">
      <alignment horizontal="right" vertical="center"/>
    </xf>
    <xf numFmtId="0" fontId="32" fillId="34" borderId="121">
      <alignment horizontal="right" vertical="center"/>
    </xf>
    <xf numFmtId="0" fontId="5" fillId="59" borderId="128" applyNumberFormat="0" applyFont="0" applyAlignment="0" applyProtection="0"/>
    <xf numFmtId="0" fontId="34" fillId="0" borderId="122">
      <alignment horizontal="left" vertical="center" wrapText="1" indent="2"/>
    </xf>
    <xf numFmtId="0" fontId="46" fillId="56" borderId="126" applyNumberFormat="0" applyAlignment="0" applyProtection="0"/>
    <xf numFmtId="0" fontId="43" fillId="56" borderId="102" applyNumberFormat="0" applyAlignment="0" applyProtection="0"/>
    <xf numFmtId="0" fontId="34" fillId="34" borderId="132">
      <alignment horizontal="left" vertical="center" wrapText="1" indent="2"/>
    </xf>
    <xf numFmtId="0" fontId="62" fillId="56" borderId="102" applyNumberFormat="0" applyAlignment="0" applyProtection="0"/>
    <xf numFmtId="0" fontId="32" fillId="34" borderId="107">
      <alignment horizontal="right" vertical="center"/>
    </xf>
    <xf numFmtId="4" fontId="32" fillId="34" borderId="106">
      <alignment horizontal="right" vertical="center"/>
    </xf>
    <xf numFmtId="0" fontId="34" fillId="0" borderId="106">
      <alignment horizontal="right" vertical="center"/>
    </xf>
    <xf numFmtId="0" fontId="32" fillId="34" borderId="107">
      <alignment horizontal="right" vertical="center"/>
    </xf>
    <xf numFmtId="0" fontId="62" fillId="56" borderId="102" applyNumberFormat="0" applyAlignment="0" applyProtection="0"/>
    <xf numFmtId="0" fontId="32" fillId="34" borderId="106">
      <alignment horizontal="right" vertical="center"/>
    </xf>
    <xf numFmtId="0" fontId="34" fillId="0" borderId="109">
      <alignment horizontal="left" vertical="center" wrapText="1" indent="2"/>
    </xf>
    <xf numFmtId="0" fontId="62" fillId="56" borderId="102" applyNumberFormat="0" applyAlignment="0" applyProtection="0"/>
    <xf numFmtId="0" fontId="34" fillId="33" borderId="106"/>
    <xf numFmtId="0" fontId="45" fillId="56" borderId="103" applyNumberFormat="0" applyAlignment="0" applyProtection="0"/>
    <xf numFmtId="0" fontId="34" fillId="0" borderId="106" applyNumberFormat="0" applyFill="0" applyAlignment="0" applyProtection="0"/>
    <xf numFmtId="0" fontId="49" fillId="43" borderId="103" applyNumberFormat="0" applyAlignment="0" applyProtection="0"/>
    <xf numFmtId="0" fontId="32" fillId="34" borderId="129">
      <alignment horizontal="right" vertical="center"/>
    </xf>
    <xf numFmtId="0" fontId="50" fillId="0" borderId="125" applyNumberFormat="0" applyFill="0" applyAlignment="0" applyProtection="0"/>
    <xf numFmtId="0" fontId="32" fillId="34" borderId="120">
      <alignment horizontal="right" vertical="center"/>
    </xf>
    <xf numFmtId="0" fontId="26" fillId="21" borderId="0" applyNumberFormat="0" applyBorder="0" applyAlignment="0" applyProtection="0"/>
    <xf numFmtId="4" fontId="32" fillId="34" borderId="116">
      <alignment horizontal="right" vertical="center"/>
    </xf>
    <xf numFmtId="0" fontId="34" fillId="32" borderId="130">
      <alignment horizontal="left" vertical="center"/>
    </xf>
    <xf numFmtId="4" fontId="34" fillId="0" borderId="129" applyFill="0" applyBorder="0" applyProtection="0">
      <alignment horizontal="right" vertical="center"/>
    </xf>
    <xf numFmtId="0" fontId="12" fillId="28" borderId="0" applyNumberFormat="0" applyBorder="0" applyAlignment="0" applyProtection="0"/>
    <xf numFmtId="0" fontId="32" fillId="34" borderId="137">
      <alignment horizontal="right" vertical="center"/>
    </xf>
    <xf numFmtId="4" fontId="34" fillId="0" borderId="106">
      <alignment horizontal="right" vertical="center"/>
    </xf>
    <xf numFmtId="4" fontId="32" fillId="34" borderId="119">
      <alignment horizontal="right" vertical="center"/>
    </xf>
    <xf numFmtId="49" fontId="34" fillId="0" borderId="106" applyNumberFormat="0" applyFont="0" applyFill="0" applyBorder="0" applyProtection="0">
      <alignment horizontal="left" vertical="center" indent="2"/>
    </xf>
    <xf numFmtId="0" fontId="46" fillId="56" borderId="103" applyNumberFormat="0" applyAlignment="0" applyProtection="0"/>
    <xf numFmtId="0" fontId="26" fillId="23" borderId="0" applyNumberFormat="0" applyBorder="0" applyAlignment="0" applyProtection="0"/>
    <xf numFmtId="0" fontId="58" fillId="43" borderId="124" applyNumberFormat="0" applyAlignment="0" applyProtection="0"/>
    <xf numFmtId="0" fontId="45" fillId="56" borderId="124" applyNumberFormat="0" applyAlignment="0" applyProtection="0"/>
    <xf numFmtId="4" fontId="34" fillId="0" borderId="119">
      <alignment horizontal="right" vertical="center"/>
    </xf>
    <xf numFmtId="0" fontId="32" fillId="34" borderId="116">
      <alignment horizontal="right" vertical="center"/>
    </xf>
    <xf numFmtId="0" fontId="34" fillId="0" borderId="122">
      <alignment horizontal="left" vertical="center" wrapText="1" indent="2"/>
    </xf>
    <xf numFmtId="49" fontId="34" fillId="0" borderId="107" applyNumberFormat="0" applyFont="0" applyFill="0" applyBorder="0" applyProtection="0">
      <alignment horizontal="left" vertical="center" indent="5"/>
    </xf>
    <xf numFmtId="0" fontId="49" fillId="43" borderId="103" applyNumberFormat="0" applyAlignment="0" applyProtection="0"/>
    <xf numFmtId="0" fontId="43" fillId="56" borderId="102" applyNumberFormat="0" applyAlignment="0" applyProtection="0"/>
    <xf numFmtId="0" fontId="34" fillId="34" borderId="109">
      <alignment horizontal="left" vertical="center" wrapText="1" indent="2"/>
    </xf>
    <xf numFmtId="0" fontId="65" fillId="0" borderId="104" applyNumberFormat="0" applyFill="0" applyAlignment="0" applyProtection="0"/>
    <xf numFmtId="4" fontId="32" fillId="34" borderId="107">
      <alignment horizontal="right" vertical="center"/>
    </xf>
    <xf numFmtId="49" fontId="34" fillId="0" borderId="119" applyNumberFormat="0" applyFont="0" applyFill="0" applyBorder="0" applyProtection="0">
      <alignment horizontal="left" vertical="center" indent="2"/>
    </xf>
    <xf numFmtId="0" fontId="32" fillId="34" borderId="106">
      <alignment horizontal="right" vertical="center"/>
    </xf>
    <xf numFmtId="4" fontId="32" fillId="32" borderId="106">
      <alignment horizontal="right" vertical="center"/>
    </xf>
    <xf numFmtId="0" fontId="46" fillId="56" borderId="111" applyNumberFormat="0" applyAlignment="0" applyProtection="0"/>
    <xf numFmtId="0" fontId="2" fillId="0" borderId="15" applyNumberFormat="0" applyFill="0" applyAlignment="0" applyProtection="0"/>
    <xf numFmtId="0" fontId="50" fillId="0" borderId="125" applyNumberFormat="0" applyFill="0" applyAlignment="0" applyProtection="0"/>
    <xf numFmtId="0" fontId="50" fillId="0" borderId="104" applyNumberFormat="0" applyFill="0" applyAlignment="0" applyProtection="0"/>
    <xf numFmtId="0" fontId="45" fillId="56" borderId="103" applyNumberFormat="0" applyAlignment="0" applyProtection="0"/>
    <xf numFmtId="49" fontId="34" fillId="0" borderId="115" applyNumberFormat="0" applyFont="0" applyFill="0" applyBorder="0" applyProtection="0">
      <alignment horizontal="left" vertical="center" indent="5"/>
    </xf>
    <xf numFmtId="4" fontId="36" fillId="32" borderId="129">
      <alignment horizontal="right" vertical="center"/>
    </xf>
    <xf numFmtId="4" fontId="34" fillId="33" borderId="119"/>
    <xf numFmtId="0" fontId="49" fillId="43" borderId="126" applyNumberFormat="0" applyAlignment="0" applyProtection="0"/>
    <xf numFmtId="0" fontId="34" fillId="0" borderId="106">
      <alignment horizontal="right" vertical="center"/>
    </xf>
    <xf numFmtId="0" fontId="34" fillId="32" borderId="107">
      <alignment horizontal="left" vertical="center"/>
    </xf>
    <xf numFmtId="0" fontId="26" fillId="24" borderId="0" applyNumberFormat="0" applyBorder="0" applyAlignment="0" applyProtection="0"/>
    <xf numFmtId="4" fontId="34" fillId="33" borderId="106"/>
    <xf numFmtId="0" fontId="36" fillId="32" borderId="106">
      <alignment horizontal="right" vertical="center"/>
    </xf>
    <xf numFmtId="0" fontId="32" fillId="34" borderId="106">
      <alignment horizontal="right" vertical="center"/>
    </xf>
    <xf numFmtId="0" fontId="34" fillId="0" borderId="109">
      <alignment horizontal="left" vertical="center" wrapText="1" indent="2"/>
    </xf>
    <xf numFmtId="0" fontId="49" fillId="43" borderId="103" applyNumberFormat="0" applyAlignment="0" applyProtection="0"/>
    <xf numFmtId="4" fontId="32" fillId="34" borderId="119">
      <alignment horizontal="right" vertical="center"/>
    </xf>
    <xf numFmtId="0" fontId="34" fillId="0" borderId="129">
      <alignment horizontal="right" vertical="center"/>
    </xf>
    <xf numFmtId="0" fontId="34" fillId="34" borderId="122">
      <alignment horizontal="left" vertical="center" wrapText="1" indent="2"/>
    </xf>
    <xf numFmtId="0" fontId="34" fillId="0" borderId="117">
      <alignment horizontal="left" vertical="center" wrapText="1" indent="2"/>
    </xf>
    <xf numFmtId="0" fontId="46" fillId="56" borderId="126" applyNumberFormat="0" applyAlignment="0" applyProtection="0"/>
    <xf numFmtId="0" fontId="26" fillId="15" borderId="0" applyNumberFormat="0" applyBorder="0" applyAlignment="0" applyProtection="0"/>
    <xf numFmtId="0" fontId="40" fillId="59" borderId="105" applyNumberFormat="0" applyFont="0" applyAlignment="0" applyProtection="0"/>
    <xf numFmtId="0" fontId="26" fillId="27" borderId="0" applyNumberFormat="0" applyBorder="0" applyAlignment="0" applyProtection="0"/>
    <xf numFmtId="0" fontId="49" fillId="43" borderId="111" applyNumberFormat="0" applyAlignment="0" applyProtection="0"/>
    <xf numFmtId="0" fontId="26" fillId="30" borderId="0" applyNumberFormat="0" applyBorder="0" applyAlignment="0" applyProtection="0"/>
    <xf numFmtId="0" fontId="26" fillId="24" borderId="0" applyNumberFormat="0" applyBorder="0" applyAlignment="0" applyProtection="0"/>
    <xf numFmtId="0" fontId="43" fillId="56" borderId="102" applyNumberFormat="0" applyAlignment="0" applyProtection="0"/>
    <xf numFmtId="0" fontId="49" fillId="43" borderId="103" applyNumberFormat="0" applyAlignment="0" applyProtection="0"/>
    <xf numFmtId="0" fontId="34" fillId="33" borderId="106"/>
    <xf numFmtId="0" fontId="36" fillId="32" borderId="106">
      <alignment horizontal="right" vertical="center"/>
    </xf>
    <xf numFmtId="0" fontId="62" fillId="56" borderId="102" applyNumberFormat="0" applyAlignment="0" applyProtection="0"/>
    <xf numFmtId="0" fontId="26" fillId="14" borderId="0" applyNumberFormat="0" applyBorder="0" applyAlignment="0" applyProtection="0"/>
    <xf numFmtId="0" fontId="12" fillId="28" borderId="0" applyNumberFormat="0" applyBorder="0" applyAlignment="0" applyProtection="0"/>
    <xf numFmtId="0" fontId="34" fillId="0" borderId="122">
      <alignment horizontal="left" vertical="center" wrapText="1" indent="2"/>
    </xf>
    <xf numFmtId="0" fontId="32" fillId="32" borderId="106">
      <alignment horizontal="right" vertical="center"/>
    </xf>
    <xf numFmtId="0" fontId="46" fillId="56" borderId="126" applyNumberFormat="0" applyAlignment="0" applyProtection="0"/>
    <xf numFmtId="0" fontId="26" fillId="14" borderId="0" applyNumberFormat="0" applyBorder="0" applyAlignment="0" applyProtection="0"/>
    <xf numFmtId="4" fontId="34" fillId="33" borderId="119"/>
    <xf numFmtId="49" fontId="33" fillId="0" borderId="119" applyNumberFormat="0" applyFill="0" applyBorder="0" applyProtection="0">
      <alignment horizontal="left" vertical="center"/>
    </xf>
    <xf numFmtId="4" fontId="32" fillId="34" borderId="106">
      <alignment horizontal="right" vertical="center"/>
    </xf>
    <xf numFmtId="0" fontId="34" fillId="34" borderId="122">
      <alignment horizontal="left" vertical="center" wrapText="1" indent="2"/>
    </xf>
    <xf numFmtId="0" fontId="65" fillId="0" borderId="125" applyNumberFormat="0" applyFill="0" applyAlignment="0" applyProtection="0"/>
    <xf numFmtId="0" fontId="32" fillId="34" borderId="106">
      <alignment horizontal="right" vertical="center"/>
    </xf>
    <xf numFmtId="0" fontId="34" fillId="34" borderId="109">
      <alignment horizontal="left" vertical="center" wrapText="1" indent="2"/>
    </xf>
    <xf numFmtId="0" fontId="26" fillId="17" borderId="0" applyNumberFormat="0" applyBorder="0" applyAlignment="0" applyProtection="0"/>
    <xf numFmtId="0" fontId="34" fillId="0" borderId="106" applyNumberFormat="0" applyFill="0" applyAlignment="0" applyProtection="0"/>
    <xf numFmtId="49" fontId="34" fillId="0" borderId="106" applyNumberFormat="0" applyFont="0" applyFill="0" applyBorder="0" applyProtection="0">
      <alignment horizontal="left" vertical="center" indent="2"/>
    </xf>
    <xf numFmtId="0" fontId="46" fillId="56" borderId="126" applyNumberFormat="0" applyAlignment="0" applyProtection="0"/>
    <xf numFmtId="0" fontId="26" fillId="30" borderId="0" applyNumberFormat="0" applyBorder="0" applyAlignment="0" applyProtection="0"/>
    <xf numFmtId="0" fontId="26" fillId="17" borderId="0" applyNumberFormat="0" applyBorder="0" applyAlignment="0" applyProtection="0"/>
    <xf numFmtId="0" fontId="1" fillId="0" borderId="0" applyNumberFormat="0" applyFill="0" applyBorder="0" applyAlignment="0" applyProtection="0"/>
    <xf numFmtId="4" fontId="32" fillId="34" borderId="106">
      <alignment horizontal="right" vertical="center"/>
    </xf>
    <xf numFmtId="0" fontId="26" fillId="27" borderId="0" applyNumberFormat="0" applyBorder="0" applyAlignment="0" applyProtection="0"/>
    <xf numFmtId="0" fontId="1" fillId="0" borderId="0" applyNumberFormat="0" applyFill="0" applyBorder="0" applyAlignment="0" applyProtection="0"/>
    <xf numFmtId="0" fontId="50" fillId="0" borderId="125" applyNumberFormat="0" applyFill="0" applyAlignment="0" applyProtection="0"/>
    <xf numFmtId="0" fontId="46" fillId="56" borderId="103" applyNumberFormat="0" applyAlignment="0" applyProtection="0"/>
    <xf numFmtId="0" fontId="62" fillId="56" borderId="102" applyNumberFormat="0" applyAlignment="0" applyProtection="0"/>
    <xf numFmtId="0" fontId="65" fillId="0" borderId="104" applyNumberFormat="0" applyFill="0" applyAlignment="0" applyProtection="0"/>
    <xf numFmtId="0" fontId="1" fillId="0" borderId="0" applyNumberFormat="0" applyFill="0" applyBorder="0" applyAlignment="0" applyProtection="0"/>
    <xf numFmtId="4" fontId="32" fillId="32" borderId="106">
      <alignment horizontal="right" vertical="center"/>
    </xf>
    <xf numFmtId="0" fontId="49" fillId="43" borderId="103" applyNumberFormat="0" applyAlignment="0" applyProtection="0"/>
    <xf numFmtId="0" fontId="58" fillId="43" borderId="103" applyNumberFormat="0" applyAlignment="0" applyProtection="0"/>
    <xf numFmtId="0" fontId="43" fillId="56" borderId="102" applyNumberFormat="0" applyAlignment="0" applyProtection="0"/>
    <xf numFmtId="0" fontId="34" fillId="0" borderId="109">
      <alignment horizontal="left" vertical="center" wrapText="1" indent="2"/>
    </xf>
    <xf numFmtId="0" fontId="58" fillId="43" borderId="103" applyNumberFormat="0" applyAlignment="0" applyProtection="0"/>
    <xf numFmtId="0" fontId="34" fillId="0" borderId="106" applyNumberFormat="0" applyFill="0" applyAlignment="0" applyProtection="0"/>
    <xf numFmtId="4" fontId="34" fillId="0" borderId="106">
      <alignment horizontal="right" vertical="center"/>
    </xf>
    <xf numFmtId="0" fontId="32" fillId="34" borderId="106">
      <alignment horizontal="right" vertical="center"/>
    </xf>
    <xf numFmtId="4" fontId="32" fillId="34" borderId="108">
      <alignment horizontal="right" vertical="center"/>
    </xf>
    <xf numFmtId="4" fontId="32" fillId="32" borderId="106">
      <alignment horizontal="right" vertical="center"/>
    </xf>
    <xf numFmtId="0" fontId="34" fillId="0" borderId="106">
      <alignment horizontal="right" vertical="center"/>
    </xf>
    <xf numFmtId="0" fontId="34" fillId="33" borderId="129"/>
    <xf numFmtId="4" fontId="34" fillId="33" borderId="129"/>
    <xf numFmtId="0" fontId="49" fillId="43" borderId="124" applyNumberFormat="0" applyAlignment="0" applyProtection="0"/>
    <xf numFmtId="0" fontId="46" fillId="56" borderId="124" applyNumberFormat="0" applyAlignment="0" applyProtection="0"/>
    <xf numFmtId="0" fontId="32" fillId="32" borderId="119">
      <alignment horizontal="right" vertical="center"/>
    </xf>
    <xf numFmtId="0" fontId="65" fillId="0" borderId="125" applyNumberFormat="0" applyFill="0" applyAlignment="0" applyProtection="0"/>
    <xf numFmtId="0" fontId="62" fillId="56" borderId="123" applyNumberFormat="0" applyAlignment="0" applyProtection="0"/>
    <xf numFmtId="0" fontId="46" fillId="56" borderId="103" applyNumberFormat="0" applyAlignment="0" applyProtection="0"/>
    <xf numFmtId="0" fontId="32" fillId="32" borderId="119">
      <alignment horizontal="right" vertical="center"/>
    </xf>
    <xf numFmtId="0" fontId="62" fillId="56" borderId="123" applyNumberFormat="0" applyAlignment="0" applyProtection="0"/>
    <xf numFmtId="0" fontId="34" fillId="33" borderId="106"/>
    <xf numFmtId="0" fontId="26" fillId="30" borderId="0" applyNumberFormat="0" applyBorder="0" applyAlignment="0" applyProtection="0"/>
    <xf numFmtId="4" fontId="32" fillId="34" borderId="130">
      <alignment horizontal="right" vertical="center"/>
    </xf>
    <xf numFmtId="0" fontId="34" fillId="33" borderId="119"/>
    <xf numFmtId="0" fontId="58" fillId="43" borderId="111" applyNumberFormat="0" applyAlignment="0" applyProtection="0"/>
    <xf numFmtId="0" fontId="32" fillId="34" borderId="119">
      <alignment horizontal="right" vertical="center"/>
    </xf>
    <xf numFmtId="0" fontId="45" fillId="56" borderId="103" applyNumberFormat="0" applyAlignment="0" applyProtection="0"/>
    <xf numFmtId="0" fontId="34" fillId="32" borderId="115">
      <alignment horizontal="left" vertical="center"/>
    </xf>
    <xf numFmtId="0" fontId="29" fillId="13" borderId="13" applyNumberFormat="0" applyAlignment="0" applyProtection="0"/>
    <xf numFmtId="0" fontId="26" fillId="14" borderId="0" applyNumberFormat="0" applyBorder="0" applyAlignment="0" applyProtection="0"/>
    <xf numFmtId="4" fontId="32" fillId="34" borderId="106">
      <alignment horizontal="right" vertical="center"/>
    </xf>
    <xf numFmtId="4" fontId="32" fillId="34" borderId="108">
      <alignment horizontal="right" vertical="center"/>
    </xf>
    <xf numFmtId="4" fontId="36" fillId="32" borderId="106">
      <alignment horizontal="right" vertical="center"/>
    </xf>
    <xf numFmtId="0" fontId="65" fillId="0" borderId="125" applyNumberFormat="0" applyFill="0" applyAlignment="0" applyProtection="0"/>
    <xf numFmtId="49" fontId="34" fillId="0" borderId="119" applyNumberFormat="0" applyFont="0" applyFill="0" applyBorder="0" applyProtection="0">
      <alignment horizontal="left" vertical="center" indent="2"/>
    </xf>
    <xf numFmtId="0" fontId="32" fillId="34" borderId="121">
      <alignment horizontal="right" vertical="center"/>
    </xf>
    <xf numFmtId="0" fontId="26" fillId="18" borderId="0" applyNumberFormat="0" applyBorder="0" applyAlignment="0" applyProtection="0"/>
    <xf numFmtId="0" fontId="32" fillId="34" borderId="106">
      <alignment horizontal="right" vertical="center"/>
    </xf>
    <xf numFmtId="0" fontId="12" fillId="22" borderId="0" applyNumberFormat="0" applyBorder="0" applyAlignment="0" applyProtection="0"/>
    <xf numFmtId="0" fontId="46" fillId="56" borderId="103" applyNumberFormat="0" applyAlignment="0" applyProtection="0"/>
    <xf numFmtId="0" fontId="46" fillId="56" borderId="103" applyNumberFormat="0" applyAlignment="0" applyProtection="0"/>
    <xf numFmtId="4" fontId="34" fillId="33" borderId="106"/>
    <xf numFmtId="0" fontId="49" fillId="43" borderId="103" applyNumberFormat="0" applyAlignment="0" applyProtection="0"/>
    <xf numFmtId="0" fontId="43" fillId="56" borderId="102" applyNumberFormat="0" applyAlignment="0" applyProtection="0"/>
    <xf numFmtId="0" fontId="34" fillId="34" borderId="132">
      <alignment horizontal="left" vertical="center" wrapText="1" indent="2"/>
    </xf>
    <xf numFmtId="0" fontId="36" fillId="32" borderId="119">
      <alignment horizontal="right" vertical="center"/>
    </xf>
    <xf numFmtId="0" fontId="5" fillId="59" borderId="105" applyNumberFormat="0" applyFont="0" applyAlignment="0" applyProtection="0"/>
    <xf numFmtId="0" fontId="50" fillId="0" borderId="125" applyNumberFormat="0" applyFill="0" applyAlignment="0" applyProtection="0"/>
    <xf numFmtId="4" fontId="32" fillId="34" borderId="119">
      <alignment horizontal="right" vertical="center"/>
    </xf>
    <xf numFmtId="0" fontId="46" fillId="56" borderId="124" applyNumberFormat="0" applyAlignment="0" applyProtection="0"/>
    <xf numFmtId="4" fontId="32" fillId="34" borderId="129">
      <alignment horizontal="right" vertical="center"/>
    </xf>
    <xf numFmtId="4" fontId="32" fillId="34" borderId="119">
      <alignment horizontal="right" vertical="center"/>
    </xf>
    <xf numFmtId="173" fontId="34" fillId="60" borderId="119" applyNumberFormat="0" applyFont="0" applyBorder="0" applyAlignment="0" applyProtection="0">
      <alignment horizontal="right" vertical="center"/>
    </xf>
    <xf numFmtId="0" fontId="34" fillId="0" borderId="132">
      <alignment horizontal="left" vertical="center" wrapText="1" indent="2"/>
    </xf>
    <xf numFmtId="4" fontId="34" fillId="0" borderId="129" applyFill="0" applyBorder="0" applyProtection="0">
      <alignment horizontal="right" vertical="center"/>
    </xf>
    <xf numFmtId="0" fontId="34" fillId="0" borderId="106">
      <alignment horizontal="right" vertical="center"/>
    </xf>
    <xf numFmtId="0" fontId="34" fillId="0" borderId="106" applyNumberFormat="0" applyFill="0" applyAlignment="0" applyProtection="0"/>
    <xf numFmtId="0" fontId="65" fillId="0" borderId="104" applyNumberFormat="0" applyFill="0" applyAlignment="0" applyProtection="0"/>
    <xf numFmtId="4" fontId="34" fillId="0" borderId="106" applyFill="0" applyBorder="0" applyProtection="0">
      <alignment horizontal="right" vertical="center"/>
    </xf>
    <xf numFmtId="0" fontId="45" fillId="56" borderId="103" applyNumberFormat="0" applyAlignment="0" applyProtection="0"/>
    <xf numFmtId="4" fontId="34" fillId="33" borderId="106"/>
    <xf numFmtId="0" fontId="65" fillId="0" borderId="104" applyNumberFormat="0" applyFill="0" applyAlignment="0" applyProtection="0"/>
    <xf numFmtId="0" fontId="36" fillId="32" borderId="114">
      <alignment horizontal="right" vertical="center"/>
    </xf>
    <xf numFmtId="49" fontId="34" fillId="0" borderId="106" applyNumberFormat="0" applyFont="0" applyFill="0" applyBorder="0" applyProtection="0">
      <alignment horizontal="left" vertical="center" indent="2"/>
    </xf>
    <xf numFmtId="0" fontId="49" fillId="43" borderId="124" applyNumberFormat="0" applyAlignment="0" applyProtection="0"/>
    <xf numFmtId="0" fontId="34" fillId="33" borderId="114"/>
    <xf numFmtId="0" fontId="45" fillId="56" borderId="103" applyNumberFormat="0" applyAlignment="0" applyProtection="0"/>
    <xf numFmtId="0" fontId="40" fillId="59" borderId="118" applyNumberFormat="0" applyFont="0" applyAlignment="0" applyProtection="0"/>
    <xf numFmtId="49" fontId="34" fillId="0" borderId="129" applyNumberFormat="0" applyFont="0" applyFill="0" applyBorder="0" applyProtection="0">
      <alignment horizontal="left" vertical="center" indent="2"/>
    </xf>
    <xf numFmtId="0" fontId="49" fillId="43" borderId="126" applyNumberFormat="0" applyAlignment="0" applyProtection="0"/>
    <xf numFmtId="0" fontId="26" fillId="21" borderId="0" applyNumberFormat="0" applyBorder="0" applyAlignment="0" applyProtection="0"/>
    <xf numFmtId="0" fontId="34" fillId="0" borderId="109">
      <alignment horizontal="left" vertical="center" wrapText="1" indent="2"/>
    </xf>
    <xf numFmtId="0" fontId="62" fillId="56" borderId="102" applyNumberFormat="0" applyAlignment="0" applyProtection="0"/>
    <xf numFmtId="0" fontId="32" fillId="34" borderId="108">
      <alignment horizontal="right" vertical="center"/>
    </xf>
    <xf numFmtId="0" fontId="49" fillId="43" borderId="103" applyNumberFormat="0" applyAlignment="0" applyProtection="0"/>
    <xf numFmtId="0" fontId="32" fillId="34" borderId="108">
      <alignment horizontal="right" vertical="center"/>
    </xf>
    <xf numFmtId="4" fontId="32" fillId="34" borderId="106">
      <alignment horizontal="right" vertical="center"/>
    </xf>
    <xf numFmtId="0" fontId="32" fillId="34" borderId="106">
      <alignment horizontal="right" vertical="center"/>
    </xf>
    <xf numFmtId="0" fontId="43" fillId="56" borderId="102" applyNumberFormat="0" applyAlignment="0" applyProtection="0"/>
    <xf numFmtId="0" fontId="45" fillId="56" borderId="103" applyNumberFormat="0" applyAlignment="0" applyProtection="0"/>
    <xf numFmtId="0" fontId="50" fillId="0" borderId="104" applyNumberFormat="0" applyFill="0" applyAlignment="0" applyProtection="0"/>
    <xf numFmtId="0" fontId="34" fillId="33" borderId="106"/>
    <xf numFmtId="4" fontId="34" fillId="33" borderId="106"/>
    <xf numFmtId="4" fontId="32" fillId="34" borderId="106">
      <alignment horizontal="right" vertical="center"/>
    </xf>
    <xf numFmtId="0" fontId="36" fillId="32" borderId="106">
      <alignment horizontal="right" vertical="center"/>
    </xf>
    <xf numFmtId="0" fontId="49" fillId="43" borderId="103" applyNumberFormat="0" applyAlignment="0" applyProtection="0"/>
    <xf numFmtId="0" fontId="46" fillId="56" borderId="103" applyNumberFormat="0" applyAlignment="0" applyProtection="0"/>
    <xf numFmtId="4" fontId="34" fillId="0" borderId="106">
      <alignment horizontal="right" vertical="center"/>
    </xf>
    <xf numFmtId="0" fontId="34" fillId="34" borderId="109">
      <alignment horizontal="left" vertical="center" wrapText="1" indent="2"/>
    </xf>
    <xf numFmtId="0" fontId="34" fillId="0" borderId="109">
      <alignment horizontal="left" vertical="center" wrapText="1" indent="2"/>
    </xf>
    <xf numFmtId="0" fontId="62" fillId="56" borderId="102" applyNumberFormat="0" applyAlignment="0" applyProtection="0"/>
    <xf numFmtId="0" fontId="58" fillId="43" borderId="103" applyNumberFormat="0" applyAlignment="0" applyProtection="0"/>
    <xf numFmtId="0" fontId="45" fillId="56" borderId="103" applyNumberFormat="0" applyAlignment="0" applyProtection="0"/>
    <xf numFmtId="0" fontId="43" fillId="56" borderId="102" applyNumberFormat="0" applyAlignment="0" applyProtection="0"/>
    <xf numFmtId="0" fontId="32" fillId="34" borderId="108">
      <alignment horizontal="right" vertical="center"/>
    </xf>
    <xf numFmtId="0" fontId="36" fillId="32" borderId="106">
      <alignment horizontal="right" vertical="center"/>
    </xf>
    <xf numFmtId="4" fontId="32" fillId="32" borderId="106">
      <alignment horizontal="right" vertical="center"/>
    </xf>
    <xf numFmtId="4" fontId="32" fillId="34" borderId="106">
      <alignment horizontal="right" vertical="center"/>
    </xf>
    <xf numFmtId="49" fontId="34" fillId="0" borderId="107" applyNumberFormat="0" applyFont="0" applyFill="0" applyBorder="0" applyProtection="0">
      <alignment horizontal="left" vertical="center" indent="5"/>
    </xf>
    <xf numFmtId="4" fontId="34" fillId="0" borderId="106" applyFill="0" applyBorder="0" applyProtection="0">
      <alignment horizontal="right" vertical="center"/>
    </xf>
    <xf numFmtId="4" fontId="32" fillId="32" borderId="106">
      <alignment horizontal="right" vertical="center"/>
    </xf>
    <xf numFmtId="0" fontId="58" fillId="43" borderId="103" applyNumberFormat="0" applyAlignment="0" applyProtection="0"/>
    <xf numFmtId="0" fontId="49" fillId="43" borderId="103" applyNumberFormat="0" applyAlignment="0" applyProtection="0"/>
    <xf numFmtId="0" fontId="45" fillId="56" borderId="103" applyNumberFormat="0" applyAlignment="0" applyProtection="0"/>
    <xf numFmtId="0" fontId="34" fillId="34" borderId="109">
      <alignment horizontal="left" vertical="center" wrapText="1" indent="2"/>
    </xf>
    <xf numFmtId="0" fontId="34" fillId="0" borderId="109">
      <alignment horizontal="left" vertical="center" wrapText="1" indent="2"/>
    </xf>
    <xf numFmtId="0" fontId="34" fillId="34" borderId="109">
      <alignment horizontal="left" vertical="center" wrapText="1" indent="2"/>
    </xf>
    <xf numFmtId="0" fontId="34" fillId="34" borderId="117">
      <alignment horizontal="left" vertical="center" wrapText="1" indent="2"/>
    </xf>
    <xf numFmtId="0" fontId="34" fillId="0" borderId="117">
      <alignment horizontal="left" vertical="center" wrapText="1" indent="2"/>
    </xf>
    <xf numFmtId="0" fontId="36" fillId="32" borderId="119">
      <alignment horizontal="right" vertical="center"/>
    </xf>
    <xf numFmtId="49" fontId="34" fillId="0" borderId="119" applyNumberFormat="0" applyFont="0" applyFill="0" applyBorder="0" applyProtection="0">
      <alignment horizontal="left" vertical="center" indent="2"/>
    </xf>
    <xf numFmtId="0" fontId="32" fillId="34" borderId="129">
      <alignment horizontal="right" vertical="center"/>
    </xf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34" fillId="0" borderId="122">
      <alignment horizontal="left" vertical="center" wrapText="1" indent="2"/>
    </xf>
    <xf numFmtId="0" fontId="32" fillId="34" borderId="120">
      <alignment horizontal="right" vertical="center"/>
    </xf>
    <xf numFmtId="0" fontId="26" fillId="26" borderId="0" applyNumberFormat="0" applyBorder="0" applyAlignment="0" applyProtection="0"/>
    <xf numFmtId="0" fontId="34" fillId="0" borderId="122">
      <alignment horizontal="left" vertical="center" wrapText="1" indent="2"/>
    </xf>
    <xf numFmtId="0" fontId="65" fillId="0" borderId="127" applyNumberFormat="0" applyFill="0" applyAlignment="0" applyProtection="0"/>
    <xf numFmtId="173" fontId="34" fillId="60" borderId="129" applyNumberFormat="0" applyFont="0" applyBorder="0" applyAlignment="0" applyProtection="0">
      <alignment horizontal="right" vertical="center"/>
    </xf>
    <xf numFmtId="0" fontId="65" fillId="0" borderId="125" applyNumberFormat="0" applyFill="0" applyAlignment="0" applyProtection="0"/>
    <xf numFmtId="0" fontId="34" fillId="34" borderId="122">
      <alignment horizontal="left" vertical="center" wrapText="1" indent="2"/>
    </xf>
    <xf numFmtId="0" fontId="46" fillId="56" borderId="126" applyNumberFormat="0" applyAlignment="0" applyProtection="0"/>
    <xf numFmtId="4" fontId="34" fillId="0" borderId="129">
      <alignment horizontal="right" vertical="center"/>
    </xf>
    <xf numFmtId="0" fontId="34" fillId="34" borderId="140">
      <alignment horizontal="left" vertical="center" wrapText="1" indent="2"/>
    </xf>
    <xf numFmtId="0" fontId="34" fillId="32" borderId="120">
      <alignment horizontal="left" vertical="center"/>
    </xf>
    <xf numFmtId="0" fontId="32" fillId="34" borderId="139">
      <alignment horizontal="right" vertical="center"/>
    </xf>
    <xf numFmtId="0" fontId="50" fillId="0" borderId="135" applyNumberFormat="0" applyFill="0" applyAlignment="0" applyProtection="0"/>
    <xf numFmtId="0" fontId="28" fillId="13" borderId="14" applyNumberFormat="0" applyAlignment="0" applyProtection="0"/>
    <xf numFmtId="4" fontId="34" fillId="0" borderId="129">
      <alignment horizontal="right" vertical="center"/>
    </xf>
    <xf numFmtId="4" fontId="32" fillId="32" borderId="119">
      <alignment horizontal="right" vertical="center"/>
    </xf>
    <xf numFmtId="0" fontId="32" fillId="34" borderId="120">
      <alignment horizontal="right" vertical="center"/>
    </xf>
    <xf numFmtId="0" fontId="49" fillId="43" borderId="124" applyNumberFormat="0" applyAlignment="0" applyProtection="0"/>
    <xf numFmtId="0" fontId="46" fillId="56" borderId="126" applyNumberFormat="0" applyAlignment="0" applyProtection="0"/>
    <xf numFmtId="0" fontId="58" fillId="43" borderId="124" applyNumberFormat="0" applyAlignment="0" applyProtection="0"/>
    <xf numFmtId="0" fontId="12" fillId="16" borderId="0" applyNumberFormat="0" applyBorder="0" applyAlignment="0" applyProtection="0"/>
    <xf numFmtId="0" fontId="62" fillId="56" borderId="141" applyNumberFormat="0" applyAlignment="0" applyProtection="0"/>
    <xf numFmtId="0" fontId="12" fillId="22" borderId="0" applyNumberFormat="0" applyBorder="0" applyAlignment="0" applyProtection="0"/>
    <xf numFmtId="0" fontId="26" fillId="30" borderId="0" applyNumberFormat="0" applyBorder="0" applyAlignment="0" applyProtection="0"/>
    <xf numFmtId="0" fontId="12" fillId="31" borderId="0" applyNumberFormat="0" applyBorder="0" applyAlignment="0" applyProtection="0"/>
    <xf numFmtId="0" fontId="40" fillId="59" borderId="128" applyNumberFormat="0" applyFont="0" applyAlignment="0" applyProtection="0"/>
    <xf numFmtId="0" fontId="26" fillId="26" borderId="0" applyNumberFormat="0" applyBorder="0" applyAlignment="0" applyProtection="0"/>
    <xf numFmtId="0" fontId="34" fillId="0" borderId="119">
      <alignment horizontal="right" vertical="center"/>
    </xf>
    <xf numFmtId="0" fontId="40" fillId="59" borderId="128" applyNumberFormat="0" applyFont="0" applyAlignment="0" applyProtection="0"/>
    <xf numFmtId="0" fontId="26" fillId="23" borderId="0" applyNumberFormat="0" applyBorder="0" applyAlignment="0" applyProtection="0"/>
    <xf numFmtId="0" fontId="36" fillId="32" borderId="119">
      <alignment horizontal="right" vertical="center"/>
    </xf>
    <xf numFmtId="0" fontId="58" fillId="43" borderId="124" applyNumberFormat="0" applyAlignment="0" applyProtection="0"/>
    <xf numFmtId="0" fontId="58" fillId="43" borderId="124" applyNumberFormat="0" applyAlignment="0" applyProtection="0"/>
    <xf numFmtId="0" fontId="58" fillId="43" borderId="126" applyNumberFormat="0" applyAlignment="0" applyProtection="0"/>
    <xf numFmtId="0" fontId="50" fillId="0" borderId="127" applyNumberFormat="0" applyFill="0" applyAlignment="0" applyProtection="0"/>
    <xf numFmtId="0" fontId="28" fillId="13" borderId="14" applyNumberFormat="0" applyAlignment="0" applyProtection="0"/>
    <xf numFmtId="4" fontId="32" fillId="34" borderId="131">
      <alignment horizontal="right" vertical="center"/>
    </xf>
    <xf numFmtId="0" fontId="45" fillId="56" borderId="126" applyNumberFormat="0" applyAlignment="0" applyProtection="0"/>
    <xf numFmtId="0" fontId="26" fillId="23" borderId="0" applyNumberFormat="0" applyBorder="0" applyAlignment="0" applyProtection="0"/>
    <xf numFmtId="0" fontId="26" fillId="30" borderId="0" applyNumberFormat="0" applyBorder="0" applyAlignment="0" applyProtection="0"/>
    <xf numFmtId="0" fontId="45" fillId="56" borderId="124" applyNumberFormat="0" applyAlignment="0" applyProtection="0"/>
    <xf numFmtId="0" fontId="58" fillId="43" borderId="126" applyNumberFormat="0" applyAlignment="0" applyProtection="0"/>
    <xf numFmtId="0" fontId="12" fillId="31" borderId="0" applyNumberFormat="0" applyBorder="0" applyAlignment="0" applyProtection="0"/>
    <xf numFmtId="0" fontId="26" fillId="27" borderId="0" applyNumberFormat="0" applyBorder="0" applyAlignment="0" applyProtection="0"/>
    <xf numFmtId="0" fontId="12" fillId="28" borderId="0" applyNumberFormat="0" applyBorder="0" applyAlignment="0" applyProtection="0"/>
    <xf numFmtId="0" fontId="32" fillId="32" borderId="137">
      <alignment horizontal="right" vertical="center"/>
    </xf>
    <xf numFmtId="0" fontId="26" fillId="24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20" borderId="0" applyNumberFormat="0" applyBorder="0" applyAlignment="0" applyProtection="0"/>
    <xf numFmtId="0" fontId="26" fillId="18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" fillId="0" borderId="15" applyNumberFormat="0" applyFill="0" applyAlignment="0" applyProtection="0"/>
    <xf numFmtId="0" fontId="45" fillId="56" borderId="126" applyNumberFormat="0" applyAlignment="0" applyProtection="0"/>
    <xf numFmtId="0" fontId="36" fillId="32" borderId="119">
      <alignment horizontal="right" vertical="center"/>
    </xf>
    <xf numFmtId="0" fontId="34" fillId="32" borderId="120">
      <alignment horizontal="left" vertical="center"/>
    </xf>
    <xf numFmtId="0" fontId="50" fillId="0" borderId="127" applyNumberFormat="0" applyFill="0" applyAlignment="0" applyProtection="0"/>
    <xf numFmtId="0" fontId="62" fillId="56" borderId="133" applyNumberFormat="0" applyAlignment="0" applyProtection="0"/>
    <xf numFmtId="4" fontId="32" fillId="34" borderId="114">
      <alignment horizontal="right" vertical="center"/>
    </xf>
    <xf numFmtId="0" fontId="34" fillId="33" borderId="114"/>
    <xf numFmtId="0" fontId="45" fillId="56" borderId="111" applyNumberFormat="0" applyAlignment="0" applyProtection="0"/>
    <xf numFmtId="0" fontId="32" fillId="32" borderId="114">
      <alignment horizontal="right" vertical="center"/>
    </xf>
    <xf numFmtId="0" fontId="34" fillId="0" borderId="114">
      <alignment horizontal="right" vertical="center"/>
    </xf>
    <xf numFmtId="0" fontId="65" fillId="0" borderId="112" applyNumberFormat="0" applyFill="0" applyAlignment="0" applyProtection="0"/>
    <xf numFmtId="0" fontId="34" fillId="32" borderId="115">
      <alignment horizontal="left" vertical="center"/>
    </xf>
    <xf numFmtId="0" fontId="58" fillId="43" borderId="111" applyNumberFormat="0" applyAlignment="0" applyProtection="0"/>
    <xf numFmtId="173" fontId="34" fillId="60" borderId="114" applyNumberFormat="0" applyFont="0" applyBorder="0" applyAlignment="0" applyProtection="0">
      <alignment horizontal="right" vertical="center"/>
    </xf>
    <xf numFmtId="0" fontId="40" fillId="59" borderId="113" applyNumberFormat="0" applyFont="0" applyAlignment="0" applyProtection="0"/>
    <xf numFmtId="0" fontId="34" fillId="0" borderId="117">
      <alignment horizontal="left" vertical="center" wrapText="1" indent="2"/>
    </xf>
    <xf numFmtId="4" fontId="34" fillId="33" borderId="114"/>
    <xf numFmtId="49" fontId="33" fillId="0" borderId="114" applyNumberFormat="0" applyFill="0" applyBorder="0" applyProtection="0">
      <alignment horizontal="left" vertical="center"/>
    </xf>
    <xf numFmtId="0" fontId="34" fillId="0" borderId="114">
      <alignment horizontal="right" vertical="center"/>
    </xf>
    <xf numFmtId="4" fontId="32" fillId="34" borderId="116">
      <alignment horizontal="right" vertical="center"/>
    </xf>
    <xf numFmtId="4" fontId="32" fillId="34" borderId="114">
      <alignment horizontal="right" vertical="center"/>
    </xf>
    <xf numFmtId="4" fontId="32" fillId="34" borderId="114">
      <alignment horizontal="right" vertical="center"/>
    </xf>
    <xf numFmtId="0" fontId="36" fillId="32" borderId="114">
      <alignment horizontal="right" vertical="center"/>
    </xf>
    <xf numFmtId="0" fontId="32" fillId="32" borderId="114">
      <alignment horizontal="right" vertical="center"/>
    </xf>
    <xf numFmtId="49" fontId="34" fillId="0" borderId="114" applyNumberFormat="0" applyFont="0" applyFill="0" applyBorder="0" applyProtection="0">
      <alignment horizontal="left" vertical="center" indent="2"/>
    </xf>
    <xf numFmtId="0" fontId="58" fillId="43" borderId="111" applyNumberFormat="0" applyAlignment="0" applyProtection="0"/>
    <xf numFmtId="0" fontId="43" fillId="56" borderId="110" applyNumberFormat="0" applyAlignment="0" applyProtection="0"/>
    <xf numFmtId="49" fontId="34" fillId="0" borderId="114" applyNumberFormat="0" applyFont="0" applyFill="0" applyBorder="0" applyProtection="0">
      <alignment horizontal="left" vertical="center" indent="2"/>
    </xf>
    <xf numFmtId="0" fontId="49" fillId="43" borderId="111" applyNumberFormat="0" applyAlignment="0" applyProtection="0"/>
    <xf numFmtId="4" fontId="34" fillId="0" borderId="114" applyFill="0" applyBorder="0" applyProtection="0">
      <alignment horizontal="right" vertical="center"/>
    </xf>
    <xf numFmtId="0" fontId="46" fillId="56" borderId="111" applyNumberFormat="0" applyAlignment="0" applyProtection="0"/>
    <xf numFmtId="0" fontId="65" fillId="0" borderId="112" applyNumberFormat="0" applyFill="0" applyAlignment="0" applyProtection="0"/>
    <xf numFmtId="0" fontId="62" fillId="56" borderId="110" applyNumberFormat="0" applyAlignment="0" applyProtection="0"/>
    <xf numFmtId="0" fontId="34" fillId="0" borderId="114" applyNumberFormat="0" applyFill="0" applyAlignment="0" applyProtection="0"/>
    <xf numFmtId="4" fontId="34" fillId="0" borderId="114">
      <alignment horizontal="right" vertical="center"/>
    </xf>
    <xf numFmtId="0" fontId="34" fillId="0" borderId="114">
      <alignment horizontal="right" vertical="center"/>
    </xf>
    <xf numFmtId="0" fontId="58" fillId="43" borderId="111" applyNumberFormat="0" applyAlignment="0" applyProtection="0"/>
    <xf numFmtId="0" fontId="43" fillId="56" borderId="110" applyNumberFormat="0" applyAlignment="0" applyProtection="0"/>
    <xf numFmtId="0" fontId="45" fillId="56" borderId="111" applyNumberFormat="0" applyAlignment="0" applyProtection="0"/>
    <xf numFmtId="0" fontId="34" fillId="34" borderId="117">
      <alignment horizontal="left" vertical="center" wrapText="1" indent="2"/>
    </xf>
    <xf numFmtId="0" fontId="46" fillId="56" borderId="111" applyNumberFormat="0" applyAlignment="0" applyProtection="0"/>
    <xf numFmtId="0" fontId="46" fillId="56" borderId="111" applyNumberFormat="0" applyAlignment="0" applyProtection="0"/>
    <xf numFmtId="4" fontId="32" fillId="34" borderId="115">
      <alignment horizontal="right" vertical="center"/>
    </xf>
    <xf numFmtId="0" fontId="32" fillId="34" borderId="115">
      <alignment horizontal="right" vertical="center"/>
    </xf>
    <xf numFmtId="0" fontId="32" fillId="34" borderId="114">
      <alignment horizontal="right" vertical="center"/>
    </xf>
    <xf numFmtId="4" fontId="36" fillId="32" borderId="114">
      <alignment horizontal="right" vertical="center"/>
    </xf>
    <xf numFmtId="0" fontId="49" fillId="43" borderId="111" applyNumberFormat="0" applyAlignment="0" applyProtection="0"/>
    <xf numFmtId="0" fontId="50" fillId="0" borderId="112" applyNumberFormat="0" applyFill="0" applyAlignment="0" applyProtection="0"/>
    <xf numFmtId="0" fontId="65" fillId="0" borderId="112" applyNumberFormat="0" applyFill="0" applyAlignment="0" applyProtection="0"/>
    <xf numFmtId="0" fontId="40" fillId="59" borderId="113" applyNumberFormat="0" applyFont="0" applyAlignment="0" applyProtection="0"/>
    <xf numFmtId="0" fontId="58" fillId="43" borderId="111" applyNumberFormat="0" applyAlignment="0" applyProtection="0"/>
    <xf numFmtId="49" fontId="33" fillId="0" borderId="114" applyNumberFormat="0" applyFill="0" applyBorder="0" applyProtection="0">
      <alignment horizontal="left" vertical="center"/>
    </xf>
    <xf numFmtId="0" fontId="34" fillId="34" borderId="117">
      <alignment horizontal="left" vertical="center" wrapText="1" indent="2"/>
    </xf>
    <xf numFmtId="0" fontId="46" fillId="56" borderId="111" applyNumberFormat="0" applyAlignment="0" applyProtection="0"/>
    <xf numFmtId="0" fontId="34" fillId="0" borderId="117">
      <alignment horizontal="left" vertical="center" wrapText="1" indent="2"/>
    </xf>
    <xf numFmtId="0" fontId="40" fillId="59" borderId="113" applyNumberFormat="0" applyFont="0" applyAlignment="0" applyProtection="0"/>
    <xf numFmtId="0" fontId="5" fillId="59" borderId="113" applyNumberFormat="0" applyFont="0" applyAlignment="0" applyProtection="0"/>
    <xf numFmtId="0" fontId="62" fillId="56" borderId="110" applyNumberFormat="0" applyAlignment="0" applyProtection="0"/>
    <xf numFmtId="0" fontId="65" fillId="0" borderId="112" applyNumberFormat="0" applyFill="0" applyAlignment="0" applyProtection="0"/>
    <xf numFmtId="4" fontId="34" fillId="33" borderId="114"/>
    <xf numFmtId="0" fontId="32" fillId="34" borderId="114">
      <alignment horizontal="right" vertical="center"/>
    </xf>
    <xf numFmtId="0" fontId="65" fillId="0" borderId="112" applyNumberFormat="0" applyFill="0" applyAlignment="0" applyProtection="0"/>
    <xf numFmtId="4" fontId="32" fillId="34" borderId="116">
      <alignment horizontal="right" vertical="center"/>
    </xf>
    <xf numFmtId="0" fontId="45" fillId="56" borderId="111" applyNumberFormat="0" applyAlignment="0" applyProtection="0"/>
    <xf numFmtId="0" fontId="32" fillId="34" borderId="115">
      <alignment horizontal="right" vertical="center"/>
    </xf>
    <xf numFmtId="0" fontId="46" fillId="56" borderId="111" applyNumberFormat="0" applyAlignment="0" applyProtection="0"/>
    <xf numFmtId="0" fontId="50" fillId="0" borderId="112" applyNumberFormat="0" applyFill="0" applyAlignment="0" applyProtection="0"/>
    <xf numFmtId="0" fontId="40" fillId="59" borderId="113" applyNumberFormat="0" applyFont="0" applyAlignment="0" applyProtection="0"/>
    <xf numFmtId="4" fontId="32" fillId="34" borderId="115">
      <alignment horizontal="right" vertical="center"/>
    </xf>
    <xf numFmtId="0" fontId="34" fillId="34" borderId="117">
      <alignment horizontal="left" vertical="center" wrapText="1" indent="2"/>
    </xf>
    <xf numFmtId="0" fontId="34" fillId="33" borderId="114"/>
    <xf numFmtId="173" fontId="34" fillId="60" borderId="114" applyNumberFormat="0" applyFont="0" applyBorder="0" applyAlignment="0" applyProtection="0">
      <alignment horizontal="right" vertical="center"/>
    </xf>
    <xf numFmtId="0" fontId="34" fillId="0" borderId="114" applyNumberFormat="0" applyFill="0" applyAlignment="0" applyProtection="0"/>
    <xf numFmtId="4" fontId="34" fillId="0" borderId="114" applyFill="0" applyBorder="0" applyProtection="0">
      <alignment horizontal="right" vertical="center"/>
    </xf>
    <xf numFmtId="4" fontId="32" fillId="32" borderId="114">
      <alignment horizontal="right" vertical="center"/>
    </xf>
    <xf numFmtId="0" fontId="50" fillId="0" borderId="112" applyNumberFormat="0" applyFill="0" applyAlignment="0" applyProtection="0"/>
    <xf numFmtId="49" fontId="33" fillId="0" borderId="114" applyNumberFormat="0" applyFill="0" applyBorder="0" applyProtection="0">
      <alignment horizontal="left" vertical="center"/>
    </xf>
    <xf numFmtId="49" fontId="34" fillId="0" borderId="115" applyNumberFormat="0" applyFont="0" applyFill="0" applyBorder="0" applyProtection="0">
      <alignment horizontal="left" vertical="center" indent="5"/>
    </xf>
    <xf numFmtId="0" fontId="34" fillId="32" borderId="115">
      <alignment horizontal="left" vertical="center"/>
    </xf>
    <xf numFmtId="0" fontId="46" fillId="56" borderId="111" applyNumberFormat="0" applyAlignment="0" applyProtection="0"/>
    <xf numFmtId="4" fontId="32" fillId="34" borderId="116">
      <alignment horizontal="right" vertical="center"/>
    </xf>
    <xf numFmtId="0" fontId="58" fillId="43" borderId="111" applyNumberFormat="0" applyAlignment="0" applyProtection="0"/>
    <xf numFmtId="0" fontId="58" fillId="43" borderId="111" applyNumberFormat="0" applyAlignment="0" applyProtection="0"/>
    <xf numFmtId="0" fontId="40" fillId="59" borderId="113" applyNumberFormat="0" applyFont="0" applyAlignment="0" applyProtection="0"/>
    <xf numFmtId="0" fontId="62" fillId="56" borderId="110" applyNumberFormat="0" applyAlignment="0" applyProtection="0"/>
    <xf numFmtId="0" fontId="65" fillId="0" borderId="112" applyNumberFormat="0" applyFill="0" applyAlignment="0" applyProtection="0"/>
    <xf numFmtId="0" fontId="32" fillId="34" borderId="114">
      <alignment horizontal="right" vertical="center"/>
    </xf>
    <xf numFmtId="0" fontId="5" fillId="59" borderId="113" applyNumberFormat="0" applyFont="0" applyAlignment="0" applyProtection="0"/>
    <xf numFmtId="4" fontId="34" fillId="0" borderId="114">
      <alignment horizontal="right" vertical="center"/>
    </xf>
    <xf numFmtId="0" fontId="65" fillId="0" borderId="112" applyNumberFormat="0" applyFill="0" applyAlignment="0" applyProtection="0"/>
    <xf numFmtId="0" fontId="32" fillId="34" borderId="114">
      <alignment horizontal="right" vertical="center"/>
    </xf>
    <xf numFmtId="0" fontId="32" fillId="34" borderId="114">
      <alignment horizontal="right" vertical="center"/>
    </xf>
    <xf numFmtId="4" fontId="36" fillId="32" borderId="114">
      <alignment horizontal="right" vertical="center"/>
    </xf>
    <xf numFmtId="0" fontId="32" fillId="32" borderId="114">
      <alignment horizontal="right" vertical="center"/>
    </xf>
    <xf numFmtId="4" fontId="32" fillId="32" borderId="114">
      <alignment horizontal="right" vertical="center"/>
    </xf>
    <xf numFmtId="0" fontId="36" fillId="32" borderId="114">
      <alignment horizontal="right" vertical="center"/>
    </xf>
    <xf numFmtId="4" fontId="36" fillId="32" borderId="114">
      <alignment horizontal="right" vertical="center"/>
    </xf>
    <xf numFmtId="0" fontId="32" fillId="34" borderId="114">
      <alignment horizontal="right" vertical="center"/>
    </xf>
    <xf numFmtId="4" fontId="32" fillId="34" borderId="114">
      <alignment horizontal="right" vertical="center"/>
    </xf>
    <xf numFmtId="0" fontId="32" fillId="34" borderId="114">
      <alignment horizontal="right" vertical="center"/>
    </xf>
    <xf numFmtId="4" fontId="32" fillId="34" borderId="114">
      <alignment horizontal="right" vertical="center"/>
    </xf>
    <xf numFmtId="0" fontId="32" fillId="34" borderId="115">
      <alignment horizontal="right" vertical="center"/>
    </xf>
    <xf numFmtId="4" fontId="32" fillId="34" borderId="115">
      <alignment horizontal="right" vertical="center"/>
    </xf>
    <xf numFmtId="0" fontId="32" fillId="34" borderId="116">
      <alignment horizontal="right" vertical="center"/>
    </xf>
    <xf numFmtId="4" fontId="32" fillId="34" borderId="116">
      <alignment horizontal="right" vertical="center"/>
    </xf>
    <xf numFmtId="0" fontId="46" fillId="56" borderId="111" applyNumberFormat="0" applyAlignment="0" applyProtection="0"/>
    <xf numFmtId="0" fontId="34" fillId="34" borderId="117">
      <alignment horizontal="left" vertical="center" wrapText="1" indent="2"/>
    </xf>
    <xf numFmtId="0" fontId="34" fillId="0" borderId="117">
      <alignment horizontal="left" vertical="center" wrapText="1" indent="2"/>
    </xf>
    <xf numFmtId="0" fontId="34" fillId="32" borderId="115">
      <alignment horizontal="left" vertical="center"/>
    </xf>
    <xf numFmtId="0" fontId="58" fillId="43" borderId="111" applyNumberFormat="0" applyAlignment="0" applyProtection="0"/>
    <xf numFmtId="0" fontId="34" fillId="0" borderId="114">
      <alignment horizontal="right" vertical="center"/>
    </xf>
    <xf numFmtId="4" fontId="34" fillId="0" borderId="114">
      <alignment horizontal="right" vertical="center"/>
    </xf>
    <xf numFmtId="0" fontId="34" fillId="0" borderId="114" applyNumberFormat="0" applyFill="0" applyAlignment="0" applyProtection="0"/>
    <xf numFmtId="0" fontId="62" fillId="56" borderId="110" applyNumberFormat="0" applyAlignment="0" applyProtection="0"/>
    <xf numFmtId="173" fontId="34" fillId="60" borderId="114" applyNumberFormat="0" applyFont="0" applyBorder="0" applyAlignment="0" applyProtection="0">
      <alignment horizontal="right" vertical="center"/>
    </xf>
    <xf numFmtId="0" fontId="34" fillId="33" borderId="114"/>
    <xf numFmtId="4" fontId="34" fillId="33" borderId="114"/>
    <xf numFmtId="0" fontId="65" fillId="0" borderId="112" applyNumberFormat="0" applyFill="0" applyAlignment="0" applyProtection="0"/>
    <xf numFmtId="0" fontId="5" fillId="59" borderId="113" applyNumberFormat="0" applyFont="0" applyAlignment="0" applyProtection="0"/>
    <xf numFmtId="0" fontId="40" fillId="59" borderId="113" applyNumberFormat="0" applyFont="0" applyAlignment="0" applyProtection="0"/>
    <xf numFmtId="0" fontId="34" fillId="0" borderId="114" applyNumberFormat="0" applyFill="0" applyAlignment="0" applyProtection="0"/>
    <xf numFmtId="0" fontId="50" fillId="0" borderId="112" applyNumberFormat="0" applyFill="0" applyAlignment="0" applyProtection="0"/>
    <xf numFmtId="0" fontId="65" fillId="0" borderId="112" applyNumberFormat="0" applyFill="0" applyAlignment="0" applyProtection="0"/>
    <xf numFmtId="0" fontId="49" fillId="43" borderId="111" applyNumberFormat="0" applyAlignment="0" applyProtection="0"/>
    <xf numFmtId="0" fontId="46" fillId="56" borderId="111" applyNumberFormat="0" applyAlignment="0" applyProtection="0"/>
    <xf numFmtId="4" fontId="36" fillId="32" borderId="114">
      <alignment horizontal="right" vertical="center"/>
    </xf>
    <xf numFmtId="0" fontId="32" fillId="32" borderId="114">
      <alignment horizontal="right" vertical="center"/>
    </xf>
    <xf numFmtId="173" fontId="34" fillId="60" borderId="114" applyNumberFormat="0" applyFont="0" applyBorder="0" applyAlignment="0" applyProtection="0">
      <alignment horizontal="right" vertical="center"/>
    </xf>
    <xf numFmtId="0" fontId="50" fillId="0" borderId="112" applyNumberFormat="0" applyFill="0" applyAlignment="0" applyProtection="0"/>
    <xf numFmtId="49" fontId="34" fillId="0" borderId="114" applyNumberFormat="0" applyFont="0" applyFill="0" applyBorder="0" applyProtection="0">
      <alignment horizontal="left" vertical="center" indent="2"/>
    </xf>
    <xf numFmtId="49" fontId="34" fillId="0" borderId="115" applyNumberFormat="0" applyFont="0" applyFill="0" applyBorder="0" applyProtection="0">
      <alignment horizontal="left" vertical="center" indent="5"/>
    </xf>
    <xf numFmtId="49" fontId="34" fillId="0" borderId="114" applyNumberFormat="0" applyFont="0" applyFill="0" applyBorder="0" applyProtection="0">
      <alignment horizontal="left" vertical="center" indent="2"/>
    </xf>
    <xf numFmtId="4" fontId="34" fillId="0" borderId="114" applyFill="0" applyBorder="0" applyProtection="0">
      <alignment horizontal="right" vertical="center"/>
    </xf>
    <xf numFmtId="49" fontId="33" fillId="0" borderId="114" applyNumberFormat="0" applyFill="0" applyBorder="0" applyProtection="0">
      <alignment horizontal="left" vertical="center"/>
    </xf>
    <xf numFmtId="0" fontId="34" fillId="0" borderId="117">
      <alignment horizontal="left" vertical="center" wrapText="1" indent="2"/>
    </xf>
    <xf numFmtId="0" fontId="62" fillId="56" borderId="110" applyNumberFormat="0" applyAlignment="0" applyProtection="0"/>
    <xf numFmtId="0" fontId="32" fillId="34" borderId="116">
      <alignment horizontal="right" vertical="center"/>
    </xf>
    <xf numFmtId="0" fontId="49" fillId="43" borderId="111" applyNumberFormat="0" applyAlignment="0" applyProtection="0"/>
    <xf numFmtId="0" fontId="32" fillId="34" borderId="116">
      <alignment horizontal="right" vertical="center"/>
    </xf>
    <xf numFmtId="4" fontId="32" fillId="34" borderId="114">
      <alignment horizontal="right" vertical="center"/>
    </xf>
    <xf numFmtId="0" fontId="32" fillId="34" borderId="114">
      <alignment horizontal="right" vertical="center"/>
    </xf>
    <xf numFmtId="0" fontId="43" fillId="56" borderId="110" applyNumberFormat="0" applyAlignment="0" applyProtection="0"/>
    <xf numFmtId="0" fontId="45" fillId="56" borderId="111" applyNumberFormat="0" applyAlignment="0" applyProtection="0"/>
    <xf numFmtId="0" fontId="50" fillId="0" borderId="112" applyNumberFormat="0" applyFill="0" applyAlignment="0" applyProtection="0"/>
    <xf numFmtId="0" fontId="34" fillId="33" borderId="114"/>
    <xf numFmtId="4" fontId="34" fillId="33" borderId="114"/>
    <xf numFmtId="4" fontId="32" fillId="34" borderId="114">
      <alignment horizontal="right" vertical="center"/>
    </xf>
    <xf numFmtId="0" fontId="36" fillId="32" borderId="114">
      <alignment horizontal="right" vertical="center"/>
    </xf>
    <xf numFmtId="0" fontId="49" fillId="43" borderId="111" applyNumberFormat="0" applyAlignment="0" applyProtection="0"/>
    <xf numFmtId="0" fontId="46" fillId="56" borderId="111" applyNumberFormat="0" applyAlignment="0" applyProtection="0"/>
    <xf numFmtId="4" fontId="34" fillId="0" borderId="114">
      <alignment horizontal="right" vertical="center"/>
    </xf>
    <xf numFmtId="0" fontId="34" fillId="34" borderId="117">
      <alignment horizontal="left" vertical="center" wrapText="1" indent="2"/>
    </xf>
    <xf numFmtId="0" fontId="34" fillId="0" borderId="117">
      <alignment horizontal="left" vertical="center" wrapText="1" indent="2"/>
    </xf>
    <xf numFmtId="0" fontId="62" fillId="56" borderId="110" applyNumberFormat="0" applyAlignment="0" applyProtection="0"/>
    <xf numFmtId="0" fontId="58" fillId="43" borderId="111" applyNumberFormat="0" applyAlignment="0" applyProtection="0"/>
    <xf numFmtId="0" fontId="45" fillId="56" borderId="111" applyNumberFormat="0" applyAlignment="0" applyProtection="0"/>
    <xf numFmtId="0" fontId="43" fillId="56" borderId="110" applyNumberFormat="0" applyAlignment="0" applyProtection="0"/>
    <xf numFmtId="0" fontId="32" fillId="34" borderId="116">
      <alignment horizontal="right" vertical="center"/>
    </xf>
    <xf numFmtId="0" fontId="36" fillId="32" borderId="114">
      <alignment horizontal="right" vertical="center"/>
    </xf>
    <xf numFmtId="4" fontId="32" fillId="32" borderId="114">
      <alignment horizontal="right" vertical="center"/>
    </xf>
    <xf numFmtId="4" fontId="32" fillId="34" borderId="114">
      <alignment horizontal="right" vertical="center"/>
    </xf>
    <xf numFmtId="49" fontId="34" fillId="0" borderId="115" applyNumberFormat="0" applyFont="0" applyFill="0" applyBorder="0" applyProtection="0">
      <alignment horizontal="left" vertical="center" indent="5"/>
    </xf>
    <xf numFmtId="4" fontId="34" fillId="0" borderId="114" applyFill="0" applyBorder="0" applyProtection="0">
      <alignment horizontal="right" vertical="center"/>
    </xf>
    <xf numFmtId="4" fontId="32" fillId="32" borderId="114">
      <alignment horizontal="right" vertical="center"/>
    </xf>
    <xf numFmtId="4" fontId="32" fillId="34" borderId="119">
      <alignment horizontal="right" vertical="center"/>
    </xf>
    <xf numFmtId="0" fontId="58" fillId="43" borderId="111" applyNumberFormat="0" applyAlignment="0" applyProtection="0"/>
    <xf numFmtId="0" fontId="49" fillId="43" borderId="111" applyNumberFormat="0" applyAlignment="0" applyProtection="0"/>
    <xf numFmtId="0" fontId="45" fillId="56" borderId="111" applyNumberFormat="0" applyAlignment="0" applyProtection="0"/>
    <xf numFmtId="0" fontId="34" fillId="34" borderId="117">
      <alignment horizontal="left" vertical="center" wrapText="1" indent="2"/>
    </xf>
    <xf numFmtId="0" fontId="34" fillId="0" borderId="117">
      <alignment horizontal="left" vertical="center" wrapText="1" indent="2"/>
    </xf>
    <xf numFmtId="0" fontId="34" fillId="34" borderId="117">
      <alignment horizontal="left" vertical="center" wrapText="1" indent="2"/>
    </xf>
    <xf numFmtId="0" fontId="34" fillId="0" borderId="117">
      <alignment horizontal="left" vertical="center" wrapText="1" indent="2"/>
    </xf>
    <xf numFmtId="0" fontId="43" fillId="56" borderId="110" applyNumberFormat="0" applyAlignment="0" applyProtection="0"/>
    <xf numFmtId="0" fontId="45" fillId="56" borderId="111" applyNumberFormat="0" applyAlignment="0" applyProtection="0"/>
    <xf numFmtId="0" fontId="46" fillId="56" borderId="111" applyNumberFormat="0" applyAlignment="0" applyProtection="0"/>
    <xf numFmtId="0" fontId="49" fillId="43" borderId="111" applyNumberFormat="0" applyAlignment="0" applyProtection="0"/>
    <xf numFmtId="0" fontId="50" fillId="0" borderId="112" applyNumberFormat="0" applyFill="0" applyAlignment="0" applyProtection="0"/>
    <xf numFmtId="0" fontId="58" fillId="43" borderId="111" applyNumberFormat="0" applyAlignment="0" applyProtection="0"/>
    <xf numFmtId="0" fontId="40" fillId="59" borderId="113" applyNumberFormat="0" applyFont="0" applyAlignment="0" applyProtection="0"/>
    <xf numFmtId="0" fontId="5" fillId="59" borderId="113" applyNumberFormat="0" applyFont="0" applyAlignment="0" applyProtection="0"/>
    <xf numFmtId="0" fontId="62" fillId="56" borderId="110" applyNumberFormat="0" applyAlignment="0" applyProtection="0"/>
    <xf numFmtId="0" fontId="65" fillId="0" borderId="112" applyNumberFormat="0" applyFill="0" applyAlignment="0" applyProtection="0"/>
    <xf numFmtId="0" fontId="46" fillId="56" borderId="111" applyNumberFormat="0" applyAlignment="0" applyProtection="0"/>
    <xf numFmtId="0" fontId="58" fillId="43" borderId="111" applyNumberFormat="0" applyAlignment="0" applyProtection="0"/>
    <xf numFmtId="0" fontId="40" fillId="59" borderId="113" applyNumberFormat="0" applyFont="0" applyAlignment="0" applyProtection="0"/>
    <xf numFmtId="0" fontId="62" fillId="56" borderId="110" applyNumberFormat="0" applyAlignment="0" applyProtection="0"/>
    <xf numFmtId="0" fontId="65" fillId="0" borderId="112" applyNumberFormat="0" applyFill="0" applyAlignment="0" applyProtection="0"/>
    <xf numFmtId="0" fontId="32" fillId="34" borderId="107">
      <alignment horizontal="right" vertical="center"/>
    </xf>
    <xf numFmtId="4" fontId="32" fillId="34" borderId="107">
      <alignment horizontal="right" vertical="center"/>
    </xf>
    <xf numFmtId="0" fontId="32" fillId="34" borderId="108">
      <alignment horizontal="right" vertical="center"/>
    </xf>
    <xf numFmtId="4" fontId="32" fillId="34" borderId="108">
      <alignment horizontal="right" vertical="center"/>
    </xf>
    <xf numFmtId="0" fontId="46" fillId="56" borderId="111" applyNumberFormat="0" applyAlignment="0" applyProtection="0"/>
    <xf numFmtId="0" fontId="34" fillId="34" borderId="109">
      <alignment horizontal="left" vertical="center" wrapText="1" indent="2"/>
    </xf>
    <xf numFmtId="0" fontId="34" fillId="0" borderId="109">
      <alignment horizontal="left" vertical="center" wrapText="1" indent="2"/>
    </xf>
    <xf numFmtId="0" fontId="34" fillId="32" borderId="107">
      <alignment horizontal="left" vertical="center"/>
    </xf>
    <xf numFmtId="0" fontId="58" fillId="43" borderId="111" applyNumberFormat="0" applyAlignment="0" applyProtection="0"/>
    <xf numFmtId="0" fontId="62" fillId="56" borderId="110" applyNumberFormat="0" applyAlignment="0" applyProtection="0"/>
    <xf numFmtId="0" fontId="65" fillId="0" borderId="112" applyNumberFormat="0" applyFill="0" applyAlignment="0" applyProtection="0"/>
    <xf numFmtId="49" fontId="34" fillId="0" borderId="107" applyNumberFormat="0" applyFont="0" applyFill="0" applyBorder="0" applyProtection="0">
      <alignment horizontal="left" vertical="center" indent="5"/>
    </xf>
    <xf numFmtId="0" fontId="43" fillId="56" borderId="110" applyNumberFormat="0" applyAlignment="0" applyProtection="0"/>
    <xf numFmtId="0" fontId="45" fillId="56" borderId="111" applyNumberFormat="0" applyAlignment="0" applyProtection="0"/>
    <xf numFmtId="0" fontId="50" fillId="0" borderId="112" applyNumberFormat="0" applyFill="0" applyAlignment="0" applyProtection="0"/>
    <xf numFmtId="49" fontId="34" fillId="0" borderId="114" applyNumberFormat="0" applyFont="0" applyFill="0" applyBorder="0" applyProtection="0">
      <alignment horizontal="left" vertical="center" indent="2"/>
    </xf>
    <xf numFmtId="0" fontId="32" fillId="32" borderId="114">
      <alignment horizontal="right" vertical="center"/>
    </xf>
    <xf numFmtId="4" fontId="32" fillId="32" borderId="114">
      <alignment horizontal="right" vertical="center"/>
    </xf>
    <xf numFmtId="0" fontId="36" fillId="32" borderId="114">
      <alignment horizontal="right" vertical="center"/>
    </xf>
    <xf numFmtId="4" fontId="36" fillId="32" borderId="114">
      <alignment horizontal="right" vertical="center"/>
    </xf>
    <xf numFmtId="0" fontId="32" fillId="34" borderId="114">
      <alignment horizontal="right" vertical="center"/>
    </xf>
    <xf numFmtId="4" fontId="32" fillId="34" borderId="114">
      <alignment horizontal="right" vertical="center"/>
    </xf>
    <xf numFmtId="0" fontId="32" fillId="34" borderId="114">
      <alignment horizontal="right" vertical="center"/>
    </xf>
    <xf numFmtId="4" fontId="32" fillId="34" borderId="114">
      <alignment horizontal="right" vertical="center"/>
    </xf>
    <xf numFmtId="0" fontId="49" fillId="43" borderId="111" applyNumberFormat="0" applyAlignment="0" applyProtection="0"/>
    <xf numFmtId="0" fontId="34" fillId="0" borderId="114">
      <alignment horizontal="right" vertical="center"/>
    </xf>
    <xf numFmtId="4" fontId="34" fillId="0" borderId="114">
      <alignment horizontal="right" vertical="center"/>
    </xf>
    <xf numFmtId="4" fontId="34" fillId="0" borderId="114" applyFill="0" applyBorder="0" applyProtection="0">
      <alignment horizontal="right" vertical="center"/>
    </xf>
    <xf numFmtId="49" fontId="33" fillId="0" borderId="114" applyNumberFormat="0" applyFill="0" applyBorder="0" applyProtection="0">
      <alignment horizontal="left" vertical="center"/>
    </xf>
    <xf numFmtId="0" fontId="34" fillId="0" borderId="114" applyNumberFormat="0" applyFill="0" applyAlignment="0" applyProtection="0"/>
    <xf numFmtId="173" fontId="34" fillId="60" borderId="114" applyNumberFormat="0" applyFont="0" applyBorder="0" applyAlignment="0" applyProtection="0">
      <alignment horizontal="right" vertical="center"/>
    </xf>
    <xf numFmtId="0" fontId="34" fillId="33" borderId="114"/>
    <xf numFmtId="4" fontId="34" fillId="33" borderId="114"/>
    <xf numFmtId="4" fontId="32" fillId="34" borderId="114">
      <alignment horizontal="right" vertical="center"/>
    </xf>
    <xf numFmtId="0" fontId="34" fillId="33" borderId="114"/>
    <xf numFmtId="0" fontId="45" fillId="56" borderId="111" applyNumberFormat="0" applyAlignment="0" applyProtection="0"/>
    <xf numFmtId="0" fontId="32" fillId="32" borderId="114">
      <alignment horizontal="right" vertical="center"/>
    </xf>
    <xf numFmtId="0" fontId="34" fillId="0" borderId="114">
      <alignment horizontal="right" vertical="center"/>
    </xf>
    <xf numFmtId="0" fontId="65" fillId="0" borderId="112" applyNumberFormat="0" applyFill="0" applyAlignment="0" applyProtection="0"/>
    <xf numFmtId="0" fontId="34" fillId="32" borderId="115">
      <alignment horizontal="left" vertical="center"/>
    </xf>
    <xf numFmtId="0" fontId="58" fillId="43" borderId="111" applyNumberFormat="0" applyAlignment="0" applyProtection="0"/>
    <xf numFmtId="173" fontId="34" fillId="60" borderId="114" applyNumberFormat="0" applyFont="0" applyBorder="0" applyAlignment="0" applyProtection="0">
      <alignment horizontal="right" vertical="center"/>
    </xf>
    <xf numFmtId="0" fontId="40" fillId="59" borderId="113" applyNumberFormat="0" applyFont="0" applyAlignment="0" applyProtection="0"/>
    <xf numFmtId="0" fontId="34" fillId="0" borderId="117">
      <alignment horizontal="left" vertical="center" wrapText="1" indent="2"/>
    </xf>
    <xf numFmtId="4" fontId="34" fillId="33" borderId="114"/>
    <xf numFmtId="49" fontId="33" fillId="0" borderId="114" applyNumberFormat="0" applyFill="0" applyBorder="0" applyProtection="0">
      <alignment horizontal="left" vertical="center"/>
    </xf>
    <xf numFmtId="0" fontId="34" fillId="0" borderId="114">
      <alignment horizontal="right" vertical="center"/>
    </xf>
    <xf numFmtId="4" fontId="32" fillId="34" borderId="116">
      <alignment horizontal="right" vertical="center"/>
    </xf>
    <xf numFmtId="4" fontId="32" fillId="34" borderId="114">
      <alignment horizontal="right" vertical="center"/>
    </xf>
    <xf numFmtId="4" fontId="32" fillId="34" borderId="114">
      <alignment horizontal="right" vertical="center"/>
    </xf>
    <xf numFmtId="0" fontId="36" fillId="32" borderId="114">
      <alignment horizontal="right" vertical="center"/>
    </xf>
    <xf numFmtId="0" fontId="32" fillId="32" borderId="114">
      <alignment horizontal="right" vertical="center"/>
    </xf>
    <xf numFmtId="49" fontId="34" fillId="0" borderId="114" applyNumberFormat="0" applyFont="0" applyFill="0" applyBorder="0" applyProtection="0">
      <alignment horizontal="left" vertical="center" indent="2"/>
    </xf>
    <xf numFmtId="0" fontId="58" fillId="43" borderId="111" applyNumberFormat="0" applyAlignment="0" applyProtection="0"/>
    <xf numFmtId="0" fontId="43" fillId="56" borderId="110" applyNumberFormat="0" applyAlignment="0" applyProtection="0"/>
    <xf numFmtId="49" fontId="34" fillId="0" borderId="114" applyNumberFormat="0" applyFont="0" applyFill="0" applyBorder="0" applyProtection="0">
      <alignment horizontal="left" vertical="center" indent="2"/>
    </xf>
    <xf numFmtId="0" fontId="49" fillId="43" borderId="111" applyNumberFormat="0" applyAlignment="0" applyProtection="0"/>
    <xf numFmtId="4" fontId="34" fillId="0" borderId="114" applyFill="0" applyBorder="0" applyProtection="0">
      <alignment horizontal="right" vertical="center"/>
    </xf>
    <xf numFmtId="0" fontId="46" fillId="56" borderId="111" applyNumberFormat="0" applyAlignment="0" applyProtection="0"/>
    <xf numFmtId="0" fontId="65" fillId="0" borderId="112" applyNumberFormat="0" applyFill="0" applyAlignment="0" applyProtection="0"/>
    <xf numFmtId="0" fontId="62" fillId="56" borderId="110" applyNumberFormat="0" applyAlignment="0" applyProtection="0"/>
    <xf numFmtId="0" fontId="34" fillId="0" borderId="114" applyNumberFormat="0" applyFill="0" applyAlignment="0" applyProtection="0"/>
    <xf numFmtId="4" fontId="34" fillId="0" borderId="114">
      <alignment horizontal="right" vertical="center"/>
    </xf>
    <xf numFmtId="0" fontId="34" fillId="0" borderId="114">
      <alignment horizontal="right" vertical="center"/>
    </xf>
    <xf numFmtId="0" fontId="58" fillId="43" borderId="111" applyNumberFormat="0" applyAlignment="0" applyProtection="0"/>
    <xf numFmtId="0" fontId="43" fillId="56" borderId="110" applyNumberFormat="0" applyAlignment="0" applyProtection="0"/>
    <xf numFmtId="0" fontId="45" fillId="56" borderId="111" applyNumberFormat="0" applyAlignment="0" applyProtection="0"/>
    <xf numFmtId="0" fontId="34" fillId="34" borderId="117">
      <alignment horizontal="left" vertical="center" wrapText="1" indent="2"/>
    </xf>
    <xf numFmtId="0" fontId="46" fillId="56" borderId="111" applyNumberFormat="0" applyAlignment="0" applyProtection="0"/>
    <xf numFmtId="0" fontId="46" fillId="56" borderId="111" applyNumberFormat="0" applyAlignment="0" applyProtection="0"/>
    <xf numFmtId="4" fontId="32" fillId="34" borderId="115">
      <alignment horizontal="right" vertical="center"/>
    </xf>
    <xf numFmtId="0" fontId="32" fillId="34" borderId="115">
      <alignment horizontal="right" vertical="center"/>
    </xf>
    <xf numFmtId="0" fontId="32" fillId="34" borderId="114">
      <alignment horizontal="right" vertical="center"/>
    </xf>
    <xf numFmtId="4" fontId="36" fillId="32" borderId="114">
      <alignment horizontal="right" vertical="center"/>
    </xf>
    <xf numFmtId="0" fontId="49" fillId="43" borderId="111" applyNumberFormat="0" applyAlignment="0" applyProtection="0"/>
    <xf numFmtId="0" fontId="50" fillId="0" borderId="112" applyNumberFormat="0" applyFill="0" applyAlignment="0" applyProtection="0"/>
    <xf numFmtId="0" fontId="65" fillId="0" borderId="112" applyNumberFormat="0" applyFill="0" applyAlignment="0" applyProtection="0"/>
    <xf numFmtId="0" fontId="40" fillId="59" borderId="113" applyNumberFormat="0" applyFont="0" applyAlignment="0" applyProtection="0"/>
    <xf numFmtId="0" fontId="58" fillId="43" borderId="111" applyNumberFormat="0" applyAlignment="0" applyProtection="0"/>
    <xf numFmtId="49" fontId="33" fillId="0" borderId="114" applyNumberFormat="0" applyFill="0" applyBorder="0" applyProtection="0">
      <alignment horizontal="left" vertical="center"/>
    </xf>
    <xf numFmtId="0" fontId="34" fillId="34" borderId="117">
      <alignment horizontal="left" vertical="center" wrapText="1" indent="2"/>
    </xf>
    <xf numFmtId="0" fontId="46" fillId="56" borderId="111" applyNumberFormat="0" applyAlignment="0" applyProtection="0"/>
    <xf numFmtId="0" fontId="34" fillId="0" borderId="117">
      <alignment horizontal="left" vertical="center" wrapText="1" indent="2"/>
    </xf>
    <xf numFmtId="0" fontId="40" fillId="59" borderId="113" applyNumberFormat="0" applyFont="0" applyAlignment="0" applyProtection="0"/>
    <xf numFmtId="0" fontId="5" fillId="59" borderId="113" applyNumberFormat="0" applyFont="0" applyAlignment="0" applyProtection="0"/>
    <xf numFmtId="0" fontId="62" fillId="56" borderId="110" applyNumberFormat="0" applyAlignment="0" applyProtection="0"/>
    <xf numFmtId="0" fontId="65" fillId="0" borderId="112" applyNumberFormat="0" applyFill="0" applyAlignment="0" applyProtection="0"/>
    <xf numFmtId="4" fontId="34" fillId="33" borderId="114"/>
    <xf numFmtId="0" fontId="32" fillId="34" borderId="114">
      <alignment horizontal="right" vertical="center"/>
    </xf>
    <xf numFmtId="0" fontId="65" fillId="0" borderId="112" applyNumberFormat="0" applyFill="0" applyAlignment="0" applyProtection="0"/>
    <xf numFmtId="4" fontId="32" fillId="34" borderId="116">
      <alignment horizontal="right" vertical="center"/>
    </xf>
    <xf numFmtId="0" fontId="45" fillId="56" borderId="111" applyNumberFormat="0" applyAlignment="0" applyProtection="0"/>
    <xf numFmtId="0" fontId="32" fillId="34" borderId="115">
      <alignment horizontal="right" vertical="center"/>
    </xf>
    <xf numFmtId="0" fontId="46" fillId="56" borderId="111" applyNumberFormat="0" applyAlignment="0" applyProtection="0"/>
    <xf numFmtId="0" fontId="50" fillId="0" borderId="112" applyNumberFormat="0" applyFill="0" applyAlignment="0" applyProtection="0"/>
    <xf numFmtId="0" fontId="40" fillId="59" borderId="113" applyNumberFormat="0" applyFont="0" applyAlignment="0" applyProtection="0"/>
    <xf numFmtId="4" fontId="32" fillId="34" borderId="115">
      <alignment horizontal="right" vertical="center"/>
    </xf>
    <xf numFmtId="0" fontId="34" fillId="34" borderId="117">
      <alignment horizontal="left" vertical="center" wrapText="1" indent="2"/>
    </xf>
    <xf numFmtId="0" fontId="34" fillId="33" borderId="114"/>
    <xf numFmtId="173" fontId="34" fillId="60" borderId="114" applyNumberFormat="0" applyFont="0" applyBorder="0" applyAlignment="0" applyProtection="0">
      <alignment horizontal="right" vertical="center"/>
    </xf>
    <xf numFmtId="0" fontId="34" fillId="0" borderId="114" applyNumberFormat="0" applyFill="0" applyAlignment="0" applyProtection="0"/>
    <xf numFmtId="4" fontId="34" fillId="0" borderId="114" applyFill="0" applyBorder="0" applyProtection="0">
      <alignment horizontal="right" vertical="center"/>
    </xf>
    <xf numFmtId="4" fontId="32" fillId="32" borderId="114">
      <alignment horizontal="right" vertical="center"/>
    </xf>
    <xf numFmtId="0" fontId="50" fillId="0" borderId="112" applyNumberFormat="0" applyFill="0" applyAlignment="0" applyProtection="0"/>
    <xf numFmtId="49" fontId="33" fillId="0" borderId="114" applyNumberFormat="0" applyFill="0" applyBorder="0" applyProtection="0">
      <alignment horizontal="left" vertical="center"/>
    </xf>
    <xf numFmtId="49" fontId="34" fillId="0" borderId="115" applyNumberFormat="0" applyFont="0" applyFill="0" applyBorder="0" applyProtection="0">
      <alignment horizontal="left" vertical="center" indent="5"/>
    </xf>
    <xf numFmtId="0" fontId="34" fillId="32" borderId="115">
      <alignment horizontal="left" vertical="center"/>
    </xf>
    <xf numFmtId="0" fontId="46" fillId="56" borderId="111" applyNumberFormat="0" applyAlignment="0" applyProtection="0"/>
    <xf numFmtId="4" fontId="32" fillId="34" borderId="116">
      <alignment horizontal="right" vertical="center"/>
    </xf>
    <xf numFmtId="0" fontId="58" fillId="43" borderId="111" applyNumberFormat="0" applyAlignment="0" applyProtection="0"/>
    <xf numFmtId="0" fontId="58" fillId="43" borderId="111" applyNumberFormat="0" applyAlignment="0" applyProtection="0"/>
    <xf numFmtId="0" fontId="40" fillId="59" borderId="113" applyNumberFormat="0" applyFont="0" applyAlignment="0" applyProtection="0"/>
    <xf numFmtId="0" fontId="62" fillId="56" borderId="110" applyNumberFormat="0" applyAlignment="0" applyProtection="0"/>
    <xf numFmtId="0" fontId="65" fillId="0" borderId="112" applyNumberFormat="0" applyFill="0" applyAlignment="0" applyProtection="0"/>
    <xf numFmtId="0" fontId="32" fillId="34" borderId="114">
      <alignment horizontal="right" vertical="center"/>
    </xf>
    <xf numFmtId="0" fontId="5" fillId="59" borderId="113" applyNumberFormat="0" applyFont="0" applyAlignment="0" applyProtection="0"/>
    <xf numFmtId="4" fontId="34" fillId="0" borderId="114">
      <alignment horizontal="right" vertical="center"/>
    </xf>
    <xf numFmtId="0" fontId="65" fillId="0" borderId="112" applyNumberFormat="0" applyFill="0" applyAlignment="0" applyProtection="0"/>
    <xf numFmtId="0" fontId="32" fillId="34" borderId="114">
      <alignment horizontal="right" vertical="center"/>
    </xf>
    <xf numFmtId="0" fontId="32" fillId="34" borderId="114">
      <alignment horizontal="right" vertical="center"/>
    </xf>
    <xf numFmtId="4" fontId="36" fillId="32" borderId="114">
      <alignment horizontal="right" vertical="center"/>
    </xf>
    <xf numFmtId="0" fontId="32" fillId="32" borderId="114">
      <alignment horizontal="right" vertical="center"/>
    </xf>
    <xf numFmtId="4" fontId="32" fillId="32" borderId="114">
      <alignment horizontal="right" vertical="center"/>
    </xf>
    <xf numFmtId="0" fontId="36" fillId="32" borderId="114">
      <alignment horizontal="right" vertical="center"/>
    </xf>
    <xf numFmtId="4" fontId="36" fillId="32" borderId="114">
      <alignment horizontal="right" vertical="center"/>
    </xf>
    <xf numFmtId="0" fontId="32" fillId="34" borderId="114">
      <alignment horizontal="right" vertical="center"/>
    </xf>
    <xf numFmtId="4" fontId="32" fillId="34" borderId="114">
      <alignment horizontal="right" vertical="center"/>
    </xf>
    <xf numFmtId="0" fontId="32" fillId="34" borderId="114">
      <alignment horizontal="right" vertical="center"/>
    </xf>
    <xf numFmtId="4" fontId="32" fillId="34" borderId="114">
      <alignment horizontal="right" vertical="center"/>
    </xf>
    <xf numFmtId="0" fontId="32" fillId="34" borderId="115">
      <alignment horizontal="right" vertical="center"/>
    </xf>
    <xf numFmtId="4" fontId="32" fillId="34" borderId="115">
      <alignment horizontal="right" vertical="center"/>
    </xf>
    <xf numFmtId="0" fontId="32" fillId="34" borderId="116">
      <alignment horizontal="right" vertical="center"/>
    </xf>
    <xf numFmtId="4" fontId="32" fillId="34" borderId="116">
      <alignment horizontal="right" vertical="center"/>
    </xf>
    <xf numFmtId="0" fontId="46" fillId="56" borderId="111" applyNumberFormat="0" applyAlignment="0" applyProtection="0"/>
    <xf numFmtId="0" fontId="34" fillId="34" borderId="117">
      <alignment horizontal="left" vertical="center" wrapText="1" indent="2"/>
    </xf>
    <xf numFmtId="0" fontId="34" fillId="0" borderId="117">
      <alignment horizontal="left" vertical="center" wrapText="1" indent="2"/>
    </xf>
    <xf numFmtId="0" fontId="34" fillId="32" borderId="115">
      <alignment horizontal="left" vertical="center"/>
    </xf>
    <xf numFmtId="0" fontId="58" fillId="43" borderId="111" applyNumberFormat="0" applyAlignment="0" applyProtection="0"/>
    <xf numFmtId="0" fontId="34" fillId="0" borderId="114">
      <alignment horizontal="right" vertical="center"/>
    </xf>
    <xf numFmtId="4" fontId="34" fillId="0" borderId="114">
      <alignment horizontal="right" vertical="center"/>
    </xf>
    <xf numFmtId="0" fontId="34" fillId="0" borderId="114" applyNumberFormat="0" applyFill="0" applyAlignment="0" applyProtection="0"/>
    <xf numFmtId="0" fontId="62" fillId="56" borderId="110" applyNumberFormat="0" applyAlignment="0" applyProtection="0"/>
    <xf numFmtId="173" fontId="34" fillId="60" borderId="114" applyNumberFormat="0" applyFont="0" applyBorder="0" applyAlignment="0" applyProtection="0">
      <alignment horizontal="right" vertical="center"/>
    </xf>
    <xf numFmtId="0" fontId="34" fillId="33" borderId="114"/>
    <xf numFmtId="4" fontId="34" fillId="33" borderId="114"/>
    <xf numFmtId="0" fontId="65" fillId="0" borderId="112" applyNumberFormat="0" applyFill="0" applyAlignment="0" applyProtection="0"/>
    <xf numFmtId="0" fontId="5" fillId="59" borderId="113" applyNumberFormat="0" applyFont="0" applyAlignment="0" applyProtection="0"/>
    <xf numFmtId="0" fontId="40" fillId="59" borderId="113" applyNumberFormat="0" applyFont="0" applyAlignment="0" applyProtection="0"/>
    <xf numFmtId="0" fontId="34" fillId="0" borderId="114" applyNumberFormat="0" applyFill="0" applyAlignment="0" applyProtection="0"/>
    <xf numFmtId="0" fontId="50" fillId="0" borderId="112" applyNumberFormat="0" applyFill="0" applyAlignment="0" applyProtection="0"/>
    <xf numFmtId="0" fontId="65" fillId="0" borderId="112" applyNumberFormat="0" applyFill="0" applyAlignment="0" applyProtection="0"/>
    <xf numFmtId="0" fontId="49" fillId="43" borderId="111" applyNumberFormat="0" applyAlignment="0" applyProtection="0"/>
    <xf numFmtId="0" fontId="46" fillId="56" borderId="111" applyNumberFormat="0" applyAlignment="0" applyProtection="0"/>
    <xf numFmtId="4" fontId="36" fillId="32" borderId="114">
      <alignment horizontal="right" vertical="center"/>
    </xf>
    <xf numFmtId="0" fontId="32" fillId="32" borderId="114">
      <alignment horizontal="right" vertical="center"/>
    </xf>
    <xf numFmtId="173" fontId="34" fillId="60" borderId="114" applyNumberFormat="0" applyFont="0" applyBorder="0" applyAlignment="0" applyProtection="0">
      <alignment horizontal="right" vertical="center"/>
    </xf>
    <xf numFmtId="0" fontId="50" fillId="0" borderId="112" applyNumberFormat="0" applyFill="0" applyAlignment="0" applyProtection="0"/>
    <xf numFmtId="49" fontId="34" fillId="0" borderId="114" applyNumberFormat="0" applyFont="0" applyFill="0" applyBorder="0" applyProtection="0">
      <alignment horizontal="left" vertical="center" indent="2"/>
    </xf>
    <xf numFmtId="49" fontId="34" fillId="0" borderId="115" applyNumberFormat="0" applyFont="0" applyFill="0" applyBorder="0" applyProtection="0">
      <alignment horizontal="left" vertical="center" indent="5"/>
    </xf>
    <xf numFmtId="49" fontId="34" fillId="0" borderId="114" applyNumberFormat="0" applyFont="0" applyFill="0" applyBorder="0" applyProtection="0">
      <alignment horizontal="left" vertical="center" indent="2"/>
    </xf>
    <xf numFmtId="4" fontId="34" fillId="0" borderId="114" applyFill="0" applyBorder="0" applyProtection="0">
      <alignment horizontal="right" vertical="center"/>
    </xf>
    <xf numFmtId="49" fontId="33" fillId="0" borderId="114" applyNumberFormat="0" applyFill="0" applyBorder="0" applyProtection="0">
      <alignment horizontal="left" vertical="center"/>
    </xf>
    <xf numFmtId="0" fontId="34" fillId="0" borderId="117">
      <alignment horizontal="left" vertical="center" wrapText="1" indent="2"/>
    </xf>
    <xf numFmtId="0" fontId="62" fillId="56" borderId="110" applyNumberFormat="0" applyAlignment="0" applyProtection="0"/>
    <xf numFmtId="0" fontId="32" fillId="34" borderId="116">
      <alignment horizontal="right" vertical="center"/>
    </xf>
    <xf numFmtId="0" fontId="49" fillId="43" borderId="111" applyNumberFormat="0" applyAlignment="0" applyProtection="0"/>
    <xf numFmtId="0" fontId="32" fillId="34" borderId="116">
      <alignment horizontal="right" vertical="center"/>
    </xf>
    <xf numFmtId="4" fontId="32" fillId="34" borderId="114">
      <alignment horizontal="right" vertical="center"/>
    </xf>
    <xf numFmtId="0" fontId="32" fillId="34" borderId="114">
      <alignment horizontal="right" vertical="center"/>
    </xf>
    <xf numFmtId="0" fontId="43" fillId="56" borderId="110" applyNumberFormat="0" applyAlignment="0" applyProtection="0"/>
    <xf numFmtId="0" fontId="45" fillId="56" borderId="111" applyNumberFormat="0" applyAlignment="0" applyProtection="0"/>
    <xf numFmtId="0" fontId="50" fillId="0" borderId="112" applyNumberFormat="0" applyFill="0" applyAlignment="0" applyProtection="0"/>
    <xf numFmtId="0" fontId="34" fillId="33" borderId="114"/>
    <xf numFmtId="4" fontId="34" fillId="33" borderId="114"/>
    <xf numFmtId="4" fontId="32" fillId="34" borderId="114">
      <alignment horizontal="right" vertical="center"/>
    </xf>
    <xf numFmtId="0" fontId="36" fillId="32" borderId="114">
      <alignment horizontal="right" vertical="center"/>
    </xf>
    <xf numFmtId="0" fontId="49" fillId="43" borderId="111" applyNumberFormat="0" applyAlignment="0" applyProtection="0"/>
    <xf numFmtId="0" fontId="46" fillId="56" borderId="111" applyNumberFormat="0" applyAlignment="0" applyProtection="0"/>
    <xf numFmtId="4" fontId="34" fillId="0" borderId="114">
      <alignment horizontal="right" vertical="center"/>
    </xf>
    <xf numFmtId="0" fontId="34" fillId="34" borderId="117">
      <alignment horizontal="left" vertical="center" wrapText="1" indent="2"/>
    </xf>
    <xf numFmtId="0" fontId="34" fillId="0" borderId="117">
      <alignment horizontal="left" vertical="center" wrapText="1" indent="2"/>
    </xf>
    <xf numFmtId="0" fontId="62" fillId="56" borderId="110" applyNumberFormat="0" applyAlignment="0" applyProtection="0"/>
    <xf numFmtId="0" fontId="58" fillId="43" borderId="111" applyNumberFormat="0" applyAlignment="0" applyProtection="0"/>
    <xf numFmtId="0" fontId="45" fillId="56" borderId="111" applyNumberFormat="0" applyAlignment="0" applyProtection="0"/>
    <xf numFmtId="0" fontId="43" fillId="56" borderId="110" applyNumberFormat="0" applyAlignment="0" applyProtection="0"/>
    <xf numFmtId="0" fontId="32" fillId="34" borderId="116">
      <alignment horizontal="right" vertical="center"/>
    </xf>
    <xf numFmtId="0" fontId="36" fillId="32" borderId="114">
      <alignment horizontal="right" vertical="center"/>
    </xf>
    <xf numFmtId="4" fontId="32" fillId="32" borderId="114">
      <alignment horizontal="right" vertical="center"/>
    </xf>
    <xf numFmtId="4" fontId="32" fillId="34" borderId="114">
      <alignment horizontal="right" vertical="center"/>
    </xf>
    <xf numFmtId="49" fontId="34" fillId="0" borderId="115" applyNumberFormat="0" applyFont="0" applyFill="0" applyBorder="0" applyProtection="0">
      <alignment horizontal="left" vertical="center" indent="5"/>
    </xf>
    <xf numFmtId="4" fontId="34" fillId="0" borderId="114" applyFill="0" applyBorder="0" applyProtection="0">
      <alignment horizontal="right" vertical="center"/>
    </xf>
    <xf numFmtId="4" fontId="32" fillId="32" borderId="114">
      <alignment horizontal="right" vertical="center"/>
    </xf>
    <xf numFmtId="0" fontId="58" fillId="43" borderId="111" applyNumberFormat="0" applyAlignment="0" applyProtection="0"/>
    <xf numFmtId="0" fontId="49" fillId="43" borderId="111" applyNumberFormat="0" applyAlignment="0" applyProtection="0"/>
    <xf numFmtId="0" fontId="45" fillId="56" borderId="111" applyNumberFormat="0" applyAlignment="0" applyProtection="0"/>
    <xf numFmtId="0" fontId="34" fillId="34" borderId="117">
      <alignment horizontal="left" vertical="center" wrapText="1" indent="2"/>
    </xf>
    <xf numFmtId="0" fontId="34" fillId="0" borderId="117">
      <alignment horizontal="left" vertical="center" wrapText="1" indent="2"/>
    </xf>
    <xf numFmtId="0" fontId="34" fillId="34" borderId="117">
      <alignment horizontal="left" vertical="center" wrapText="1" indent="2"/>
    </xf>
    <xf numFmtId="4" fontId="32" fillId="34" borderId="119">
      <alignment horizontal="right" vertical="center"/>
    </xf>
    <xf numFmtId="0" fontId="49" fillId="43" borderId="134" applyNumberFormat="0" applyAlignment="0" applyProtection="0"/>
    <xf numFmtId="0" fontId="34" fillId="0" borderId="119">
      <alignment horizontal="right" vertical="center"/>
    </xf>
    <xf numFmtId="4" fontId="32" fillId="34" borderId="139">
      <alignment horizontal="right" vertical="center"/>
    </xf>
    <xf numFmtId="0" fontId="50" fillId="0" borderId="125" applyNumberFormat="0" applyFill="0" applyAlignment="0" applyProtection="0"/>
    <xf numFmtId="0" fontId="65" fillId="0" borderId="125" applyNumberFormat="0" applyFill="0" applyAlignment="0" applyProtection="0"/>
    <xf numFmtId="4" fontId="36" fillId="32" borderId="129">
      <alignment horizontal="right" vertical="center"/>
    </xf>
    <xf numFmtId="0" fontId="32" fillId="34" borderId="119">
      <alignment horizontal="right" vertical="center"/>
    </xf>
    <xf numFmtId="0" fontId="32" fillId="34" borderId="120">
      <alignment horizontal="right" vertical="center"/>
    </xf>
    <xf numFmtId="0" fontId="58" fillId="43" borderId="124" applyNumberFormat="0" applyAlignment="0" applyProtection="0"/>
    <xf numFmtId="4" fontId="32" fillId="32" borderId="119">
      <alignment horizontal="right" vertical="center"/>
    </xf>
    <xf numFmtId="4" fontId="34" fillId="0" borderId="129" applyFill="0" applyBorder="0" applyProtection="0">
      <alignment horizontal="right" vertical="center"/>
    </xf>
    <xf numFmtId="0" fontId="50" fillId="0" borderId="125" applyNumberFormat="0" applyFill="0" applyAlignment="0" applyProtection="0"/>
    <xf numFmtId="0" fontId="46" fillId="56" borderId="126" applyNumberFormat="0" applyAlignment="0" applyProtection="0"/>
    <xf numFmtId="0" fontId="58" fillId="43" borderId="124" applyNumberFormat="0" applyAlignment="0" applyProtection="0"/>
    <xf numFmtId="0" fontId="45" fillId="56" borderId="124" applyNumberFormat="0" applyAlignment="0" applyProtection="0"/>
    <xf numFmtId="0" fontId="26" fillId="17" borderId="0" applyNumberFormat="0" applyBorder="0" applyAlignment="0" applyProtection="0"/>
    <xf numFmtId="0" fontId="29" fillId="13" borderId="13" applyNumberFormat="0" applyAlignment="0" applyProtection="0"/>
    <xf numFmtId="0" fontId="12" fillId="16" borderId="0" applyNumberFormat="0" applyBorder="0" applyAlignment="0" applyProtection="0"/>
    <xf numFmtId="0" fontId="49" fillId="43" borderId="126" applyNumberFormat="0" applyAlignment="0" applyProtection="0"/>
    <xf numFmtId="0" fontId="58" fillId="43" borderId="134" applyNumberFormat="0" applyAlignment="0" applyProtection="0"/>
    <xf numFmtId="0" fontId="34" fillId="0" borderId="129">
      <alignment horizontal="right" vertical="center"/>
    </xf>
    <xf numFmtId="0" fontId="32" fillId="34" borderId="119">
      <alignment horizontal="right" vertical="center"/>
    </xf>
    <xf numFmtId="0" fontId="65" fillId="0" borderId="125" applyNumberFormat="0" applyFill="0" applyAlignment="0" applyProtection="0"/>
    <xf numFmtId="0" fontId="12" fillId="28" borderId="0" applyNumberFormat="0" applyBorder="0" applyAlignment="0" applyProtection="0"/>
    <xf numFmtId="0" fontId="5" fillId="59" borderId="128" applyNumberFormat="0" applyFont="0" applyAlignment="0" applyProtection="0"/>
    <xf numFmtId="0" fontId="29" fillId="13" borderId="13" applyNumberFormat="0" applyAlignment="0" applyProtection="0"/>
    <xf numFmtId="4" fontId="34" fillId="0" borderId="119" applyFill="0" applyBorder="0" applyProtection="0">
      <alignment horizontal="right" vertical="center"/>
    </xf>
    <xf numFmtId="0" fontId="49" fillId="43" borderId="124" applyNumberFormat="0" applyAlignment="0" applyProtection="0"/>
    <xf numFmtId="0" fontId="32" fillId="34" borderId="119">
      <alignment horizontal="right" vertical="center"/>
    </xf>
    <xf numFmtId="4" fontId="32" fillId="32" borderId="129">
      <alignment horizontal="right" vertical="center"/>
    </xf>
    <xf numFmtId="0" fontId="40" fillId="59" borderId="136" applyNumberFormat="0" applyFont="0" applyAlignment="0" applyProtection="0"/>
    <xf numFmtId="173" fontId="34" fillId="60" borderId="119" applyNumberFormat="0" applyFont="0" applyBorder="0" applyAlignment="0" applyProtection="0">
      <alignment horizontal="right" vertical="center"/>
    </xf>
    <xf numFmtId="0" fontId="28" fillId="13" borderId="14" applyNumberFormat="0" applyAlignment="0" applyProtection="0"/>
    <xf numFmtId="173" fontId="34" fillId="60" borderId="119" applyNumberFormat="0" applyFont="0" applyBorder="0" applyAlignment="0" applyProtection="0">
      <alignment horizontal="right" vertical="center"/>
    </xf>
    <xf numFmtId="0" fontId="34" fillId="0" borderId="137">
      <alignment horizontal="right" vertical="center"/>
    </xf>
    <xf numFmtId="0" fontId="36" fillId="32" borderId="137">
      <alignment horizontal="right" vertical="center"/>
    </xf>
    <xf numFmtId="0" fontId="62" fillId="56" borderId="133" applyNumberFormat="0" applyAlignment="0" applyProtection="0"/>
    <xf numFmtId="49" fontId="33" fillId="0" borderId="129" applyNumberFormat="0" applyFill="0" applyBorder="0" applyProtection="0">
      <alignment horizontal="left" vertical="center"/>
    </xf>
    <xf numFmtId="0" fontId="49" fillId="43" borderId="126" applyNumberFormat="0" applyAlignment="0" applyProtection="0"/>
    <xf numFmtId="0" fontId="65" fillId="0" borderId="125" applyNumberFormat="0" applyFill="0" applyAlignment="0" applyProtection="0"/>
    <xf numFmtId="0" fontId="1" fillId="0" borderId="0" applyNumberFormat="0" applyFill="0" applyBorder="0" applyAlignment="0" applyProtection="0"/>
    <xf numFmtId="4" fontId="32" fillId="34" borderId="119">
      <alignment horizontal="right" vertical="center"/>
    </xf>
    <xf numFmtId="0" fontId="32" fillId="32" borderId="129">
      <alignment horizontal="right" vertical="center"/>
    </xf>
    <xf numFmtId="4" fontId="36" fillId="32" borderId="129">
      <alignment horizontal="right" vertical="center"/>
    </xf>
    <xf numFmtId="0" fontId="58" fillId="43" borderId="126" applyNumberFormat="0" applyAlignment="0" applyProtection="0"/>
    <xf numFmtId="0" fontId="62" fillId="56" borderId="133" applyNumberFormat="0" applyAlignment="0" applyProtection="0"/>
    <xf numFmtId="0" fontId="32" fillId="34" borderId="129">
      <alignment horizontal="right" vertical="center"/>
    </xf>
    <xf numFmtId="0" fontId="32" fillId="34" borderId="119">
      <alignment horizontal="right" vertical="center"/>
    </xf>
    <xf numFmtId="0" fontId="28" fillId="13" borderId="14" applyNumberFormat="0" applyAlignment="0" applyProtection="0"/>
    <xf numFmtId="0" fontId="32" fillId="34" borderId="130">
      <alignment horizontal="right" vertical="center"/>
    </xf>
    <xf numFmtId="0" fontId="26" fillId="23" borderId="0" applyNumberFormat="0" applyBorder="0" applyAlignment="0" applyProtection="0"/>
    <xf numFmtId="0" fontId="49" fillId="43" borderId="134" applyNumberFormat="0" applyAlignment="0" applyProtection="0"/>
    <xf numFmtId="0" fontId="34" fillId="0" borderId="129" applyNumberFormat="0" applyFill="0" applyAlignment="0" applyProtection="0"/>
    <xf numFmtId="0" fontId="5" fillId="59" borderId="128" applyNumberFormat="0" applyFont="0" applyAlignment="0" applyProtection="0"/>
    <xf numFmtId="0" fontId="5" fillId="59" borderId="128" applyNumberFormat="0" applyFont="0" applyAlignment="0" applyProtection="0"/>
    <xf numFmtId="49" fontId="33" fillId="0" borderId="119" applyNumberFormat="0" applyFill="0" applyBorder="0" applyProtection="0">
      <alignment horizontal="left" vertical="center"/>
    </xf>
    <xf numFmtId="0" fontId="12" fillId="25" borderId="0" applyNumberFormat="0" applyBorder="0" applyAlignment="0" applyProtection="0"/>
    <xf numFmtId="0" fontId="26" fillId="15" borderId="0" applyNumberFormat="0" applyBorder="0" applyAlignment="0" applyProtection="0"/>
    <xf numFmtId="4" fontId="32" fillId="34" borderId="129">
      <alignment horizontal="right" vertical="center"/>
    </xf>
    <xf numFmtId="49" fontId="33" fillId="0" borderId="119" applyNumberFormat="0" applyFill="0" applyBorder="0" applyProtection="0">
      <alignment horizontal="left" vertical="center"/>
    </xf>
    <xf numFmtId="4" fontId="32" fillId="34" borderId="138">
      <alignment horizontal="right" vertical="center"/>
    </xf>
    <xf numFmtId="0" fontId="34" fillId="0" borderId="122">
      <alignment horizontal="left" vertical="center" wrapText="1" indent="2"/>
    </xf>
    <xf numFmtId="4" fontId="34" fillId="0" borderId="119" applyFill="0" applyBorder="0" applyProtection="0">
      <alignment horizontal="right" vertical="center"/>
    </xf>
    <xf numFmtId="0" fontId="32" fillId="34" borderId="121">
      <alignment horizontal="right" vertical="center"/>
    </xf>
    <xf numFmtId="0" fontId="26" fillId="18" borderId="0" applyNumberFormat="0" applyBorder="0" applyAlignment="0" applyProtection="0"/>
    <xf numFmtId="49" fontId="34" fillId="0" borderId="119" applyNumberFormat="0" applyFont="0" applyFill="0" applyBorder="0" applyProtection="0">
      <alignment horizontal="left" vertical="center" indent="2"/>
    </xf>
    <xf numFmtId="0" fontId="46" fillId="56" borderId="126" applyNumberFormat="0" applyAlignment="0" applyProtection="0"/>
    <xf numFmtId="0" fontId="29" fillId="13" borderId="13" applyNumberFormat="0" applyAlignment="0" applyProtection="0"/>
    <xf numFmtId="0" fontId="62" fillId="56" borderId="123" applyNumberFormat="0" applyAlignment="0" applyProtection="0"/>
    <xf numFmtId="0" fontId="26" fillId="26" borderId="0" applyNumberFormat="0" applyBorder="0" applyAlignment="0" applyProtection="0"/>
    <xf numFmtId="0" fontId="50" fillId="0" borderId="127" applyNumberFormat="0" applyFill="0" applyAlignment="0" applyProtection="0"/>
    <xf numFmtId="0" fontId="65" fillId="0" borderId="127" applyNumberFormat="0" applyFill="0" applyAlignment="0" applyProtection="0"/>
    <xf numFmtId="0" fontId="34" fillId="0" borderId="137">
      <alignment horizontal="right" vertical="center"/>
    </xf>
    <xf numFmtId="0" fontId="32" fillId="34" borderId="137">
      <alignment horizontal="right" vertical="center"/>
    </xf>
    <xf numFmtId="0" fontId="46" fillId="56" borderId="124" applyNumberFormat="0" applyAlignment="0" applyProtection="0"/>
    <xf numFmtId="0" fontId="46" fillId="56" borderId="124" applyNumberFormat="0" applyAlignment="0" applyProtection="0"/>
    <xf numFmtId="173" fontId="34" fillId="60" borderId="119" applyNumberFormat="0" applyFont="0" applyBorder="0" applyAlignment="0" applyProtection="0">
      <alignment horizontal="right" vertical="center"/>
    </xf>
    <xf numFmtId="0" fontId="46" fillId="56" borderId="126" applyNumberFormat="0" applyAlignment="0" applyProtection="0"/>
    <xf numFmtId="0" fontId="34" fillId="34" borderId="132">
      <alignment horizontal="left" vertical="center" wrapText="1" indent="2"/>
    </xf>
    <xf numFmtId="0" fontId="58" fillId="43" borderId="124" applyNumberFormat="0" applyAlignment="0" applyProtection="0"/>
    <xf numFmtId="0" fontId="45" fillId="56" borderId="124" applyNumberFormat="0" applyAlignment="0" applyProtection="0"/>
    <xf numFmtId="0" fontId="46" fillId="56" borderId="124" applyNumberFormat="0" applyAlignment="0" applyProtection="0"/>
    <xf numFmtId="0" fontId="34" fillId="0" borderId="119">
      <alignment horizontal="right" vertical="center"/>
    </xf>
    <xf numFmtId="0" fontId="28" fillId="13" borderId="14" applyNumberFormat="0" applyAlignment="0" applyProtection="0"/>
    <xf numFmtId="0" fontId="12" fillId="28" borderId="0" applyNumberFormat="0" applyBorder="0" applyAlignment="0" applyProtection="0"/>
    <xf numFmtId="0" fontId="65" fillId="0" borderId="127" applyNumberFormat="0" applyFill="0" applyAlignment="0" applyProtection="0"/>
    <xf numFmtId="0" fontId="30" fillId="0" borderId="0" applyNumberFormat="0" applyFill="0" applyBorder="0" applyAlignment="0" applyProtection="0"/>
    <xf numFmtId="0" fontId="26" fillId="27" borderId="0" applyNumberFormat="0" applyBorder="0" applyAlignment="0" applyProtection="0"/>
    <xf numFmtId="0" fontId="34" fillId="0" borderId="122">
      <alignment horizontal="left" vertical="center" wrapText="1" indent="2"/>
    </xf>
    <xf numFmtId="0" fontId="50" fillId="0" borderId="127" applyNumberFormat="0" applyFill="0" applyAlignment="0" applyProtection="0"/>
    <xf numFmtId="4" fontId="34" fillId="0" borderId="137">
      <alignment horizontal="right" vertical="center"/>
    </xf>
    <xf numFmtId="0" fontId="5" fillId="59" borderId="136" applyNumberFormat="0" applyFont="0" applyAlignment="0" applyProtection="0"/>
    <xf numFmtId="0" fontId="12" fillId="31" borderId="0" applyNumberFormat="0" applyBorder="0" applyAlignment="0" applyProtection="0"/>
    <xf numFmtId="0" fontId="26" fillId="15" borderId="0" applyNumberFormat="0" applyBorder="0" applyAlignment="0" applyProtection="0"/>
    <xf numFmtId="0" fontId="50" fillId="0" borderId="127" applyNumberFormat="0" applyFill="0" applyAlignment="0" applyProtection="0"/>
    <xf numFmtId="0" fontId="12" fillId="19" borderId="0" applyNumberFormat="0" applyBorder="0" applyAlignment="0" applyProtection="0"/>
    <xf numFmtId="0" fontId="62" fillId="56" borderId="123" applyNumberFormat="0" applyAlignment="0" applyProtection="0"/>
    <xf numFmtId="0" fontId="32" fillId="34" borderId="119">
      <alignment horizontal="right" vertical="center"/>
    </xf>
    <xf numFmtId="0" fontId="49" fillId="43" borderId="124" applyNumberFormat="0" applyAlignment="0" applyProtection="0"/>
    <xf numFmtId="0" fontId="26" fillId="26" borderId="0" applyNumberFormat="0" applyBorder="0" applyAlignment="0" applyProtection="0"/>
    <xf numFmtId="49" fontId="33" fillId="0" borderId="119" applyNumberFormat="0" applyFill="0" applyBorder="0" applyProtection="0">
      <alignment horizontal="left" vertical="center"/>
    </xf>
    <xf numFmtId="0" fontId="36" fillId="32" borderId="129">
      <alignment horizontal="right" vertical="center"/>
    </xf>
    <xf numFmtId="49" fontId="34" fillId="0" borderId="120" applyNumberFormat="0" applyFont="0" applyFill="0" applyBorder="0" applyProtection="0">
      <alignment horizontal="left" vertical="center" indent="5"/>
    </xf>
    <xf numFmtId="0" fontId="34" fillId="34" borderId="140">
      <alignment horizontal="left" vertical="center" wrapText="1" indent="2"/>
    </xf>
    <xf numFmtId="0" fontId="40" fillId="59" borderId="118" applyNumberFormat="0" applyFont="0" applyAlignment="0" applyProtection="0"/>
    <xf numFmtId="4" fontId="36" fillId="32" borderId="119">
      <alignment horizontal="right" vertical="center"/>
    </xf>
    <xf numFmtId="0" fontId="40" fillId="59" borderId="128" applyNumberFormat="0" applyFont="0" applyAlignment="0" applyProtection="0"/>
    <xf numFmtId="4" fontId="32" fillId="34" borderId="119">
      <alignment horizontal="right" vertical="center"/>
    </xf>
    <xf numFmtId="0" fontId="26" fillId="24" borderId="0" applyNumberFormat="0" applyBorder="0" applyAlignment="0" applyProtection="0"/>
    <xf numFmtId="0" fontId="43" fillId="56" borderId="123" applyNumberFormat="0" applyAlignment="0" applyProtection="0"/>
    <xf numFmtId="0" fontId="34" fillId="0" borderId="119" applyNumberFormat="0" applyFill="0" applyAlignment="0" applyProtection="0"/>
    <xf numFmtId="0" fontId="32" fillId="34" borderId="121">
      <alignment horizontal="right" vertical="center"/>
    </xf>
    <xf numFmtId="0" fontId="40" fillId="59" borderId="136" applyNumberFormat="0" applyFont="0" applyAlignment="0" applyProtection="0"/>
    <xf numFmtId="0" fontId="43" fillId="56" borderId="123" applyNumberFormat="0" applyAlignment="0" applyProtection="0"/>
    <xf numFmtId="0" fontId="65" fillId="0" borderId="125" applyNumberFormat="0" applyFill="0" applyAlignment="0" applyProtection="0"/>
    <xf numFmtId="0" fontId="29" fillId="13" borderId="13" applyNumberFormat="0" applyAlignment="0" applyProtection="0"/>
    <xf numFmtId="0" fontId="36" fillId="32" borderId="129">
      <alignment horizontal="right" vertical="center"/>
    </xf>
    <xf numFmtId="0" fontId="62" fillId="56" borderId="133" applyNumberFormat="0" applyAlignment="0" applyProtection="0"/>
    <xf numFmtId="0" fontId="5" fillId="59" borderId="118" applyNumberFormat="0" applyFont="0" applyAlignment="0" applyProtection="0"/>
    <xf numFmtId="0" fontId="2" fillId="0" borderId="15" applyNumberFormat="0" applyFill="0" applyAlignment="0" applyProtection="0"/>
    <xf numFmtId="0" fontId="62" fillId="56" borderId="123" applyNumberFormat="0" applyAlignment="0" applyProtection="0"/>
    <xf numFmtId="4" fontId="34" fillId="0" borderId="129">
      <alignment horizontal="right" vertical="center"/>
    </xf>
    <xf numFmtId="0" fontId="34" fillId="32" borderId="138">
      <alignment horizontal="left" vertical="center"/>
    </xf>
    <xf numFmtId="0" fontId="46" fillId="56" borderId="134" applyNumberFormat="0" applyAlignment="0" applyProtection="0"/>
    <xf numFmtId="0" fontId="46" fillId="56" borderId="124" applyNumberFormat="0" applyAlignment="0" applyProtection="0"/>
    <xf numFmtId="0" fontId="26" fillId="26" borderId="0" applyNumberFormat="0" applyBorder="0" applyAlignment="0" applyProtection="0"/>
    <xf numFmtId="49" fontId="34" fillId="0" borderId="120" applyNumberFormat="0" applyFont="0" applyFill="0" applyBorder="0" applyProtection="0">
      <alignment horizontal="left" vertical="center" indent="5"/>
    </xf>
    <xf numFmtId="0" fontId="34" fillId="0" borderId="119">
      <alignment horizontal="right" vertical="center"/>
    </xf>
    <xf numFmtId="4" fontId="32" fillId="34" borderId="119">
      <alignment horizontal="right" vertical="center"/>
    </xf>
    <xf numFmtId="4" fontId="34" fillId="33" borderId="119"/>
    <xf numFmtId="4" fontId="34" fillId="0" borderId="119" applyFill="0" applyBorder="0" applyProtection="0">
      <alignment horizontal="right" vertical="center"/>
    </xf>
    <xf numFmtId="0" fontId="43" fillId="56" borderId="133" applyNumberFormat="0" applyAlignment="0" applyProtection="0"/>
    <xf numFmtId="173" fontId="34" fillId="60" borderId="137" applyNumberFormat="0" applyFont="0" applyBorder="0" applyAlignment="0" applyProtection="0">
      <alignment horizontal="right" vertical="center"/>
    </xf>
    <xf numFmtId="0" fontId="40" fillId="59" borderId="128" applyNumberFormat="0" applyFont="0" applyAlignment="0" applyProtection="0"/>
    <xf numFmtId="49" fontId="33" fillId="0" borderId="119" applyNumberFormat="0" applyFill="0" applyBorder="0" applyProtection="0">
      <alignment horizontal="left" vertical="center"/>
    </xf>
    <xf numFmtId="0" fontId="26" fillId="18" borderId="0" applyNumberFormat="0" applyBorder="0" applyAlignment="0" applyProtection="0"/>
    <xf numFmtId="4" fontId="32" fillId="34" borderId="121">
      <alignment horizontal="right" vertical="center"/>
    </xf>
    <xf numFmtId="0" fontId="34" fillId="0" borderId="122">
      <alignment horizontal="left" vertical="center" wrapText="1" indent="2"/>
    </xf>
    <xf numFmtId="0" fontId="45" fillId="56" borderId="126" applyNumberFormat="0" applyAlignment="0" applyProtection="0"/>
    <xf numFmtId="49" fontId="34" fillId="0" borderId="130" applyNumberFormat="0" applyFont="0" applyFill="0" applyBorder="0" applyProtection="0">
      <alignment horizontal="left" vertical="center" indent="5"/>
    </xf>
    <xf numFmtId="0" fontId="65" fillId="0" borderId="125" applyNumberFormat="0" applyFill="0" applyAlignment="0" applyProtection="0"/>
    <xf numFmtId="0" fontId="32" fillId="32" borderId="119">
      <alignment horizontal="right" vertical="center"/>
    </xf>
    <xf numFmtId="4" fontId="34" fillId="33" borderId="129"/>
    <xf numFmtId="0" fontId="32" fillId="34" borderId="129">
      <alignment horizontal="right" vertical="center"/>
    </xf>
    <xf numFmtId="0" fontId="40" fillId="59" borderId="118" applyNumberFormat="0" applyFont="0" applyAlignment="0" applyProtection="0"/>
    <xf numFmtId="0" fontId="12" fillId="22" borderId="0" applyNumberFormat="0" applyBorder="0" applyAlignment="0" applyProtection="0"/>
    <xf numFmtId="0" fontId="65" fillId="0" borderId="135" applyNumberFormat="0" applyFill="0" applyAlignment="0" applyProtection="0"/>
    <xf numFmtId="0" fontId="2" fillId="0" borderId="15" applyNumberFormat="0" applyFill="0" applyAlignment="0" applyProtection="0"/>
    <xf numFmtId="0" fontId="26" fillId="29" borderId="0" applyNumberFormat="0" applyBorder="0" applyAlignment="0" applyProtection="0"/>
    <xf numFmtId="0" fontId="32" fillId="34" borderId="119">
      <alignment horizontal="right" vertical="center"/>
    </xf>
    <xf numFmtId="0" fontId="12" fillId="31" borderId="0" applyNumberFormat="0" applyBorder="0" applyAlignment="0" applyProtection="0"/>
    <xf numFmtId="0" fontId="65" fillId="0" borderId="127" applyNumberFormat="0" applyFill="0" applyAlignment="0" applyProtection="0"/>
    <xf numFmtId="4" fontId="34" fillId="33" borderId="129"/>
    <xf numFmtId="4" fontId="34" fillId="33" borderId="129"/>
    <xf numFmtId="4" fontId="32" fillId="32" borderId="119">
      <alignment horizontal="right" vertical="center"/>
    </xf>
    <xf numFmtId="173" fontId="34" fillId="60" borderId="119" applyNumberFormat="0" applyFont="0" applyBorder="0" applyAlignment="0" applyProtection="0">
      <alignment horizontal="right" vertical="center"/>
    </xf>
    <xf numFmtId="4" fontId="34" fillId="33" borderId="119"/>
    <xf numFmtId="0" fontId="26" fillId="17" borderId="0" applyNumberFormat="0" applyBorder="0" applyAlignment="0" applyProtection="0"/>
    <xf numFmtId="0" fontId="32" fillId="34" borderId="120">
      <alignment horizontal="right" vertical="center"/>
    </xf>
    <xf numFmtId="0" fontId="46" fillId="56" borderId="124" applyNumberFormat="0" applyAlignment="0" applyProtection="0"/>
    <xf numFmtId="0" fontId="26" fillId="30" borderId="0" applyNumberFormat="0" applyBorder="0" applyAlignment="0" applyProtection="0"/>
    <xf numFmtId="0" fontId="26" fillId="29" borderId="0" applyNumberFormat="0" applyBorder="0" applyAlignment="0" applyProtection="0"/>
    <xf numFmtId="4" fontId="34" fillId="0" borderId="119" applyFill="0" applyBorder="0" applyProtection="0">
      <alignment horizontal="right" vertical="center"/>
    </xf>
    <xf numFmtId="0" fontId="34" fillId="0" borderId="140">
      <alignment horizontal="left" vertical="center" wrapText="1" indent="2"/>
    </xf>
    <xf numFmtId="4" fontId="36" fillId="32" borderId="137">
      <alignment horizontal="right" vertical="center"/>
    </xf>
    <xf numFmtId="0" fontId="26" fillId="17" borderId="0" applyNumberFormat="0" applyBorder="0" applyAlignment="0" applyProtection="0"/>
    <xf numFmtId="0" fontId="49" fillId="43" borderId="124" applyNumberFormat="0" applyAlignment="0" applyProtection="0"/>
    <xf numFmtId="0" fontId="26" fillId="20" borderId="0" applyNumberFormat="0" applyBorder="0" applyAlignment="0" applyProtection="0"/>
    <xf numFmtId="0" fontId="32" fillId="34" borderId="129">
      <alignment horizontal="right" vertical="center"/>
    </xf>
    <xf numFmtId="0" fontId="12" fillId="16" borderId="0" applyNumberFormat="0" applyBorder="0" applyAlignment="0" applyProtection="0"/>
    <xf numFmtId="0" fontId="58" fillId="43" borderId="134" applyNumberFormat="0" applyAlignment="0" applyProtection="0"/>
    <xf numFmtId="0" fontId="43" fillId="56" borderId="123" applyNumberFormat="0" applyAlignment="0" applyProtection="0"/>
    <xf numFmtId="0" fontId="1" fillId="0" borderId="0" applyNumberFormat="0" applyFill="0" applyBorder="0" applyAlignment="0" applyProtection="0"/>
    <xf numFmtId="0" fontId="12" fillId="31" borderId="0" applyNumberFormat="0" applyBorder="0" applyAlignment="0" applyProtection="0"/>
    <xf numFmtId="4" fontId="32" fillId="34" borderId="119">
      <alignment horizontal="right" vertical="center"/>
    </xf>
    <xf numFmtId="0" fontId="5" fillId="59" borderId="128" applyNumberFormat="0" applyFont="0" applyAlignment="0" applyProtection="0"/>
    <xf numFmtId="0" fontId="45" fillId="56" borderId="124" applyNumberFormat="0" applyAlignment="0" applyProtection="0"/>
    <xf numFmtId="0" fontId="32" fillId="34" borderId="129">
      <alignment horizontal="right" vertical="center"/>
    </xf>
    <xf numFmtId="0" fontId="32" fillId="34" borderId="119">
      <alignment horizontal="right" vertical="center"/>
    </xf>
    <xf numFmtId="0" fontId="30" fillId="0" borderId="0" applyNumberFormat="0" applyFill="0" applyBorder="0" applyAlignment="0" applyProtection="0"/>
    <xf numFmtId="0" fontId="26" fillId="29" borderId="0" applyNumberFormat="0" applyBorder="0" applyAlignment="0" applyProtection="0"/>
    <xf numFmtId="0" fontId="26" fillId="20" borderId="0" applyNumberFormat="0" applyBorder="0" applyAlignment="0" applyProtection="0"/>
    <xf numFmtId="0" fontId="1" fillId="0" borderId="0" applyNumberFormat="0" applyFill="0" applyBorder="0" applyAlignment="0" applyProtection="0"/>
    <xf numFmtId="0" fontId="58" fillId="43" borderId="124" applyNumberFormat="0" applyAlignment="0" applyProtection="0"/>
    <xf numFmtId="4" fontId="34" fillId="0" borderId="137" applyFill="0" applyBorder="0" applyProtection="0">
      <alignment horizontal="right" vertical="center"/>
    </xf>
    <xf numFmtId="0" fontId="40" fillId="59" borderId="118" applyNumberFormat="0" applyFont="0" applyAlignment="0" applyProtection="0"/>
    <xf numFmtId="0" fontId="26" fillId="20" borderId="0" applyNumberFormat="0" applyBorder="0" applyAlignment="0" applyProtection="0"/>
    <xf numFmtId="0" fontId="34" fillId="0" borderId="132">
      <alignment horizontal="left" vertical="center" wrapText="1" indent="2"/>
    </xf>
    <xf numFmtId="0" fontId="34" fillId="0" borderId="132">
      <alignment horizontal="left" vertical="center" wrapText="1" indent="2"/>
    </xf>
    <xf numFmtId="4" fontId="34" fillId="0" borderId="119">
      <alignment horizontal="right" vertical="center"/>
    </xf>
    <xf numFmtId="0" fontId="32" fillId="34" borderId="129">
      <alignment horizontal="right" vertical="center"/>
    </xf>
    <xf numFmtId="0" fontId="34" fillId="34" borderId="122">
      <alignment horizontal="left" vertical="center" wrapText="1" indent="2"/>
    </xf>
    <xf numFmtId="4" fontId="32" fillId="34" borderId="119">
      <alignment horizontal="right" vertical="center"/>
    </xf>
    <xf numFmtId="49" fontId="34" fillId="0" borderId="119" applyNumberFormat="0" applyFont="0" applyFill="0" applyBorder="0" applyProtection="0">
      <alignment horizontal="left" vertical="center" indent="2"/>
    </xf>
    <xf numFmtId="0" fontId="32" fillId="34" borderId="119">
      <alignment horizontal="right" vertical="center"/>
    </xf>
    <xf numFmtId="4" fontId="34" fillId="0" borderId="119" applyFill="0" applyBorder="0" applyProtection="0">
      <alignment horizontal="right" vertical="center"/>
    </xf>
    <xf numFmtId="173" fontId="34" fillId="60" borderId="129" applyNumberFormat="0" applyFont="0" applyBorder="0" applyAlignment="0" applyProtection="0">
      <alignment horizontal="right" vertical="center"/>
    </xf>
    <xf numFmtId="0" fontId="40" fillId="59" borderId="118" applyNumberFormat="0" applyFont="0" applyAlignment="0" applyProtection="0"/>
    <xf numFmtId="0" fontId="12" fillId="28" borderId="0" applyNumberFormat="0" applyBorder="0" applyAlignment="0" applyProtection="0"/>
    <xf numFmtId="0" fontId="49" fillId="43" borderId="124" applyNumberFormat="0" applyAlignment="0" applyProtection="0"/>
    <xf numFmtId="0" fontId="62" fillId="56" borderId="123" applyNumberFormat="0" applyAlignment="0" applyProtection="0"/>
    <xf numFmtId="0" fontId="49" fillId="43" borderId="126" applyNumberFormat="0" applyAlignment="0" applyProtection="0"/>
    <xf numFmtId="4" fontId="32" fillId="34" borderId="119">
      <alignment horizontal="right" vertical="center"/>
    </xf>
    <xf numFmtId="0" fontId="12" fillId="25" borderId="0" applyNumberFormat="0" applyBorder="0" applyAlignment="0" applyProtection="0"/>
    <xf numFmtId="4" fontId="34" fillId="0" borderId="129">
      <alignment horizontal="right" vertical="center"/>
    </xf>
    <xf numFmtId="0" fontId="12" fillId="19" borderId="0" applyNumberFormat="0" applyBorder="0" applyAlignment="0" applyProtection="0"/>
    <xf numFmtId="4" fontId="34" fillId="0" borderId="129" applyFill="0" applyBorder="0" applyProtection="0">
      <alignment horizontal="right" vertical="center"/>
    </xf>
    <xf numFmtId="4" fontId="34" fillId="0" borderId="129">
      <alignment horizontal="right" vertical="center"/>
    </xf>
    <xf numFmtId="0" fontId="32" fillId="34" borderId="121">
      <alignment horizontal="right" vertical="center"/>
    </xf>
    <xf numFmtId="0" fontId="29" fillId="13" borderId="13" applyNumberFormat="0" applyAlignment="0" applyProtection="0"/>
    <xf numFmtId="0" fontId="32" fillId="34" borderId="137">
      <alignment horizontal="right" vertical="center"/>
    </xf>
    <xf numFmtId="0" fontId="28" fillId="13" borderId="14" applyNumberFormat="0" applyAlignment="0" applyProtection="0"/>
    <xf numFmtId="0" fontId="50" fillId="0" borderId="125" applyNumberFormat="0" applyFill="0" applyAlignment="0" applyProtection="0"/>
    <xf numFmtId="0" fontId="26" fillId="15" borderId="0" applyNumberFormat="0" applyBorder="0" applyAlignment="0" applyProtection="0"/>
    <xf numFmtId="0" fontId="45" fillId="56" borderId="124" applyNumberFormat="0" applyAlignment="0" applyProtection="0"/>
    <xf numFmtId="49" fontId="34" fillId="0" borderId="129" applyNumberFormat="0" applyFont="0" applyFill="0" applyBorder="0" applyProtection="0">
      <alignment horizontal="left" vertical="center" indent="2"/>
    </xf>
    <xf numFmtId="0" fontId="26" fillId="15" borderId="0" applyNumberFormat="0" applyBorder="0" applyAlignment="0" applyProtection="0"/>
    <xf numFmtId="0" fontId="34" fillId="32" borderId="120">
      <alignment horizontal="left" vertical="center"/>
    </xf>
    <xf numFmtId="4" fontId="36" fillId="32" borderId="119">
      <alignment horizontal="right" vertical="center"/>
    </xf>
    <xf numFmtId="0" fontId="32" fillId="34" borderId="129">
      <alignment horizontal="right" vertical="center"/>
    </xf>
    <xf numFmtId="0" fontId="32" fillId="32" borderId="129">
      <alignment horizontal="right" vertical="center"/>
    </xf>
    <xf numFmtId="4" fontId="32" fillId="34" borderId="121">
      <alignment horizontal="right" vertical="center"/>
    </xf>
    <xf numFmtId="0" fontId="49" fillId="43" borderId="126" applyNumberFormat="0" applyAlignment="0" applyProtection="0"/>
    <xf numFmtId="4" fontId="32" fillId="32" borderId="119">
      <alignment horizontal="right" vertical="center"/>
    </xf>
    <xf numFmtId="0" fontId="43" fillId="56" borderId="133" applyNumberFormat="0" applyAlignment="0" applyProtection="0"/>
    <xf numFmtId="0" fontId="12" fillId="28" borderId="0" applyNumberFormat="0" applyBorder="0" applyAlignment="0" applyProtection="0"/>
    <xf numFmtId="0" fontId="26" fillId="23" borderId="0" applyNumberFormat="0" applyBorder="0" applyAlignment="0" applyProtection="0"/>
    <xf numFmtId="49" fontId="34" fillId="0" borderId="129" applyNumberFormat="0" applyFont="0" applyFill="0" applyBorder="0" applyProtection="0">
      <alignment horizontal="left" vertical="center" indent="2"/>
    </xf>
    <xf numFmtId="0" fontId="34" fillId="0" borderId="122">
      <alignment horizontal="left" vertical="center" wrapText="1" indent="2"/>
    </xf>
    <xf numFmtId="4" fontId="32" fillId="34" borderId="121">
      <alignment horizontal="right" vertical="center"/>
    </xf>
    <xf numFmtId="0" fontId="12" fillId="19" borderId="0" applyNumberFormat="0" applyBorder="0" applyAlignment="0" applyProtection="0"/>
    <xf numFmtId="4" fontId="34" fillId="33" borderId="119"/>
    <xf numFmtId="0" fontId="26" fillId="29" borderId="0" applyNumberFormat="0" applyBorder="0" applyAlignment="0" applyProtection="0"/>
    <xf numFmtId="0" fontId="26" fillId="18" borderId="0" applyNumberFormat="0" applyBorder="0" applyAlignment="0" applyProtection="0"/>
    <xf numFmtId="0" fontId="46" fillId="56" borderId="126" applyNumberFormat="0" applyAlignment="0" applyProtection="0"/>
    <xf numFmtId="0" fontId="34" fillId="33" borderId="119"/>
    <xf numFmtId="0" fontId="46" fillId="56" borderId="124" applyNumberFormat="0" applyAlignment="0" applyProtection="0"/>
    <xf numFmtId="0" fontId="46" fillId="56" borderId="134" applyNumberFormat="0" applyAlignment="0" applyProtection="0"/>
    <xf numFmtId="0" fontId="34" fillId="33" borderId="119"/>
    <xf numFmtId="0" fontId="46" fillId="56" borderId="126" applyNumberFormat="0" applyAlignment="0" applyProtection="0"/>
    <xf numFmtId="0" fontId="34" fillId="0" borderId="132">
      <alignment horizontal="left" vertical="center" wrapText="1" indent="2"/>
    </xf>
    <xf numFmtId="0" fontId="12" fillId="16" borderId="0" applyNumberFormat="0" applyBorder="0" applyAlignment="0" applyProtection="0"/>
    <xf numFmtId="0" fontId="65" fillId="0" borderId="127" applyNumberFormat="0" applyFill="0" applyAlignment="0" applyProtection="0"/>
    <xf numFmtId="173" fontId="34" fillId="60" borderId="137" applyNumberFormat="0" applyFont="0" applyBorder="0" applyAlignment="0" applyProtection="0">
      <alignment horizontal="right" vertical="center"/>
    </xf>
    <xf numFmtId="0" fontId="36" fillId="32" borderId="119">
      <alignment horizontal="right" vertical="center"/>
    </xf>
    <xf numFmtId="0" fontId="26" fillId="20" borderId="0" applyNumberFormat="0" applyBorder="0" applyAlignment="0" applyProtection="0"/>
    <xf numFmtId="49" fontId="33" fillId="0" borderId="129" applyNumberFormat="0" applyFill="0" applyBorder="0" applyProtection="0">
      <alignment horizontal="left" vertical="center"/>
    </xf>
    <xf numFmtId="4" fontId="32" fillId="34" borderId="119">
      <alignment horizontal="right" vertical="center"/>
    </xf>
    <xf numFmtId="0" fontId="43" fillId="56" borderId="133" applyNumberFormat="0" applyAlignment="0" applyProtection="0"/>
    <xf numFmtId="49" fontId="33" fillId="0" borderId="129" applyNumberFormat="0" applyFill="0" applyBorder="0" applyProtection="0">
      <alignment horizontal="left" vertical="center"/>
    </xf>
    <xf numFmtId="0" fontId="32" fillId="32" borderId="119">
      <alignment horizontal="right" vertical="center"/>
    </xf>
    <xf numFmtId="0" fontId="30" fillId="0" borderId="0" applyNumberFormat="0" applyFill="0" applyBorder="0" applyAlignment="0" applyProtection="0"/>
    <xf numFmtId="0" fontId="26" fillId="20" borderId="0" applyNumberFormat="0" applyBorder="0" applyAlignment="0" applyProtection="0"/>
    <xf numFmtId="0" fontId="65" fillId="0" borderId="125" applyNumberFormat="0" applyFill="0" applyAlignment="0" applyProtection="0"/>
    <xf numFmtId="0" fontId="26" fillId="21" borderId="0" applyNumberFormat="0" applyBorder="0" applyAlignment="0" applyProtection="0"/>
    <xf numFmtId="0" fontId="45" fillId="56" borderId="124" applyNumberFormat="0" applyAlignment="0" applyProtection="0"/>
    <xf numFmtId="0" fontId="46" fillId="56" borderId="126" applyNumberFormat="0" applyAlignment="0" applyProtection="0"/>
    <xf numFmtId="0" fontId="58" fillId="43" borderId="126" applyNumberFormat="0" applyAlignment="0" applyProtection="0"/>
    <xf numFmtId="49" fontId="34" fillId="0" borderId="119" applyNumberFormat="0" applyFont="0" applyFill="0" applyBorder="0" applyProtection="0">
      <alignment horizontal="left" vertical="center" indent="2"/>
    </xf>
    <xf numFmtId="0" fontId="26" fillId="15" borderId="0" applyNumberFormat="0" applyBorder="0" applyAlignment="0" applyProtection="0"/>
    <xf numFmtId="0" fontId="26" fillId="27" borderId="0" applyNumberFormat="0" applyBorder="0" applyAlignment="0" applyProtection="0"/>
    <xf numFmtId="4" fontId="34" fillId="0" borderId="119" applyFill="0" applyBorder="0" applyProtection="0">
      <alignment horizontal="right" vertical="center"/>
    </xf>
    <xf numFmtId="0" fontId="49" fillId="43" borderId="124" applyNumberFormat="0" applyAlignment="0" applyProtection="0"/>
    <xf numFmtId="0" fontId="12" fillId="25" borderId="0" applyNumberFormat="0" applyBorder="0" applyAlignment="0" applyProtection="0"/>
    <xf numFmtId="0" fontId="46" fillId="56" borderId="124" applyNumberFormat="0" applyAlignment="0" applyProtection="0"/>
    <xf numFmtId="4" fontId="32" fillId="34" borderId="130">
      <alignment horizontal="right" vertical="center"/>
    </xf>
    <xf numFmtId="0" fontId="65" fillId="0" borderId="127" applyNumberFormat="0" applyFill="0" applyAlignment="0" applyProtection="0"/>
    <xf numFmtId="0" fontId="43" fillId="56" borderId="123" applyNumberFormat="0" applyAlignment="0" applyProtection="0"/>
    <xf numFmtId="0" fontId="45" fillId="56" borderId="126" applyNumberFormat="0" applyAlignment="0" applyProtection="0"/>
    <xf numFmtId="0" fontId="26" fillId="29" borderId="0" applyNumberFormat="0" applyBorder="0" applyAlignment="0" applyProtection="0"/>
    <xf numFmtId="0" fontId="46" fillId="56" borderId="126" applyNumberFormat="0" applyAlignment="0" applyProtection="0"/>
    <xf numFmtId="0" fontId="34" fillId="32" borderId="138">
      <alignment horizontal="left" vertical="center"/>
    </xf>
    <xf numFmtId="0" fontId="32" fillId="34" borderId="119">
      <alignment horizontal="right" vertical="center"/>
    </xf>
    <xf numFmtId="0" fontId="32" fillId="34" borderId="131">
      <alignment horizontal="right" vertical="center"/>
    </xf>
    <xf numFmtId="0" fontId="32" fillId="32" borderId="119">
      <alignment horizontal="right" vertical="center"/>
    </xf>
    <xf numFmtId="0" fontId="32" fillId="34" borderId="119">
      <alignment horizontal="right" vertical="center"/>
    </xf>
    <xf numFmtId="0" fontId="40" fillId="59" borderId="118" applyNumberFormat="0" applyFont="0" applyAlignment="0" applyProtection="0"/>
    <xf numFmtId="0" fontId="1" fillId="0" borderId="0" applyNumberFormat="0" applyFill="0" applyBorder="0" applyAlignment="0" applyProtection="0"/>
    <xf numFmtId="0" fontId="34" fillId="32" borderId="120">
      <alignment horizontal="left" vertical="center"/>
    </xf>
    <xf numFmtId="0" fontId="46" fillId="56" borderId="124" applyNumberFormat="0" applyAlignment="0" applyProtection="0"/>
    <xf numFmtId="0" fontId="49" fillId="43" borderId="126" applyNumberFormat="0" applyAlignment="0" applyProtection="0"/>
    <xf numFmtId="0" fontId="32" fillId="34" borderId="119">
      <alignment horizontal="right" vertical="center"/>
    </xf>
    <xf numFmtId="0" fontId="26" fillId="23" borderId="0" applyNumberFormat="0" applyBorder="0" applyAlignment="0" applyProtection="0"/>
    <xf numFmtId="0" fontId="46" fillId="56" borderId="124" applyNumberFormat="0" applyAlignment="0" applyProtection="0"/>
    <xf numFmtId="0" fontId="5" fillId="59" borderId="118" applyNumberFormat="0" applyFont="0" applyAlignment="0" applyProtection="0"/>
    <xf numFmtId="4" fontId="34" fillId="0" borderId="119">
      <alignment horizontal="right" vertical="center"/>
    </xf>
    <xf numFmtId="0" fontId="32" fillId="34" borderId="130">
      <alignment horizontal="right" vertical="center"/>
    </xf>
    <xf numFmtId="0" fontId="50" fillId="0" borderId="127" applyNumberFormat="0" applyFill="0" applyAlignment="0" applyProtection="0"/>
    <xf numFmtId="0" fontId="34" fillId="0" borderId="132">
      <alignment horizontal="left" vertical="center" wrapText="1" indent="2"/>
    </xf>
    <xf numFmtId="0" fontId="26" fillId="14" borderId="0" applyNumberFormat="0" applyBorder="0" applyAlignment="0" applyProtection="0"/>
    <xf numFmtId="0" fontId="34" fillId="33" borderId="119"/>
    <xf numFmtId="0" fontId="1" fillId="0" borderId="0" applyNumberFormat="0" applyFill="0" applyBorder="0" applyAlignment="0" applyProtection="0"/>
    <xf numFmtId="0" fontId="58" fillId="43" borderId="124" applyNumberFormat="0" applyAlignment="0" applyProtection="0"/>
    <xf numFmtId="49" fontId="33" fillId="0" borderId="119" applyNumberFormat="0" applyFill="0" applyBorder="0" applyProtection="0">
      <alignment horizontal="left" vertical="center"/>
    </xf>
    <xf numFmtId="0" fontId="36" fillId="32" borderId="129">
      <alignment horizontal="right" vertical="center"/>
    </xf>
    <xf numFmtId="4" fontId="34" fillId="33" borderId="119"/>
    <xf numFmtId="4" fontId="32" fillId="32" borderId="119">
      <alignment horizontal="right" vertical="center"/>
    </xf>
    <xf numFmtId="0" fontId="32" fillId="32" borderId="119">
      <alignment horizontal="right" vertical="center"/>
    </xf>
    <xf numFmtId="0" fontId="34" fillId="34" borderId="132">
      <alignment horizontal="left" vertical="center" wrapText="1" indent="2"/>
    </xf>
    <xf numFmtId="0" fontId="32" fillId="34" borderId="119">
      <alignment horizontal="right" vertical="center"/>
    </xf>
    <xf numFmtId="0" fontId="26" fillId="30" borderId="0" applyNumberFormat="0" applyBorder="0" applyAlignment="0" applyProtection="0"/>
    <xf numFmtId="0" fontId="58" fillId="43" borderId="126" applyNumberFormat="0" applyAlignment="0" applyProtection="0"/>
    <xf numFmtId="0" fontId="62" fillId="56" borderId="133" applyNumberFormat="0" applyAlignment="0" applyProtection="0"/>
    <xf numFmtId="4" fontId="32" fillId="34" borderId="119">
      <alignment horizontal="right" vertical="center"/>
    </xf>
    <xf numFmtId="0" fontId="26" fillId="26" borderId="0" applyNumberFormat="0" applyBorder="0" applyAlignment="0" applyProtection="0"/>
    <xf numFmtId="0" fontId="26" fillId="20" borderId="0" applyNumberFormat="0" applyBorder="0" applyAlignment="0" applyProtection="0"/>
    <xf numFmtId="0" fontId="1" fillId="0" borderId="0" applyNumberFormat="0" applyFill="0" applyBorder="0" applyAlignment="0" applyProtection="0"/>
    <xf numFmtId="0" fontId="5" fillId="59" borderId="118" applyNumberFormat="0" applyFont="0" applyAlignment="0" applyProtection="0"/>
    <xf numFmtId="4" fontId="32" fillId="34" borderId="129">
      <alignment horizontal="right" vertical="center"/>
    </xf>
    <xf numFmtId="0" fontId="32" fillId="34" borderId="139">
      <alignment horizontal="right" vertical="center"/>
    </xf>
    <xf numFmtId="4" fontId="36" fillId="32" borderId="119">
      <alignment horizontal="right" vertical="center"/>
    </xf>
    <xf numFmtId="4" fontId="34" fillId="0" borderId="129" applyFill="0" applyBorder="0" applyProtection="0">
      <alignment horizontal="right" vertical="center"/>
    </xf>
    <xf numFmtId="4" fontId="34" fillId="0" borderId="119" applyFill="0" applyBorder="0" applyProtection="0">
      <alignment horizontal="right" vertical="center"/>
    </xf>
    <xf numFmtId="4" fontId="32" fillId="34" borderId="129">
      <alignment horizontal="right" vertical="center"/>
    </xf>
    <xf numFmtId="49" fontId="33" fillId="0" borderId="129" applyNumberFormat="0" applyFill="0" applyBorder="0" applyProtection="0">
      <alignment horizontal="left" vertical="center"/>
    </xf>
    <xf numFmtId="0" fontId="32" fillId="34" borderId="129">
      <alignment horizontal="right" vertical="center"/>
    </xf>
    <xf numFmtId="0" fontId="45" fillId="56" borderId="124" applyNumberFormat="0" applyAlignment="0" applyProtection="0"/>
    <xf numFmtId="0" fontId="26" fillId="24" borderId="0" applyNumberFormat="0" applyBorder="0" applyAlignment="0" applyProtection="0"/>
    <xf numFmtId="49" fontId="34" fillId="0" borderId="120" applyNumberFormat="0" applyFont="0" applyFill="0" applyBorder="0" applyProtection="0">
      <alignment horizontal="left" vertical="center" indent="5"/>
    </xf>
    <xf numFmtId="0" fontId="34" fillId="34" borderId="132">
      <alignment horizontal="left" vertical="center" wrapText="1" indent="2"/>
    </xf>
    <xf numFmtId="0" fontId="40" fillId="59" borderId="118" applyNumberFormat="0" applyFont="0" applyAlignment="0" applyProtection="0"/>
    <xf numFmtId="0" fontId="12" fillId="16" borderId="0" applyNumberFormat="0" applyBorder="0" applyAlignment="0" applyProtection="0"/>
    <xf numFmtId="0" fontId="40" fillId="59" borderId="118" applyNumberFormat="0" applyFont="0" applyAlignment="0" applyProtection="0"/>
    <xf numFmtId="0" fontId="32" fillId="34" borderId="119">
      <alignment horizontal="right" vertical="center"/>
    </xf>
    <xf numFmtId="4" fontId="32" fillId="32" borderId="137">
      <alignment horizontal="right" vertical="center"/>
    </xf>
    <xf numFmtId="4" fontId="32" fillId="32" borderId="119">
      <alignment horizontal="right" vertical="center"/>
    </xf>
    <xf numFmtId="0" fontId="46" fillId="56" borderId="126" applyNumberFormat="0" applyAlignment="0" applyProtection="0"/>
    <xf numFmtId="0" fontId="58" fillId="43" borderId="126" applyNumberFormat="0" applyAlignment="0" applyProtection="0"/>
    <xf numFmtId="4" fontId="32" fillId="34" borderId="129">
      <alignment horizontal="right" vertical="center"/>
    </xf>
    <xf numFmtId="0" fontId="5" fillId="59" borderId="118" applyNumberFormat="0" applyFont="0" applyAlignment="0" applyProtection="0"/>
    <xf numFmtId="0" fontId="12" fillId="22" borderId="0" applyNumberFormat="0" applyBorder="0" applyAlignment="0" applyProtection="0"/>
    <xf numFmtId="0" fontId="46" fillId="56" borderId="124" applyNumberFormat="0" applyAlignment="0" applyProtection="0"/>
    <xf numFmtId="0" fontId="34" fillId="0" borderId="122">
      <alignment horizontal="left" vertical="center" wrapText="1" indent="2"/>
    </xf>
    <xf numFmtId="4" fontId="32" fillId="34" borderId="137">
      <alignment horizontal="right" vertical="center"/>
    </xf>
    <xf numFmtId="0" fontId="26" fillId="21" borderId="0" applyNumberFormat="0" applyBorder="0" applyAlignment="0" applyProtection="0"/>
    <xf numFmtId="0" fontId="12" fillId="25" borderId="0" applyNumberFormat="0" applyBorder="0" applyAlignment="0" applyProtection="0"/>
    <xf numFmtId="0" fontId="34" fillId="33" borderId="119"/>
    <xf numFmtId="0" fontId="26" fillId="21" borderId="0" applyNumberFormat="0" applyBorder="0" applyAlignment="0" applyProtection="0"/>
    <xf numFmtId="0" fontId="46" fillId="56" borderId="124" applyNumberFormat="0" applyAlignment="0" applyProtection="0"/>
    <xf numFmtId="0" fontId="1" fillId="0" borderId="0" applyNumberFormat="0" applyFill="0" applyBorder="0" applyAlignment="0" applyProtection="0"/>
    <xf numFmtId="0" fontId="5" fillId="59" borderId="118" applyNumberFormat="0" applyFont="0" applyAlignment="0" applyProtection="0"/>
    <xf numFmtId="0" fontId="34" fillId="33" borderId="129"/>
    <xf numFmtId="4" fontId="32" fillId="34" borderId="129">
      <alignment horizontal="right" vertical="center"/>
    </xf>
    <xf numFmtId="0" fontId="26" fillId="23" borderId="0" applyNumberFormat="0" applyBorder="0" applyAlignment="0" applyProtection="0"/>
    <xf numFmtId="4" fontId="34" fillId="0" borderId="137" applyFill="0" applyBorder="0" applyProtection="0">
      <alignment horizontal="right" vertical="center"/>
    </xf>
    <xf numFmtId="0" fontId="12" fillId="19" borderId="0" applyNumberFormat="0" applyBorder="0" applyAlignment="0" applyProtection="0"/>
    <xf numFmtId="4" fontId="32" fillId="34" borderId="129">
      <alignment horizontal="right" vertical="center"/>
    </xf>
    <xf numFmtId="0" fontId="45" fillId="56" borderId="126" applyNumberFormat="0" applyAlignment="0" applyProtection="0"/>
    <xf numFmtId="0" fontId="65" fillId="0" borderId="125" applyNumberFormat="0" applyFill="0" applyAlignment="0" applyProtection="0"/>
    <xf numFmtId="4" fontId="34" fillId="33" borderId="119"/>
    <xf numFmtId="0" fontId="26" fillId="17" borderId="0" applyNumberFormat="0" applyBorder="0" applyAlignment="0" applyProtection="0"/>
    <xf numFmtId="0" fontId="58" fillId="43" borderId="124" applyNumberFormat="0" applyAlignment="0" applyProtection="0"/>
    <xf numFmtId="4" fontId="32" fillId="34" borderId="129">
      <alignment horizontal="right" vertical="center"/>
    </xf>
    <xf numFmtId="0" fontId="34" fillId="0" borderId="122">
      <alignment horizontal="left" vertical="center" wrapText="1" indent="2"/>
    </xf>
    <xf numFmtId="0" fontId="36" fillId="32" borderId="137">
      <alignment horizontal="right" vertical="center"/>
    </xf>
    <xf numFmtId="4" fontId="34" fillId="33" borderId="137"/>
    <xf numFmtId="0" fontId="46" fillId="56" borderId="124" applyNumberFormat="0" applyAlignment="0" applyProtection="0"/>
    <xf numFmtId="4" fontId="32" fillId="34" borderId="129">
      <alignment horizontal="right" vertical="center"/>
    </xf>
    <xf numFmtId="0" fontId="34" fillId="0" borderId="119" applyNumberFormat="0" applyFill="0" applyAlignment="0" applyProtection="0"/>
    <xf numFmtId="0" fontId="12" fillId="16" borderId="0" applyNumberFormat="0" applyBorder="0" applyAlignment="0" applyProtection="0"/>
    <xf numFmtId="0" fontId="32" fillId="34" borderId="119">
      <alignment horizontal="right" vertical="center"/>
    </xf>
    <xf numFmtId="0" fontId="2" fillId="0" borderId="15" applyNumberFormat="0" applyFill="0" applyAlignment="0" applyProtection="0"/>
    <xf numFmtId="0" fontId="62" fillId="56" borderId="123" applyNumberFormat="0" applyAlignment="0" applyProtection="0"/>
    <xf numFmtId="0" fontId="45" fillId="56" borderId="126" applyNumberFormat="0" applyAlignment="0" applyProtection="0"/>
    <xf numFmtId="0" fontId="34" fillId="0" borderId="119" applyNumberFormat="0" applyFill="0" applyAlignment="0" applyProtection="0"/>
    <xf numFmtId="0" fontId="26" fillId="30" borderId="0" applyNumberFormat="0" applyBorder="0" applyAlignment="0" applyProtection="0"/>
    <xf numFmtId="0" fontId="34" fillId="0" borderId="129" applyNumberFormat="0" applyFill="0" applyAlignment="0" applyProtection="0"/>
    <xf numFmtId="0" fontId="58" fillId="43" borderId="126" applyNumberFormat="0" applyAlignment="0" applyProtection="0"/>
    <xf numFmtId="4" fontId="34" fillId="0" borderId="119">
      <alignment horizontal="right" vertical="center"/>
    </xf>
    <xf numFmtId="0" fontId="34" fillId="32" borderId="130">
      <alignment horizontal="left" vertical="center"/>
    </xf>
    <xf numFmtId="49" fontId="34" fillId="0" borderId="138" applyNumberFormat="0" applyFont="0" applyFill="0" applyBorder="0" applyProtection="0">
      <alignment horizontal="left" vertical="center" indent="5"/>
    </xf>
    <xf numFmtId="0" fontId="65" fillId="0" borderId="127" applyNumberFormat="0" applyFill="0" applyAlignment="0" applyProtection="0"/>
    <xf numFmtId="0" fontId="26" fillId="20" borderId="0" applyNumberFormat="0" applyBorder="0" applyAlignment="0" applyProtection="0"/>
    <xf numFmtId="0" fontId="65" fillId="0" borderId="127" applyNumberFormat="0" applyFill="0" applyAlignment="0" applyProtection="0"/>
    <xf numFmtId="0" fontId="26" fillId="27" borderId="0" applyNumberFormat="0" applyBorder="0" applyAlignment="0" applyProtection="0"/>
    <xf numFmtId="173" fontId="34" fillId="60" borderId="119" applyNumberFormat="0" applyFont="0" applyBorder="0" applyAlignment="0" applyProtection="0">
      <alignment horizontal="right" vertical="center"/>
    </xf>
    <xf numFmtId="0" fontId="28" fillId="13" borderId="14" applyNumberFormat="0" applyAlignment="0" applyProtection="0"/>
    <xf numFmtId="0" fontId="34" fillId="34" borderId="132">
      <alignment horizontal="left" vertical="center" wrapText="1" indent="2"/>
    </xf>
    <xf numFmtId="0" fontId="26" fillId="27" borderId="0" applyNumberFormat="0" applyBorder="0" applyAlignment="0" applyProtection="0"/>
    <xf numFmtId="0" fontId="32" fillId="34" borderId="120">
      <alignment horizontal="right" vertical="center"/>
    </xf>
    <xf numFmtId="0" fontId="12" fillId="28" borderId="0" applyNumberFormat="0" applyBorder="0" applyAlignment="0" applyProtection="0"/>
    <xf numFmtId="0" fontId="49" fillId="43" borderId="124" applyNumberFormat="0" applyAlignment="0" applyProtection="0"/>
    <xf numFmtId="0" fontId="32" fillId="34" borderId="119">
      <alignment horizontal="right" vertical="center"/>
    </xf>
    <xf numFmtId="0" fontId="26" fillId="18" borderId="0" applyNumberFormat="0" applyBorder="0" applyAlignment="0" applyProtection="0"/>
    <xf numFmtId="0" fontId="12" fillId="22" borderId="0" applyNumberFormat="0" applyBorder="0" applyAlignment="0" applyProtection="0"/>
    <xf numFmtId="0" fontId="58" fillId="43" borderId="126" applyNumberFormat="0" applyAlignment="0" applyProtection="0"/>
    <xf numFmtId="0" fontId="65" fillId="0" borderId="135" applyNumberFormat="0" applyFill="0" applyAlignment="0" applyProtection="0"/>
    <xf numFmtId="0" fontId="34" fillId="33" borderId="129"/>
    <xf numFmtId="0" fontId="32" fillId="34" borderId="131">
      <alignment horizontal="right" vertical="center"/>
    </xf>
    <xf numFmtId="0" fontId="34" fillId="34" borderId="122">
      <alignment horizontal="left" vertical="center" wrapText="1" indent="2"/>
    </xf>
    <xf numFmtId="0" fontId="45" fillId="56" borderId="124" applyNumberFormat="0" applyAlignment="0" applyProtection="0"/>
    <xf numFmtId="4" fontId="32" fillId="34" borderId="129">
      <alignment horizontal="right" vertical="center"/>
    </xf>
    <xf numFmtId="0" fontId="43" fillId="56" borderId="123" applyNumberFormat="0" applyAlignment="0" applyProtection="0"/>
    <xf numFmtId="4" fontId="32" fillId="34" borderId="137">
      <alignment horizontal="right" vertical="center"/>
    </xf>
    <xf numFmtId="0" fontId="45" fillId="56" borderId="124" applyNumberFormat="0" applyAlignment="0" applyProtection="0"/>
    <xf numFmtId="0" fontId="50" fillId="0" borderId="125" applyNumberFormat="0" applyFill="0" applyAlignment="0" applyProtection="0"/>
    <xf numFmtId="0" fontId="26" fillId="24" borderId="0" applyNumberFormat="0" applyBorder="0" applyAlignment="0" applyProtection="0"/>
    <xf numFmtId="0" fontId="62" fillId="56" borderId="123" applyNumberFormat="0" applyAlignment="0" applyProtection="0"/>
    <xf numFmtId="0" fontId="40" fillId="59" borderId="136" applyNumberFormat="0" applyFont="0" applyAlignment="0" applyProtection="0"/>
    <xf numFmtId="49" fontId="33" fillId="0" borderId="119" applyNumberFormat="0" applyFill="0" applyBorder="0" applyProtection="0">
      <alignment horizontal="left" vertical="center"/>
    </xf>
    <xf numFmtId="0" fontId="40" fillId="59" borderId="118" applyNumberFormat="0" applyFont="0" applyAlignment="0" applyProtection="0"/>
    <xf numFmtId="0" fontId="26" fillId="17" borderId="0" applyNumberFormat="0" applyBorder="0" applyAlignment="0" applyProtection="0"/>
    <xf numFmtId="0" fontId="26" fillId="21" borderId="0" applyNumberFormat="0" applyBorder="0" applyAlignment="0" applyProtection="0"/>
    <xf numFmtId="0" fontId="62" fillId="56" borderId="123" applyNumberFormat="0" applyAlignment="0" applyProtection="0"/>
    <xf numFmtId="0" fontId="26" fillId="14" borderId="0" applyNumberFormat="0" applyBorder="0" applyAlignment="0" applyProtection="0"/>
    <xf numFmtId="0" fontId="46" fillId="56" borderId="124" applyNumberFormat="0" applyAlignment="0" applyProtection="0"/>
    <xf numFmtId="0" fontId="34" fillId="0" borderId="119" applyNumberFormat="0" applyFill="0" applyAlignment="0" applyProtection="0"/>
    <xf numFmtId="0" fontId="32" fillId="34" borderId="138">
      <alignment horizontal="right" vertical="center"/>
    </xf>
    <xf numFmtId="0" fontId="12" fillId="31" borderId="0" applyNumberFormat="0" applyBorder="0" applyAlignment="0" applyProtection="0"/>
    <xf numFmtId="0" fontId="34" fillId="32" borderId="120">
      <alignment horizontal="left" vertical="center"/>
    </xf>
    <xf numFmtId="0" fontId="34" fillId="0" borderId="132">
      <alignment horizontal="left" vertical="center" wrapText="1" indent="2"/>
    </xf>
    <xf numFmtId="0" fontId="5" fillId="59" borderId="118" applyNumberFormat="0" applyFont="0" applyAlignment="0" applyProtection="0"/>
    <xf numFmtId="0" fontId="12" fillId="16" borderId="0" applyNumberFormat="0" applyBorder="0" applyAlignment="0" applyProtection="0"/>
    <xf numFmtId="0" fontId="50" fillId="0" borderId="135" applyNumberFormat="0" applyFill="0" applyAlignment="0" applyProtection="0"/>
    <xf numFmtId="0" fontId="34" fillId="34" borderId="122">
      <alignment horizontal="left" vertical="center" wrapText="1" indent="2"/>
    </xf>
    <xf numFmtId="0" fontId="26" fillId="24" borderId="0" applyNumberFormat="0" applyBorder="0" applyAlignment="0" applyProtection="0"/>
    <xf numFmtId="0" fontId="58" fillId="43" borderId="124" applyNumberFormat="0" applyAlignment="0" applyProtection="0"/>
    <xf numFmtId="0" fontId="12" fillId="19" borderId="0" applyNumberFormat="0" applyBorder="0" applyAlignment="0" applyProtection="0"/>
    <xf numFmtId="0" fontId="32" fillId="34" borderId="130">
      <alignment horizontal="right" vertical="center"/>
    </xf>
    <xf numFmtId="4" fontId="36" fillId="32" borderId="119">
      <alignment horizontal="right" vertical="center"/>
    </xf>
    <xf numFmtId="0" fontId="40" fillId="59" borderId="118" applyNumberFormat="0" applyFont="0" applyAlignment="0" applyProtection="0"/>
    <xf numFmtId="0" fontId="62" fillId="56" borderId="123" applyNumberFormat="0" applyAlignment="0" applyProtection="0"/>
    <xf numFmtId="0" fontId="32" fillId="34" borderId="121">
      <alignment horizontal="right" vertical="center"/>
    </xf>
    <xf numFmtId="4" fontId="34" fillId="33" borderId="119"/>
    <xf numFmtId="0" fontId="5" fillId="59" borderId="118" applyNumberFormat="0" applyFont="0" applyAlignment="0" applyProtection="0"/>
    <xf numFmtId="0" fontId="26" fillId="15" borderId="0" applyNumberFormat="0" applyBorder="0" applyAlignment="0" applyProtection="0"/>
    <xf numFmtId="4" fontId="32" fillId="34" borderId="120">
      <alignment horizontal="right" vertical="center"/>
    </xf>
    <xf numFmtId="0" fontId="34" fillId="0" borderId="132">
      <alignment horizontal="left" vertical="center" wrapText="1" indent="2"/>
    </xf>
    <xf numFmtId="0" fontId="12" fillId="25" borderId="0" applyNumberFormat="0" applyBorder="0" applyAlignment="0" applyProtection="0"/>
    <xf numFmtId="4" fontId="34" fillId="33" borderId="129"/>
    <xf numFmtId="0" fontId="49" fillId="43" borderId="134" applyNumberFormat="0" applyAlignment="0" applyProtection="0"/>
    <xf numFmtId="0" fontId="34" fillId="0" borderId="129" applyNumberFormat="0" applyFill="0" applyAlignment="0" applyProtection="0"/>
    <xf numFmtId="0" fontId="12" fillId="16" borderId="0" applyNumberFormat="0" applyBorder="0" applyAlignment="0" applyProtection="0"/>
    <xf numFmtId="0" fontId="26" fillId="17" borderId="0" applyNumberFormat="0" applyBorder="0" applyAlignment="0" applyProtection="0"/>
    <xf numFmtId="0" fontId="26" fillId="24" borderId="0" applyNumberFormat="0" applyBorder="0" applyAlignment="0" applyProtection="0"/>
    <xf numFmtId="0" fontId="34" fillId="0" borderId="122">
      <alignment horizontal="left" vertical="center" wrapText="1" indent="2"/>
    </xf>
    <xf numFmtId="0" fontId="43" fillId="56" borderId="133" applyNumberFormat="0" applyAlignment="0" applyProtection="0"/>
    <xf numFmtId="0" fontId="32" fillId="34" borderId="138">
      <alignment horizontal="right" vertical="center"/>
    </xf>
    <xf numFmtId="0" fontId="62" fillId="56" borderId="133" applyNumberFormat="0" applyAlignment="0" applyProtection="0"/>
    <xf numFmtId="0" fontId="32" fillId="32" borderId="129">
      <alignment horizontal="right" vertical="center"/>
    </xf>
    <xf numFmtId="0" fontId="40" fillId="59" borderId="128" applyNumberFormat="0" applyFont="0" applyAlignment="0" applyProtection="0"/>
    <xf numFmtId="4" fontId="32" fillId="34" borderId="137">
      <alignment horizontal="right" vertical="center"/>
    </xf>
    <xf numFmtId="0" fontId="62" fillId="56" borderId="133" applyNumberFormat="0" applyAlignment="0" applyProtection="0"/>
    <xf numFmtId="0" fontId="32" fillId="34" borderId="130">
      <alignment horizontal="right" vertical="center"/>
    </xf>
    <xf numFmtId="4" fontId="32" fillId="34" borderId="137">
      <alignment horizontal="right" vertical="center"/>
    </xf>
    <xf numFmtId="0" fontId="32" fillId="34" borderId="119">
      <alignment horizontal="right" vertical="center"/>
    </xf>
    <xf numFmtId="0" fontId="26" fillId="14" borderId="0" applyNumberFormat="0" applyBorder="0" applyAlignment="0" applyProtection="0"/>
    <xf numFmtId="0" fontId="34" fillId="33" borderId="129"/>
    <xf numFmtId="4" fontId="32" fillId="34" borderId="129">
      <alignment horizontal="right" vertical="center"/>
    </xf>
    <xf numFmtId="0" fontId="34" fillId="33" borderId="129"/>
    <xf numFmtId="0" fontId="49" fillId="43" borderId="126" applyNumberFormat="0" applyAlignment="0" applyProtection="0"/>
    <xf numFmtId="4" fontId="34" fillId="33" borderId="129"/>
    <xf numFmtId="0" fontId="34" fillId="32" borderId="138">
      <alignment horizontal="left" vertical="center"/>
    </xf>
    <xf numFmtId="0" fontId="34" fillId="0" borderId="137">
      <alignment horizontal="right" vertical="center"/>
    </xf>
    <xf numFmtId="0" fontId="26" fillId="24" borderId="0" applyNumberFormat="0" applyBorder="0" applyAlignment="0" applyProtection="0"/>
    <xf numFmtId="0" fontId="65" fillId="0" borderId="127" applyNumberFormat="0" applyFill="0" applyAlignment="0" applyProtection="0"/>
    <xf numFmtId="4" fontId="32" fillId="34" borderId="119">
      <alignment horizontal="right" vertical="center"/>
    </xf>
    <xf numFmtId="4" fontId="36" fillId="32" borderId="119">
      <alignment horizontal="right" vertical="center"/>
    </xf>
    <xf numFmtId="0" fontId="34" fillId="33" borderId="119"/>
    <xf numFmtId="0" fontId="50" fillId="0" borderId="125" applyNumberFormat="0" applyFill="0" applyAlignment="0" applyProtection="0"/>
    <xf numFmtId="4" fontId="34" fillId="0" borderId="119" applyFill="0" applyBorder="0" applyProtection="0">
      <alignment horizontal="right" vertical="center"/>
    </xf>
    <xf numFmtId="0" fontId="50" fillId="0" borderId="125" applyNumberFormat="0" applyFill="0" applyAlignment="0" applyProtection="0"/>
    <xf numFmtId="0" fontId="34" fillId="0" borderId="119" applyNumberFormat="0" applyFill="0" applyAlignment="0" applyProtection="0"/>
    <xf numFmtId="0" fontId="65" fillId="0" borderId="127" applyNumberFormat="0" applyFill="0" applyAlignment="0" applyProtection="0"/>
    <xf numFmtId="0" fontId="34" fillId="0" borderId="119" applyNumberFormat="0" applyFill="0" applyAlignment="0" applyProtection="0"/>
    <xf numFmtId="0" fontId="28" fillId="13" borderId="14" applyNumberFormat="0" applyAlignment="0" applyProtection="0"/>
    <xf numFmtId="4" fontId="32" fillId="34" borderId="121">
      <alignment horizontal="right" vertical="center"/>
    </xf>
    <xf numFmtId="0" fontId="32" fillId="34" borderId="137">
      <alignment horizontal="right" vertical="center"/>
    </xf>
    <xf numFmtId="173" fontId="34" fillId="60" borderId="129" applyNumberFormat="0" applyFont="0" applyBorder="0" applyAlignment="0" applyProtection="0">
      <alignment horizontal="right" vertical="center"/>
    </xf>
    <xf numFmtId="0" fontId="50" fillId="0" borderId="135" applyNumberFormat="0" applyFill="0" applyAlignment="0" applyProtection="0"/>
    <xf numFmtId="0" fontId="32" fillId="34" borderId="129">
      <alignment horizontal="right" vertical="center"/>
    </xf>
    <xf numFmtId="0" fontId="49" fillId="43" borderId="124" applyNumberFormat="0" applyAlignment="0" applyProtection="0"/>
    <xf numFmtId="0" fontId="46" fillId="56" borderId="124" applyNumberFormat="0" applyAlignment="0" applyProtection="0"/>
    <xf numFmtId="4" fontId="34" fillId="0" borderId="119">
      <alignment horizontal="right" vertical="center"/>
    </xf>
    <xf numFmtId="0" fontId="34" fillId="34" borderId="122">
      <alignment horizontal="left" vertical="center" wrapText="1" indent="2"/>
    </xf>
    <xf numFmtId="0" fontId="34" fillId="0" borderId="122">
      <alignment horizontal="left" vertical="center" wrapText="1" indent="2"/>
    </xf>
    <xf numFmtId="0" fontId="62" fillId="56" borderId="123" applyNumberFormat="0" applyAlignment="0" applyProtection="0"/>
    <xf numFmtId="0" fontId="58" fillId="43" borderId="124" applyNumberFormat="0" applyAlignment="0" applyProtection="0"/>
    <xf numFmtId="0" fontId="45" fillId="56" borderId="124" applyNumberFormat="0" applyAlignment="0" applyProtection="0"/>
    <xf numFmtId="0" fontId="43" fillId="56" borderId="123" applyNumberFormat="0" applyAlignment="0" applyProtection="0"/>
    <xf numFmtId="0" fontId="32" fillId="34" borderId="121">
      <alignment horizontal="right" vertical="center"/>
    </xf>
    <xf numFmtId="0" fontId="36" fillId="32" borderId="119">
      <alignment horizontal="right" vertical="center"/>
    </xf>
    <xf numFmtId="4" fontId="32" fillId="32" borderId="119">
      <alignment horizontal="right" vertical="center"/>
    </xf>
    <xf numFmtId="4" fontId="32" fillId="34" borderId="119">
      <alignment horizontal="right" vertical="center"/>
    </xf>
    <xf numFmtId="49" fontId="34" fillId="0" borderId="120" applyNumberFormat="0" applyFont="0" applyFill="0" applyBorder="0" applyProtection="0">
      <alignment horizontal="left" vertical="center" indent="5"/>
    </xf>
    <xf numFmtId="4" fontId="34" fillId="0" borderId="119" applyFill="0" applyBorder="0" applyProtection="0">
      <alignment horizontal="right" vertical="center"/>
    </xf>
    <xf numFmtId="4" fontId="32" fillId="32" borderId="119">
      <alignment horizontal="right" vertical="center"/>
    </xf>
    <xf numFmtId="0" fontId="58" fillId="43" borderId="124" applyNumberFormat="0" applyAlignment="0" applyProtection="0"/>
    <xf numFmtId="0" fontId="49" fillId="43" borderId="124" applyNumberFormat="0" applyAlignment="0" applyProtection="0"/>
    <xf numFmtId="0" fontId="45" fillId="56" borderId="124" applyNumberFormat="0" applyAlignment="0" applyProtection="0"/>
    <xf numFmtId="0" fontId="34" fillId="34" borderId="122">
      <alignment horizontal="left" vertical="center" wrapText="1" indent="2"/>
    </xf>
    <xf numFmtId="0" fontId="34" fillId="0" borderId="122">
      <alignment horizontal="left" vertical="center" wrapText="1" indent="2"/>
    </xf>
    <xf numFmtId="0" fontId="34" fillId="34" borderId="122">
      <alignment horizontal="left" vertical="center" wrapText="1" indent="2"/>
    </xf>
    <xf numFmtId="0" fontId="34" fillId="0" borderId="129">
      <alignment horizontal="right" vertical="center"/>
    </xf>
    <xf numFmtId="4" fontId="34" fillId="0" borderId="137">
      <alignment horizontal="right" vertical="center"/>
    </xf>
    <xf numFmtId="0" fontId="34" fillId="34" borderId="132">
      <alignment horizontal="left" vertical="center" wrapText="1" indent="2"/>
    </xf>
    <xf numFmtId="0" fontId="34" fillId="0" borderId="129">
      <alignment horizontal="right" vertical="center"/>
    </xf>
    <xf numFmtId="4" fontId="32" fillId="34" borderId="130">
      <alignment horizontal="right" vertical="center"/>
    </xf>
    <xf numFmtId="0" fontId="32" fillId="32" borderId="129">
      <alignment horizontal="right" vertical="center"/>
    </xf>
    <xf numFmtId="0" fontId="62" fillId="56" borderId="133" applyNumberFormat="0" applyAlignment="0" applyProtection="0"/>
    <xf numFmtId="0" fontId="49" fillId="43" borderId="126" applyNumberFormat="0" applyAlignment="0" applyProtection="0"/>
    <xf numFmtId="0" fontId="32" fillId="34" borderId="129">
      <alignment horizontal="right" vertical="center"/>
    </xf>
    <xf numFmtId="0" fontId="58" fillId="43" borderId="126" applyNumberFormat="0" applyAlignment="0" applyProtection="0"/>
    <xf numFmtId="4" fontId="32" fillId="32" borderId="129">
      <alignment horizontal="right" vertical="center"/>
    </xf>
    <xf numFmtId="4" fontId="34" fillId="0" borderId="129">
      <alignment horizontal="right" vertical="center"/>
    </xf>
    <xf numFmtId="0" fontId="32" fillId="34" borderId="129">
      <alignment horizontal="right" vertical="center"/>
    </xf>
    <xf numFmtId="4" fontId="36" fillId="32" borderId="129">
      <alignment horizontal="right" vertical="center"/>
    </xf>
    <xf numFmtId="49" fontId="34" fillId="0" borderId="129" applyNumberFormat="0" applyFont="0" applyFill="0" applyBorder="0" applyProtection="0">
      <alignment horizontal="left" vertical="center" indent="2"/>
    </xf>
    <xf numFmtId="173" fontId="34" fillId="60" borderId="129" applyNumberFormat="0" applyFont="0" applyBorder="0" applyAlignment="0" applyProtection="0">
      <alignment horizontal="right" vertical="center"/>
    </xf>
    <xf numFmtId="49" fontId="33" fillId="0" borderId="129" applyNumberFormat="0" applyFill="0" applyBorder="0" applyProtection="0">
      <alignment horizontal="left" vertical="center"/>
    </xf>
    <xf numFmtId="49" fontId="33" fillId="0" borderId="137" applyNumberFormat="0" applyFill="0" applyBorder="0" applyProtection="0">
      <alignment horizontal="left" vertical="center"/>
    </xf>
    <xf numFmtId="0" fontId="40" fillId="59" borderId="128" applyNumberFormat="0" applyFont="0" applyAlignment="0" applyProtection="0"/>
    <xf numFmtId="0" fontId="65" fillId="0" borderId="127" applyNumberFormat="0" applyFill="0" applyAlignment="0" applyProtection="0"/>
    <xf numFmtId="0" fontId="26" fillId="18" borderId="0" applyNumberFormat="0" applyBorder="0" applyAlignment="0" applyProtection="0"/>
    <xf numFmtId="0" fontId="62" fillId="56" borderId="141" applyNumberFormat="0" applyAlignment="0" applyProtection="0"/>
    <xf numFmtId="0" fontId="58" fillId="43" borderId="134" applyNumberFormat="0" applyAlignment="0" applyProtection="0"/>
    <xf numFmtId="0" fontId="30" fillId="0" borderId="0" applyNumberFormat="0" applyFill="0" applyBorder="0" applyAlignment="0" applyProtection="0"/>
    <xf numFmtId="49" fontId="34" fillId="0" borderId="137" applyNumberFormat="0" applyFont="0" applyFill="0" applyBorder="0" applyProtection="0">
      <alignment horizontal="left" vertical="center" indent="2"/>
    </xf>
    <xf numFmtId="4" fontId="32" fillId="34" borderId="137">
      <alignment horizontal="right" vertical="center"/>
    </xf>
    <xf numFmtId="0" fontId="32" fillId="34" borderId="137">
      <alignment horizontal="right" vertical="center"/>
    </xf>
    <xf numFmtId="0" fontId="58" fillId="43" borderId="134" applyNumberFormat="0" applyAlignment="0" applyProtection="0"/>
    <xf numFmtId="0" fontId="34" fillId="34" borderId="140">
      <alignment horizontal="left" vertical="center" wrapText="1" indent="2"/>
    </xf>
    <xf numFmtId="173" fontId="34" fillId="60" borderId="137" applyNumberFormat="0" applyFont="0" applyBorder="0" applyAlignment="0" applyProtection="0">
      <alignment horizontal="right" vertical="center"/>
    </xf>
    <xf numFmtId="4" fontId="34" fillId="0" borderId="137" applyFill="0" applyBorder="0" applyProtection="0">
      <alignment horizontal="right" vertical="center"/>
    </xf>
    <xf numFmtId="0" fontId="26" fillId="14" borderId="0" applyNumberFormat="0" applyBorder="0" applyAlignment="0" applyProtection="0"/>
    <xf numFmtId="4" fontId="34" fillId="0" borderId="137" applyFill="0" applyBorder="0" applyProtection="0">
      <alignment horizontal="right" vertical="center"/>
    </xf>
    <xf numFmtId="0" fontId="32" fillId="32" borderId="129">
      <alignment horizontal="right" vertical="center"/>
    </xf>
    <xf numFmtId="0" fontId="58" fillId="43" borderId="126" applyNumberFormat="0" applyAlignment="0" applyProtection="0"/>
    <xf numFmtId="0" fontId="26" fillId="30" borderId="0" applyNumberFormat="0" applyBorder="0" applyAlignment="0" applyProtection="0"/>
    <xf numFmtId="0" fontId="46" fillId="56" borderId="134" applyNumberFormat="0" applyAlignment="0" applyProtection="0"/>
    <xf numFmtId="0" fontId="36" fillId="32" borderId="137">
      <alignment horizontal="right" vertical="center"/>
    </xf>
    <xf numFmtId="0" fontId="65" fillId="0" borderId="127" applyNumberFormat="0" applyFill="0" applyAlignment="0" applyProtection="0"/>
    <xf numFmtId="0" fontId="40" fillId="59" borderId="128" applyNumberFormat="0" applyFont="0" applyAlignment="0" applyProtection="0"/>
    <xf numFmtId="0" fontId="36" fillId="32" borderId="129">
      <alignment horizontal="right" vertical="center"/>
    </xf>
    <xf numFmtId="0" fontId="34" fillId="0" borderId="132">
      <alignment horizontal="left" vertical="center" wrapText="1" indent="2"/>
    </xf>
    <xf numFmtId="0" fontId="12" fillId="16" borderId="0" applyNumberFormat="0" applyBorder="0" applyAlignment="0" applyProtection="0"/>
    <xf numFmtId="0" fontId="30" fillId="0" borderId="0" applyNumberFormat="0" applyFill="0" applyBorder="0" applyAlignment="0" applyProtection="0"/>
    <xf numFmtId="49" fontId="34" fillId="0" borderId="130" applyNumberFormat="0" applyFont="0" applyFill="0" applyBorder="0" applyProtection="0">
      <alignment horizontal="left" vertical="center" indent="5"/>
    </xf>
    <xf numFmtId="0" fontId="26" fillId="20" borderId="0" applyNumberFormat="0" applyBorder="0" applyAlignment="0" applyProtection="0"/>
    <xf numFmtId="4" fontId="32" fillId="34" borderId="138">
      <alignment horizontal="right" vertical="center"/>
    </xf>
    <xf numFmtId="0" fontId="5" fillId="59" borderId="128" applyNumberFormat="0" applyFont="0" applyAlignment="0" applyProtection="0"/>
    <xf numFmtId="173" fontId="34" fillId="60" borderId="129" applyNumberFormat="0" applyFont="0" applyBorder="0" applyAlignment="0" applyProtection="0">
      <alignment horizontal="right" vertical="center"/>
    </xf>
    <xf numFmtId="0" fontId="12" fillId="19" borderId="0" applyNumberFormat="0" applyBorder="0" applyAlignment="0" applyProtection="0"/>
    <xf numFmtId="49" fontId="33" fillId="0" borderId="137" applyNumberFormat="0" applyFill="0" applyBorder="0" applyProtection="0">
      <alignment horizontal="left" vertical="center"/>
    </xf>
    <xf numFmtId="0" fontId="34" fillId="0" borderId="140">
      <alignment horizontal="left" vertical="center" wrapText="1" indent="2"/>
    </xf>
    <xf numFmtId="0" fontId="26" fillId="26" borderId="0" applyNumberFormat="0" applyBorder="0" applyAlignment="0" applyProtection="0"/>
    <xf numFmtId="0" fontId="34" fillId="33" borderId="137"/>
    <xf numFmtId="0" fontId="49" fillId="43" borderId="134" applyNumberFormat="0" applyAlignment="0" applyProtection="0"/>
    <xf numFmtId="0" fontId="49" fillId="43" borderId="134" applyNumberFormat="0" applyAlignment="0" applyProtection="0"/>
    <xf numFmtId="49" fontId="34" fillId="0" borderId="130" applyNumberFormat="0" applyFont="0" applyFill="0" applyBorder="0" applyProtection="0">
      <alignment horizontal="left" vertical="center" indent="5"/>
    </xf>
    <xf numFmtId="4" fontId="32" fillId="34" borderId="137">
      <alignment horizontal="right" vertical="center"/>
    </xf>
    <xf numFmtId="0" fontId="65" fillId="0" borderId="127" applyNumberFormat="0" applyFill="0" applyAlignment="0" applyProtection="0"/>
    <xf numFmtId="0" fontId="12" fillId="25" borderId="0" applyNumberFormat="0" applyBorder="0" applyAlignment="0" applyProtection="0"/>
    <xf numFmtId="0" fontId="65" fillId="0" borderId="127" applyNumberFormat="0" applyFill="0" applyAlignment="0" applyProtection="0"/>
    <xf numFmtId="0" fontId="58" fillId="43" borderId="134" applyNumberFormat="0" applyAlignment="0" applyProtection="0"/>
    <xf numFmtId="4" fontId="36" fillId="32" borderId="137">
      <alignment horizontal="right" vertical="center"/>
    </xf>
    <xf numFmtId="4" fontId="32" fillId="34" borderId="138">
      <alignment horizontal="right" vertical="center"/>
    </xf>
    <xf numFmtId="0" fontId="65" fillId="0" borderId="127" applyNumberFormat="0" applyFill="0" applyAlignment="0" applyProtection="0"/>
    <xf numFmtId="0" fontId="12" fillId="16" borderId="0" applyNumberFormat="0" applyBorder="0" applyAlignment="0" applyProtection="0"/>
    <xf numFmtId="0" fontId="58" fillId="43" borderId="126" applyNumberFormat="0" applyAlignment="0" applyProtection="0"/>
    <xf numFmtId="173" fontId="34" fillId="60" borderId="137" applyNumberFormat="0" applyFont="0" applyBorder="0" applyAlignment="0" applyProtection="0">
      <alignment horizontal="right" vertical="center"/>
    </xf>
    <xf numFmtId="0" fontId="46" fillId="56" borderId="126" applyNumberFormat="0" applyAlignment="0" applyProtection="0"/>
    <xf numFmtId="0" fontId="46" fillId="56" borderId="126" applyNumberFormat="0" applyAlignment="0" applyProtection="0"/>
    <xf numFmtId="4" fontId="32" fillId="34" borderId="131">
      <alignment horizontal="right" vertical="center"/>
    </xf>
    <xf numFmtId="0" fontId="58" fillId="43" borderId="126" applyNumberFormat="0" applyAlignment="0" applyProtection="0"/>
    <xf numFmtId="0" fontId="26" fillId="14" borderId="0" applyNumberFormat="0" applyBorder="0" applyAlignment="0" applyProtection="0"/>
    <xf numFmtId="0" fontId="50" fillId="0" borderId="127" applyNumberFormat="0" applyFill="0" applyAlignment="0" applyProtection="0"/>
    <xf numFmtId="4" fontId="34" fillId="33" borderId="129"/>
    <xf numFmtId="0" fontId="26" fillId="26" borderId="0" applyNumberFormat="0" applyBorder="0" applyAlignment="0" applyProtection="0"/>
    <xf numFmtId="0" fontId="65" fillId="0" borderId="127" applyNumberFormat="0" applyFill="0" applyAlignment="0" applyProtection="0"/>
    <xf numFmtId="0" fontId="62" fillId="56" borderId="141" applyNumberFormat="0" applyAlignment="0" applyProtection="0"/>
    <xf numFmtId="0" fontId="12" fillId="31" borderId="0" applyNumberFormat="0" applyBorder="0" applyAlignment="0" applyProtection="0"/>
    <xf numFmtId="4" fontId="32" fillId="34" borderId="139">
      <alignment horizontal="right" vertical="center"/>
    </xf>
    <xf numFmtId="49" fontId="34" fillId="0" borderId="137" applyNumberFormat="0" applyFont="0" applyFill="0" applyBorder="0" applyProtection="0">
      <alignment horizontal="left" vertical="center" indent="2"/>
    </xf>
    <xf numFmtId="0" fontId="26" fillId="18" borderId="0" applyNumberFormat="0" applyBorder="0" applyAlignment="0" applyProtection="0"/>
    <xf numFmtId="0" fontId="43" fillId="56" borderId="133" applyNumberFormat="0" applyAlignment="0" applyProtection="0"/>
    <xf numFmtId="0" fontId="58" fillId="43" borderId="126" applyNumberFormat="0" applyAlignment="0" applyProtection="0"/>
    <xf numFmtId="4" fontId="32" fillId="34" borderId="131">
      <alignment horizontal="right" vertical="center"/>
    </xf>
    <xf numFmtId="0" fontId="43" fillId="56" borderId="141" applyNumberFormat="0" applyAlignment="0" applyProtection="0"/>
    <xf numFmtId="0" fontId="58" fillId="43" borderId="134" applyNumberFormat="0" applyAlignment="0" applyProtection="0"/>
    <xf numFmtId="0" fontId="50" fillId="0" borderId="127" applyNumberFormat="0" applyFill="0" applyAlignment="0" applyProtection="0"/>
    <xf numFmtId="0" fontId="50" fillId="0" borderId="135" applyNumberFormat="0" applyFill="0" applyAlignment="0" applyProtection="0"/>
    <xf numFmtId="0" fontId="36" fillId="32" borderId="129">
      <alignment horizontal="right" vertical="center"/>
    </xf>
    <xf numFmtId="0" fontId="26" fillId="26" borderId="0" applyNumberFormat="0" applyBorder="0" applyAlignment="0" applyProtection="0"/>
    <xf numFmtId="0" fontId="32" fillId="34" borderId="130">
      <alignment horizontal="right" vertical="center"/>
    </xf>
    <xf numFmtId="4" fontId="32" fillId="34" borderId="130">
      <alignment horizontal="right" vertical="center"/>
    </xf>
    <xf numFmtId="0" fontId="43" fillId="56" borderId="133" applyNumberFormat="0" applyAlignment="0" applyProtection="0"/>
    <xf numFmtId="0" fontId="50" fillId="0" borderId="135" applyNumberFormat="0" applyFill="0" applyAlignment="0" applyProtection="0"/>
    <xf numFmtId="0" fontId="46" fillId="56" borderId="126" applyNumberFormat="0" applyAlignment="0" applyProtection="0"/>
    <xf numFmtId="4" fontId="32" fillId="32" borderId="129">
      <alignment horizontal="right" vertical="center"/>
    </xf>
    <xf numFmtId="0" fontId="12" fillId="22" borderId="0" applyNumberFormat="0" applyBorder="0" applyAlignment="0" applyProtection="0"/>
    <xf numFmtId="49" fontId="34" fillId="0" borderId="137" applyNumberFormat="0" applyFont="0" applyFill="0" applyBorder="0" applyProtection="0">
      <alignment horizontal="left" vertical="center" indent="2"/>
    </xf>
    <xf numFmtId="4" fontId="36" fillId="32" borderId="137">
      <alignment horizontal="right" vertical="center"/>
    </xf>
    <xf numFmtId="0" fontId="26" fillId="29" borderId="0" applyNumberFormat="0" applyBorder="0" applyAlignment="0" applyProtection="0"/>
    <xf numFmtId="173" fontId="34" fillId="60" borderId="129" applyNumberFormat="0" applyFont="0" applyBorder="0" applyAlignment="0" applyProtection="0">
      <alignment horizontal="right" vertical="center"/>
    </xf>
    <xf numFmtId="0" fontId="58" fillId="43" borderId="134" applyNumberFormat="0" applyAlignment="0" applyProtection="0"/>
    <xf numFmtId="0" fontId="12" fillId="31" borderId="0" applyNumberFormat="0" applyBorder="0" applyAlignment="0" applyProtection="0"/>
    <xf numFmtId="4" fontId="32" fillId="32" borderId="129">
      <alignment horizontal="right" vertical="center"/>
    </xf>
    <xf numFmtId="0" fontId="40" fillId="59" borderId="128" applyNumberFormat="0" applyFont="0" applyAlignment="0" applyProtection="0"/>
    <xf numFmtId="0" fontId="34" fillId="0" borderId="132">
      <alignment horizontal="left" vertical="center" wrapText="1" indent="2"/>
    </xf>
    <xf numFmtId="0" fontId="46" fillId="56" borderId="134" applyNumberFormat="0" applyAlignment="0" applyProtection="0"/>
    <xf numFmtId="0" fontId="49" fillId="43" borderId="126" applyNumberFormat="0" applyAlignment="0" applyProtection="0"/>
    <xf numFmtId="4" fontId="32" fillId="34" borderId="129">
      <alignment horizontal="right" vertical="center"/>
    </xf>
    <xf numFmtId="0" fontId="32" fillId="34" borderId="137">
      <alignment horizontal="right" vertical="center"/>
    </xf>
    <xf numFmtId="0" fontId="46" fillId="56" borderId="126" applyNumberFormat="0" applyAlignment="0" applyProtection="0"/>
    <xf numFmtId="0" fontId="32" fillId="34" borderId="130">
      <alignment horizontal="right" vertical="center"/>
    </xf>
    <xf numFmtId="0" fontId="45" fillId="56" borderId="134" applyNumberFormat="0" applyAlignment="0" applyProtection="0"/>
    <xf numFmtId="0" fontId="36" fillId="32" borderId="137">
      <alignment horizontal="right" vertical="center"/>
    </xf>
    <xf numFmtId="0" fontId="26" fillId="29" borderId="0" applyNumberFormat="0" applyBorder="0" applyAlignment="0" applyProtection="0"/>
    <xf numFmtId="49" fontId="33" fillId="0" borderId="137" applyNumberFormat="0" applyFill="0" applyBorder="0" applyProtection="0">
      <alignment horizontal="left" vertical="center"/>
    </xf>
    <xf numFmtId="4" fontId="36" fillId="32" borderId="129">
      <alignment horizontal="right" vertical="center"/>
    </xf>
    <xf numFmtId="0" fontId="26" fillId="17" borderId="0" applyNumberFormat="0" applyBorder="0" applyAlignment="0" applyProtection="0"/>
    <xf numFmtId="4" fontId="36" fillId="32" borderId="137">
      <alignment horizontal="right" vertical="center"/>
    </xf>
    <xf numFmtId="0" fontId="45" fillId="56" borderId="126" applyNumberFormat="0" applyAlignment="0" applyProtection="0"/>
    <xf numFmtId="49" fontId="34" fillId="0" borderId="129" applyNumberFormat="0" applyFont="0" applyFill="0" applyBorder="0" applyProtection="0">
      <alignment horizontal="left" vertical="center" indent="2"/>
    </xf>
    <xf numFmtId="0" fontId="32" fillId="32" borderId="137">
      <alignment horizontal="right" vertical="center"/>
    </xf>
    <xf numFmtId="0" fontId="46" fillId="56" borderId="126" applyNumberFormat="0" applyAlignment="0" applyProtection="0"/>
    <xf numFmtId="173" fontId="34" fillId="60" borderId="129" applyNumberFormat="0" applyFont="0" applyBorder="0" applyAlignment="0" applyProtection="0">
      <alignment horizontal="right" vertical="center"/>
    </xf>
    <xf numFmtId="0" fontId="12" fillId="31" borderId="0" applyNumberFormat="0" applyBorder="0" applyAlignment="0" applyProtection="0"/>
    <xf numFmtId="0" fontId="32" fillId="32" borderId="129">
      <alignment horizontal="right" vertical="center"/>
    </xf>
    <xf numFmtId="4" fontId="32" fillId="34" borderId="131">
      <alignment horizontal="right" vertical="center"/>
    </xf>
    <xf numFmtId="0" fontId="32" fillId="32" borderId="137">
      <alignment horizontal="right" vertical="center"/>
    </xf>
    <xf numFmtId="0" fontId="43" fillId="56" borderId="133" applyNumberFormat="0" applyAlignment="0" applyProtection="0"/>
    <xf numFmtId="0" fontId="30" fillId="0" borderId="0" applyNumberFormat="0" applyFill="0" applyBorder="0" applyAlignment="0" applyProtection="0"/>
    <xf numFmtId="4" fontId="32" fillId="34" borderId="131">
      <alignment horizontal="right" vertical="center"/>
    </xf>
    <xf numFmtId="0" fontId="34" fillId="33" borderId="129"/>
    <xf numFmtId="0" fontId="1" fillId="0" borderId="0" applyNumberFormat="0" applyFill="0" applyBorder="0" applyAlignment="0" applyProtection="0"/>
    <xf numFmtId="0" fontId="34" fillId="34" borderId="132">
      <alignment horizontal="left" vertical="center" wrapText="1" indent="2"/>
    </xf>
    <xf numFmtId="4" fontId="32" fillId="32" borderId="129">
      <alignment horizontal="right" vertical="center"/>
    </xf>
    <xf numFmtId="0" fontId="26" fillId="29" borderId="0" applyNumberFormat="0" applyBorder="0" applyAlignment="0" applyProtection="0"/>
    <xf numFmtId="0" fontId="43" fillId="56" borderId="141" applyNumberFormat="0" applyAlignment="0" applyProtection="0"/>
    <xf numFmtId="4" fontId="34" fillId="33" borderId="129"/>
    <xf numFmtId="0" fontId="46" fillId="56" borderId="134" applyNumberFormat="0" applyAlignment="0" applyProtection="0"/>
    <xf numFmtId="0" fontId="26" fillId="20" borderId="0" applyNumberFormat="0" applyBorder="0" applyAlignment="0" applyProtection="0"/>
    <xf numFmtId="0" fontId="46" fillId="56" borderId="134" applyNumberFormat="0" applyAlignment="0" applyProtection="0"/>
    <xf numFmtId="0" fontId="2" fillId="0" borderId="15" applyNumberFormat="0" applyFill="0" applyAlignment="0" applyProtection="0"/>
    <xf numFmtId="49" fontId="34" fillId="0" borderId="129" applyNumberFormat="0" applyFont="0" applyFill="0" applyBorder="0" applyProtection="0">
      <alignment horizontal="left" vertical="center" indent="2"/>
    </xf>
    <xf numFmtId="0" fontId="45" fillId="56" borderId="134" applyNumberFormat="0" applyAlignment="0" applyProtection="0"/>
    <xf numFmtId="0" fontId="40" fillId="59" borderId="136" applyNumberFormat="0" applyFont="0" applyAlignment="0" applyProtection="0"/>
    <xf numFmtId="0" fontId="65" fillId="0" borderId="135" applyNumberFormat="0" applyFill="0" applyAlignment="0" applyProtection="0"/>
    <xf numFmtId="4" fontId="34" fillId="0" borderId="129">
      <alignment horizontal="right" vertical="center"/>
    </xf>
    <xf numFmtId="0" fontId="12" fillId="28" borderId="0" applyNumberFormat="0" applyBorder="0" applyAlignment="0" applyProtection="0"/>
    <xf numFmtId="0" fontId="26" fillId="23" borderId="0" applyNumberFormat="0" applyBorder="0" applyAlignment="0" applyProtection="0"/>
    <xf numFmtId="0" fontId="12" fillId="19" borderId="0" applyNumberFormat="0" applyBorder="0" applyAlignment="0" applyProtection="0"/>
    <xf numFmtId="0" fontId="34" fillId="0" borderId="140">
      <alignment horizontal="left" vertical="center" wrapText="1" indent="2"/>
    </xf>
    <xf numFmtId="0" fontId="12" fillId="25" borderId="0" applyNumberFormat="0" applyBorder="0" applyAlignment="0" applyProtection="0"/>
    <xf numFmtId="0" fontId="26" fillId="21" borderId="0" applyNumberFormat="0" applyBorder="0" applyAlignment="0" applyProtection="0"/>
    <xf numFmtId="0" fontId="62" fillId="56" borderId="133" applyNumberFormat="0" applyAlignment="0" applyProtection="0"/>
    <xf numFmtId="0" fontId="65" fillId="0" borderId="135" applyNumberFormat="0" applyFill="0" applyAlignment="0" applyProtection="0"/>
    <xf numFmtId="0" fontId="34" fillId="32" borderId="138">
      <alignment horizontal="left" vertical="center"/>
    </xf>
    <xf numFmtId="0" fontId="28" fillId="13" borderId="14" applyNumberFormat="0" applyAlignment="0" applyProtection="0"/>
    <xf numFmtId="0" fontId="62" fillId="56" borderId="133" applyNumberFormat="0" applyAlignment="0" applyProtection="0"/>
    <xf numFmtId="0" fontId="26" fillId="15" borderId="0" applyNumberFormat="0" applyBorder="0" applyAlignment="0" applyProtection="0"/>
    <xf numFmtId="0" fontId="26" fillId="23" borderId="0" applyNumberFormat="0" applyBorder="0" applyAlignment="0" applyProtection="0"/>
    <xf numFmtId="0" fontId="34" fillId="0" borderId="137" applyNumberFormat="0" applyFill="0" applyAlignment="0" applyProtection="0"/>
    <xf numFmtId="4" fontId="32" fillId="32" borderId="129">
      <alignment horizontal="right" vertical="center"/>
    </xf>
    <xf numFmtId="4" fontId="34" fillId="33" borderId="137"/>
    <xf numFmtId="0" fontId="46" fillId="56" borderId="126" applyNumberFormat="0" applyAlignment="0" applyProtection="0"/>
    <xf numFmtId="0" fontId="12" fillId="25" borderId="0" applyNumberFormat="0" applyBorder="0" applyAlignment="0" applyProtection="0"/>
    <xf numFmtId="0" fontId="26" fillId="18" borderId="0" applyNumberFormat="0" applyBorder="0" applyAlignment="0" applyProtection="0"/>
    <xf numFmtId="0" fontId="34" fillId="0" borderId="129" applyNumberFormat="0" applyFill="0" applyAlignment="0" applyProtection="0"/>
    <xf numFmtId="0" fontId="12" fillId="22" borderId="0" applyNumberFormat="0" applyBorder="0" applyAlignment="0" applyProtection="0"/>
    <xf numFmtId="0" fontId="29" fillId="13" borderId="13" applyNumberFormat="0" applyAlignment="0" applyProtection="0"/>
    <xf numFmtId="49" fontId="33" fillId="0" borderId="137" applyNumberFormat="0" applyFill="0" applyBorder="0" applyProtection="0">
      <alignment horizontal="left" vertical="center"/>
    </xf>
    <xf numFmtId="0" fontId="34" fillId="0" borderId="132">
      <alignment horizontal="left" vertical="center" wrapText="1" indent="2"/>
    </xf>
    <xf numFmtId="0" fontId="12" fillId="28" borderId="0" applyNumberFormat="0" applyBorder="0" applyAlignment="0" applyProtection="0"/>
    <xf numFmtId="0" fontId="26" fillId="23" borderId="0" applyNumberFormat="0" applyBorder="0" applyAlignment="0" applyProtection="0"/>
    <xf numFmtId="4" fontId="34" fillId="33" borderId="129"/>
    <xf numFmtId="4" fontId="32" fillId="34" borderId="138">
      <alignment horizontal="right" vertical="center"/>
    </xf>
    <xf numFmtId="0" fontId="49" fillId="43" borderId="134" applyNumberFormat="0" applyAlignment="0" applyProtection="0"/>
    <xf numFmtId="0" fontId="12" fillId="19" borderId="0" applyNumberFormat="0" applyBorder="0" applyAlignment="0" applyProtection="0"/>
    <xf numFmtId="0" fontId="65" fillId="0" borderId="127" applyNumberFormat="0" applyFill="0" applyAlignment="0" applyProtection="0"/>
    <xf numFmtId="0" fontId="5" fillId="59" borderId="128" applyNumberFormat="0" applyFont="0" applyAlignment="0" applyProtection="0"/>
    <xf numFmtId="0" fontId="12" fillId="31" borderId="0" applyNumberFormat="0" applyBorder="0" applyAlignment="0" applyProtection="0"/>
    <xf numFmtId="49" fontId="33" fillId="0" borderId="129" applyNumberFormat="0" applyFill="0" applyBorder="0" applyProtection="0">
      <alignment horizontal="left" vertical="center"/>
    </xf>
    <xf numFmtId="0" fontId="12" fillId="31" borderId="0" applyNumberFormat="0" applyBorder="0" applyAlignment="0" applyProtection="0"/>
    <xf numFmtId="0" fontId="12" fillId="28" borderId="0" applyNumberFormat="0" applyBorder="0" applyAlignment="0" applyProtection="0"/>
    <xf numFmtId="0" fontId="34" fillId="0" borderId="129">
      <alignment horizontal="right" vertical="center"/>
    </xf>
    <xf numFmtId="4" fontId="34" fillId="0" borderId="129">
      <alignment horizontal="right" vertical="center"/>
    </xf>
    <xf numFmtId="0" fontId="12" fillId="16" borderId="0" applyNumberFormat="0" applyBorder="0" applyAlignment="0" applyProtection="0"/>
    <xf numFmtId="0" fontId="46" fillId="56" borderId="134" applyNumberFormat="0" applyAlignment="0" applyProtection="0"/>
    <xf numFmtId="0" fontId="32" fillId="34" borderId="131">
      <alignment horizontal="right" vertical="center"/>
    </xf>
    <xf numFmtId="0" fontId="12" fillId="16" borderId="0" applyNumberFormat="0" applyBorder="0" applyAlignment="0" applyProtection="0"/>
    <xf numFmtId="0" fontId="62" fillId="56" borderId="133" applyNumberFormat="0" applyAlignment="0" applyProtection="0"/>
    <xf numFmtId="0" fontId="2" fillId="0" borderId="15" applyNumberFormat="0" applyFill="0" applyAlignment="0" applyProtection="0"/>
    <xf numFmtId="0" fontId="58" fillId="43" borderId="126" applyNumberFormat="0" applyAlignment="0" applyProtection="0"/>
    <xf numFmtId="0" fontId="26" fillId="26" borderId="0" applyNumberFormat="0" applyBorder="0" applyAlignment="0" applyProtection="0"/>
    <xf numFmtId="173" fontId="34" fillId="60" borderId="129" applyNumberFormat="0" applyFont="0" applyBorder="0" applyAlignment="0" applyProtection="0">
      <alignment horizontal="right" vertical="center"/>
    </xf>
    <xf numFmtId="0" fontId="26" fillId="20" borderId="0" applyNumberFormat="0" applyBorder="0" applyAlignment="0" applyProtection="0"/>
    <xf numFmtId="49" fontId="34" fillId="0" borderId="137" applyNumberFormat="0" applyFont="0" applyFill="0" applyBorder="0" applyProtection="0">
      <alignment horizontal="left" vertical="center" indent="2"/>
    </xf>
    <xf numFmtId="0" fontId="26" fillId="20" borderId="0" applyNumberFormat="0" applyBorder="0" applyAlignment="0" applyProtection="0"/>
    <xf numFmtId="0" fontId="26" fillId="23" borderId="0" applyNumberFormat="0" applyBorder="0" applyAlignment="0" applyProtection="0"/>
    <xf numFmtId="0" fontId="62" fillId="56" borderId="133" applyNumberFormat="0" applyAlignment="0" applyProtection="0"/>
    <xf numFmtId="0" fontId="26" fillId="15" borderId="0" applyNumberFormat="0" applyBorder="0" applyAlignment="0" applyProtection="0"/>
    <xf numFmtId="0" fontId="12" fillId="31" borderId="0" applyNumberFormat="0" applyBorder="0" applyAlignment="0" applyProtection="0"/>
    <xf numFmtId="0" fontId="26" fillId="26" borderId="0" applyNumberFormat="0" applyBorder="0" applyAlignment="0" applyProtection="0"/>
    <xf numFmtId="0" fontId="58" fillId="43" borderId="126" applyNumberFormat="0" applyAlignment="0" applyProtection="0"/>
    <xf numFmtId="0" fontId="58" fillId="43" borderId="134" applyNumberFormat="0" applyAlignment="0" applyProtection="0"/>
    <xf numFmtId="4" fontId="32" fillId="34" borderId="137">
      <alignment horizontal="right" vertical="center"/>
    </xf>
    <xf numFmtId="0" fontId="34" fillId="34" borderId="132">
      <alignment horizontal="left" vertical="center" wrapText="1" indent="2"/>
    </xf>
    <xf numFmtId="0" fontId="1" fillId="0" borderId="0" applyNumberFormat="0" applyFill="0" applyBorder="0" applyAlignment="0" applyProtection="0"/>
    <xf numFmtId="4" fontId="34" fillId="0" borderId="129" applyFill="0" applyBorder="0" applyProtection="0">
      <alignment horizontal="right" vertical="center"/>
    </xf>
    <xf numFmtId="0" fontId="58" fillId="43" borderId="126" applyNumberFormat="0" applyAlignment="0" applyProtection="0"/>
    <xf numFmtId="0" fontId="50" fillId="0" borderId="135" applyNumberFormat="0" applyFill="0" applyAlignment="0" applyProtection="0"/>
    <xf numFmtId="0" fontId="28" fillId="13" borderId="14" applyNumberFormat="0" applyAlignment="0" applyProtection="0"/>
    <xf numFmtId="0" fontId="26" fillId="21" borderId="0" applyNumberFormat="0" applyBorder="0" applyAlignment="0" applyProtection="0"/>
    <xf numFmtId="0" fontId="12" fillId="19" borderId="0" applyNumberFormat="0" applyBorder="0" applyAlignment="0" applyProtection="0"/>
    <xf numFmtId="0" fontId="12" fillId="31" borderId="0" applyNumberFormat="0" applyBorder="0" applyAlignment="0" applyProtection="0"/>
    <xf numFmtId="0" fontId="50" fillId="0" borderId="135" applyNumberFormat="0" applyFill="0" applyAlignment="0" applyProtection="0"/>
    <xf numFmtId="0" fontId="65" fillId="0" borderId="127" applyNumberFormat="0" applyFill="0" applyAlignment="0" applyProtection="0"/>
    <xf numFmtId="0" fontId="34" fillId="0" borderId="132">
      <alignment horizontal="left" vertical="center" wrapText="1" indent="2"/>
    </xf>
    <xf numFmtId="0" fontId="26" fillId="18" borderId="0" applyNumberFormat="0" applyBorder="0" applyAlignment="0" applyProtection="0"/>
    <xf numFmtId="0" fontId="34" fillId="0" borderId="129">
      <alignment horizontal="right" vertical="center"/>
    </xf>
    <xf numFmtId="4" fontId="34" fillId="0" borderId="137" applyFill="0" applyBorder="0" applyProtection="0">
      <alignment horizontal="right" vertical="center"/>
    </xf>
    <xf numFmtId="0" fontId="12" fillId="22" borderId="0" applyNumberFormat="0" applyBorder="0" applyAlignment="0" applyProtection="0"/>
    <xf numFmtId="0" fontId="34" fillId="34" borderId="132">
      <alignment horizontal="left" vertical="center" wrapText="1" indent="2"/>
    </xf>
    <xf numFmtId="0" fontId="32" fillId="34" borderId="137">
      <alignment horizontal="right" vertical="center"/>
    </xf>
    <xf numFmtId="0" fontId="45" fillId="56" borderId="126" applyNumberFormat="0" applyAlignment="0" applyProtection="0"/>
    <xf numFmtId="0" fontId="34" fillId="34" borderId="132">
      <alignment horizontal="left" vertical="center" wrapText="1" indent="2"/>
    </xf>
    <xf numFmtId="0" fontId="5" fillId="59" borderId="128" applyNumberFormat="0" applyFont="0" applyAlignment="0" applyProtection="0"/>
    <xf numFmtId="0" fontId="34" fillId="33" borderId="129"/>
    <xf numFmtId="0" fontId="49" fillId="43" borderId="126" applyNumberFormat="0" applyAlignment="0" applyProtection="0"/>
    <xf numFmtId="0" fontId="45" fillId="56" borderId="126" applyNumberFormat="0" applyAlignment="0" applyProtection="0"/>
    <xf numFmtId="0" fontId="62" fillId="56" borderId="133" applyNumberFormat="0" applyAlignment="0" applyProtection="0"/>
    <xf numFmtId="0" fontId="46" fillId="56" borderId="126" applyNumberFormat="0" applyAlignment="0" applyProtection="0"/>
    <xf numFmtId="0" fontId="26" fillId="15" borderId="0" applyNumberFormat="0" applyBorder="0" applyAlignment="0" applyProtection="0"/>
    <xf numFmtId="4" fontId="32" fillId="34" borderId="139">
      <alignment horizontal="right" vertical="center"/>
    </xf>
    <xf numFmtId="0" fontId="34" fillId="0" borderId="129">
      <alignment horizontal="right" vertical="center"/>
    </xf>
    <xf numFmtId="0" fontId="45" fillId="56" borderId="126" applyNumberFormat="0" applyAlignment="0" applyProtection="0"/>
    <xf numFmtId="0" fontId="5" fillId="59" borderId="136" applyNumberFormat="0" applyFont="0" applyAlignment="0" applyProtection="0"/>
    <xf numFmtId="0" fontId="26" fillId="27" borderId="0" applyNumberFormat="0" applyBorder="0" applyAlignment="0" applyProtection="0"/>
    <xf numFmtId="0" fontId="26" fillId="20" borderId="0" applyNumberFormat="0" applyBorder="0" applyAlignment="0" applyProtection="0"/>
    <xf numFmtId="0" fontId="34" fillId="0" borderId="129" applyNumberFormat="0" applyFill="0" applyAlignment="0" applyProtection="0"/>
    <xf numFmtId="4" fontId="32" fillId="34" borderId="130">
      <alignment horizontal="right" vertical="center"/>
    </xf>
    <xf numFmtId="0" fontId="65" fillId="0" borderId="127" applyNumberFormat="0" applyFill="0" applyAlignment="0" applyProtection="0"/>
    <xf numFmtId="0" fontId="12" fillId="16" borderId="0" applyNumberFormat="0" applyBorder="0" applyAlignment="0" applyProtection="0"/>
    <xf numFmtId="4" fontId="36" fillId="32" borderId="129">
      <alignment horizontal="right" vertical="center"/>
    </xf>
    <xf numFmtId="0" fontId="26" fillId="21" borderId="0" applyNumberFormat="0" applyBorder="0" applyAlignment="0" applyProtection="0"/>
    <xf numFmtId="0" fontId="58" fillId="43" borderId="126" applyNumberFormat="0" applyAlignment="0" applyProtection="0"/>
    <xf numFmtId="0" fontId="32" fillId="34" borderId="129">
      <alignment horizontal="right" vertical="center"/>
    </xf>
    <xf numFmtId="0" fontId="65" fillId="0" borderId="127" applyNumberFormat="0" applyFill="0" applyAlignment="0" applyProtection="0"/>
    <xf numFmtId="0" fontId="45" fillId="56" borderId="126" applyNumberFormat="0" applyAlignment="0" applyProtection="0"/>
    <xf numFmtId="4" fontId="32" fillId="34" borderId="131">
      <alignment horizontal="right" vertical="center"/>
    </xf>
    <xf numFmtId="0" fontId="5" fillId="59" borderId="136" applyNumberFormat="0" applyFont="0" applyAlignment="0" applyProtection="0"/>
    <xf numFmtId="0" fontId="12" fillId="22" borderId="0" applyNumberFormat="0" applyBorder="0" applyAlignment="0" applyProtection="0"/>
    <xf numFmtId="0" fontId="46" fillId="56" borderId="134" applyNumberFormat="0" applyAlignment="0" applyProtection="0"/>
    <xf numFmtId="49" fontId="34" fillId="0" borderId="129" applyNumberFormat="0" applyFont="0" applyFill="0" applyBorder="0" applyProtection="0">
      <alignment horizontal="left" vertical="center" indent="2"/>
    </xf>
    <xf numFmtId="0" fontId="26" fillId="21" borderId="0" applyNumberFormat="0" applyBorder="0" applyAlignment="0" applyProtection="0"/>
    <xf numFmtId="173" fontId="34" fillId="60" borderId="129" applyNumberFormat="0" applyFont="0" applyBorder="0" applyAlignment="0" applyProtection="0">
      <alignment horizontal="right" vertical="center"/>
    </xf>
    <xf numFmtId="0" fontId="12" fillId="25" borderId="0" applyNumberFormat="0" applyBorder="0" applyAlignment="0" applyProtection="0"/>
    <xf numFmtId="49" fontId="33" fillId="0" borderId="129" applyNumberFormat="0" applyFill="0" applyBorder="0" applyProtection="0">
      <alignment horizontal="left" vertical="center"/>
    </xf>
    <xf numFmtId="0" fontId="29" fillId="13" borderId="13" applyNumberFormat="0" applyAlignment="0" applyProtection="0"/>
    <xf numFmtId="0" fontId="26" fillId="21" borderId="0" applyNumberFormat="0" applyBorder="0" applyAlignment="0" applyProtection="0"/>
    <xf numFmtId="0" fontId="65" fillId="0" borderId="135" applyNumberFormat="0" applyFill="0" applyAlignment="0" applyProtection="0"/>
    <xf numFmtId="0" fontId="36" fillId="32" borderId="129">
      <alignment horizontal="right" vertical="center"/>
    </xf>
    <xf numFmtId="0" fontId="45" fillId="56" borderId="134" applyNumberFormat="0" applyAlignment="0" applyProtection="0"/>
    <xf numFmtId="0" fontId="26" fillId="23" borderId="0" applyNumberFormat="0" applyBorder="0" applyAlignment="0" applyProtection="0"/>
    <xf numFmtId="0" fontId="58" fillId="43" borderId="126" applyNumberFormat="0" applyAlignment="0" applyProtection="0"/>
    <xf numFmtId="0" fontId="36" fillId="32" borderId="129">
      <alignment horizontal="right" vertical="center"/>
    </xf>
    <xf numFmtId="4" fontId="34" fillId="33" borderId="137"/>
    <xf numFmtId="49" fontId="33" fillId="0" borderId="129" applyNumberFormat="0" applyFill="0" applyBorder="0" applyProtection="0">
      <alignment horizontal="left" vertical="center"/>
    </xf>
    <xf numFmtId="0" fontId="58" fillId="43" borderId="134" applyNumberFormat="0" applyAlignment="0" applyProtection="0"/>
    <xf numFmtId="0" fontId="32" fillId="32" borderId="129">
      <alignment horizontal="right" vertical="center"/>
    </xf>
    <xf numFmtId="0" fontId="58" fillId="43" borderId="126" applyNumberFormat="0" applyAlignment="0" applyProtection="0"/>
    <xf numFmtId="0" fontId="34" fillId="32" borderId="130">
      <alignment horizontal="left" vertical="center"/>
    </xf>
    <xf numFmtId="0" fontId="26" fillId="15" borderId="0" applyNumberFormat="0" applyBorder="0" applyAlignment="0" applyProtection="0"/>
    <xf numFmtId="0" fontId="12" fillId="25" borderId="0" applyNumberFormat="0" applyBorder="0" applyAlignment="0" applyProtection="0"/>
    <xf numFmtId="0" fontId="32" fillId="32" borderId="129">
      <alignment horizontal="right" vertical="center"/>
    </xf>
    <xf numFmtId="4" fontId="34" fillId="33" borderId="137"/>
    <xf numFmtId="0" fontId="40" fillId="59" borderId="128" applyNumberFormat="0" applyFont="0" applyAlignment="0" applyProtection="0"/>
    <xf numFmtId="0" fontId="2" fillId="0" borderId="15" applyNumberFormat="0" applyFill="0" applyAlignment="0" applyProtection="0"/>
    <xf numFmtId="0" fontId="32" fillId="34" borderId="139">
      <alignment horizontal="right" vertical="center"/>
    </xf>
    <xf numFmtId="49" fontId="34" fillId="0" borderId="130" applyNumberFormat="0" applyFont="0" applyFill="0" applyBorder="0" applyProtection="0">
      <alignment horizontal="left" vertical="center" indent="5"/>
    </xf>
    <xf numFmtId="0" fontId="43" fillId="56" borderId="133" applyNumberFormat="0" applyAlignment="0" applyProtection="0"/>
    <xf numFmtId="0" fontId="26" fillId="30" borderId="0" applyNumberFormat="0" applyBorder="0" applyAlignment="0" applyProtection="0"/>
    <xf numFmtId="0" fontId="50" fillId="0" borderId="127" applyNumberFormat="0" applyFill="0" applyAlignment="0" applyProtection="0"/>
    <xf numFmtId="49" fontId="34" fillId="0" borderId="129" applyNumberFormat="0" applyFont="0" applyFill="0" applyBorder="0" applyProtection="0">
      <alignment horizontal="left" vertical="center" indent="2"/>
    </xf>
    <xf numFmtId="0" fontId="50" fillId="0" borderId="127" applyNumberFormat="0" applyFill="0" applyAlignment="0" applyProtection="0"/>
    <xf numFmtId="0" fontId="32" fillId="34" borderId="131">
      <alignment horizontal="right" vertical="center"/>
    </xf>
    <xf numFmtId="0" fontId="30" fillId="0" borderId="0" applyNumberFormat="0" applyFill="0" applyBorder="0" applyAlignment="0" applyProtection="0"/>
    <xf numFmtId="0" fontId="36" fillId="32" borderId="129">
      <alignment horizontal="right" vertical="center"/>
    </xf>
    <xf numFmtId="4" fontId="32" fillId="34" borderId="129">
      <alignment horizontal="right" vertical="center"/>
    </xf>
    <xf numFmtId="0" fontId="12" fillId="25" borderId="0" applyNumberFormat="0" applyBorder="0" applyAlignment="0" applyProtection="0"/>
    <xf numFmtId="0" fontId="65" fillId="0" borderId="135" applyNumberFormat="0" applyFill="0" applyAlignment="0" applyProtection="0"/>
    <xf numFmtId="0" fontId="62" fillId="56" borderId="141" applyNumberFormat="0" applyAlignment="0" applyProtection="0"/>
    <xf numFmtId="4" fontId="32" fillId="34" borderId="138">
      <alignment horizontal="right" vertical="center"/>
    </xf>
    <xf numFmtId="0" fontId="12" fillId="22" borderId="0" applyNumberFormat="0" applyBorder="0" applyAlignment="0" applyProtection="0"/>
    <xf numFmtId="49" fontId="33" fillId="0" borderId="129" applyNumberFormat="0" applyFill="0" applyBorder="0" applyProtection="0">
      <alignment horizontal="left" vertical="center"/>
    </xf>
    <xf numFmtId="0" fontId="65" fillId="0" borderId="135" applyNumberFormat="0" applyFill="0" applyAlignment="0" applyProtection="0"/>
    <xf numFmtId="0" fontId="50" fillId="0" borderId="127" applyNumberFormat="0" applyFill="0" applyAlignment="0" applyProtection="0"/>
    <xf numFmtId="4" fontId="34" fillId="0" borderId="129" applyFill="0" applyBorder="0" applyProtection="0">
      <alignment horizontal="right" vertical="center"/>
    </xf>
    <xf numFmtId="49" fontId="33" fillId="0" borderId="129" applyNumberFormat="0" applyFill="0" applyBorder="0" applyProtection="0">
      <alignment horizontal="left" vertical="center"/>
    </xf>
    <xf numFmtId="49" fontId="34" fillId="0" borderId="129" applyNumberFormat="0" applyFont="0" applyFill="0" applyBorder="0" applyProtection="0">
      <alignment horizontal="left" vertical="center" indent="2"/>
    </xf>
    <xf numFmtId="0" fontId="36" fillId="32" borderId="129">
      <alignment horizontal="right" vertical="center"/>
    </xf>
    <xf numFmtId="0" fontId="26" fillId="23" borderId="0" applyNumberFormat="0" applyBorder="0" applyAlignment="0" applyProtection="0"/>
    <xf numFmtId="49" fontId="34" fillId="0" borderId="130" applyNumberFormat="0" applyFont="0" applyFill="0" applyBorder="0" applyProtection="0">
      <alignment horizontal="left" vertical="center" indent="5"/>
    </xf>
    <xf numFmtId="0" fontId="26" fillId="20" borderId="0" applyNumberFormat="0" applyBorder="0" applyAlignment="0" applyProtection="0"/>
    <xf numFmtId="0" fontId="49" fillId="43" borderId="134" applyNumberFormat="0" applyAlignment="0" applyProtection="0"/>
    <xf numFmtId="4" fontId="34" fillId="33" borderId="137"/>
    <xf numFmtId="4" fontId="32" fillId="32" borderId="137">
      <alignment horizontal="right" vertical="center"/>
    </xf>
    <xf numFmtId="0" fontId="29" fillId="13" borderId="13" applyNumberFormat="0" applyAlignment="0" applyProtection="0"/>
    <xf numFmtId="0" fontId="26" fillId="24" borderId="0" applyNumberFormat="0" applyBorder="0" applyAlignment="0" applyProtection="0"/>
    <xf numFmtId="0" fontId="34" fillId="0" borderId="132">
      <alignment horizontal="left" vertical="center" wrapText="1" indent="2"/>
    </xf>
    <xf numFmtId="0" fontId="46" fillId="56" borderId="134" applyNumberFormat="0" applyAlignment="0" applyProtection="0"/>
    <xf numFmtId="0" fontId="34" fillId="0" borderId="140">
      <alignment horizontal="left" vertical="center" wrapText="1" indent="2"/>
    </xf>
    <xf numFmtId="0" fontId="65" fillId="0" borderId="135" applyNumberFormat="0" applyFill="0" applyAlignment="0" applyProtection="0"/>
    <xf numFmtId="49" fontId="34" fillId="0" borderId="137" applyNumberFormat="0" applyFont="0" applyFill="0" applyBorder="0" applyProtection="0">
      <alignment horizontal="left" vertical="center" indent="2"/>
    </xf>
    <xf numFmtId="0" fontId="28" fillId="13" borderId="14" applyNumberFormat="0" applyAlignment="0" applyProtection="0"/>
    <xf numFmtId="0" fontId="32" fillId="34" borderId="137">
      <alignment horizontal="right" vertical="center"/>
    </xf>
    <xf numFmtId="0" fontId="32" fillId="34" borderId="129">
      <alignment horizontal="right" vertical="center"/>
    </xf>
    <xf numFmtId="0" fontId="26" fillId="29" borderId="0" applyNumberFormat="0" applyBorder="0" applyAlignment="0" applyProtection="0"/>
    <xf numFmtId="0" fontId="26" fillId="17" borderId="0" applyNumberFormat="0" applyBorder="0" applyAlignment="0" applyProtection="0"/>
    <xf numFmtId="0" fontId="26" fillId="29" borderId="0" applyNumberFormat="0" applyBorder="0" applyAlignment="0" applyProtection="0"/>
    <xf numFmtId="0" fontId="40" fillId="59" borderId="136" applyNumberFormat="0" applyFont="0" applyAlignment="0" applyProtection="0"/>
    <xf numFmtId="0" fontId="62" fillId="56" borderId="141" applyNumberFormat="0" applyAlignment="0" applyProtection="0"/>
    <xf numFmtId="0" fontId="34" fillId="34" borderId="140">
      <alignment horizontal="left" vertical="center" wrapText="1" indent="2"/>
    </xf>
    <xf numFmtId="0" fontId="26" fillId="24" borderId="0" applyNumberFormat="0" applyBorder="0" applyAlignment="0" applyProtection="0"/>
    <xf numFmtId="0" fontId="12" fillId="28" borderId="0" applyNumberFormat="0" applyBorder="0" applyAlignment="0" applyProtection="0"/>
    <xf numFmtId="4" fontId="32" fillId="34" borderId="129">
      <alignment horizontal="right" vertical="center"/>
    </xf>
    <xf numFmtId="4" fontId="36" fillId="32" borderId="129">
      <alignment horizontal="right" vertical="center"/>
    </xf>
    <xf numFmtId="0" fontId="34" fillId="33" borderId="129"/>
    <xf numFmtId="0" fontId="50" fillId="0" borderId="127" applyNumberFormat="0" applyFill="0" applyAlignment="0" applyProtection="0"/>
    <xf numFmtId="4" fontId="34" fillId="0" borderId="129" applyFill="0" applyBorder="0" applyProtection="0">
      <alignment horizontal="right" vertical="center"/>
    </xf>
    <xf numFmtId="0" fontId="50" fillId="0" borderId="127" applyNumberFormat="0" applyFill="0" applyAlignment="0" applyProtection="0"/>
    <xf numFmtId="0" fontId="34" fillId="0" borderId="129" applyNumberFormat="0" applyFill="0" applyAlignment="0" applyProtection="0"/>
    <xf numFmtId="0" fontId="34" fillId="33" borderId="137"/>
    <xf numFmtId="0" fontId="34" fillId="0" borderId="129" applyNumberFormat="0" applyFill="0" applyAlignment="0" applyProtection="0"/>
    <xf numFmtId="0" fontId="40" fillId="59" borderId="136" applyNumberFormat="0" applyFont="0" applyAlignment="0" applyProtection="0"/>
    <xf numFmtId="4" fontId="32" fillId="34" borderId="131">
      <alignment horizontal="right" vertical="center"/>
    </xf>
    <xf numFmtId="0" fontId="46" fillId="56" borderId="134" applyNumberFormat="0" applyAlignment="0" applyProtection="0"/>
    <xf numFmtId="0" fontId="49" fillId="43" borderId="126" applyNumberFormat="0" applyAlignment="0" applyProtection="0"/>
    <xf numFmtId="0" fontId="46" fillId="56" borderId="126" applyNumberFormat="0" applyAlignment="0" applyProtection="0"/>
    <xf numFmtId="4" fontId="34" fillId="0" borderId="129">
      <alignment horizontal="right" vertical="center"/>
    </xf>
    <xf numFmtId="0" fontId="34" fillId="34" borderId="132">
      <alignment horizontal="left" vertical="center" wrapText="1" indent="2"/>
    </xf>
    <xf numFmtId="0" fontId="34" fillId="0" borderId="132">
      <alignment horizontal="left" vertical="center" wrapText="1" indent="2"/>
    </xf>
    <xf numFmtId="0" fontId="62" fillId="56" borderId="133" applyNumberFormat="0" applyAlignment="0" applyProtection="0"/>
    <xf numFmtId="0" fontId="58" fillId="43" borderId="126" applyNumberFormat="0" applyAlignment="0" applyProtection="0"/>
    <xf numFmtId="0" fontId="45" fillId="56" borderId="126" applyNumberFormat="0" applyAlignment="0" applyProtection="0"/>
    <xf numFmtId="0" fontId="43" fillId="56" borderId="133" applyNumberFormat="0" applyAlignment="0" applyProtection="0"/>
    <xf numFmtId="0" fontId="32" fillId="34" borderId="131">
      <alignment horizontal="right" vertical="center"/>
    </xf>
    <xf numFmtId="0" fontId="36" fillId="32" borderId="129">
      <alignment horizontal="right" vertical="center"/>
    </xf>
    <xf numFmtId="4" fontId="32" fillId="32" borderId="129">
      <alignment horizontal="right" vertical="center"/>
    </xf>
    <xf numFmtId="4" fontId="32" fillId="34" borderId="129">
      <alignment horizontal="right" vertical="center"/>
    </xf>
    <xf numFmtId="49" fontId="34" fillId="0" borderId="130" applyNumberFormat="0" applyFont="0" applyFill="0" applyBorder="0" applyProtection="0">
      <alignment horizontal="left" vertical="center" indent="5"/>
    </xf>
    <xf numFmtId="4" fontId="34" fillId="0" borderId="129" applyFill="0" applyBorder="0" applyProtection="0">
      <alignment horizontal="right" vertical="center"/>
    </xf>
    <xf numFmtId="4" fontId="32" fillId="32" borderId="129">
      <alignment horizontal="right" vertical="center"/>
    </xf>
    <xf numFmtId="0" fontId="58" fillId="43" borderId="126" applyNumberFormat="0" applyAlignment="0" applyProtection="0"/>
    <xf numFmtId="0" fontId="49" fillId="43" borderId="126" applyNumberFormat="0" applyAlignment="0" applyProtection="0"/>
    <xf numFmtId="0" fontId="45" fillId="56" borderId="126" applyNumberFormat="0" applyAlignment="0" applyProtection="0"/>
    <xf numFmtId="0" fontId="34" fillId="34" borderId="132">
      <alignment horizontal="left" vertical="center" wrapText="1" indent="2"/>
    </xf>
    <xf numFmtId="0" fontId="34" fillId="0" borderId="132">
      <alignment horizontal="left" vertical="center" wrapText="1" indent="2"/>
    </xf>
    <xf numFmtId="0" fontId="34" fillId="34" borderId="132">
      <alignment horizontal="left" vertical="center" wrapText="1" indent="2"/>
    </xf>
    <xf numFmtId="49" fontId="34" fillId="0" borderId="137" applyNumberFormat="0" applyFont="0" applyFill="0" applyBorder="0" applyProtection="0">
      <alignment horizontal="left" vertical="center" indent="2"/>
    </xf>
    <xf numFmtId="0" fontId="32" fillId="34" borderId="137">
      <alignment horizontal="right" vertical="center"/>
    </xf>
    <xf numFmtId="0" fontId="32" fillId="34" borderId="137">
      <alignment horizontal="right" vertical="center"/>
    </xf>
    <xf numFmtId="0" fontId="28" fillId="13" borderId="14" applyNumberFormat="0" applyAlignment="0" applyProtection="0"/>
    <xf numFmtId="0" fontId="43" fillId="56" borderId="141" applyNumberFormat="0" applyAlignment="0" applyProtection="0"/>
    <xf numFmtId="0" fontId="49" fillId="43" borderId="134" applyNumberFormat="0" applyAlignment="0" applyProtection="0"/>
    <xf numFmtId="0" fontId="26" fillId="15" borderId="0" applyNumberFormat="0" applyBorder="0" applyAlignment="0" applyProtection="0"/>
    <xf numFmtId="0" fontId="12" fillId="28" borderId="0" applyNumberFormat="0" applyBorder="0" applyAlignment="0" applyProtection="0"/>
    <xf numFmtId="0" fontId="40" fillId="59" borderId="136" applyNumberFormat="0" applyFont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4" fontId="34" fillId="33" borderId="137"/>
    <xf numFmtId="0" fontId="45" fillId="56" borderId="134" applyNumberFormat="0" applyAlignment="0" applyProtection="0"/>
    <xf numFmtId="0" fontId="65" fillId="0" borderId="135" applyNumberFormat="0" applyFill="0" applyAlignment="0" applyProtection="0"/>
    <xf numFmtId="173" fontId="34" fillId="60" borderId="137" applyNumberFormat="0" applyFont="0" applyBorder="0" applyAlignment="0" applyProtection="0">
      <alignment horizontal="right" vertical="center"/>
    </xf>
    <xf numFmtId="0" fontId="58" fillId="43" borderId="134" applyNumberFormat="0" applyAlignment="0" applyProtection="0"/>
    <xf numFmtId="4" fontId="32" fillId="34" borderId="137">
      <alignment horizontal="right" vertical="center"/>
    </xf>
    <xf numFmtId="0" fontId="26" fillId="29" borderId="0" applyNumberFormat="0" applyBorder="0" applyAlignment="0" applyProtection="0"/>
    <xf numFmtId="0" fontId="32" fillId="34" borderId="137">
      <alignment horizontal="right" vertical="center"/>
    </xf>
    <xf numFmtId="0" fontId="58" fillId="43" borderId="134" applyNumberFormat="0" applyAlignment="0" applyProtection="0"/>
    <xf numFmtId="4" fontId="32" fillId="34" borderId="139">
      <alignment horizontal="right" vertical="center"/>
    </xf>
    <xf numFmtId="0" fontId="26" fillId="30" borderId="0" applyNumberFormat="0" applyBorder="0" applyAlignment="0" applyProtection="0"/>
    <xf numFmtId="0" fontId="26" fillId="21" borderId="0" applyNumberFormat="0" applyBorder="0" applyAlignment="0" applyProtection="0"/>
    <xf numFmtId="0" fontId="26" fillId="20" borderId="0" applyNumberFormat="0" applyBorder="0" applyAlignment="0" applyProtection="0"/>
    <xf numFmtId="0" fontId="29" fillId="13" borderId="13" applyNumberFormat="0" applyAlignment="0" applyProtection="0"/>
    <xf numFmtId="0" fontId="62" fillId="56" borderId="141" applyNumberFormat="0" applyAlignment="0" applyProtection="0"/>
    <xf numFmtId="0" fontId="46" fillId="56" borderId="134" applyNumberFormat="0" applyAlignment="0" applyProtection="0"/>
    <xf numFmtId="0" fontId="34" fillId="33" borderId="137"/>
    <xf numFmtId="0" fontId="40" fillId="59" borderId="136" applyNumberFormat="0" applyFont="0" applyAlignment="0" applyProtection="0"/>
    <xf numFmtId="0" fontId="65" fillId="0" borderId="135" applyNumberFormat="0" applyFill="0" applyAlignment="0" applyProtection="0"/>
    <xf numFmtId="4" fontId="34" fillId="0" borderId="137" applyFill="0" applyBorder="0" applyProtection="0">
      <alignment horizontal="right" vertical="center"/>
    </xf>
    <xf numFmtId="0" fontId="26" fillId="15" borderId="0" applyNumberFormat="0" applyBorder="0" applyAlignment="0" applyProtection="0"/>
    <xf numFmtId="0" fontId="34" fillId="33" borderId="137"/>
    <xf numFmtId="49" fontId="34" fillId="0" borderId="138" applyNumberFormat="0" applyFont="0" applyFill="0" applyBorder="0" applyProtection="0">
      <alignment horizontal="left" vertical="center" indent="5"/>
    </xf>
    <xf numFmtId="4" fontId="32" fillId="34" borderId="139">
      <alignment horizontal="right" vertical="center"/>
    </xf>
    <xf numFmtId="0" fontId="32" fillId="32" borderId="137">
      <alignment horizontal="right" vertical="center"/>
    </xf>
    <xf numFmtId="0" fontId="26" fillId="18" borderId="0" applyNumberFormat="0" applyBorder="0" applyAlignment="0" applyProtection="0"/>
    <xf numFmtId="0" fontId="12" fillId="22" borderId="0" applyNumberFormat="0" applyBorder="0" applyAlignment="0" applyProtection="0"/>
    <xf numFmtId="0" fontId="32" fillId="34" borderId="137">
      <alignment horizontal="right" vertical="center"/>
    </xf>
    <xf numFmtId="49" fontId="33" fillId="0" borderId="137" applyNumberFormat="0" applyFill="0" applyBorder="0" applyProtection="0">
      <alignment horizontal="left" vertical="center"/>
    </xf>
    <xf numFmtId="0" fontId="26" fillId="30" borderId="0" applyNumberFormat="0" applyBorder="0" applyAlignment="0" applyProtection="0"/>
    <xf numFmtId="49" fontId="34" fillId="0" borderId="138" applyNumberFormat="0" applyFont="0" applyFill="0" applyBorder="0" applyProtection="0">
      <alignment horizontal="left" vertical="center" indent="5"/>
    </xf>
    <xf numFmtId="49" fontId="33" fillId="0" borderId="137" applyNumberFormat="0" applyFill="0" applyBorder="0" applyProtection="0">
      <alignment horizontal="left" vertical="center"/>
    </xf>
    <xf numFmtId="4" fontId="34" fillId="0" borderId="137" applyFill="0" applyBorder="0" applyProtection="0">
      <alignment horizontal="right" vertical="center"/>
    </xf>
    <xf numFmtId="0" fontId="26" fillId="15" borderId="0" applyNumberFormat="0" applyBorder="0" applyAlignment="0" applyProtection="0"/>
    <xf numFmtId="0" fontId="62" fillId="56" borderId="141" applyNumberFormat="0" applyAlignment="0" applyProtection="0"/>
    <xf numFmtId="0" fontId="12" fillId="25" borderId="0" applyNumberFormat="0" applyBorder="0" applyAlignment="0" applyProtection="0"/>
    <xf numFmtId="0" fontId="26" fillId="20" borderId="0" applyNumberFormat="0" applyBorder="0" applyAlignment="0" applyProtection="0"/>
    <xf numFmtId="0" fontId="46" fillId="56" borderId="134" applyNumberFormat="0" applyAlignment="0" applyProtection="0"/>
    <xf numFmtId="0" fontId="32" fillId="34" borderId="139">
      <alignment horizontal="right" vertical="center"/>
    </xf>
    <xf numFmtId="4" fontId="34" fillId="33" borderId="137"/>
    <xf numFmtId="49" fontId="34" fillId="0" borderId="137" applyNumberFormat="0" applyFont="0" applyFill="0" applyBorder="0" applyProtection="0">
      <alignment horizontal="left" vertical="center" indent="2"/>
    </xf>
    <xf numFmtId="0" fontId="5" fillId="59" borderId="136" applyNumberFormat="0" applyFont="0" applyAlignment="0" applyProtection="0"/>
    <xf numFmtId="0" fontId="34" fillId="32" borderId="138">
      <alignment horizontal="left" vertical="center"/>
    </xf>
    <xf numFmtId="0" fontId="32" fillId="34" borderId="139">
      <alignment horizontal="right" vertical="center"/>
    </xf>
    <xf numFmtId="0" fontId="32" fillId="34" borderId="139">
      <alignment horizontal="right" vertical="center"/>
    </xf>
    <xf numFmtId="0" fontId="26" fillId="29" borderId="0" applyNumberFormat="0" applyBorder="0" applyAlignment="0" applyProtection="0"/>
    <xf numFmtId="0" fontId="50" fillId="0" borderId="135" applyNumberFormat="0" applyFill="0" applyAlignment="0" applyProtection="0"/>
    <xf numFmtId="0" fontId="36" fillId="32" borderId="137">
      <alignment horizontal="right" vertical="center"/>
    </xf>
    <xf numFmtId="0" fontId="36" fillId="32" borderId="137">
      <alignment horizontal="right" vertical="center"/>
    </xf>
    <xf numFmtId="0" fontId="50" fillId="0" borderId="135" applyNumberFormat="0" applyFill="0" applyAlignment="0" applyProtection="0"/>
    <xf numFmtId="0" fontId="43" fillId="56" borderId="141" applyNumberFormat="0" applyAlignment="0" applyProtection="0"/>
    <xf numFmtId="49" fontId="34" fillId="0" borderId="138" applyNumberFormat="0" applyFont="0" applyFill="0" applyBorder="0" applyProtection="0">
      <alignment horizontal="left" vertical="center" indent="5"/>
    </xf>
    <xf numFmtId="0" fontId="50" fillId="0" borderId="135" applyNumberFormat="0" applyFill="0" applyAlignment="0" applyProtection="0"/>
    <xf numFmtId="49" fontId="34" fillId="0" borderId="137" applyNumberFormat="0" applyFont="0" applyFill="0" applyBorder="0" applyProtection="0">
      <alignment horizontal="left" vertical="center" indent="2"/>
    </xf>
    <xf numFmtId="0" fontId="65" fillId="0" borderId="135" applyNumberFormat="0" applyFill="0" applyAlignment="0" applyProtection="0"/>
    <xf numFmtId="0" fontId="34" fillId="0" borderId="137" applyNumberFormat="0" applyFill="0" applyAlignment="0" applyProtection="0"/>
    <xf numFmtId="0" fontId="2" fillId="0" borderId="15" applyNumberFormat="0" applyFill="0" applyAlignment="0" applyProtection="0"/>
    <xf numFmtId="0" fontId="12" fillId="28" borderId="0" applyNumberFormat="0" applyBorder="0" applyAlignment="0" applyProtection="0"/>
    <xf numFmtId="0" fontId="29" fillId="13" borderId="13" applyNumberFormat="0" applyAlignment="0" applyProtection="0"/>
    <xf numFmtId="0" fontId="32" fillId="34" borderId="137">
      <alignment horizontal="right" vertical="center"/>
    </xf>
    <xf numFmtId="0" fontId="34" fillId="0" borderId="140">
      <alignment horizontal="left" vertical="center" wrapText="1" indent="2"/>
    </xf>
    <xf numFmtId="0" fontId="58" fillId="43" borderId="134" applyNumberFormat="0" applyAlignment="0" applyProtection="0"/>
    <xf numFmtId="0" fontId="12" fillId="25" borderId="0" applyNumberFormat="0" applyBorder="0" applyAlignment="0" applyProtection="0"/>
    <xf numFmtId="0" fontId="26" fillId="18" borderId="0" applyNumberFormat="0" applyBorder="0" applyAlignment="0" applyProtection="0"/>
    <xf numFmtId="0" fontId="34" fillId="32" borderId="138">
      <alignment horizontal="left" vertical="center"/>
    </xf>
    <xf numFmtId="0" fontId="5" fillId="59" borderId="136" applyNumberFormat="0" applyFont="0" applyAlignment="0" applyProtection="0"/>
    <xf numFmtId="0" fontId="34" fillId="0" borderId="137" applyNumberFormat="0" applyFill="0" applyAlignment="0" applyProtection="0"/>
    <xf numFmtId="0" fontId="26" fillId="24" borderId="0" applyNumberFormat="0" applyBorder="0" applyAlignment="0" applyProtection="0"/>
    <xf numFmtId="0" fontId="12" fillId="22" borderId="0" applyNumberFormat="0" applyBorder="0" applyAlignment="0" applyProtection="0"/>
    <xf numFmtId="0" fontId="49" fillId="43" borderId="134" applyNumberFormat="0" applyAlignment="0" applyProtection="0"/>
    <xf numFmtId="0" fontId="26" fillId="23" borderId="0" applyNumberFormat="0" applyBorder="0" applyAlignment="0" applyProtection="0"/>
    <xf numFmtId="0" fontId="34" fillId="34" borderId="140">
      <alignment horizontal="left" vertical="center" wrapText="1" indent="2"/>
    </xf>
    <xf numFmtId="0" fontId="34" fillId="33" borderId="137"/>
    <xf numFmtId="0" fontId="36" fillId="32" borderId="137">
      <alignment horizontal="right" vertical="center"/>
    </xf>
    <xf numFmtId="0" fontId="28" fillId="13" borderId="14" applyNumberFormat="0" applyAlignment="0" applyProtection="0"/>
    <xf numFmtId="0" fontId="45" fillId="56" borderId="134" applyNumberFormat="0" applyAlignment="0" applyProtection="0"/>
    <xf numFmtId="0" fontId="26" fillId="14" borderId="0" applyNumberFormat="0" applyBorder="0" applyAlignment="0" applyProtection="0"/>
    <xf numFmtId="0" fontId="1" fillId="0" borderId="0" applyNumberFormat="0" applyFill="0" applyBorder="0" applyAlignment="0" applyProtection="0"/>
    <xf numFmtId="0" fontId="26" fillId="26" borderId="0" applyNumberFormat="0" applyBorder="0" applyAlignment="0" applyProtection="0"/>
    <xf numFmtId="4" fontId="32" fillId="34" borderId="137">
      <alignment horizontal="right" vertical="center"/>
    </xf>
    <xf numFmtId="0" fontId="40" fillId="59" borderId="136" applyNumberFormat="0" applyFont="0" applyAlignment="0" applyProtection="0"/>
    <xf numFmtId="0" fontId="49" fillId="43" borderId="134" applyNumberFormat="0" applyAlignment="0" applyProtection="0"/>
    <xf numFmtId="0" fontId="12" fillId="19" borderId="0" applyNumberFormat="0" applyBorder="0" applyAlignment="0" applyProtection="0"/>
    <xf numFmtId="0" fontId="26" fillId="18" borderId="0" applyNumberFormat="0" applyBorder="0" applyAlignment="0" applyProtection="0"/>
    <xf numFmtId="4" fontId="34" fillId="0" borderId="137">
      <alignment horizontal="right" vertical="center"/>
    </xf>
    <xf numFmtId="0" fontId="32" fillId="32" borderId="137">
      <alignment horizontal="right" vertical="center"/>
    </xf>
    <xf numFmtId="0" fontId="58" fillId="43" borderId="134" applyNumberFormat="0" applyAlignment="0" applyProtection="0"/>
    <xf numFmtId="4" fontId="32" fillId="34" borderId="137">
      <alignment horizontal="right" vertical="center"/>
    </xf>
    <xf numFmtId="0" fontId="62" fillId="56" borderId="141" applyNumberFormat="0" applyAlignment="0" applyProtection="0"/>
    <xf numFmtId="0" fontId="58" fillId="43" borderId="134" applyNumberFormat="0" applyAlignment="0" applyProtection="0"/>
    <xf numFmtId="0" fontId="26" fillId="23" borderId="0" applyNumberFormat="0" applyBorder="0" applyAlignment="0" applyProtection="0"/>
    <xf numFmtId="0" fontId="12" fillId="28" borderId="0" applyNumberFormat="0" applyBorder="0" applyAlignment="0" applyProtection="0"/>
    <xf numFmtId="0" fontId="12" fillId="22" borderId="0" applyNumberFormat="0" applyBorder="0" applyAlignment="0" applyProtection="0"/>
    <xf numFmtId="4" fontId="32" fillId="34" borderId="137">
      <alignment horizontal="right" vertical="center"/>
    </xf>
    <xf numFmtId="4" fontId="32" fillId="34" borderId="137">
      <alignment horizontal="right" vertical="center"/>
    </xf>
    <xf numFmtId="4" fontId="34" fillId="33" borderId="137"/>
    <xf numFmtId="0" fontId="12" fillId="31" borderId="0" applyNumberFormat="0" applyBorder="0" applyAlignment="0" applyProtection="0"/>
    <xf numFmtId="0" fontId="26" fillId="29" borderId="0" applyNumberFormat="0" applyBorder="0" applyAlignment="0" applyProtection="0"/>
    <xf numFmtId="0" fontId="46" fillId="56" borderId="134" applyNumberFormat="0" applyAlignment="0" applyProtection="0"/>
    <xf numFmtId="0" fontId="12" fillId="28" borderId="0" applyNumberFormat="0" applyBorder="0" applyAlignment="0" applyProtection="0"/>
    <xf numFmtId="0" fontId="32" fillId="34" borderId="138">
      <alignment horizontal="right" vertical="center"/>
    </xf>
    <xf numFmtId="49" fontId="34" fillId="0" borderId="137" applyNumberFormat="0" applyFont="0" applyFill="0" applyBorder="0" applyProtection="0">
      <alignment horizontal="left" vertical="center" indent="2"/>
    </xf>
    <xf numFmtId="0" fontId="34" fillId="0" borderId="137">
      <alignment horizontal="right" vertical="center"/>
    </xf>
    <xf numFmtId="0" fontId="26" fillId="18" borderId="0" applyNumberFormat="0" applyBorder="0" applyAlignment="0" applyProtection="0"/>
    <xf numFmtId="0" fontId="12" fillId="22" borderId="0" applyNumberFormat="0" applyBorder="0" applyAlignment="0" applyProtection="0"/>
    <xf numFmtId="0" fontId="34" fillId="33" borderId="137"/>
    <xf numFmtId="49" fontId="34" fillId="0" borderId="137" applyNumberFormat="0" applyFont="0" applyFill="0" applyBorder="0" applyProtection="0">
      <alignment horizontal="left" vertical="center" indent="2"/>
    </xf>
    <xf numFmtId="0" fontId="26" fillId="18" borderId="0" applyNumberFormat="0" applyBorder="0" applyAlignment="0" applyProtection="0"/>
    <xf numFmtId="0" fontId="34" fillId="32" borderId="138">
      <alignment horizontal="left" vertical="center"/>
    </xf>
    <xf numFmtId="0" fontId="34" fillId="0" borderId="140">
      <alignment horizontal="left" vertical="center" wrapText="1" indent="2"/>
    </xf>
    <xf numFmtId="4" fontId="34" fillId="0" borderId="137" applyFill="0" applyBorder="0" applyProtection="0">
      <alignment horizontal="right" vertical="center"/>
    </xf>
    <xf numFmtId="0" fontId="32" fillId="34" borderId="138">
      <alignment horizontal="right" vertical="center"/>
    </xf>
    <xf numFmtId="0" fontId="12" fillId="31" borderId="0" applyNumberFormat="0" applyBorder="0" applyAlignment="0" applyProtection="0"/>
    <xf numFmtId="0" fontId="26" fillId="26" borderId="0" applyNumberFormat="0" applyBorder="0" applyAlignment="0" applyProtection="0"/>
    <xf numFmtId="4" fontId="32" fillId="32" borderId="137">
      <alignment horizontal="right" vertical="center"/>
    </xf>
    <xf numFmtId="0" fontId="2" fillId="0" borderId="15" applyNumberFormat="0" applyFill="0" applyAlignment="0" applyProtection="0"/>
    <xf numFmtId="0" fontId="12" fillId="22" borderId="0" applyNumberFormat="0" applyBorder="0" applyAlignment="0" applyProtection="0"/>
    <xf numFmtId="0" fontId="32" fillId="34" borderId="137">
      <alignment horizontal="right" vertical="center"/>
    </xf>
    <xf numFmtId="0" fontId="26" fillId="24" borderId="0" applyNumberFormat="0" applyBorder="0" applyAlignment="0" applyProtection="0"/>
    <xf numFmtId="0" fontId="46" fillId="56" borderId="134" applyNumberFormat="0" applyAlignment="0" applyProtection="0"/>
    <xf numFmtId="0" fontId="26" fillId="21" borderId="0" applyNumberFormat="0" applyBorder="0" applyAlignment="0" applyProtection="0"/>
    <xf numFmtId="0" fontId="12" fillId="19" borderId="0" applyNumberFormat="0" applyBorder="0" applyAlignment="0" applyProtection="0"/>
    <xf numFmtId="0" fontId="26" fillId="29" borderId="0" applyNumberFormat="0" applyBorder="0" applyAlignment="0" applyProtection="0"/>
    <xf numFmtId="0" fontId="65" fillId="0" borderId="135" applyNumberFormat="0" applyFill="0" applyAlignment="0" applyProtection="0"/>
    <xf numFmtId="0" fontId="46" fillId="56" borderId="134" applyNumberFormat="0" applyAlignment="0" applyProtection="0"/>
    <xf numFmtId="0" fontId="36" fillId="32" borderId="137">
      <alignment horizontal="right" vertical="center"/>
    </xf>
    <xf numFmtId="4" fontId="32" fillId="34" borderId="137">
      <alignment horizontal="right" vertical="center"/>
    </xf>
    <xf numFmtId="0" fontId="2" fillId="0" borderId="15" applyNumberFormat="0" applyFill="0" applyAlignment="0" applyProtection="0"/>
    <xf numFmtId="49" fontId="33" fillId="0" borderId="137" applyNumberFormat="0" applyFill="0" applyBorder="0" applyProtection="0">
      <alignment horizontal="left" vertical="center"/>
    </xf>
    <xf numFmtId="0" fontId="32" fillId="32" borderId="137">
      <alignment horizontal="right" vertical="center"/>
    </xf>
    <xf numFmtId="0" fontId="62" fillId="56" borderId="141" applyNumberFormat="0" applyAlignment="0" applyProtection="0"/>
    <xf numFmtId="0" fontId="34" fillId="0" borderId="137" applyNumberFormat="0" applyFill="0" applyAlignment="0" applyProtection="0"/>
    <xf numFmtId="0" fontId="26" fillId="17" borderId="0" applyNumberFormat="0" applyBorder="0" applyAlignment="0" applyProtection="0"/>
    <xf numFmtId="0" fontId="65" fillId="0" borderId="135" applyNumberFormat="0" applyFill="0" applyAlignment="0" applyProtection="0"/>
    <xf numFmtId="0" fontId="26" fillId="18" borderId="0" applyNumberFormat="0" applyBorder="0" applyAlignment="0" applyProtection="0"/>
    <xf numFmtId="0" fontId="49" fillId="43" borderId="134" applyNumberFormat="0" applyAlignment="0" applyProtection="0"/>
    <xf numFmtId="0" fontId="32" fillId="34" borderId="138">
      <alignment horizontal="right" vertical="center"/>
    </xf>
    <xf numFmtId="0" fontId="2" fillId="0" borderId="15" applyNumberFormat="0" applyFill="0" applyAlignment="0" applyProtection="0"/>
    <xf numFmtId="0" fontId="12" fillId="31" borderId="0" applyNumberFormat="0" applyBorder="0" applyAlignment="0" applyProtection="0"/>
    <xf numFmtId="0" fontId="34" fillId="33" borderId="137"/>
    <xf numFmtId="0" fontId="65" fillId="0" borderId="135" applyNumberFormat="0" applyFill="0" applyAlignment="0" applyProtection="0"/>
    <xf numFmtId="0" fontId="26" fillId="14" borderId="0" applyNumberFormat="0" applyBorder="0" applyAlignment="0" applyProtection="0"/>
    <xf numFmtId="4" fontId="36" fillId="32" borderId="137">
      <alignment horizontal="right" vertical="center"/>
    </xf>
    <xf numFmtId="0" fontId="34" fillId="34" borderId="140">
      <alignment horizontal="left" vertical="center" wrapText="1" indent="2"/>
    </xf>
    <xf numFmtId="0" fontId="34" fillId="0" borderId="137">
      <alignment horizontal="right" vertical="center"/>
    </xf>
    <xf numFmtId="4" fontId="34" fillId="0" borderId="137">
      <alignment horizontal="right" vertical="center"/>
    </xf>
    <xf numFmtId="173" fontId="34" fillId="60" borderId="137" applyNumberFormat="0" applyFont="0" applyBorder="0" applyAlignment="0" applyProtection="0">
      <alignment horizontal="right" vertical="center"/>
    </xf>
    <xf numFmtId="0" fontId="26" fillId="15" borderId="0" applyNumberFormat="0" applyBorder="0" applyAlignment="0" applyProtection="0"/>
    <xf numFmtId="0" fontId="49" fillId="43" borderId="134" applyNumberFormat="0" applyAlignment="0" applyProtection="0"/>
    <xf numFmtId="4" fontId="32" fillId="34" borderId="137">
      <alignment horizontal="right" vertical="center"/>
    </xf>
    <xf numFmtId="0" fontId="34" fillId="0" borderId="140">
      <alignment horizontal="left" vertical="center" wrapText="1" indent="2"/>
    </xf>
    <xf numFmtId="0" fontId="65" fillId="0" borderId="135" applyNumberFormat="0" applyFill="0" applyAlignment="0" applyProtection="0"/>
    <xf numFmtId="0" fontId="58" fillId="43" borderId="134" applyNumberFormat="0" applyAlignment="0" applyProtection="0"/>
    <xf numFmtId="0" fontId="45" fillId="56" borderId="134" applyNumberFormat="0" applyAlignment="0" applyProtection="0"/>
    <xf numFmtId="4" fontId="32" fillId="34" borderId="139">
      <alignment horizontal="right" vertical="center"/>
    </xf>
    <xf numFmtId="0" fontId="26" fillId="30" borderId="0" applyNumberFormat="0" applyBorder="0" applyAlignment="0" applyProtection="0"/>
    <xf numFmtId="0" fontId="26" fillId="15" borderId="0" applyNumberFormat="0" applyBorder="0" applyAlignment="0" applyProtection="0"/>
    <xf numFmtId="0" fontId="26" fillId="23" borderId="0" applyNumberFormat="0" applyBorder="0" applyAlignment="0" applyProtection="0"/>
    <xf numFmtId="0" fontId="34" fillId="0" borderId="137">
      <alignment horizontal="right" vertical="center"/>
    </xf>
    <xf numFmtId="173" fontId="34" fillId="60" borderId="137" applyNumberFormat="0" applyFont="0" applyBorder="0" applyAlignment="0" applyProtection="0">
      <alignment horizontal="right" vertical="center"/>
    </xf>
    <xf numFmtId="4" fontId="32" fillId="34" borderId="137">
      <alignment horizontal="right" vertical="center"/>
    </xf>
    <xf numFmtId="0" fontId="1" fillId="0" borderId="0" applyNumberFormat="0" applyFill="0" applyBorder="0" applyAlignment="0" applyProtection="0"/>
    <xf numFmtId="4" fontId="32" fillId="32" borderId="137">
      <alignment horizontal="right" vertical="center"/>
    </xf>
    <xf numFmtId="0" fontId="26" fillId="24" borderId="0" applyNumberFormat="0" applyBorder="0" applyAlignment="0" applyProtection="0"/>
    <xf numFmtId="0" fontId="40" fillId="59" borderId="136" applyNumberFormat="0" applyFont="0" applyAlignment="0" applyProtection="0"/>
    <xf numFmtId="0" fontId="32" fillId="32" borderId="137">
      <alignment horizontal="right" vertical="center"/>
    </xf>
    <xf numFmtId="0" fontId="26" fillId="26" borderId="0" applyNumberFormat="0" applyBorder="0" applyAlignment="0" applyProtection="0"/>
    <xf numFmtId="0" fontId="40" fillId="59" borderId="136" applyNumberFormat="0" applyFont="0" applyAlignment="0" applyProtection="0"/>
    <xf numFmtId="0" fontId="32" fillId="32" borderId="137">
      <alignment horizontal="right" vertical="center"/>
    </xf>
    <xf numFmtId="0" fontId="26" fillId="29" borderId="0" applyNumberFormat="0" applyBorder="0" applyAlignment="0" applyProtection="0"/>
    <xf numFmtId="0" fontId="12" fillId="25" borderId="0" applyNumberFormat="0" applyBorder="0" applyAlignment="0" applyProtection="0"/>
    <xf numFmtId="0" fontId="26" fillId="20" borderId="0" applyNumberFormat="0" applyBorder="0" applyAlignment="0" applyProtection="0"/>
    <xf numFmtId="0" fontId="12" fillId="22" borderId="0" applyNumberFormat="0" applyBorder="0" applyAlignment="0" applyProtection="0"/>
    <xf numFmtId="0" fontId="34" fillId="34" borderId="140">
      <alignment horizontal="left" vertical="center" wrapText="1" indent="2"/>
    </xf>
    <xf numFmtId="0" fontId="5" fillId="59" borderId="136" applyNumberFormat="0" applyFont="0" applyAlignment="0" applyProtection="0"/>
    <xf numFmtId="0" fontId="12" fillId="19" borderId="0" applyNumberFormat="0" applyBorder="0" applyAlignment="0" applyProtection="0"/>
    <xf numFmtId="0" fontId="32" fillId="34" borderId="138">
      <alignment horizontal="right" vertical="center"/>
    </xf>
    <xf numFmtId="4" fontId="36" fillId="32" borderId="137">
      <alignment horizontal="right" vertical="center"/>
    </xf>
    <xf numFmtId="0" fontId="34" fillId="34" borderId="140">
      <alignment horizontal="left" vertical="center" wrapText="1" indent="2"/>
    </xf>
    <xf numFmtId="0" fontId="43" fillId="56" borderId="141" applyNumberFormat="0" applyAlignment="0" applyProtection="0"/>
    <xf numFmtId="0" fontId="26" fillId="24" borderId="0" applyNumberFormat="0" applyBorder="0" applyAlignment="0" applyProtection="0"/>
    <xf numFmtId="0" fontId="12" fillId="28" borderId="0" applyNumberFormat="0" applyBorder="0" applyAlignment="0" applyProtection="0"/>
    <xf numFmtId="0" fontId="12" fillId="31" borderId="0" applyNumberFormat="0" applyBorder="0" applyAlignment="0" applyProtection="0"/>
    <xf numFmtId="0" fontId="12" fillId="16" borderId="0" applyNumberFormat="0" applyBorder="0" applyAlignment="0" applyProtection="0"/>
    <xf numFmtId="4" fontId="34" fillId="0" borderId="137">
      <alignment horizontal="right" vertical="center"/>
    </xf>
    <xf numFmtId="173" fontId="34" fillId="60" borderId="137" applyNumberFormat="0" applyFont="0" applyBorder="0" applyAlignment="0" applyProtection="0">
      <alignment horizontal="right" vertical="center"/>
    </xf>
    <xf numFmtId="0" fontId="26" fillId="21" borderId="0" applyNumberFormat="0" applyBorder="0" applyAlignment="0" applyProtection="0"/>
    <xf numFmtId="0" fontId="34" fillId="0" borderId="137">
      <alignment horizontal="right" vertical="center"/>
    </xf>
    <xf numFmtId="0" fontId="26" fillId="26" borderId="0" applyNumberFormat="0" applyBorder="0" applyAlignment="0" applyProtection="0"/>
    <xf numFmtId="0" fontId="40" fillId="59" borderId="136" applyNumberFormat="0" applyFont="0" applyAlignment="0" applyProtection="0"/>
    <xf numFmtId="4" fontId="34" fillId="0" borderId="137">
      <alignment horizontal="right" vertical="center"/>
    </xf>
    <xf numFmtId="0" fontId="34" fillId="34" borderId="140">
      <alignment horizontal="left" vertical="center" wrapText="1" indent="2"/>
    </xf>
    <xf numFmtId="0" fontId="26" fillId="14" borderId="0" applyNumberFormat="0" applyBorder="0" applyAlignment="0" applyProtection="0"/>
    <xf numFmtId="0" fontId="29" fillId="13" borderId="13" applyNumberFormat="0" applyAlignment="0" applyProtection="0"/>
    <xf numFmtId="0" fontId="46" fillId="56" borderId="134" applyNumberFormat="0" applyAlignment="0" applyProtection="0"/>
    <xf numFmtId="0" fontId="65" fillId="0" borderId="135" applyNumberFormat="0" applyFill="0" applyAlignment="0" applyProtection="0"/>
    <xf numFmtId="0" fontId="34" fillId="0" borderId="137" applyNumberFormat="0" applyFill="0" applyAlignment="0" applyProtection="0"/>
    <xf numFmtId="49" fontId="33" fillId="0" borderId="137" applyNumberFormat="0" applyFill="0" applyBorder="0" applyProtection="0">
      <alignment horizontal="left" vertical="center"/>
    </xf>
    <xf numFmtId="0" fontId="65" fillId="0" borderId="135" applyNumberFormat="0" applyFill="0" applyAlignment="0" applyProtection="0"/>
    <xf numFmtId="0" fontId="32" fillId="34" borderId="137">
      <alignment horizontal="right" vertical="center"/>
    </xf>
    <xf numFmtId="0" fontId="12" fillId="16" borderId="0" applyNumberFormat="0" applyBorder="0" applyAlignment="0" applyProtection="0"/>
    <xf numFmtId="0" fontId="65" fillId="0" borderId="135" applyNumberFormat="0" applyFill="0" applyAlignment="0" applyProtection="0"/>
    <xf numFmtId="0" fontId="43" fillId="56" borderId="141" applyNumberFormat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34" fillId="0" borderId="137" applyNumberFormat="0" applyFill="0" applyAlignment="0" applyProtection="0"/>
    <xf numFmtId="0" fontId="1" fillId="0" borderId="0" applyNumberFormat="0" applyFill="0" applyBorder="0" applyAlignment="0" applyProtection="0"/>
    <xf numFmtId="0" fontId="45" fillId="56" borderId="134" applyNumberFormat="0" applyAlignment="0" applyProtection="0"/>
    <xf numFmtId="0" fontId="2" fillId="0" borderId="15" applyNumberFormat="0" applyFill="0" applyAlignment="0" applyProtection="0"/>
    <xf numFmtId="0" fontId="34" fillId="0" borderId="140">
      <alignment horizontal="left" vertical="center" wrapText="1" indent="2"/>
    </xf>
    <xf numFmtId="0" fontId="58" fillId="43" borderId="134" applyNumberFormat="0" applyAlignment="0" applyProtection="0"/>
    <xf numFmtId="0" fontId="5" fillId="59" borderId="136" applyNumberFormat="0" applyFont="0" applyAlignment="0" applyProtection="0"/>
    <xf numFmtId="0" fontId="2" fillId="0" borderId="15" applyNumberFormat="0" applyFill="0" applyAlignment="0" applyProtection="0"/>
    <xf numFmtId="4" fontId="32" fillId="34" borderId="138">
      <alignment horizontal="right" vertical="center"/>
    </xf>
    <xf numFmtId="4" fontId="34" fillId="0" borderId="137">
      <alignment horizontal="right" vertical="center"/>
    </xf>
    <xf numFmtId="0" fontId="36" fillId="32" borderId="137">
      <alignment horizontal="right" vertical="center"/>
    </xf>
    <xf numFmtId="0" fontId="62" fillId="56" borderId="141" applyNumberFormat="0" applyAlignment="0" applyProtection="0"/>
    <xf numFmtId="0" fontId="58" fillId="43" borderId="134" applyNumberFormat="0" applyAlignment="0" applyProtection="0"/>
    <xf numFmtId="0" fontId="30" fillId="0" borderId="0" applyNumberFormat="0" applyFill="0" applyBorder="0" applyAlignment="0" applyProtection="0"/>
    <xf numFmtId="0" fontId="26" fillId="27" borderId="0" applyNumberFormat="0" applyBorder="0" applyAlignment="0" applyProtection="0"/>
    <xf numFmtId="4" fontId="32" fillId="34" borderId="139">
      <alignment horizontal="right" vertical="center"/>
    </xf>
    <xf numFmtId="0" fontId="45" fillId="56" borderId="134" applyNumberFormat="0" applyAlignment="0" applyProtection="0"/>
    <xf numFmtId="0" fontId="46" fillId="56" borderId="134" applyNumberFormat="0" applyAlignment="0" applyProtection="0"/>
    <xf numFmtId="0" fontId="34" fillId="0" borderId="140">
      <alignment horizontal="left" vertical="center" wrapText="1" indent="2"/>
    </xf>
    <xf numFmtId="0" fontId="26" fillId="17" borderId="0" applyNumberFormat="0" applyBorder="0" applyAlignment="0" applyProtection="0"/>
    <xf numFmtId="4" fontId="36" fillId="32" borderId="137">
      <alignment horizontal="right" vertical="center"/>
    </xf>
    <xf numFmtId="0" fontId="43" fillId="56" borderId="141" applyNumberFormat="0" applyAlignment="0" applyProtection="0"/>
    <xf numFmtId="173" fontId="34" fillId="60" borderId="137" applyNumberFormat="0" applyFont="0" applyBorder="0" applyAlignment="0" applyProtection="0">
      <alignment horizontal="right" vertical="center"/>
    </xf>
    <xf numFmtId="49" fontId="33" fillId="0" borderId="137" applyNumberFormat="0" applyFill="0" applyBorder="0" applyProtection="0">
      <alignment horizontal="left" vertical="center"/>
    </xf>
    <xf numFmtId="0" fontId="50" fillId="0" borderId="135" applyNumberFormat="0" applyFill="0" applyAlignment="0" applyProtection="0"/>
    <xf numFmtId="4" fontId="32" fillId="34" borderId="139">
      <alignment horizontal="right" vertical="center"/>
    </xf>
    <xf numFmtId="4" fontId="32" fillId="34" borderId="137">
      <alignment horizontal="right" vertical="center"/>
    </xf>
    <xf numFmtId="0" fontId="30" fillId="0" borderId="0" applyNumberFormat="0" applyFill="0" applyBorder="0" applyAlignment="0" applyProtection="0"/>
    <xf numFmtId="0" fontId="34" fillId="33" borderId="137"/>
    <xf numFmtId="0" fontId="26" fillId="27" borderId="0" applyNumberFormat="0" applyBorder="0" applyAlignment="0" applyProtection="0"/>
    <xf numFmtId="0" fontId="40" fillId="59" borderId="136" applyNumberFormat="0" applyFont="0" applyAlignment="0" applyProtection="0"/>
    <xf numFmtId="0" fontId="32" fillId="34" borderId="137">
      <alignment horizontal="right" vertical="center"/>
    </xf>
    <xf numFmtId="0" fontId="32" fillId="34" borderId="137">
      <alignment horizontal="right" vertical="center"/>
    </xf>
    <xf numFmtId="0" fontId="26" fillId="17" borderId="0" applyNumberFormat="0" applyBorder="0" applyAlignment="0" applyProtection="0"/>
    <xf numFmtId="4" fontId="34" fillId="33" borderId="137"/>
    <xf numFmtId="0" fontId="58" fillId="43" borderId="134" applyNumberFormat="0" applyAlignment="0" applyProtection="0"/>
    <xf numFmtId="0" fontId="58" fillId="43" borderId="134" applyNumberFormat="0" applyAlignment="0" applyProtection="0"/>
    <xf numFmtId="0" fontId="46" fillId="56" borderId="134" applyNumberFormat="0" applyAlignment="0" applyProtection="0"/>
    <xf numFmtId="0" fontId="30" fillId="0" borderId="0" applyNumberFormat="0" applyFill="0" applyBorder="0" applyAlignment="0" applyProtection="0"/>
    <xf numFmtId="0" fontId="62" fillId="56" borderId="141" applyNumberFormat="0" applyAlignment="0" applyProtection="0"/>
    <xf numFmtId="0" fontId="26" fillId="27" borderId="0" applyNumberFormat="0" applyBorder="0" applyAlignment="0" applyProtection="0"/>
    <xf numFmtId="0" fontId="34" fillId="0" borderId="140">
      <alignment horizontal="left" vertical="center" wrapText="1" indent="2"/>
    </xf>
    <xf numFmtId="0" fontId="43" fillId="56" borderId="141" applyNumberFormat="0" applyAlignment="0" applyProtection="0"/>
    <xf numFmtId="0" fontId="26" fillId="17" borderId="0" applyNumberFormat="0" applyBorder="0" applyAlignment="0" applyProtection="0"/>
    <xf numFmtId="0" fontId="43" fillId="56" borderId="141" applyNumberFormat="0" applyAlignment="0" applyProtection="0"/>
    <xf numFmtId="0" fontId="5" fillId="59" borderId="136" applyNumberFormat="0" applyFont="0" applyAlignment="0" applyProtection="0"/>
    <xf numFmtId="0" fontId="34" fillId="34" borderId="140">
      <alignment horizontal="left" vertical="center" wrapText="1" indent="2"/>
    </xf>
    <xf numFmtId="4" fontId="34" fillId="33" borderId="137"/>
    <xf numFmtId="0" fontId="65" fillId="0" borderId="135" applyNumberFormat="0" applyFill="0" applyAlignment="0" applyProtection="0"/>
    <xf numFmtId="0" fontId="45" fillId="56" borderId="134" applyNumberFormat="0" applyAlignment="0" applyProtection="0"/>
    <xf numFmtId="0" fontId="30" fillId="0" borderId="0" applyNumberFormat="0" applyFill="0" applyBorder="0" applyAlignment="0" applyProtection="0"/>
    <xf numFmtId="0" fontId="65" fillId="0" borderId="135" applyNumberFormat="0" applyFill="0" applyAlignment="0" applyProtection="0"/>
    <xf numFmtId="0" fontId="26" fillId="27" borderId="0" applyNumberFormat="0" applyBorder="0" applyAlignment="0" applyProtection="0"/>
    <xf numFmtId="0" fontId="34" fillId="0" borderId="137" applyNumberFormat="0" applyFill="0" applyAlignment="0" applyProtection="0"/>
    <xf numFmtId="0" fontId="46" fillId="56" borderId="134" applyNumberFormat="0" applyAlignment="0" applyProtection="0"/>
    <xf numFmtId="0" fontId="26" fillId="17" borderId="0" applyNumberFormat="0" applyBorder="0" applyAlignment="0" applyProtection="0"/>
    <xf numFmtId="0" fontId="45" fillId="56" borderId="134" applyNumberFormat="0" applyAlignment="0" applyProtection="0"/>
    <xf numFmtId="0" fontId="34" fillId="34" borderId="140">
      <alignment horizontal="left" vertical="center" wrapText="1" indent="2"/>
    </xf>
    <xf numFmtId="0" fontId="34" fillId="0" borderId="140">
      <alignment horizontal="left" vertical="center" wrapText="1" indent="2"/>
    </xf>
    <xf numFmtId="0" fontId="65" fillId="0" borderId="135" applyNumberFormat="0" applyFill="0" applyAlignment="0" applyProtection="0"/>
    <xf numFmtId="0" fontId="30" fillId="0" borderId="0" applyNumberFormat="0" applyFill="0" applyBorder="0" applyAlignment="0" applyProtection="0"/>
    <xf numFmtId="4" fontId="32" fillId="34" borderId="139">
      <alignment horizontal="right" vertical="center"/>
    </xf>
    <xf numFmtId="0" fontId="26" fillId="27" borderId="0" applyNumberFormat="0" applyBorder="0" applyAlignment="0" applyProtection="0"/>
    <xf numFmtId="0" fontId="32" fillId="34" borderId="137">
      <alignment horizontal="right" vertical="center"/>
    </xf>
    <xf numFmtId="173" fontId="34" fillId="60" borderId="137" applyNumberFormat="0" applyFont="0" applyBorder="0" applyAlignment="0" applyProtection="0">
      <alignment horizontal="right" vertical="center"/>
    </xf>
    <xf numFmtId="0" fontId="45" fillId="56" borderId="134" applyNumberFormat="0" applyAlignment="0" applyProtection="0"/>
    <xf numFmtId="0" fontId="45" fillId="56" borderId="134" applyNumberFormat="0" applyAlignment="0" applyProtection="0"/>
    <xf numFmtId="4" fontId="36" fillId="32" borderId="137">
      <alignment horizontal="right" vertical="center"/>
    </xf>
    <xf numFmtId="0" fontId="65" fillId="0" borderId="135" applyNumberFormat="0" applyFill="0" applyAlignment="0" applyProtection="0"/>
    <xf numFmtId="0" fontId="50" fillId="0" borderId="135" applyNumberFormat="0" applyFill="0" applyAlignment="0" applyProtection="0"/>
    <xf numFmtId="4" fontId="34" fillId="0" borderId="137">
      <alignment horizontal="right" vertical="center"/>
    </xf>
    <xf numFmtId="0" fontId="30" fillId="0" borderId="0" applyNumberFormat="0" applyFill="0" applyBorder="0" applyAlignment="0" applyProtection="0"/>
    <xf numFmtId="0" fontId="34" fillId="33" borderId="137"/>
    <xf numFmtId="0" fontId="26" fillId="27" borderId="0" applyNumberFormat="0" applyBorder="0" applyAlignment="0" applyProtection="0"/>
    <xf numFmtId="0" fontId="49" fillId="43" borderId="134" applyNumberFormat="0" applyAlignment="0" applyProtection="0"/>
    <xf numFmtId="0" fontId="34" fillId="0" borderId="137">
      <alignment horizontal="right" vertical="center"/>
    </xf>
    <xf numFmtId="0" fontId="32" fillId="34" borderId="138">
      <alignment horizontal="right" vertical="center"/>
    </xf>
    <xf numFmtId="4" fontId="32" fillId="32" borderId="137">
      <alignment horizontal="right" vertical="center"/>
    </xf>
    <xf numFmtId="0" fontId="46" fillId="56" borderId="134" applyNumberFormat="0" applyAlignment="0" applyProtection="0"/>
    <xf numFmtId="0" fontId="34" fillId="33" borderId="137"/>
    <xf numFmtId="0" fontId="50" fillId="0" borderId="135" applyNumberFormat="0" applyFill="0" applyAlignment="0" applyProtection="0"/>
    <xf numFmtId="0" fontId="32" fillId="34" borderId="137">
      <alignment horizontal="right" vertical="center"/>
    </xf>
    <xf numFmtId="0" fontId="46" fillId="56" borderId="134" applyNumberFormat="0" applyAlignment="0" applyProtection="0"/>
    <xf numFmtId="0" fontId="26" fillId="27" borderId="0" applyNumberFormat="0" applyBorder="0" applyAlignment="0" applyProtection="0"/>
    <xf numFmtId="0" fontId="34" fillId="0" borderId="137">
      <alignment horizontal="right" vertical="center"/>
    </xf>
    <xf numFmtId="49" fontId="34" fillId="0" borderId="138" applyNumberFormat="0" applyFont="0" applyFill="0" applyBorder="0" applyProtection="0">
      <alignment horizontal="left" vertical="center" indent="5"/>
    </xf>
    <xf numFmtId="0" fontId="34" fillId="0" borderId="140">
      <alignment horizontal="left" vertical="center" wrapText="1" indent="2"/>
    </xf>
    <xf numFmtId="0" fontId="34" fillId="0" borderId="140">
      <alignment horizontal="left" vertical="center" wrapText="1" indent="2"/>
    </xf>
    <xf numFmtId="0" fontId="40" fillId="59" borderId="136" applyNumberFormat="0" applyFont="0" applyAlignment="0" applyProtection="0"/>
    <xf numFmtId="0" fontId="26" fillId="27" borderId="0" applyNumberFormat="0" applyBorder="0" applyAlignment="0" applyProtection="0"/>
    <xf numFmtId="0" fontId="32" fillId="32" borderId="137">
      <alignment horizontal="right" vertical="center"/>
    </xf>
    <xf numFmtId="0" fontId="50" fillId="0" borderId="135" applyNumberFormat="0" applyFill="0" applyAlignment="0" applyProtection="0"/>
    <xf numFmtId="0" fontId="34" fillId="0" borderId="137" applyNumberFormat="0" applyFill="0" applyAlignment="0" applyProtection="0"/>
    <xf numFmtId="0" fontId="50" fillId="0" borderId="135" applyNumberFormat="0" applyFill="0" applyAlignment="0" applyProtection="0"/>
    <xf numFmtId="4" fontId="34" fillId="0" borderId="137" applyFill="0" applyBorder="0" applyProtection="0">
      <alignment horizontal="right" vertical="center"/>
    </xf>
    <xf numFmtId="49" fontId="34" fillId="0" borderId="138" applyNumberFormat="0" applyFont="0" applyFill="0" applyBorder="0" applyProtection="0">
      <alignment horizontal="left" vertical="center" indent="5"/>
    </xf>
    <xf numFmtId="0" fontId="34" fillId="0" borderId="137" applyNumberFormat="0" applyFill="0" applyAlignment="0" applyProtection="0"/>
    <xf numFmtId="0" fontId="58" fillId="43" borderId="134" applyNumberFormat="0" applyAlignment="0" applyProtection="0"/>
    <xf numFmtId="0" fontId="34" fillId="0" borderId="137" applyNumberFormat="0" applyFill="0" applyAlignment="0" applyProtection="0"/>
    <xf numFmtId="4" fontId="32" fillId="34" borderId="137">
      <alignment horizontal="right" vertical="center"/>
    </xf>
    <xf numFmtId="0" fontId="49" fillId="43" borderId="134" applyNumberFormat="0" applyAlignment="0" applyProtection="0"/>
    <xf numFmtId="0" fontId="46" fillId="56" borderId="134" applyNumberFormat="0" applyAlignment="0" applyProtection="0"/>
    <xf numFmtId="4" fontId="34" fillId="0" borderId="137">
      <alignment horizontal="right" vertical="center"/>
    </xf>
    <xf numFmtId="0" fontId="34" fillId="34" borderId="140">
      <alignment horizontal="left" vertical="center" wrapText="1" indent="2"/>
    </xf>
    <xf numFmtId="0" fontId="34" fillId="0" borderId="140">
      <alignment horizontal="left" vertical="center" wrapText="1" indent="2"/>
    </xf>
    <xf numFmtId="0" fontId="62" fillId="56" borderId="141" applyNumberFormat="0" applyAlignment="0" applyProtection="0"/>
    <xf numFmtId="0" fontId="58" fillId="43" borderId="134" applyNumberFormat="0" applyAlignment="0" applyProtection="0"/>
    <xf numFmtId="0" fontId="45" fillId="56" borderId="134" applyNumberFormat="0" applyAlignment="0" applyProtection="0"/>
    <xf numFmtId="0" fontId="43" fillId="56" borderId="141" applyNumberFormat="0" applyAlignment="0" applyProtection="0"/>
    <xf numFmtId="0" fontId="32" fillId="34" borderId="139">
      <alignment horizontal="right" vertical="center"/>
    </xf>
    <xf numFmtId="0" fontId="36" fillId="32" borderId="137">
      <alignment horizontal="right" vertical="center"/>
    </xf>
    <xf numFmtId="4" fontId="32" fillId="32" borderId="137">
      <alignment horizontal="right" vertical="center"/>
    </xf>
    <xf numFmtId="4" fontId="32" fillId="34" borderId="137">
      <alignment horizontal="right" vertical="center"/>
    </xf>
    <xf numFmtId="49" fontId="34" fillId="0" borderId="138" applyNumberFormat="0" applyFont="0" applyFill="0" applyBorder="0" applyProtection="0">
      <alignment horizontal="left" vertical="center" indent="5"/>
    </xf>
    <xf numFmtId="4" fontId="34" fillId="0" borderId="137" applyFill="0" applyBorder="0" applyProtection="0">
      <alignment horizontal="right" vertical="center"/>
    </xf>
    <xf numFmtId="4" fontId="32" fillId="32" borderId="137">
      <alignment horizontal="right" vertical="center"/>
    </xf>
    <xf numFmtId="0" fontId="58" fillId="43" borderId="134" applyNumberFormat="0" applyAlignment="0" applyProtection="0"/>
    <xf numFmtId="0" fontId="49" fillId="43" borderId="134" applyNumberFormat="0" applyAlignment="0" applyProtection="0"/>
    <xf numFmtId="0" fontId="45" fillId="56" borderId="134" applyNumberFormat="0" applyAlignment="0" applyProtection="0"/>
    <xf numFmtId="0" fontId="34" fillId="34" borderId="140">
      <alignment horizontal="left" vertical="center" wrapText="1" indent="2"/>
    </xf>
    <xf numFmtId="0" fontId="34" fillId="0" borderId="140">
      <alignment horizontal="left" vertical="center" wrapText="1" indent="2"/>
    </xf>
    <xf numFmtId="0" fontId="34" fillId="34" borderId="140">
      <alignment horizontal="left" vertical="center" wrapText="1" indent="2"/>
    </xf>
    <xf numFmtId="0" fontId="34" fillId="33" borderId="154"/>
    <xf numFmtId="0" fontId="2" fillId="0" borderId="15" applyNumberFormat="0" applyFill="0" applyAlignment="0" applyProtection="0"/>
    <xf numFmtId="0" fontId="34" fillId="0" borderId="157">
      <alignment horizontal="left" vertical="center" wrapText="1" indent="2"/>
    </xf>
    <xf numFmtId="4" fontId="32" fillId="34" borderId="155">
      <alignment horizontal="right" vertical="center"/>
    </xf>
    <xf numFmtId="0" fontId="26" fillId="27" borderId="0" applyNumberFormat="0" applyBorder="0" applyAlignment="0" applyProtection="0"/>
    <xf numFmtId="0" fontId="34" fillId="32" borderId="163">
      <alignment horizontal="left" vertical="center"/>
    </xf>
    <xf numFmtId="0" fontId="34" fillId="32" borderId="163">
      <alignment horizontal="left" vertical="center"/>
    </xf>
    <xf numFmtId="0" fontId="34" fillId="0" borderId="154" applyNumberFormat="0" applyFill="0" applyAlignment="0" applyProtection="0"/>
    <xf numFmtId="4" fontId="32" fillId="34" borderId="156">
      <alignment horizontal="right" vertical="center"/>
    </xf>
    <xf numFmtId="0" fontId="32" fillId="34" borderId="154">
      <alignment horizontal="right" vertical="center"/>
    </xf>
    <xf numFmtId="49" fontId="34" fillId="0" borderId="162" applyNumberFormat="0" applyFont="0" applyFill="0" applyBorder="0" applyProtection="0">
      <alignment horizontal="left" vertical="center" indent="2"/>
    </xf>
    <xf numFmtId="0" fontId="26" fillId="26" borderId="0" applyNumberFormat="0" applyBorder="0" applyAlignment="0" applyProtection="0"/>
    <xf numFmtId="0" fontId="12" fillId="19" borderId="0" applyNumberFormat="0" applyBorder="0" applyAlignment="0" applyProtection="0"/>
    <xf numFmtId="0" fontId="50" fillId="0" borderId="160" applyNumberFormat="0" applyFill="0" applyAlignment="0" applyProtection="0"/>
    <xf numFmtId="0" fontId="43" fillId="56" borderId="173" applyNumberFormat="0" applyAlignment="0" applyProtection="0"/>
    <xf numFmtId="0" fontId="26" fillId="14" borderId="0" applyNumberFormat="0" applyBorder="0" applyAlignment="0" applyProtection="0"/>
    <xf numFmtId="0" fontId="43" fillId="56" borderId="150" applyNumberFormat="0" applyAlignment="0" applyProtection="0"/>
    <xf numFmtId="0" fontId="34" fillId="0" borderId="162">
      <alignment horizontal="right" vertical="center"/>
    </xf>
    <xf numFmtId="0" fontId="49" fillId="43" borderId="151" applyNumberFormat="0" applyAlignment="0" applyProtection="0"/>
    <xf numFmtId="0" fontId="32" fillId="34" borderId="162">
      <alignment horizontal="right" vertical="center"/>
    </xf>
    <xf numFmtId="0" fontId="1" fillId="0" borderId="0" applyNumberFormat="0" applyFill="0" applyBorder="0" applyAlignment="0" applyProtection="0"/>
    <xf numFmtId="4" fontId="34" fillId="33" borderId="154"/>
    <xf numFmtId="0" fontId="32" fillId="34" borderId="154">
      <alignment horizontal="right" vertical="center"/>
    </xf>
    <xf numFmtId="0" fontId="28" fillId="13" borderId="14" applyNumberFormat="0" applyAlignment="0" applyProtection="0"/>
    <xf numFmtId="49" fontId="34" fillId="0" borderId="154" applyNumberFormat="0" applyFont="0" applyFill="0" applyBorder="0" applyProtection="0">
      <alignment horizontal="left" vertical="center" indent="2"/>
    </xf>
    <xf numFmtId="0" fontId="32" fillId="32" borderId="154">
      <alignment horizontal="right" vertical="center"/>
    </xf>
    <xf numFmtId="0" fontId="5" fillId="59" borderId="153" applyNumberFormat="0" applyFont="0" applyAlignment="0" applyProtection="0"/>
    <xf numFmtId="0" fontId="34" fillId="32" borderId="163">
      <alignment horizontal="left" vertical="center"/>
    </xf>
    <xf numFmtId="0" fontId="26" fillId="23" borderId="0" applyNumberFormat="0" applyBorder="0" applyAlignment="0" applyProtection="0"/>
    <xf numFmtId="4" fontId="36" fillId="32" borderId="154">
      <alignment horizontal="right" vertical="center"/>
    </xf>
    <xf numFmtId="0" fontId="12" fillId="28" borderId="0" applyNumberFormat="0" applyBorder="0" applyAlignment="0" applyProtection="0"/>
    <xf numFmtId="0" fontId="26" fillId="24" borderId="0" applyNumberFormat="0" applyBorder="0" applyAlignment="0" applyProtection="0"/>
    <xf numFmtId="0" fontId="34" fillId="0" borderId="169" applyNumberFormat="0" applyFill="0" applyAlignment="0" applyProtection="0"/>
    <xf numFmtId="0" fontId="30" fillId="0" borderId="0" applyNumberFormat="0" applyFill="0" applyBorder="0" applyAlignment="0" applyProtection="0"/>
    <xf numFmtId="0" fontId="29" fillId="13" borderId="13" applyNumberFormat="0" applyAlignment="0" applyProtection="0"/>
    <xf numFmtId="0" fontId="58" fillId="43" borderId="159" applyNumberFormat="0" applyAlignment="0" applyProtection="0"/>
    <xf numFmtId="0" fontId="12" fillId="16" borderId="0" applyNumberFormat="0" applyBorder="0" applyAlignment="0" applyProtection="0"/>
    <xf numFmtId="0" fontId="32" fillId="34" borderId="162">
      <alignment horizontal="right" vertical="center"/>
    </xf>
    <xf numFmtId="0" fontId="5" fillId="59" borderId="153" applyNumberFormat="0" applyFont="0" applyAlignment="0" applyProtection="0"/>
    <xf numFmtId="0" fontId="46" fillId="56" borderId="151" applyNumberFormat="0" applyAlignment="0" applyProtection="0"/>
    <xf numFmtId="0" fontId="62" fillId="56" borderId="150" applyNumberFormat="0" applyAlignment="0" applyProtection="0"/>
    <xf numFmtId="0" fontId="12" fillId="22" borderId="0" applyNumberFormat="0" applyBorder="0" applyAlignment="0" applyProtection="0"/>
    <xf numFmtId="0" fontId="40" fillId="59" borderId="153" applyNumberFormat="0" applyFont="0" applyAlignment="0" applyProtection="0"/>
    <xf numFmtId="0" fontId="65" fillId="0" borderId="160" applyNumberFormat="0" applyFill="0" applyAlignment="0" applyProtection="0"/>
    <xf numFmtId="0" fontId="12" fillId="19" borderId="0" applyNumberFormat="0" applyBorder="0" applyAlignment="0" applyProtection="0"/>
    <xf numFmtId="0" fontId="34" fillId="0" borderId="162" applyNumberFormat="0" applyFill="0" applyAlignment="0" applyProtection="0"/>
    <xf numFmtId="0" fontId="43" fillId="56" borderId="158" applyNumberFormat="0" applyAlignment="0" applyProtection="0"/>
    <xf numFmtId="4" fontId="34" fillId="33" borderId="154"/>
    <xf numFmtId="0" fontId="65" fillId="0" borderId="152" applyNumberFormat="0" applyFill="0" applyAlignment="0" applyProtection="0"/>
    <xf numFmtId="0" fontId="28" fillId="13" borderId="14" applyNumberFormat="0" applyAlignment="0" applyProtection="0"/>
    <xf numFmtId="0" fontId="29" fillId="13" borderId="13" applyNumberFormat="0" applyAlignment="0" applyProtection="0"/>
    <xf numFmtId="0" fontId="26" fillId="18" borderId="0" applyNumberFormat="0" applyBorder="0" applyAlignment="0" applyProtection="0"/>
    <xf numFmtId="0" fontId="58" fillId="43" borderId="151" applyNumberFormat="0" applyAlignment="0" applyProtection="0"/>
    <xf numFmtId="0" fontId="1" fillId="0" borderId="0" applyNumberFormat="0" applyFill="0" applyBorder="0" applyAlignment="0" applyProtection="0"/>
    <xf numFmtId="4" fontId="32" fillId="34" borderId="154">
      <alignment horizontal="right" vertical="center"/>
    </xf>
    <xf numFmtId="0" fontId="30" fillId="0" borderId="0" applyNumberFormat="0" applyFill="0" applyBorder="0" applyAlignment="0" applyProtection="0"/>
    <xf numFmtId="0" fontId="2" fillId="0" borderId="15" applyNumberFormat="0" applyFill="0" applyAlignment="0" applyProtection="0"/>
    <xf numFmtId="0" fontId="26" fillId="17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12" fillId="16" borderId="0" applyNumberFormat="0" applyBorder="0" applyAlignment="0" applyProtection="0"/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12" fillId="19" borderId="0" applyNumberFormat="0" applyBorder="0" applyAlignment="0" applyProtection="0"/>
    <xf numFmtId="0" fontId="26" fillId="20" borderId="0" applyNumberFormat="0" applyBorder="0" applyAlignment="0" applyProtection="0"/>
    <xf numFmtId="0" fontId="26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8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12" fillId="28" borderId="0" applyNumberFormat="0" applyBorder="0" applyAlignment="0" applyProtection="0"/>
    <xf numFmtId="0" fontId="5" fillId="59" borderId="161" applyNumberFormat="0" applyFont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12" fillId="31" borderId="0" applyNumberFormat="0" applyBorder="0" applyAlignment="0" applyProtection="0"/>
    <xf numFmtId="0" fontId="34" fillId="0" borderId="137" applyNumberFormat="0" applyFill="0" applyAlignment="0" applyProtection="0"/>
    <xf numFmtId="0" fontId="32" fillId="34" borderId="137">
      <alignment horizontal="right" vertical="center"/>
    </xf>
    <xf numFmtId="0" fontId="32" fillId="34" borderId="137">
      <alignment horizontal="right" vertical="center"/>
    </xf>
    <xf numFmtId="0" fontId="50" fillId="0" borderId="160" applyNumberFormat="0" applyFill="0" applyAlignment="0" applyProtection="0"/>
    <xf numFmtId="0" fontId="32" fillId="34" borderId="156">
      <alignment horizontal="right" vertical="center"/>
    </xf>
    <xf numFmtId="0" fontId="34" fillId="0" borderId="137">
      <alignment horizontal="right" vertical="center"/>
    </xf>
    <xf numFmtId="0" fontId="36" fillId="32" borderId="137">
      <alignment horizontal="right" vertical="center"/>
    </xf>
    <xf numFmtId="0" fontId="34" fillId="33" borderId="137"/>
    <xf numFmtId="0" fontId="32" fillId="32" borderId="137">
      <alignment horizontal="right" vertical="center"/>
    </xf>
    <xf numFmtId="0" fontId="36" fillId="32" borderId="154">
      <alignment horizontal="right" vertical="center"/>
    </xf>
    <xf numFmtId="0" fontId="34" fillId="0" borderId="154">
      <alignment horizontal="right" vertical="center"/>
    </xf>
    <xf numFmtId="0" fontId="46" fillId="56" borderId="151" applyNumberFormat="0" applyAlignment="0" applyProtection="0"/>
    <xf numFmtId="49" fontId="33" fillId="0" borderId="169" applyNumberFormat="0" applyFill="0" applyBorder="0" applyProtection="0">
      <alignment horizontal="left" vertical="center"/>
    </xf>
    <xf numFmtId="0" fontId="26" fillId="17" borderId="0" applyNumberFormat="0" applyBorder="0" applyAlignment="0" applyProtection="0"/>
    <xf numFmtId="4" fontId="32" fillId="34" borderId="162">
      <alignment horizontal="right" vertical="center"/>
    </xf>
    <xf numFmtId="4" fontId="34" fillId="33" borderId="154"/>
    <xf numFmtId="0" fontId="65" fillId="0" borderId="152" applyNumberFormat="0" applyFill="0" applyAlignment="0" applyProtection="0"/>
    <xf numFmtId="0" fontId="45" fillId="56" borderId="151" applyNumberFormat="0" applyAlignment="0" applyProtection="0"/>
    <xf numFmtId="0" fontId="34" fillId="33" borderId="154"/>
    <xf numFmtId="0" fontId="26" fillId="27" borderId="0" applyNumberFormat="0" applyBorder="0" applyAlignment="0" applyProtection="0"/>
    <xf numFmtId="0" fontId="45" fillId="56" borderId="166" applyNumberFormat="0" applyAlignment="0" applyProtection="0"/>
    <xf numFmtId="0" fontId="46" fillId="56" borderId="159" applyNumberFormat="0" applyAlignment="0" applyProtection="0"/>
    <xf numFmtId="0" fontId="26" fillId="29" borderId="0" applyNumberFormat="0" applyBorder="0" applyAlignment="0" applyProtection="0"/>
    <xf numFmtId="4" fontId="32" fillId="32" borderId="169">
      <alignment horizontal="right" vertical="center"/>
    </xf>
    <xf numFmtId="0" fontId="26" fillId="24" borderId="0" applyNumberFormat="0" applyBorder="0" applyAlignment="0" applyProtection="0"/>
    <xf numFmtId="0" fontId="29" fillId="13" borderId="13" applyNumberFormat="0" applyAlignment="0" applyProtection="0"/>
    <xf numFmtId="0" fontId="46" fillId="56" borderId="166" applyNumberFormat="0" applyAlignment="0" applyProtection="0"/>
    <xf numFmtId="4" fontId="32" fillId="32" borderId="162">
      <alignment horizontal="right" vertical="center"/>
    </xf>
    <xf numFmtId="0" fontId="62" fillId="56" borderId="150" applyNumberFormat="0" applyAlignment="0" applyProtection="0"/>
    <xf numFmtId="49" fontId="33" fillId="0" borderId="162" applyNumberFormat="0" applyFill="0" applyBorder="0" applyProtection="0">
      <alignment horizontal="left" vertical="center"/>
    </xf>
    <xf numFmtId="0" fontId="43" fillId="56" borderId="173" applyNumberFormat="0" applyAlignment="0" applyProtection="0"/>
    <xf numFmtId="0" fontId="58" fillId="43" borderId="159" applyNumberFormat="0" applyAlignment="0" applyProtection="0"/>
    <xf numFmtId="0" fontId="26" fillId="30" borderId="0" applyNumberFormat="0" applyBorder="0" applyAlignment="0" applyProtection="0"/>
    <xf numFmtId="0" fontId="29" fillId="13" borderId="13" applyNumberFormat="0" applyAlignment="0" applyProtection="0"/>
    <xf numFmtId="0" fontId="32" fillId="32" borderId="162">
      <alignment horizontal="right" vertical="center"/>
    </xf>
    <xf numFmtId="4" fontId="32" fillId="34" borderId="154">
      <alignment horizontal="right" vertical="center"/>
    </xf>
    <xf numFmtId="0" fontId="34" fillId="33" borderId="154"/>
    <xf numFmtId="49" fontId="33" fillId="0" borderId="162" applyNumberFormat="0" applyFill="0" applyBorder="0" applyProtection="0">
      <alignment horizontal="left" vertical="center"/>
    </xf>
    <xf numFmtId="0" fontId="34" fillId="0" borderId="165">
      <alignment horizontal="left" vertical="center" wrapText="1" indent="2"/>
    </xf>
    <xf numFmtId="0" fontId="32" fillId="34" borderId="162">
      <alignment horizontal="right" vertical="center"/>
    </xf>
    <xf numFmtId="0" fontId="26" fillId="20" borderId="0" applyNumberFormat="0" applyBorder="0" applyAlignment="0" applyProtection="0"/>
    <xf numFmtId="4" fontId="32" fillId="32" borderId="162">
      <alignment horizontal="right" vertical="center"/>
    </xf>
    <xf numFmtId="0" fontId="58" fillId="43" borderId="151" applyNumberFormat="0" applyAlignment="0" applyProtection="0"/>
    <xf numFmtId="0" fontId="30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40" fillId="59" borderId="161" applyNumberFormat="0" applyFont="0" applyAlignment="0" applyProtection="0"/>
    <xf numFmtId="0" fontId="12" fillId="25" borderId="0" applyNumberFormat="0" applyBorder="0" applyAlignment="0" applyProtection="0"/>
    <xf numFmtId="0" fontId="34" fillId="34" borderId="157">
      <alignment horizontal="left" vertical="center" wrapText="1" indent="2"/>
    </xf>
    <xf numFmtId="0" fontId="32" fillId="34" borderId="156">
      <alignment horizontal="right" vertical="center"/>
    </xf>
    <xf numFmtId="0" fontId="32" fillId="34" borderId="171">
      <alignment horizontal="right" vertical="center"/>
    </xf>
    <xf numFmtId="0" fontId="46" fillId="56" borderId="151" applyNumberFormat="0" applyAlignment="0" applyProtection="0"/>
    <xf numFmtId="4" fontId="32" fillId="34" borderId="154">
      <alignment horizontal="right" vertical="center"/>
    </xf>
    <xf numFmtId="0" fontId="32" fillId="34" borderId="154">
      <alignment horizontal="right" vertical="center"/>
    </xf>
    <xf numFmtId="0" fontId="65" fillId="0" borderId="152" applyNumberFormat="0" applyFill="0" applyAlignment="0" applyProtection="0"/>
    <xf numFmtId="0" fontId="32" fillId="34" borderId="155">
      <alignment horizontal="right" vertical="center"/>
    </xf>
    <xf numFmtId="0" fontId="46" fillId="56" borderId="143" applyNumberFormat="0" applyAlignment="0" applyProtection="0"/>
    <xf numFmtId="0" fontId="50" fillId="0" borderId="152" applyNumberFormat="0" applyFill="0" applyAlignment="0" applyProtection="0"/>
    <xf numFmtId="43" fontId="37" fillId="0" borderId="0" applyFont="0" applyFill="0" applyBorder="0" applyAlignment="0" applyProtection="0"/>
    <xf numFmtId="4" fontId="32" fillId="34" borderId="154">
      <alignment horizontal="right" vertical="center"/>
    </xf>
    <xf numFmtId="43" fontId="37" fillId="0" borderId="0" applyFont="0" applyFill="0" applyBorder="0" applyAlignment="0" applyProtection="0"/>
    <xf numFmtId="0" fontId="34" fillId="34" borderId="157">
      <alignment horizontal="left" vertical="center" wrapText="1" indent="2"/>
    </xf>
    <xf numFmtId="4" fontId="34" fillId="33" borderId="169"/>
    <xf numFmtId="4" fontId="32" fillId="34" borderId="169">
      <alignment horizontal="right" vertical="center"/>
    </xf>
    <xf numFmtId="0" fontId="65" fillId="0" borderId="160" applyNumberFormat="0" applyFill="0" applyAlignment="0" applyProtection="0"/>
    <xf numFmtId="0" fontId="65" fillId="0" borderId="167" applyNumberFormat="0" applyFill="0" applyAlignment="0" applyProtection="0"/>
    <xf numFmtId="0" fontId="65" fillId="0" borderId="152" applyNumberFormat="0" applyFill="0" applyAlignment="0" applyProtection="0"/>
    <xf numFmtId="0" fontId="62" fillId="56" borderId="150" applyNumberFormat="0" applyAlignment="0" applyProtection="0"/>
    <xf numFmtId="0" fontId="46" fillId="56" borderId="151" applyNumberFormat="0" applyAlignment="0" applyProtection="0"/>
    <xf numFmtId="0" fontId="65" fillId="0" borderId="152" applyNumberFormat="0" applyFill="0" applyAlignment="0" applyProtection="0"/>
    <xf numFmtId="0" fontId="58" fillId="43" borderId="143" applyNumberFormat="0" applyAlignment="0" applyProtection="0"/>
    <xf numFmtId="4" fontId="34" fillId="0" borderId="154">
      <alignment horizontal="right" vertical="center"/>
    </xf>
    <xf numFmtId="4" fontId="32" fillId="32" borderId="154">
      <alignment horizontal="right" vertical="center"/>
    </xf>
    <xf numFmtId="4" fontId="36" fillId="32" borderId="154">
      <alignment horizontal="right" vertical="center"/>
    </xf>
    <xf numFmtId="49" fontId="33" fillId="0" borderId="154" applyNumberFormat="0" applyFill="0" applyBorder="0" applyProtection="0">
      <alignment horizontal="left" vertical="center"/>
    </xf>
    <xf numFmtId="0" fontId="29" fillId="13" borderId="13" applyNumberFormat="0" applyAlignment="0" applyProtection="0"/>
    <xf numFmtId="0" fontId="40" fillId="59" borderId="153" applyNumberFormat="0" applyFont="0" applyAlignment="0" applyProtection="0"/>
    <xf numFmtId="0" fontId="34" fillId="0" borderId="154">
      <alignment horizontal="right" vertical="center"/>
    </xf>
    <xf numFmtId="49" fontId="33" fillId="0" borderId="169" applyNumberFormat="0" applyFill="0" applyBorder="0" applyProtection="0">
      <alignment horizontal="left" vertical="center"/>
    </xf>
    <xf numFmtId="0" fontId="45" fillId="56" borderId="159" applyNumberFormat="0" applyAlignment="0" applyProtection="0"/>
    <xf numFmtId="4" fontId="32" fillId="34" borderId="162">
      <alignment horizontal="right" vertical="center"/>
    </xf>
    <xf numFmtId="0" fontId="26" fillId="14" borderId="0" applyNumberFormat="0" applyBorder="0" applyAlignment="0" applyProtection="0"/>
    <xf numFmtId="0" fontId="26" fillId="27" borderId="0" applyNumberFormat="0" applyBorder="0" applyAlignment="0" applyProtection="0"/>
    <xf numFmtId="0" fontId="5" fillId="59" borderId="161" applyNumberFormat="0" applyFont="0" applyAlignment="0" applyProtection="0"/>
    <xf numFmtId="0" fontId="34" fillId="0" borderId="162">
      <alignment horizontal="right" vertical="center"/>
    </xf>
    <xf numFmtId="0" fontId="26" fillId="27" borderId="0" applyNumberFormat="0" applyBorder="0" applyAlignment="0" applyProtection="0"/>
    <xf numFmtId="0" fontId="26" fillId="20" borderId="0" applyNumberFormat="0" applyBorder="0" applyAlignment="0" applyProtection="0"/>
    <xf numFmtId="0" fontId="26" fillId="21" borderId="0" applyNumberFormat="0" applyBorder="0" applyAlignment="0" applyProtection="0"/>
    <xf numFmtId="0" fontId="12" fillId="22" borderId="0" applyNumberFormat="0" applyBorder="0" applyAlignment="0" applyProtection="0"/>
    <xf numFmtId="4" fontId="34" fillId="0" borderId="137" applyFill="0" applyBorder="0" applyProtection="0">
      <alignment horizontal="right" vertical="center"/>
    </xf>
    <xf numFmtId="0" fontId="58" fillId="43" borderId="151" applyNumberFormat="0" applyAlignment="0" applyProtection="0"/>
    <xf numFmtId="0" fontId="36" fillId="32" borderId="154">
      <alignment horizontal="right" vertical="center"/>
    </xf>
    <xf numFmtId="0" fontId="40" fillId="59" borderId="161" applyNumberFormat="0" applyFont="0" applyAlignment="0" applyProtection="0"/>
    <xf numFmtId="0" fontId="12" fillId="16" borderId="0" applyNumberFormat="0" applyBorder="0" applyAlignment="0" applyProtection="0"/>
    <xf numFmtId="4" fontId="32" fillId="34" borderId="154">
      <alignment horizontal="right" vertical="center"/>
    </xf>
    <xf numFmtId="0" fontId="36" fillId="32" borderId="154">
      <alignment horizontal="right" vertical="center"/>
    </xf>
    <xf numFmtId="0" fontId="12" fillId="22" borderId="0" applyNumberFormat="0" applyBorder="0" applyAlignment="0" applyProtection="0"/>
    <xf numFmtId="0" fontId="40" fillId="59" borderId="145" applyNumberFormat="0" applyFont="0" applyAlignment="0" applyProtection="0"/>
    <xf numFmtId="0" fontId="5" fillId="59" borderId="145" applyNumberFormat="0" applyFont="0" applyAlignment="0" applyProtection="0"/>
    <xf numFmtId="0" fontId="62" fillId="56" borderId="142" applyNumberFormat="0" applyAlignment="0" applyProtection="0"/>
    <xf numFmtId="0" fontId="26" fillId="29" borderId="0" applyNumberFormat="0" applyBorder="0" applyAlignment="0" applyProtection="0"/>
    <xf numFmtId="0" fontId="32" fillId="34" borderId="170">
      <alignment horizontal="right" vertical="center"/>
    </xf>
    <xf numFmtId="4" fontId="34" fillId="33" borderId="169"/>
    <xf numFmtId="0" fontId="34" fillId="33" borderId="154"/>
    <xf numFmtId="0" fontId="65" fillId="0" borderId="152" applyNumberFormat="0" applyFill="0" applyAlignment="0" applyProtection="0"/>
    <xf numFmtId="0" fontId="26" fillId="15" borderId="0" applyNumberFormat="0" applyBorder="0" applyAlignment="0" applyProtection="0"/>
    <xf numFmtId="0" fontId="65" fillId="0" borderId="144" applyNumberFormat="0" applyFill="0" applyAlignment="0" applyProtection="0"/>
    <xf numFmtId="0" fontId="34" fillId="32" borderId="155">
      <alignment horizontal="left" vertical="center"/>
    </xf>
    <xf numFmtId="0" fontId="45" fillId="56" borderId="151" applyNumberFormat="0" applyAlignment="0" applyProtection="0"/>
    <xf numFmtId="4" fontId="32" fillId="34" borderId="154">
      <alignment horizontal="right" vertical="center"/>
    </xf>
    <xf numFmtId="4" fontId="32" fillId="34" borderId="171">
      <alignment horizontal="right" vertical="center"/>
    </xf>
    <xf numFmtId="0" fontId="26" fillId="29" borderId="0" applyNumberFormat="0" applyBorder="0" applyAlignment="0" applyProtection="0"/>
    <xf numFmtId="0" fontId="26" fillId="15" borderId="0" applyNumberFormat="0" applyBorder="0" applyAlignment="0" applyProtection="0"/>
    <xf numFmtId="0" fontId="34" fillId="0" borderId="165">
      <alignment horizontal="left" vertical="center" wrapText="1" indent="2"/>
    </xf>
    <xf numFmtId="0" fontId="49" fillId="43" borderId="151" applyNumberFormat="0" applyAlignment="0" applyProtection="0"/>
    <xf numFmtId="0" fontId="36" fillId="32" borderId="154">
      <alignment horizontal="right" vertical="center"/>
    </xf>
    <xf numFmtId="0" fontId="46" fillId="56" borderId="159" applyNumberFormat="0" applyAlignment="0" applyProtection="0"/>
    <xf numFmtId="4" fontId="32" fillId="34" borderId="162">
      <alignment horizontal="right" vertical="center"/>
    </xf>
    <xf numFmtId="0" fontId="46" fillId="56" borderId="151" applyNumberFormat="0" applyAlignment="0" applyProtection="0"/>
    <xf numFmtId="4" fontId="32" fillId="34" borderId="156">
      <alignment horizontal="right" vertical="center"/>
    </xf>
    <xf numFmtId="0" fontId="32" fillId="34" borderId="154">
      <alignment horizontal="right" vertical="center"/>
    </xf>
    <xf numFmtId="0" fontId="26" fillId="18" borderId="0" applyNumberFormat="0" applyBorder="0" applyAlignment="0" applyProtection="0"/>
    <xf numFmtId="49" fontId="33" fillId="0" borderId="162" applyNumberFormat="0" applyFill="0" applyBorder="0" applyProtection="0">
      <alignment horizontal="left" vertical="center"/>
    </xf>
    <xf numFmtId="0" fontId="46" fillId="56" borderId="151" applyNumberFormat="0" applyAlignment="0" applyProtection="0"/>
    <xf numFmtId="4" fontId="34" fillId="0" borderId="154">
      <alignment horizontal="right" vertical="center"/>
    </xf>
    <xf numFmtId="0" fontId="5" fillId="59" borderId="153" applyNumberFormat="0" applyFont="0" applyAlignment="0" applyProtection="0"/>
    <xf numFmtId="0" fontId="43" fillId="56" borderId="173" applyNumberFormat="0" applyAlignment="0" applyProtection="0"/>
    <xf numFmtId="0" fontId="26" fillId="15" borderId="0" applyNumberFormat="0" applyBorder="0" applyAlignment="0" applyProtection="0"/>
    <xf numFmtId="0" fontId="26" fillId="30" borderId="0" applyNumberFormat="0" applyBorder="0" applyAlignment="0" applyProtection="0"/>
    <xf numFmtId="4" fontId="32" fillId="34" borderId="155">
      <alignment horizontal="right" vertical="center"/>
    </xf>
    <xf numFmtId="4" fontId="32" fillId="34" borderId="154">
      <alignment horizontal="right" vertical="center"/>
    </xf>
    <xf numFmtId="0" fontId="62" fillId="56" borderId="158" applyNumberFormat="0" applyAlignment="0" applyProtection="0"/>
    <xf numFmtId="4" fontId="32" fillId="34" borderId="171">
      <alignment horizontal="right" vertical="center"/>
    </xf>
    <xf numFmtId="0" fontId="30" fillId="0" borderId="0" applyNumberFormat="0" applyFill="0" applyBorder="0" applyAlignment="0" applyProtection="0"/>
    <xf numFmtId="0" fontId="34" fillId="33" borderId="162"/>
    <xf numFmtId="0" fontId="32" fillId="34" borderId="155">
      <alignment horizontal="right" vertical="center"/>
    </xf>
    <xf numFmtId="4" fontId="34" fillId="0" borderId="169">
      <alignment horizontal="right" vertical="center"/>
    </xf>
    <xf numFmtId="0" fontId="2" fillId="0" borderId="15" applyNumberFormat="0" applyFill="0" applyAlignment="0" applyProtection="0"/>
    <xf numFmtId="0" fontId="32" fillId="34" borderId="163">
      <alignment horizontal="right" vertical="center"/>
    </xf>
    <xf numFmtId="0" fontId="26" fillId="15" borderId="0" applyNumberFormat="0" applyBorder="0" applyAlignment="0" applyProtection="0"/>
    <xf numFmtId="0" fontId="32" fillId="34" borderId="162">
      <alignment horizontal="right" vertical="center"/>
    </xf>
    <xf numFmtId="0" fontId="26" fillId="24" borderId="0" applyNumberFormat="0" applyBorder="0" applyAlignment="0" applyProtection="0"/>
    <xf numFmtId="0" fontId="46" fillId="56" borderId="159" applyNumberFormat="0" applyAlignment="0" applyProtection="0"/>
    <xf numFmtId="4" fontId="34" fillId="0" borderId="169">
      <alignment horizontal="right" vertical="center"/>
    </xf>
    <xf numFmtId="4" fontId="36" fillId="32" borderId="154">
      <alignment horizontal="right" vertical="center"/>
    </xf>
    <xf numFmtId="0" fontId="26" fillId="29" borderId="0" applyNumberFormat="0" applyBorder="0" applyAlignment="0" applyProtection="0"/>
    <xf numFmtId="0" fontId="58" fillId="43" borderId="151" applyNumberFormat="0" applyAlignment="0" applyProtection="0"/>
    <xf numFmtId="0" fontId="32" fillId="34" borderId="154">
      <alignment horizontal="right" vertical="center"/>
    </xf>
    <xf numFmtId="0" fontId="46" fillId="56" borderId="143" applyNumberFormat="0" applyAlignment="0" applyProtection="0"/>
    <xf numFmtId="4" fontId="32" fillId="34" borderId="155">
      <alignment horizontal="right" vertical="center"/>
    </xf>
    <xf numFmtId="0" fontId="12" fillId="19" borderId="0" applyNumberFormat="0" applyBorder="0" applyAlignment="0" applyProtection="0"/>
    <xf numFmtId="0" fontId="43" fillId="56" borderId="150" applyNumberFormat="0" applyAlignment="0" applyProtection="0"/>
    <xf numFmtId="0" fontId="32" fillId="34" borderId="154">
      <alignment horizontal="right" vertical="center"/>
    </xf>
    <xf numFmtId="0" fontId="34" fillId="0" borderId="154">
      <alignment horizontal="right" vertical="center"/>
    </xf>
    <xf numFmtId="0" fontId="32" fillId="34" borderId="154">
      <alignment horizontal="right" vertical="center"/>
    </xf>
    <xf numFmtId="0" fontId="58" fillId="43" borderId="151" applyNumberFormat="0" applyAlignment="0" applyProtection="0"/>
    <xf numFmtId="0" fontId="58" fillId="43" borderId="143" applyNumberFormat="0" applyAlignment="0" applyProtection="0"/>
    <xf numFmtId="0" fontId="26" fillId="21" borderId="0" applyNumberFormat="0" applyBorder="0" applyAlignment="0" applyProtection="0"/>
    <xf numFmtId="0" fontId="29" fillId="13" borderId="13" applyNumberFormat="0" applyAlignment="0" applyProtection="0"/>
    <xf numFmtId="0" fontId="40" fillId="59" borderId="145" applyNumberFormat="0" applyFont="0" applyAlignment="0" applyProtection="0"/>
    <xf numFmtId="0" fontId="62" fillId="56" borderId="142" applyNumberFormat="0" applyAlignment="0" applyProtection="0"/>
    <xf numFmtId="0" fontId="50" fillId="0" borderId="152" applyNumberFormat="0" applyFill="0" applyAlignment="0" applyProtection="0"/>
    <xf numFmtId="0" fontId="65" fillId="0" borderId="144" applyNumberFormat="0" applyFill="0" applyAlignment="0" applyProtection="0"/>
    <xf numFmtId="0" fontId="62" fillId="56" borderId="158" applyNumberFormat="0" applyAlignment="0" applyProtection="0"/>
    <xf numFmtId="4" fontId="32" fillId="34" borderId="156">
      <alignment horizontal="right" vertical="center"/>
    </xf>
    <xf numFmtId="0" fontId="26" fillId="15" borderId="0" applyNumberFormat="0" applyBorder="0" applyAlignment="0" applyProtection="0"/>
    <xf numFmtId="0" fontId="58" fillId="43" borderId="151" applyNumberFormat="0" applyAlignment="0" applyProtection="0"/>
    <xf numFmtId="0" fontId="46" fillId="56" borderId="151" applyNumberFormat="0" applyAlignment="0" applyProtection="0"/>
    <xf numFmtId="49" fontId="34" fillId="0" borderId="154" applyNumberFormat="0" applyFont="0" applyFill="0" applyBorder="0" applyProtection="0">
      <alignment horizontal="left" vertical="center" indent="2"/>
    </xf>
    <xf numFmtId="49" fontId="34" fillId="0" borderId="155" applyNumberFormat="0" applyFont="0" applyFill="0" applyBorder="0" applyProtection="0">
      <alignment horizontal="left" vertical="center" indent="5"/>
    </xf>
    <xf numFmtId="0" fontId="65" fillId="0" borderId="152" applyNumberFormat="0" applyFill="0" applyAlignment="0" applyProtection="0"/>
    <xf numFmtId="0" fontId="34" fillId="34" borderId="157">
      <alignment horizontal="left" vertical="center" wrapText="1" indent="2"/>
    </xf>
    <xf numFmtId="0" fontId="32" fillId="34" borderId="154">
      <alignment horizontal="right" vertical="center"/>
    </xf>
    <xf numFmtId="0" fontId="32" fillId="34" borderId="156">
      <alignment horizontal="right" vertical="center"/>
    </xf>
    <xf numFmtId="0" fontId="34" fillId="0" borderId="157">
      <alignment horizontal="left" vertical="center" wrapText="1" indent="2"/>
    </xf>
    <xf numFmtId="0" fontId="32" fillId="34" borderId="156">
      <alignment horizontal="right" vertical="center"/>
    </xf>
    <xf numFmtId="0" fontId="45" fillId="56" borderId="151" applyNumberFormat="0" applyAlignment="0" applyProtection="0"/>
    <xf numFmtId="0" fontId="65" fillId="0" borderId="152" applyNumberFormat="0" applyFill="0" applyAlignment="0" applyProtection="0"/>
    <xf numFmtId="0" fontId="43" fillId="56" borderId="150" applyNumberFormat="0" applyAlignment="0" applyProtection="0"/>
    <xf numFmtId="0" fontId="32" fillId="34" borderId="155">
      <alignment horizontal="right" vertical="center"/>
    </xf>
    <xf numFmtId="173" fontId="34" fillId="60" borderId="154" applyNumberFormat="0" applyFont="0" applyBorder="0" applyAlignment="0" applyProtection="0">
      <alignment horizontal="right" vertical="center"/>
    </xf>
    <xf numFmtId="49" fontId="33" fillId="0" borderId="154" applyNumberFormat="0" applyFill="0" applyBorder="0" applyProtection="0">
      <alignment horizontal="left" vertical="center"/>
    </xf>
    <xf numFmtId="0" fontId="32" fillId="32" borderId="146">
      <alignment horizontal="right" vertical="center"/>
    </xf>
    <xf numFmtId="4" fontId="32" fillId="32" borderId="146">
      <alignment horizontal="right" vertical="center"/>
    </xf>
    <xf numFmtId="0" fontId="36" fillId="32" borderId="146">
      <alignment horizontal="right" vertical="center"/>
    </xf>
    <xf numFmtId="4" fontId="36" fillId="32" borderId="146">
      <alignment horizontal="right" vertical="center"/>
    </xf>
    <xf numFmtId="0" fontId="32" fillId="34" borderId="146">
      <alignment horizontal="right" vertical="center"/>
    </xf>
    <xf numFmtId="4" fontId="32" fillId="34" borderId="146">
      <alignment horizontal="right" vertical="center"/>
    </xf>
    <xf numFmtId="0" fontId="32" fillId="34" borderId="146">
      <alignment horizontal="right" vertical="center"/>
    </xf>
    <xf numFmtId="4" fontId="32" fillId="34" borderId="146">
      <alignment horizontal="right" vertical="center"/>
    </xf>
    <xf numFmtId="0" fontId="32" fillId="34" borderId="147">
      <alignment horizontal="right" vertical="center"/>
    </xf>
    <xf numFmtId="4" fontId="32" fillId="34" borderId="147">
      <alignment horizontal="right" vertical="center"/>
    </xf>
    <xf numFmtId="0" fontId="32" fillId="34" borderId="148">
      <alignment horizontal="right" vertical="center"/>
    </xf>
    <xf numFmtId="4" fontId="32" fillId="34" borderId="148">
      <alignment horizontal="right" vertical="center"/>
    </xf>
    <xf numFmtId="0" fontId="46" fillId="56" borderId="143" applyNumberFormat="0" applyAlignment="0" applyProtection="0"/>
    <xf numFmtId="0" fontId="34" fillId="34" borderId="149">
      <alignment horizontal="left" vertical="center" wrapText="1" indent="2"/>
    </xf>
    <xf numFmtId="0" fontId="34" fillId="0" borderId="149">
      <alignment horizontal="left" vertical="center" wrapText="1" indent="2"/>
    </xf>
    <xf numFmtId="0" fontId="34" fillId="32" borderId="147">
      <alignment horizontal="left" vertical="center"/>
    </xf>
    <xf numFmtId="0" fontId="26" fillId="21" borderId="0" applyNumberFormat="0" applyBorder="0" applyAlignment="0" applyProtection="0"/>
    <xf numFmtId="0" fontId="58" fillId="43" borderId="143" applyNumberFormat="0" applyAlignment="0" applyProtection="0"/>
    <xf numFmtId="0" fontId="34" fillId="0" borderId="146">
      <alignment horizontal="right" vertical="center"/>
    </xf>
    <xf numFmtId="4" fontId="34" fillId="0" borderId="146">
      <alignment horizontal="right" vertical="center"/>
    </xf>
    <xf numFmtId="0" fontId="12" fillId="22" borderId="0" applyNumberFormat="0" applyBorder="0" applyAlignment="0" applyProtection="0"/>
    <xf numFmtId="0" fontId="34" fillId="0" borderId="146" applyNumberFormat="0" applyFill="0" applyAlignment="0" applyProtection="0"/>
    <xf numFmtId="0" fontId="62" fillId="56" borderId="142" applyNumberFormat="0" applyAlignment="0" applyProtection="0"/>
    <xf numFmtId="173" fontId="34" fillId="60" borderId="146" applyNumberFormat="0" applyFont="0" applyBorder="0" applyAlignment="0" applyProtection="0">
      <alignment horizontal="right" vertical="center"/>
    </xf>
    <xf numFmtId="0" fontId="34" fillId="33" borderId="146"/>
    <xf numFmtId="4" fontId="34" fillId="33" borderId="146"/>
    <xf numFmtId="0" fontId="65" fillId="0" borderId="144" applyNumberFormat="0" applyFill="0" applyAlignment="0" applyProtection="0"/>
    <xf numFmtId="0" fontId="26" fillId="27" borderId="0" applyNumberFormat="0" applyBorder="0" applyAlignment="0" applyProtection="0"/>
    <xf numFmtId="4" fontId="34" fillId="33" borderId="162"/>
    <xf numFmtId="4" fontId="32" fillId="34" borderId="156">
      <alignment horizontal="right" vertical="center"/>
    </xf>
    <xf numFmtId="0" fontId="34" fillId="33" borderId="154"/>
    <xf numFmtId="49" fontId="34" fillId="0" borderId="154" applyNumberFormat="0" applyFont="0" applyFill="0" applyBorder="0" applyProtection="0">
      <alignment horizontal="left" vertical="center" indent="2"/>
    </xf>
    <xf numFmtId="0" fontId="34" fillId="34" borderId="172">
      <alignment horizontal="left" vertical="center" wrapText="1" indent="2"/>
    </xf>
    <xf numFmtId="0" fontId="65" fillId="0" borderId="152" applyNumberFormat="0" applyFill="0" applyAlignment="0" applyProtection="0"/>
    <xf numFmtId="0" fontId="26" fillId="21" borderId="0" applyNumberFormat="0" applyBorder="0" applyAlignment="0" applyProtection="0"/>
    <xf numFmtId="0" fontId="58" fillId="43" borderId="159" applyNumberFormat="0" applyAlignment="0" applyProtection="0"/>
    <xf numFmtId="4" fontId="36" fillId="32" borderId="154">
      <alignment horizontal="right" vertical="center"/>
    </xf>
    <xf numFmtId="0" fontId="65" fillId="0" borderId="160" applyNumberFormat="0" applyFill="0" applyAlignment="0" applyProtection="0"/>
    <xf numFmtId="0" fontId="46" fillId="56" borderId="151" applyNumberFormat="0" applyAlignment="0" applyProtection="0"/>
    <xf numFmtId="0" fontId="26" fillId="30" borderId="0" applyNumberFormat="0" applyBorder="0" applyAlignment="0" applyProtection="0"/>
    <xf numFmtId="0" fontId="34" fillId="32" borderId="170">
      <alignment horizontal="left" vertical="center"/>
    </xf>
    <xf numFmtId="0" fontId="58" fillId="43" borderId="159" applyNumberFormat="0" applyAlignment="0" applyProtection="0"/>
    <xf numFmtId="0" fontId="50" fillId="0" borderId="152" applyNumberFormat="0" applyFill="0" applyAlignment="0" applyProtection="0"/>
    <xf numFmtId="0" fontId="34" fillId="33" borderId="154"/>
    <xf numFmtId="0" fontId="45" fillId="56" borderId="151" applyNumberFormat="0" applyAlignment="0" applyProtection="0"/>
    <xf numFmtId="49" fontId="33" fillId="0" borderId="154" applyNumberFormat="0" applyFill="0" applyBorder="0" applyProtection="0">
      <alignment horizontal="left" vertical="center"/>
    </xf>
    <xf numFmtId="0" fontId="34" fillId="0" borderId="154" applyNumberFormat="0" applyFill="0" applyAlignment="0" applyProtection="0"/>
    <xf numFmtId="0" fontId="5" fillId="59" borderId="153" applyNumberFormat="0" applyFont="0" applyAlignment="0" applyProtection="0"/>
    <xf numFmtId="0" fontId="26" fillId="15" borderId="0" applyNumberFormat="0" applyBorder="0" applyAlignment="0" applyProtection="0"/>
    <xf numFmtId="0" fontId="12" fillId="28" borderId="0" applyNumberFormat="0" applyBorder="0" applyAlignment="0" applyProtection="0"/>
    <xf numFmtId="4" fontId="34" fillId="0" borderId="154">
      <alignment horizontal="right" vertical="center"/>
    </xf>
    <xf numFmtId="0" fontId="26" fillId="20" borderId="0" applyNumberFormat="0" applyBorder="0" applyAlignment="0" applyProtection="0"/>
    <xf numFmtId="0" fontId="45" fillId="56" borderId="151" applyNumberFormat="0" applyAlignment="0" applyProtection="0"/>
    <xf numFmtId="0" fontId="32" fillId="32" borderId="169">
      <alignment horizontal="right" vertical="center"/>
    </xf>
    <xf numFmtId="4" fontId="32" fillId="34" borderId="162">
      <alignment horizontal="right" vertical="center"/>
    </xf>
    <xf numFmtId="0" fontId="26" fillId="18" borderId="0" applyNumberFormat="0" applyBorder="0" applyAlignment="0" applyProtection="0"/>
    <xf numFmtId="0" fontId="26" fillId="14" borderId="0" applyNumberFormat="0" applyBorder="0" applyAlignment="0" applyProtection="0"/>
    <xf numFmtId="0" fontId="32" fillId="34" borderId="164">
      <alignment horizontal="right" vertical="center"/>
    </xf>
    <xf numFmtId="0" fontId="65" fillId="0" borderId="160" applyNumberFormat="0" applyFill="0" applyAlignment="0" applyProtection="0"/>
    <xf numFmtId="0" fontId="36" fillId="32" borderId="154">
      <alignment horizontal="right" vertical="center"/>
    </xf>
    <xf numFmtId="49" fontId="34" fillId="0" borderId="155" applyNumberFormat="0" applyFont="0" applyFill="0" applyBorder="0" applyProtection="0">
      <alignment horizontal="left" vertical="center" indent="5"/>
    </xf>
    <xf numFmtId="0" fontId="65" fillId="0" borderId="152" applyNumberFormat="0" applyFill="0" applyAlignment="0" applyProtection="0"/>
    <xf numFmtId="0" fontId="40" fillId="59" borderId="153" applyNumberFormat="0" applyFont="0" applyAlignment="0" applyProtection="0"/>
    <xf numFmtId="0" fontId="32" fillId="34" borderId="155">
      <alignment horizontal="right" vertical="center"/>
    </xf>
    <xf numFmtId="0" fontId="43" fillId="56" borderId="150" applyNumberFormat="0" applyAlignment="0" applyProtection="0"/>
    <xf numFmtId="4" fontId="32" fillId="34" borderId="156">
      <alignment horizontal="right" vertical="center"/>
    </xf>
    <xf numFmtId="4" fontId="36" fillId="32" borderId="154">
      <alignment horizontal="right" vertical="center"/>
    </xf>
    <xf numFmtId="0" fontId="58" fillId="43" borderId="151" applyNumberFormat="0" applyAlignment="0" applyProtection="0"/>
    <xf numFmtId="0" fontId="46" fillId="56" borderId="151" applyNumberFormat="0" applyAlignment="0" applyProtection="0"/>
    <xf numFmtId="0" fontId="36" fillId="32" borderId="154">
      <alignment horizontal="right" vertical="center"/>
    </xf>
    <xf numFmtId="0" fontId="65" fillId="0" borderId="152" applyNumberFormat="0" applyFill="0" applyAlignment="0" applyProtection="0"/>
    <xf numFmtId="0" fontId="46" fillId="56" borderId="151" applyNumberFormat="0" applyAlignment="0" applyProtection="0"/>
    <xf numFmtId="0" fontId="30" fillId="0" borderId="0" applyNumberFormat="0" applyFill="0" applyBorder="0" applyAlignment="0" applyProtection="0"/>
    <xf numFmtId="0" fontId="12" fillId="25" borderId="0" applyNumberFormat="0" applyBorder="0" applyAlignment="0" applyProtection="0"/>
    <xf numFmtId="0" fontId="26" fillId="30" borderId="0" applyNumberFormat="0" applyBorder="0" applyAlignment="0" applyProtection="0"/>
    <xf numFmtId="0" fontId="5" fillId="59" borderId="153" applyNumberFormat="0" applyFont="0" applyAlignment="0" applyProtection="0"/>
    <xf numFmtId="0" fontId="26" fillId="27" borderId="0" applyNumberFormat="0" applyBorder="0" applyAlignment="0" applyProtection="0"/>
    <xf numFmtId="0" fontId="26" fillId="17" borderId="0" applyNumberFormat="0" applyBorder="0" applyAlignment="0" applyProtection="0"/>
    <xf numFmtId="0" fontId="32" fillId="34" borderId="164">
      <alignment horizontal="right" vertical="center"/>
    </xf>
    <xf numFmtId="0" fontId="26" fillId="14" borderId="0" applyNumberFormat="0" applyBorder="0" applyAlignment="0" applyProtection="0"/>
    <xf numFmtId="0" fontId="49" fillId="43" borderId="159" applyNumberFormat="0" applyAlignment="0" applyProtection="0"/>
    <xf numFmtId="0" fontId="62" fillId="56" borderId="150" applyNumberFormat="0" applyAlignment="0" applyProtection="0"/>
    <xf numFmtId="0" fontId="32" fillId="34" borderId="162">
      <alignment horizontal="right" vertical="center"/>
    </xf>
    <xf numFmtId="0" fontId="26" fillId="18" borderId="0" applyNumberFormat="0" applyBorder="0" applyAlignment="0" applyProtection="0"/>
    <xf numFmtId="4" fontId="36" fillId="32" borderId="154">
      <alignment horizontal="right" vertical="center"/>
    </xf>
    <xf numFmtId="0" fontId="1" fillId="0" borderId="0" applyNumberFormat="0" applyFill="0" applyBorder="0" applyAlignment="0" applyProtection="0"/>
    <xf numFmtId="49" fontId="34" fillId="0" borderId="146" applyNumberFormat="0" applyFont="0" applyFill="0" applyBorder="0" applyProtection="0">
      <alignment horizontal="left" vertical="center" indent="2"/>
    </xf>
    <xf numFmtId="49" fontId="34" fillId="0" borderId="147" applyNumberFormat="0" applyFont="0" applyFill="0" applyBorder="0" applyProtection="0">
      <alignment horizontal="left" vertical="center" indent="5"/>
    </xf>
    <xf numFmtId="0" fontId="2" fillId="0" borderId="15" applyNumberFormat="0" applyFill="0" applyAlignment="0" applyProtection="0"/>
    <xf numFmtId="0" fontId="34" fillId="33" borderId="162"/>
    <xf numFmtId="0" fontId="12" fillId="25" borderId="0" applyNumberFormat="0" applyBorder="0" applyAlignment="0" applyProtection="0"/>
    <xf numFmtId="0" fontId="32" fillId="34" borderId="156">
      <alignment horizontal="right" vertical="center"/>
    </xf>
    <xf numFmtId="0" fontId="32" fillId="32" borderId="154">
      <alignment horizontal="right" vertical="center"/>
    </xf>
    <xf numFmtId="0" fontId="50" fillId="0" borderId="152" applyNumberFormat="0" applyFill="0" applyAlignment="0" applyProtection="0"/>
    <xf numFmtId="0" fontId="26" fillId="27" borderId="0" applyNumberFormat="0" applyBorder="0" applyAlignment="0" applyProtection="0"/>
    <xf numFmtId="49" fontId="33" fillId="0" borderId="162" applyNumberFormat="0" applyFill="0" applyBorder="0" applyProtection="0">
      <alignment horizontal="left" vertical="center"/>
    </xf>
    <xf numFmtId="0" fontId="34" fillId="0" borderId="157">
      <alignment horizontal="left" vertical="center" wrapText="1" indent="2"/>
    </xf>
    <xf numFmtId="4" fontId="34" fillId="0" borderId="146" applyFill="0" applyBorder="0" applyProtection="0">
      <alignment horizontal="right" vertical="center"/>
    </xf>
    <xf numFmtId="49" fontId="33" fillId="0" borderId="146" applyNumberFormat="0" applyFill="0" applyBorder="0" applyProtection="0">
      <alignment horizontal="left" vertical="center"/>
    </xf>
    <xf numFmtId="0" fontId="26" fillId="29" borderId="0" applyNumberFormat="0" applyBorder="0" applyAlignment="0" applyProtection="0"/>
    <xf numFmtId="4" fontId="32" fillId="34" borderId="156">
      <alignment horizontal="right" vertical="center"/>
    </xf>
    <xf numFmtId="4" fontId="34" fillId="0" borderId="154" applyFill="0" applyBorder="0" applyProtection="0">
      <alignment horizontal="right" vertical="center"/>
    </xf>
    <xf numFmtId="0" fontId="45" fillId="56" borderId="151" applyNumberFormat="0" applyAlignment="0" applyProtection="0"/>
    <xf numFmtId="0" fontId="49" fillId="43" borderId="151" applyNumberFormat="0" applyAlignment="0" applyProtection="0"/>
    <xf numFmtId="0" fontId="34" fillId="34" borderId="157">
      <alignment horizontal="left" vertical="center" wrapText="1" indent="2"/>
    </xf>
    <xf numFmtId="4" fontId="34" fillId="0" borderId="162" applyFill="0" applyBorder="0" applyProtection="0">
      <alignment horizontal="right" vertical="center"/>
    </xf>
    <xf numFmtId="4" fontId="36" fillId="32" borderId="154">
      <alignment horizontal="right" vertical="center"/>
    </xf>
    <xf numFmtId="0" fontId="45" fillId="56" borderId="151" applyNumberFormat="0" applyAlignment="0" applyProtection="0"/>
    <xf numFmtId="0" fontId="26" fillId="14" borderId="0" applyNumberFormat="0" applyBorder="0" applyAlignment="0" applyProtection="0"/>
    <xf numFmtId="0" fontId="2" fillId="0" borderId="15" applyNumberFormat="0" applyFill="0" applyAlignment="0" applyProtection="0"/>
    <xf numFmtId="0" fontId="12" fillId="25" borderId="0" applyNumberFormat="0" applyBorder="0" applyAlignment="0" applyProtection="0"/>
    <xf numFmtId="0" fontId="32" fillId="32" borderId="154">
      <alignment horizontal="right" vertical="center"/>
    </xf>
    <xf numFmtId="173" fontId="34" fillId="60" borderId="154" applyNumberFormat="0" applyFont="0" applyBorder="0" applyAlignment="0" applyProtection="0">
      <alignment horizontal="right" vertical="center"/>
    </xf>
    <xf numFmtId="0" fontId="32" fillId="34" borderId="154">
      <alignment horizontal="right" vertical="center"/>
    </xf>
    <xf numFmtId="0" fontId="43" fillId="56" borderId="150" applyNumberFormat="0" applyAlignment="0" applyProtection="0"/>
    <xf numFmtId="0" fontId="65" fillId="0" borderId="152" applyNumberFormat="0" applyFill="0" applyAlignment="0" applyProtection="0"/>
    <xf numFmtId="0" fontId="40" fillId="59" borderId="153" applyNumberFormat="0" applyFont="0" applyAlignment="0" applyProtection="0"/>
    <xf numFmtId="0" fontId="32" fillId="34" borderId="154">
      <alignment horizontal="right" vertical="center"/>
    </xf>
    <xf numFmtId="0" fontId="32" fillId="34" borderId="155">
      <alignment horizontal="right" vertical="center"/>
    </xf>
    <xf numFmtId="0" fontId="46" fillId="56" borderId="151" applyNumberFormat="0" applyAlignment="0" applyProtection="0"/>
    <xf numFmtId="0" fontId="32" fillId="34" borderId="156">
      <alignment horizontal="right" vertical="center"/>
    </xf>
    <xf numFmtId="0" fontId="32" fillId="34" borderId="154">
      <alignment horizontal="right" vertical="center"/>
    </xf>
    <xf numFmtId="0" fontId="49" fillId="43" borderId="151" applyNumberFormat="0" applyAlignment="0" applyProtection="0"/>
    <xf numFmtId="4" fontId="34" fillId="0" borderId="154">
      <alignment horizontal="right" vertical="center"/>
    </xf>
    <xf numFmtId="0" fontId="46" fillId="56" borderId="151" applyNumberFormat="0" applyAlignment="0" applyProtection="0"/>
    <xf numFmtId="0" fontId="34" fillId="32" borderId="155">
      <alignment horizontal="left" vertical="center"/>
    </xf>
    <xf numFmtId="0" fontId="29" fillId="13" borderId="13" applyNumberFormat="0" applyAlignment="0" applyProtection="0"/>
    <xf numFmtId="173" fontId="34" fillId="60" borderId="154" applyNumberFormat="0" applyFont="0" applyBorder="0" applyAlignment="0" applyProtection="0">
      <alignment horizontal="right" vertical="center"/>
    </xf>
    <xf numFmtId="0" fontId="43" fillId="56" borderId="142" applyNumberFormat="0" applyAlignment="0" applyProtection="0"/>
    <xf numFmtId="0" fontId="45" fillId="56" borderId="143" applyNumberFormat="0" applyAlignment="0" applyProtection="0"/>
    <xf numFmtId="0" fontId="50" fillId="0" borderId="144" applyNumberFormat="0" applyFill="0" applyAlignment="0" applyProtection="0"/>
    <xf numFmtId="0" fontId="32" fillId="32" borderId="162">
      <alignment horizontal="right" vertical="center"/>
    </xf>
    <xf numFmtId="4" fontId="36" fillId="32" borderId="154">
      <alignment horizontal="right" vertical="center"/>
    </xf>
    <xf numFmtId="0" fontId="43" fillId="56" borderId="150" applyNumberFormat="0" applyAlignment="0" applyProtection="0"/>
    <xf numFmtId="0" fontId="26" fillId="29" borderId="0" applyNumberFormat="0" applyBorder="0" applyAlignment="0" applyProtection="0"/>
    <xf numFmtId="0" fontId="26" fillId="27" borderId="0" applyNumberFormat="0" applyBorder="0" applyAlignment="0" applyProtection="0"/>
    <xf numFmtId="4" fontId="36" fillId="32" borderId="169">
      <alignment horizontal="right" vertical="center"/>
    </xf>
    <xf numFmtId="0" fontId="46" fillId="56" borderId="151" applyNumberFormat="0" applyAlignment="0" applyProtection="0"/>
    <xf numFmtId="0" fontId="46" fillId="56" borderId="166" applyNumberFormat="0" applyAlignment="0" applyProtection="0"/>
    <xf numFmtId="49" fontId="33" fillId="0" borderId="162" applyNumberFormat="0" applyFill="0" applyBorder="0" applyProtection="0">
      <alignment horizontal="left" vertical="center"/>
    </xf>
    <xf numFmtId="0" fontId="34" fillId="0" borderId="162">
      <alignment horizontal="right" vertical="center"/>
    </xf>
    <xf numFmtId="0" fontId="46" fillId="56" borderId="151" applyNumberFormat="0" applyAlignment="0" applyProtection="0"/>
    <xf numFmtId="0" fontId="1" fillId="0" borderId="0" applyNumberFormat="0" applyFill="0" applyBorder="0" applyAlignment="0" applyProtection="0"/>
    <xf numFmtId="0" fontId="29" fillId="13" borderId="13" applyNumberFormat="0" applyAlignment="0" applyProtection="0"/>
    <xf numFmtId="0" fontId="26" fillId="23" borderId="0" applyNumberFormat="0" applyBorder="0" applyAlignment="0" applyProtection="0"/>
    <xf numFmtId="0" fontId="58" fillId="43" borderId="166" applyNumberFormat="0" applyAlignment="0" applyProtection="0"/>
    <xf numFmtId="0" fontId="30" fillId="0" borderId="0" applyNumberFormat="0" applyFill="0" applyBorder="0" applyAlignment="0" applyProtection="0"/>
    <xf numFmtId="0" fontId="34" fillId="32" borderId="155">
      <alignment horizontal="left" vertical="center"/>
    </xf>
    <xf numFmtId="4" fontId="34" fillId="0" borderId="154">
      <alignment horizontal="right" vertical="center"/>
    </xf>
    <xf numFmtId="4" fontId="32" fillId="34" borderId="154">
      <alignment horizontal="right" vertical="center"/>
    </xf>
    <xf numFmtId="0" fontId="62" fillId="56" borderId="150" applyNumberFormat="0" applyAlignment="0" applyProtection="0"/>
    <xf numFmtId="0" fontId="50" fillId="0" borderId="152" applyNumberFormat="0" applyFill="0" applyAlignment="0" applyProtection="0"/>
    <xf numFmtId="49" fontId="34" fillId="0" borderId="162" applyNumberFormat="0" applyFont="0" applyFill="0" applyBorder="0" applyProtection="0">
      <alignment horizontal="left" vertical="center" indent="2"/>
    </xf>
    <xf numFmtId="0" fontId="49" fillId="43" borderId="143" applyNumberFormat="0" applyAlignment="0" applyProtection="0"/>
    <xf numFmtId="49" fontId="34" fillId="0" borderId="154" applyNumberFormat="0" applyFont="0" applyFill="0" applyBorder="0" applyProtection="0">
      <alignment horizontal="left" vertical="center" indent="2"/>
    </xf>
    <xf numFmtId="173" fontId="34" fillId="60" borderId="154" applyNumberFormat="0" applyFont="0" applyBorder="0" applyAlignment="0" applyProtection="0">
      <alignment horizontal="right" vertical="center"/>
    </xf>
    <xf numFmtId="4" fontId="34" fillId="0" borderId="162">
      <alignment horizontal="right" vertical="center"/>
    </xf>
    <xf numFmtId="0" fontId="12" fillId="19" borderId="0" applyNumberFormat="0" applyBorder="0" applyAlignment="0" applyProtection="0"/>
    <xf numFmtId="4" fontId="32" fillId="34" borderId="162">
      <alignment horizontal="right" vertical="center"/>
    </xf>
    <xf numFmtId="49" fontId="34" fillId="0" borderId="162" applyNumberFormat="0" applyFont="0" applyFill="0" applyBorder="0" applyProtection="0">
      <alignment horizontal="left" vertical="center" indent="2"/>
    </xf>
    <xf numFmtId="0" fontId="26" fillId="14" borderId="0" applyNumberFormat="0" applyBorder="0" applyAlignment="0" applyProtection="0"/>
    <xf numFmtId="4" fontId="32" fillId="34" borderId="156">
      <alignment horizontal="right" vertical="center"/>
    </xf>
    <xf numFmtId="0" fontId="26" fillId="23" borderId="0" applyNumberFormat="0" applyBorder="0" applyAlignment="0" applyProtection="0"/>
    <xf numFmtId="4" fontId="34" fillId="0" borderId="169" applyFill="0" applyBorder="0" applyProtection="0">
      <alignment horizontal="right" vertical="center"/>
    </xf>
    <xf numFmtId="0" fontId="28" fillId="13" borderId="14" applyNumberFormat="0" applyAlignment="0" applyProtection="0"/>
    <xf numFmtId="0" fontId="34" fillId="34" borderId="165">
      <alignment horizontal="left" vertical="center" wrapText="1" indent="2"/>
    </xf>
    <xf numFmtId="0" fontId="26" fillId="29" borderId="0" applyNumberFormat="0" applyBorder="0" applyAlignment="0" applyProtection="0"/>
    <xf numFmtId="0" fontId="12" fillId="19" borderId="0" applyNumberFormat="0" applyBorder="0" applyAlignment="0" applyProtection="0"/>
    <xf numFmtId="0" fontId="58" fillId="43" borderId="151" applyNumberFormat="0" applyAlignment="0" applyProtection="0"/>
    <xf numFmtId="0" fontId="34" fillId="34" borderId="157">
      <alignment horizontal="left" vertical="center" wrapText="1" indent="2"/>
    </xf>
    <xf numFmtId="0" fontId="50" fillId="0" borderId="152" applyNumberFormat="0" applyFill="0" applyAlignment="0" applyProtection="0"/>
    <xf numFmtId="4" fontId="34" fillId="33" borderId="154"/>
    <xf numFmtId="0" fontId="29" fillId="13" borderId="13" applyNumberFormat="0" applyAlignment="0" applyProtection="0"/>
    <xf numFmtId="0" fontId="34" fillId="34" borderId="149">
      <alignment horizontal="left" vertical="center" wrapText="1" indent="2"/>
    </xf>
    <xf numFmtId="0" fontId="34" fillId="0" borderId="149">
      <alignment horizontal="left" vertical="center" wrapText="1" indent="2"/>
    </xf>
    <xf numFmtId="0" fontId="26" fillId="27" borderId="0" applyNumberFormat="0" applyBorder="0" applyAlignment="0" applyProtection="0"/>
    <xf numFmtId="0" fontId="1" fillId="0" borderId="0" applyNumberFormat="0" applyFill="0" applyBorder="0" applyAlignment="0" applyProtection="0"/>
    <xf numFmtId="0" fontId="26" fillId="27" borderId="0" applyNumberFormat="0" applyBorder="0" applyAlignment="0" applyProtection="0"/>
    <xf numFmtId="0" fontId="26" fillId="18" borderId="0" applyNumberFormat="0" applyBorder="0" applyAlignment="0" applyProtection="0"/>
    <xf numFmtId="0" fontId="26" fillId="21" borderId="0" applyNumberFormat="0" applyBorder="0" applyAlignment="0" applyProtection="0"/>
    <xf numFmtId="0" fontId="34" fillId="34" borderId="165">
      <alignment horizontal="left" vertical="center" wrapText="1" indent="2"/>
    </xf>
    <xf numFmtId="0" fontId="58" fillId="43" borderId="151" applyNumberFormat="0" applyAlignment="0" applyProtection="0"/>
    <xf numFmtId="0" fontId="12" fillId="31" borderId="0" applyNumberFormat="0" applyBorder="0" applyAlignment="0" applyProtection="0"/>
    <xf numFmtId="0" fontId="28" fillId="13" borderId="14" applyNumberFormat="0" applyAlignment="0" applyProtection="0"/>
    <xf numFmtId="0" fontId="12" fillId="31" borderId="0" applyNumberFormat="0" applyBorder="0" applyAlignment="0" applyProtection="0"/>
    <xf numFmtId="0" fontId="45" fillId="56" borderId="159" applyNumberFormat="0" applyAlignment="0" applyProtection="0"/>
    <xf numFmtId="0" fontId="12" fillId="19" borderId="0" applyNumberFormat="0" applyBorder="0" applyAlignment="0" applyProtection="0"/>
    <xf numFmtId="4" fontId="32" fillId="34" borderId="169">
      <alignment horizontal="right" vertical="center"/>
    </xf>
    <xf numFmtId="0" fontId="65" fillId="0" borderId="160" applyNumberFormat="0" applyFill="0" applyAlignment="0" applyProtection="0"/>
    <xf numFmtId="0" fontId="32" fillId="34" borderId="171">
      <alignment horizontal="right" vertical="center"/>
    </xf>
    <xf numFmtId="0" fontId="26" fillId="30" borderId="0" applyNumberFormat="0" applyBorder="0" applyAlignment="0" applyProtection="0"/>
    <xf numFmtId="0" fontId="58" fillId="43" borderId="159" applyNumberFormat="0" applyAlignment="0" applyProtection="0"/>
    <xf numFmtId="4" fontId="32" fillId="34" borderId="163">
      <alignment horizontal="right" vertical="center"/>
    </xf>
    <xf numFmtId="0" fontId="34" fillId="0" borderId="154">
      <alignment horizontal="right" vertical="center"/>
    </xf>
    <xf numFmtId="4" fontId="32" fillId="32" borderId="162">
      <alignment horizontal="right" vertical="center"/>
    </xf>
    <xf numFmtId="0" fontId="43" fillId="56" borderId="150" applyNumberFormat="0" applyAlignment="0" applyProtection="0"/>
    <xf numFmtId="4" fontId="32" fillId="32" borderId="154">
      <alignment horizontal="right" vertical="center"/>
    </xf>
    <xf numFmtId="0" fontId="50" fillId="0" borderId="152" applyNumberFormat="0" applyFill="0" applyAlignment="0" applyProtection="0"/>
    <xf numFmtId="0" fontId="46" fillId="56" borderId="151" applyNumberFormat="0" applyAlignment="0" applyProtection="0"/>
    <xf numFmtId="4" fontId="32" fillId="34" borderId="155">
      <alignment horizontal="right" vertical="center"/>
    </xf>
    <xf numFmtId="0" fontId="12" fillId="31" borderId="0" applyNumberFormat="0" applyBorder="0" applyAlignment="0" applyProtection="0"/>
    <xf numFmtId="0" fontId="45" fillId="56" borderId="151" applyNumberFormat="0" applyAlignment="0" applyProtection="0"/>
    <xf numFmtId="0" fontId="34" fillId="0" borderId="157">
      <alignment horizontal="left" vertical="center" wrapText="1" indent="2"/>
    </xf>
    <xf numFmtId="49" fontId="34" fillId="0" borderId="154" applyNumberFormat="0" applyFont="0" applyFill="0" applyBorder="0" applyProtection="0">
      <alignment horizontal="left" vertical="center" indent="2"/>
    </xf>
    <xf numFmtId="0" fontId="58" fillId="43" borderId="151" applyNumberFormat="0" applyAlignment="0" applyProtection="0"/>
    <xf numFmtId="0" fontId="40" fillId="59" borderId="153" applyNumberFormat="0" applyFont="0" applyAlignment="0" applyProtection="0"/>
    <xf numFmtId="4" fontId="32" fillId="34" borderId="155">
      <alignment horizontal="right" vertical="center"/>
    </xf>
    <xf numFmtId="0" fontId="34" fillId="34" borderId="157">
      <alignment horizontal="left" vertical="center" wrapText="1" indent="2"/>
    </xf>
    <xf numFmtId="0" fontId="50" fillId="0" borderId="152" applyNumberFormat="0" applyFill="0" applyAlignment="0" applyProtection="0"/>
    <xf numFmtId="0" fontId="62" fillId="56" borderId="150" applyNumberFormat="0" applyAlignment="0" applyProtection="0"/>
    <xf numFmtId="0" fontId="40" fillId="59" borderId="153" applyNumberFormat="0" applyFont="0" applyAlignment="0" applyProtection="0"/>
    <xf numFmtId="0" fontId="58" fillId="43" borderId="151" applyNumberFormat="0" applyAlignment="0" applyProtection="0"/>
    <xf numFmtId="0" fontId="34" fillId="0" borderId="154" applyNumberFormat="0" applyFill="0" applyAlignment="0" applyProtection="0"/>
    <xf numFmtId="0" fontId="32" fillId="32" borderId="154">
      <alignment horizontal="right" vertical="center"/>
    </xf>
    <xf numFmtId="0" fontId="32" fillId="34" borderId="154">
      <alignment horizontal="right" vertical="center"/>
    </xf>
    <xf numFmtId="0" fontId="40" fillId="59" borderId="153" applyNumberFormat="0" applyFont="0" applyAlignment="0" applyProtection="0"/>
    <xf numFmtId="0" fontId="50" fillId="0" borderId="152" applyNumberFormat="0" applyFill="0" applyAlignment="0" applyProtection="0"/>
    <xf numFmtId="0" fontId="32" fillId="32" borderId="154">
      <alignment horizontal="right" vertical="center"/>
    </xf>
    <xf numFmtId="4" fontId="34" fillId="0" borderId="154" applyFill="0" applyBorder="0" applyProtection="0">
      <alignment horizontal="right" vertical="center"/>
    </xf>
    <xf numFmtId="49" fontId="34" fillId="0" borderId="154" applyNumberFormat="0" applyFont="0" applyFill="0" applyBorder="0" applyProtection="0">
      <alignment horizontal="left" vertical="center" indent="2"/>
    </xf>
    <xf numFmtId="0" fontId="49" fillId="43" borderId="151" applyNumberFormat="0" applyAlignment="0" applyProtection="0"/>
    <xf numFmtId="0" fontId="5" fillId="59" borderId="161" applyNumberFormat="0" applyFont="0" applyAlignment="0" applyProtection="0"/>
    <xf numFmtId="0" fontId="12" fillId="22" borderId="0" applyNumberFormat="0" applyBorder="0" applyAlignment="0" applyProtection="0"/>
    <xf numFmtId="0" fontId="26" fillId="15" borderId="0" applyNumberFormat="0" applyBorder="0" applyAlignment="0" applyProtection="0"/>
    <xf numFmtId="0" fontId="12" fillId="31" borderId="0" applyNumberFormat="0" applyBorder="0" applyAlignment="0" applyProtection="0"/>
    <xf numFmtId="0" fontId="50" fillId="0" borderId="160" applyNumberFormat="0" applyFill="0" applyAlignment="0" applyProtection="0"/>
    <xf numFmtId="0" fontId="26" fillId="29" borderId="0" applyNumberFormat="0" applyBorder="0" applyAlignment="0" applyProtection="0"/>
    <xf numFmtId="0" fontId="26" fillId="21" borderId="0" applyNumberFormat="0" applyBorder="0" applyAlignment="0" applyProtection="0"/>
    <xf numFmtId="0" fontId="26" fillId="26" borderId="0" applyNumberFormat="0" applyBorder="0" applyAlignment="0" applyProtection="0"/>
    <xf numFmtId="0" fontId="26" fillId="24" borderId="0" applyNumberFormat="0" applyBorder="0" applyAlignment="0" applyProtection="0"/>
    <xf numFmtId="0" fontId="12" fillId="16" borderId="0" applyNumberFormat="0" applyBorder="0" applyAlignment="0" applyProtection="0"/>
    <xf numFmtId="0" fontId="26" fillId="18" borderId="0" applyNumberFormat="0" applyBorder="0" applyAlignment="0" applyProtection="0"/>
    <xf numFmtId="0" fontId="12" fillId="19" borderId="0" applyNumberFormat="0" applyBorder="0" applyAlignment="0" applyProtection="0"/>
    <xf numFmtId="0" fontId="32" fillId="32" borderId="169">
      <alignment horizontal="right" vertical="center"/>
    </xf>
    <xf numFmtId="0" fontId="2" fillId="0" borderId="15" applyNumberFormat="0" applyFill="0" applyAlignment="0" applyProtection="0"/>
    <xf numFmtId="0" fontId="12" fillId="28" borderId="0" applyNumberFormat="0" applyBorder="0" applyAlignment="0" applyProtection="0"/>
    <xf numFmtId="0" fontId="26" fillId="30" borderId="0" applyNumberFormat="0" applyBorder="0" applyAlignment="0" applyProtection="0"/>
    <xf numFmtId="0" fontId="58" fillId="43" borderId="159" applyNumberFormat="0" applyAlignment="0" applyProtection="0"/>
    <xf numFmtId="0" fontId="49" fillId="43" borderId="151" applyNumberFormat="0" applyAlignment="0" applyProtection="0"/>
    <xf numFmtId="4" fontId="34" fillId="33" borderId="154"/>
    <xf numFmtId="0" fontId="12" fillId="19" borderId="0" applyNumberFormat="0" applyBorder="0" applyAlignment="0" applyProtection="0"/>
    <xf numFmtId="4" fontId="32" fillId="34" borderId="146">
      <alignment horizontal="right" vertical="center"/>
    </xf>
    <xf numFmtId="0" fontId="34" fillId="33" borderId="146"/>
    <xf numFmtId="0" fontId="45" fillId="56" borderId="143" applyNumberFormat="0" applyAlignment="0" applyProtection="0"/>
    <xf numFmtId="0" fontId="32" fillId="32" borderId="146">
      <alignment horizontal="right" vertical="center"/>
    </xf>
    <xf numFmtId="0" fontId="34" fillId="0" borderId="146">
      <alignment horizontal="right" vertical="center"/>
    </xf>
    <xf numFmtId="0" fontId="65" fillId="0" borderId="144" applyNumberFormat="0" applyFill="0" applyAlignment="0" applyProtection="0"/>
    <xf numFmtId="0" fontId="34" fillId="32" borderId="147">
      <alignment horizontal="left" vertical="center"/>
    </xf>
    <xf numFmtId="0" fontId="58" fillId="43" borderId="143" applyNumberFormat="0" applyAlignment="0" applyProtection="0"/>
    <xf numFmtId="173" fontId="34" fillId="60" borderId="146" applyNumberFormat="0" applyFont="0" applyBorder="0" applyAlignment="0" applyProtection="0">
      <alignment horizontal="right" vertical="center"/>
    </xf>
    <xf numFmtId="0" fontId="40" fillId="59" borderId="145" applyNumberFormat="0" applyFont="0" applyAlignment="0" applyProtection="0"/>
    <xf numFmtId="0" fontId="34" fillId="0" borderId="149">
      <alignment horizontal="left" vertical="center" wrapText="1" indent="2"/>
    </xf>
    <xf numFmtId="4" fontId="34" fillId="33" borderId="146"/>
    <xf numFmtId="49" fontId="33" fillId="0" borderId="146" applyNumberFormat="0" applyFill="0" applyBorder="0" applyProtection="0">
      <alignment horizontal="left" vertical="center"/>
    </xf>
    <xf numFmtId="0" fontId="34" fillId="0" borderId="146">
      <alignment horizontal="right" vertical="center"/>
    </xf>
    <xf numFmtId="4" fontId="32" fillId="34" borderId="148">
      <alignment horizontal="right" vertical="center"/>
    </xf>
    <xf numFmtId="4" fontId="32" fillId="34" borderId="146">
      <alignment horizontal="right" vertical="center"/>
    </xf>
    <xf numFmtId="4" fontId="32" fillId="34" borderId="146">
      <alignment horizontal="right" vertical="center"/>
    </xf>
    <xf numFmtId="0" fontId="36" fillId="32" borderId="146">
      <alignment horizontal="right" vertical="center"/>
    </xf>
    <xf numFmtId="0" fontId="32" fillId="32" borderId="146">
      <alignment horizontal="right" vertical="center"/>
    </xf>
    <xf numFmtId="49" fontId="34" fillId="0" borderId="146" applyNumberFormat="0" applyFont="0" applyFill="0" applyBorder="0" applyProtection="0">
      <alignment horizontal="left" vertical="center" indent="2"/>
    </xf>
    <xf numFmtId="0" fontId="58" fillId="43" borderId="143" applyNumberFormat="0" applyAlignment="0" applyProtection="0"/>
    <xf numFmtId="0" fontId="43" fillId="56" borderId="142" applyNumberFormat="0" applyAlignment="0" applyProtection="0"/>
    <xf numFmtId="49" fontId="34" fillId="0" borderId="146" applyNumberFormat="0" applyFont="0" applyFill="0" applyBorder="0" applyProtection="0">
      <alignment horizontal="left" vertical="center" indent="2"/>
    </xf>
    <xf numFmtId="0" fontId="49" fillId="43" borderId="143" applyNumberFormat="0" applyAlignment="0" applyProtection="0"/>
    <xf numFmtId="4" fontId="34" fillId="0" borderId="146" applyFill="0" applyBorder="0" applyProtection="0">
      <alignment horizontal="right" vertical="center"/>
    </xf>
    <xf numFmtId="0" fontId="46" fillId="56" borderId="143" applyNumberFormat="0" applyAlignment="0" applyProtection="0"/>
    <xf numFmtId="0" fontId="65" fillId="0" borderId="144" applyNumberFormat="0" applyFill="0" applyAlignment="0" applyProtection="0"/>
    <xf numFmtId="0" fontId="62" fillId="56" borderId="142" applyNumberFormat="0" applyAlignment="0" applyProtection="0"/>
    <xf numFmtId="0" fontId="34" fillId="0" borderId="146" applyNumberFormat="0" applyFill="0" applyAlignment="0" applyProtection="0"/>
    <xf numFmtId="4" fontId="34" fillId="0" borderId="146">
      <alignment horizontal="right" vertical="center"/>
    </xf>
    <xf numFmtId="0" fontId="34" fillId="0" borderId="146">
      <alignment horizontal="right" vertical="center"/>
    </xf>
    <xf numFmtId="0" fontId="58" fillId="43" borderId="143" applyNumberFormat="0" applyAlignment="0" applyProtection="0"/>
    <xf numFmtId="0" fontId="43" fillId="56" borderId="142" applyNumberFormat="0" applyAlignment="0" applyProtection="0"/>
    <xf numFmtId="0" fontId="45" fillId="56" borderId="143" applyNumberFormat="0" applyAlignment="0" applyProtection="0"/>
    <xf numFmtId="0" fontId="34" fillId="34" borderId="149">
      <alignment horizontal="left" vertical="center" wrapText="1" indent="2"/>
    </xf>
    <xf numFmtId="0" fontId="46" fillId="56" borderId="143" applyNumberFormat="0" applyAlignment="0" applyProtection="0"/>
    <xf numFmtId="0" fontId="46" fillId="56" borderId="143" applyNumberFormat="0" applyAlignment="0" applyProtection="0"/>
    <xf numFmtId="4" fontId="32" fillId="34" borderId="147">
      <alignment horizontal="right" vertical="center"/>
    </xf>
    <xf numFmtId="0" fontId="32" fillId="34" borderId="147">
      <alignment horizontal="right" vertical="center"/>
    </xf>
    <xf numFmtId="0" fontId="32" fillId="34" borderId="146">
      <alignment horizontal="right" vertical="center"/>
    </xf>
    <xf numFmtId="4" fontId="36" fillId="32" borderId="146">
      <alignment horizontal="right" vertical="center"/>
    </xf>
    <xf numFmtId="0" fontId="49" fillId="43" borderId="143" applyNumberFormat="0" applyAlignment="0" applyProtection="0"/>
    <xf numFmtId="0" fontId="50" fillId="0" borderId="144" applyNumberFormat="0" applyFill="0" applyAlignment="0" applyProtection="0"/>
    <xf numFmtId="0" fontId="65" fillId="0" borderId="144" applyNumberFormat="0" applyFill="0" applyAlignment="0" applyProtection="0"/>
    <xf numFmtId="0" fontId="40" fillId="59" borderId="145" applyNumberFormat="0" applyFont="0" applyAlignment="0" applyProtection="0"/>
    <xf numFmtId="0" fontId="58" fillId="43" borderId="143" applyNumberFormat="0" applyAlignment="0" applyProtection="0"/>
    <xf numFmtId="49" fontId="33" fillId="0" borderId="146" applyNumberFormat="0" applyFill="0" applyBorder="0" applyProtection="0">
      <alignment horizontal="left" vertical="center"/>
    </xf>
    <xf numFmtId="0" fontId="34" fillId="34" borderId="149">
      <alignment horizontal="left" vertical="center" wrapText="1" indent="2"/>
    </xf>
    <xf numFmtId="0" fontId="46" fillId="56" borderId="143" applyNumberFormat="0" applyAlignment="0" applyProtection="0"/>
    <xf numFmtId="0" fontId="34" fillId="0" borderId="149">
      <alignment horizontal="left" vertical="center" wrapText="1" indent="2"/>
    </xf>
    <xf numFmtId="0" fontId="40" fillId="59" borderId="145" applyNumberFormat="0" applyFont="0" applyAlignment="0" applyProtection="0"/>
    <xf numFmtId="0" fontId="5" fillId="59" borderId="145" applyNumberFormat="0" applyFont="0" applyAlignment="0" applyProtection="0"/>
    <xf numFmtId="0" fontId="62" fillId="56" borderId="142" applyNumberFormat="0" applyAlignment="0" applyProtection="0"/>
    <xf numFmtId="0" fontId="65" fillId="0" borderId="144" applyNumberFormat="0" applyFill="0" applyAlignment="0" applyProtection="0"/>
    <xf numFmtId="4" fontId="34" fillId="33" borderId="146"/>
    <xf numFmtId="0" fontId="32" fillId="34" borderId="146">
      <alignment horizontal="right" vertical="center"/>
    </xf>
    <xf numFmtId="0" fontId="65" fillId="0" borderId="144" applyNumberFormat="0" applyFill="0" applyAlignment="0" applyProtection="0"/>
    <xf numFmtId="4" fontId="32" fillId="34" borderId="148">
      <alignment horizontal="right" vertical="center"/>
    </xf>
    <xf numFmtId="0" fontId="45" fillId="56" borderId="143" applyNumberFormat="0" applyAlignment="0" applyProtection="0"/>
    <xf numFmtId="0" fontId="32" fillId="34" borderId="147">
      <alignment horizontal="right" vertical="center"/>
    </xf>
    <xf numFmtId="0" fontId="46" fillId="56" borderId="143" applyNumberFormat="0" applyAlignment="0" applyProtection="0"/>
    <xf numFmtId="0" fontId="50" fillId="0" borderId="144" applyNumberFormat="0" applyFill="0" applyAlignment="0" applyProtection="0"/>
    <xf numFmtId="0" fontId="40" fillId="59" borderId="145" applyNumberFormat="0" applyFont="0" applyAlignment="0" applyProtection="0"/>
    <xf numFmtId="4" fontId="32" fillId="34" borderId="147">
      <alignment horizontal="right" vertical="center"/>
    </xf>
    <xf numFmtId="0" fontId="34" fillId="34" borderId="149">
      <alignment horizontal="left" vertical="center" wrapText="1" indent="2"/>
    </xf>
    <xf numFmtId="0" fontId="34" fillId="33" borderId="146"/>
    <xf numFmtId="173" fontId="34" fillId="60" borderId="146" applyNumberFormat="0" applyFont="0" applyBorder="0" applyAlignment="0" applyProtection="0">
      <alignment horizontal="right" vertical="center"/>
    </xf>
    <xf numFmtId="0" fontId="34" fillId="0" borderId="146" applyNumberFormat="0" applyFill="0" applyAlignment="0" applyProtection="0"/>
    <xf numFmtId="4" fontId="34" fillId="0" borderId="146" applyFill="0" applyBorder="0" applyProtection="0">
      <alignment horizontal="right" vertical="center"/>
    </xf>
    <xf numFmtId="4" fontId="32" fillId="32" borderId="146">
      <alignment horizontal="right" vertical="center"/>
    </xf>
    <xf numFmtId="0" fontId="50" fillId="0" borderId="144" applyNumberFormat="0" applyFill="0" applyAlignment="0" applyProtection="0"/>
    <xf numFmtId="49" fontId="33" fillId="0" borderId="146" applyNumberFormat="0" applyFill="0" applyBorder="0" applyProtection="0">
      <alignment horizontal="left" vertical="center"/>
    </xf>
    <xf numFmtId="49" fontId="34" fillId="0" borderId="147" applyNumberFormat="0" applyFont="0" applyFill="0" applyBorder="0" applyProtection="0">
      <alignment horizontal="left" vertical="center" indent="5"/>
    </xf>
    <xf numFmtId="0" fontId="34" fillId="32" borderId="147">
      <alignment horizontal="left" vertical="center"/>
    </xf>
    <xf numFmtId="0" fontId="46" fillId="56" borderId="143" applyNumberFormat="0" applyAlignment="0" applyProtection="0"/>
    <xf numFmtId="4" fontId="32" fillId="34" borderId="148">
      <alignment horizontal="right" vertical="center"/>
    </xf>
    <xf numFmtId="0" fontId="58" fillId="43" borderId="143" applyNumberFormat="0" applyAlignment="0" applyProtection="0"/>
    <xf numFmtId="0" fontId="58" fillId="43" borderId="143" applyNumberFormat="0" applyAlignment="0" applyProtection="0"/>
    <xf numFmtId="0" fontId="40" fillId="59" borderId="145" applyNumberFormat="0" applyFont="0" applyAlignment="0" applyProtection="0"/>
    <xf numFmtId="0" fontId="62" fillId="56" borderId="142" applyNumberFormat="0" applyAlignment="0" applyProtection="0"/>
    <xf numFmtId="0" fontId="65" fillId="0" borderId="144" applyNumberFormat="0" applyFill="0" applyAlignment="0" applyProtection="0"/>
    <xf numFmtId="0" fontId="32" fillId="34" borderId="146">
      <alignment horizontal="right" vertical="center"/>
    </xf>
    <xf numFmtId="0" fontId="5" fillId="59" borderId="145" applyNumberFormat="0" applyFont="0" applyAlignment="0" applyProtection="0"/>
    <xf numFmtId="4" fontId="34" fillId="0" borderId="146">
      <alignment horizontal="right" vertical="center"/>
    </xf>
    <xf numFmtId="0" fontId="65" fillId="0" borderId="144" applyNumberFormat="0" applyFill="0" applyAlignment="0" applyProtection="0"/>
    <xf numFmtId="0" fontId="32" fillId="34" borderId="146">
      <alignment horizontal="right" vertical="center"/>
    </xf>
    <xf numFmtId="0" fontId="32" fillId="34" borderId="146">
      <alignment horizontal="right" vertical="center"/>
    </xf>
    <xf numFmtId="4" fontId="36" fillId="32" borderId="146">
      <alignment horizontal="right" vertical="center"/>
    </xf>
    <xf numFmtId="0" fontId="32" fillId="32" borderId="146">
      <alignment horizontal="right" vertical="center"/>
    </xf>
    <xf numFmtId="4" fontId="32" fillId="32" borderId="146">
      <alignment horizontal="right" vertical="center"/>
    </xf>
    <xf numFmtId="0" fontId="36" fillId="32" borderId="146">
      <alignment horizontal="right" vertical="center"/>
    </xf>
    <xf numFmtId="4" fontId="36" fillId="32" borderId="146">
      <alignment horizontal="right" vertical="center"/>
    </xf>
    <xf numFmtId="0" fontId="32" fillId="34" borderId="146">
      <alignment horizontal="right" vertical="center"/>
    </xf>
    <xf numFmtId="4" fontId="32" fillId="34" borderId="146">
      <alignment horizontal="right" vertical="center"/>
    </xf>
    <xf numFmtId="0" fontId="32" fillId="34" borderId="146">
      <alignment horizontal="right" vertical="center"/>
    </xf>
    <xf numFmtId="4" fontId="32" fillId="34" borderId="146">
      <alignment horizontal="right" vertical="center"/>
    </xf>
    <xf numFmtId="0" fontId="32" fillId="34" borderId="147">
      <alignment horizontal="right" vertical="center"/>
    </xf>
    <xf numFmtId="4" fontId="32" fillId="34" borderId="147">
      <alignment horizontal="right" vertical="center"/>
    </xf>
    <xf numFmtId="0" fontId="32" fillId="34" borderId="148">
      <alignment horizontal="right" vertical="center"/>
    </xf>
    <xf numFmtId="4" fontId="32" fillId="34" borderId="148">
      <alignment horizontal="right" vertical="center"/>
    </xf>
    <xf numFmtId="0" fontId="46" fillId="56" borderId="143" applyNumberFormat="0" applyAlignment="0" applyProtection="0"/>
    <xf numFmtId="0" fontId="34" fillId="34" borderId="149">
      <alignment horizontal="left" vertical="center" wrapText="1" indent="2"/>
    </xf>
    <xf numFmtId="0" fontId="34" fillId="0" borderId="149">
      <alignment horizontal="left" vertical="center" wrapText="1" indent="2"/>
    </xf>
    <xf numFmtId="0" fontId="34" fillId="32" borderId="147">
      <alignment horizontal="left" vertical="center"/>
    </xf>
    <xf numFmtId="0" fontId="58" fillId="43" borderId="143" applyNumberFormat="0" applyAlignment="0" applyProtection="0"/>
    <xf numFmtId="0" fontId="34" fillId="0" borderId="146">
      <alignment horizontal="right" vertical="center"/>
    </xf>
    <xf numFmtId="4" fontId="34" fillId="0" borderId="146">
      <alignment horizontal="right" vertical="center"/>
    </xf>
    <xf numFmtId="0" fontId="34" fillId="0" borderId="146" applyNumberFormat="0" applyFill="0" applyAlignment="0" applyProtection="0"/>
    <xf numFmtId="0" fontId="62" fillId="56" borderId="142" applyNumberFormat="0" applyAlignment="0" applyProtection="0"/>
    <xf numFmtId="173" fontId="34" fillId="60" borderId="146" applyNumberFormat="0" applyFont="0" applyBorder="0" applyAlignment="0" applyProtection="0">
      <alignment horizontal="right" vertical="center"/>
    </xf>
    <xf numFmtId="0" fontId="34" fillId="33" borderId="146"/>
    <xf numFmtId="4" fontId="34" fillId="33" borderId="146"/>
    <xf numFmtId="0" fontId="65" fillId="0" borderId="144" applyNumberFormat="0" applyFill="0" applyAlignment="0" applyProtection="0"/>
    <xf numFmtId="0" fontId="5" fillId="59" borderId="145" applyNumberFormat="0" applyFont="0" applyAlignment="0" applyProtection="0"/>
    <xf numFmtId="0" fontId="40" fillId="59" borderId="145" applyNumberFormat="0" applyFont="0" applyAlignment="0" applyProtection="0"/>
    <xf numFmtId="0" fontId="34" fillId="0" borderId="146" applyNumberFormat="0" applyFill="0" applyAlignment="0" applyProtection="0"/>
    <xf numFmtId="0" fontId="50" fillId="0" borderId="144" applyNumberFormat="0" applyFill="0" applyAlignment="0" applyProtection="0"/>
    <xf numFmtId="0" fontId="65" fillId="0" borderId="144" applyNumberFormat="0" applyFill="0" applyAlignment="0" applyProtection="0"/>
    <xf numFmtId="0" fontId="49" fillId="43" borderId="143" applyNumberFormat="0" applyAlignment="0" applyProtection="0"/>
    <xf numFmtId="0" fontId="46" fillId="56" borderId="143" applyNumberFormat="0" applyAlignment="0" applyProtection="0"/>
    <xf numFmtId="4" fontId="36" fillId="32" borderId="146">
      <alignment horizontal="right" vertical="center"/>
    </xf>
    <xf numFmtId="0" fontId="32" fillId="32" borderId="146">
      <alignment horizontal="right" vertical="center"/>
    </xf>
    <xf numFmtId="173" fontId="34" fillId="60" borderId="146" applyNumberFormat="0" applyFont="0" applyBorder="0" applyAlignment="0" applyProtection="0">
      <alignment horizontal="right" vertical="center"/>
    </xf>
    <xf numFmtId="0" fontId="50" fillId="0" borderId="144" applyNumberFormat="0" applyFill="0" applyAlignment="0" applyProtection="0"/>
    <xf numFmtId="49" fontId="34" fillId="0" borderId="146" applyNumberFormat="0" applyFont="0" applyFill="0" applyBorder="0" applyProtection="0">
      <alignment horizontal="left" vertical="center" indent="2"/>
    </xf>
    <xf numFmtId="49" fontId="34" fillId="0" borderId="147" applyNumberFormat="0" applyFont="0" applyFill="0" applyBorder="0" applyProtection="0">
      <alignment horizontal="left" vertical="center" indent="5"/>
    </xf>
    <xf numFmtId="49" fontId="34" fillId="0" borderId="146" applyNumberFormat="0" applyFont="0" applyFill="0" applyBorder="0" applyProtection="0">
      <alignment horizontal="left" vertical="center" indent="2"/>
    </xf>
    <xf numFmtId="4" fontId="34" fillId="0" borderId="146" applyFill="0" applyBorder="0" applyProtection="0">
      <alignment horizontal="right" vertical="center"/>
    </xf>
    <xf numFmtId="49" fontId="33" fillId="0" borderId="146" applyNumberFormat="0" applyFill="0" applyBorder="0" applyProtection="0">
      <alignment horizontal="left" vertical="center"/>
    </xf>
    <xf numFmtId="0" fontId="34" fillId="0" borderId="149">
      <alignment horizontal="left" vertical="center" wrapText="1" indent="2"/>
    </xf>
    <xf numFmtId="0" fontId="62" fillId="56" borderId="142" applyNumberFormat="0" applyAlignment="0" applyProtection="0"/>
    <xf numFmtId="0" fontId="32" fillId="34" borderId="148">
      <alignment horizontal="right" vertical="center"/>
    </xf>
    <xf numFmtId="0" fontId="49" fillId="43" borderId="143" applyNumberFormat="0" applyAlignment="0" applyProtection="0"/>
    <xf numFmtId="0" fontId="32" fillId="34" borderId="148">
      <alignment horizontal="right" vertical="center"/>
    </xf>
    <xf numFmtId="4" fontId="32" fillId="34" borderId="146">
      <alignment horizontal="right" vertical="center"/>
    </xf>
    <xf numFmtId="0" fontId="32" fillId="34" borderId="146">
      <alignment horizontal="right" vertical="center"/>
    </xf>
    <xf numFmtId="0" fontId="43" fillId="56" borderId="142" applyNumberFormat="0" applyAlignment="0" applyProtection="0"/>
    <xf numFmtId="0" fontId="45" fillId="56" borderId="143" applyNumberFormat="0" applyAlignment="0" applyProtection="0"/>
    <xf numFmtId="0" fontId="50" fillId="0" borderId="144" applyNumberFormat="0" applyFill="0" applyAlignment="0" applyProtection="0"/>
    <xf numFmtId="0" fontId="34" fillId="33" borderId="146"/>
    <xf numFmtId="4" fontId="34" fillId="33" borderId="146"/>
    <xf numFmtId="4" fontId="32" fillId="34" borderId="146">
      <alignment horizontal="right" vertical="center"/>
    </xf>
    <xf numFmtId="0" fontId="36" fillId="32" borderId="146">
      <alignment horizontal="right" vertical="center"/>
    </xf>
    <xf numFmtId="0" fontId="49" fillId="43" borderId="143" applyNumberFormat="0" applyAlignment="0" applyProtection="0"/>
    <xf numFmtId="0" fontId="46" fillId="56" borderId="143" applyNumberFormat="0" applyAlignment="0" applyProtection="0"/>
    <xf numFmtId="4" fontId="34" fillId="0" borderId="146">
      <alignment horizontal="right" vertical="center"/>
    </xf>
    <xf numFmtId="0" fontId="34" fillId="34" borderId="149">
      <alignment horizontal="left" vertical="center" wrapText="1" indent="2"/>
    </xf>
    <xf numFmtId="0" fontId="34" fillId="0" borderId="149">
      <alignment horizontal="left" vertical="center" wrapText="1" indent="2"/>
    </xf>
    <xf numFmtId="0" fontId="62" fillId="56" borderId="142" applyNumberFormat="0" applyAlignment="0" applyProtection="0"/>
    <xf numFmtId="0" fontId="58" fillId="43" borderId="143" applyNumberFormat="0" applyAlignment="0" applyProtection="0"/>
    <xf numFmtId="0" fontId="45" fillId="56" borderId="143" applyNumberFormat="0" applyAlignment="0" applyProtection="0"/>
    <xf numFmtId="0" fontId="43" fillId="56" borderId="142" applyNumberFormat="0" applyAlignment="0" applyProtection="0"/>
    <xf numFmtId="0" fontId="32" fillId="34" borderId="148">
      <alignment horizontal="right" vertical="center"/>
    </xf>
    <xf numFmtId="0" fontId="36" fillId="32" borderId="146">
      <alignment horizontal="right" vertical="center"/>
    </xf>
    <xf numFmtId="4" fontId="32" fillId="32" borderId="146">
      <alignment horizontal="right" vertical="center"/>
    </xf>
    <xf numFmtId="4" fontId="32" fillId="34" borderId="146">
      <alignment horizontal="right" vertical="center"/>
    </xf>
    <xf numFmtId="49" fontId="34" fillId="0" borderId="147" applyNumberFormat="0" applyFont="0" applyFill="0" applyBorder="0" applyProtection="0">
      <alignment horizontal="left" vertical="center" indent="5"/>
    </xf>
    <xf numFmtId="4" fontId="34" fillId="0" borderId="146" applyFill="0" applyBorder="0" applyProtection="0">
      <alignment horizontal="right" vertical="center"/>
    </xf>
    <xf numFmtId="4" fontId="32" fillId="32" borderId="146">
      <alignment horizontal="right" vertical="center"/>
    </xf>
    <xf numFmtId="0" fontId="26" fillId="14" borderId="0" applyNumberFormat="0" applyBorder="0" applyAlignment="0" applyProtection="0"/>
    <xf numFmtId="0" fontId="58" fillId="43" borderId="143" applyNumberFormat="0" applyAlignment="0" applyProtection="0"/>
    <xf numFmtId="0" fontId="49" fillId="43" borderId="143" applyNumberFormat="0" applyAlignment="0" applyProtection="0"/>
    <xf numFmtId="0" fontId="45" fillId="56" borderId="143" applyNumberFormat="0" applyAlignment="0" applyProtection="0"/>
    <xf numFmtId="0" fontId="34" fillId="34" borderId="149">
      <alignment horizontal="left" vertical="center" wrapText="1" indent="2"/>
    </xf>
    <xf numFmtId="0" fontId="34" fillId="0" borderId="149">
      <alignment horizontal="left" vertical="center" wrapText="1" indent="2"/>
    </xf>
    <xf numFmtId="0" fontId="34" fillId="34" borderId="149">
      <alignment horizontal="left" vertical="center" wrapText="1" indent="2"/>
    </xf>
    <xf numFmtId="0" fontId="34" fillId="0" borderId="149">
      <alignment horizontal="left" vertical="center" wrapText="1" indent="2"/>
    </xf>
    <xf numFmtId="0" fontId="43" fillId="56" borderId="142" applyNumberFormat="0" applyAlignment="0" applyProtection="0"/>
    <xf numFmtId="0" fontId="45" fillId="56" borderId="143" applyNumberFormat="0" applyAlignment="0" applyProtection="0"/>
    <xf numFmtId="0" fontId="46" fillId="56" borderId="143" applyNumberFormat="0" applyAlignment="0" applyProtection="0"/>
    <xf numFmtId="0" fontId="49" fillId="43" borderId="143" applyNumberFormat="0" applyAlignment="0" applyProtection="0"/>
    <xf numFmtId="0" fontId="50" fillId="0" borderId="144" applyNumberFormat="0" applyFill="0" applyAlignment="0" applyProtection="0"/>
    <xf numFmtId="0" fontId="58" fillId="43" borderId="143" applyNumberFormat="0" applyAlignment="0" applyProtection="0"/>
    <xf numFmtId="0" fontId="40" fillId="59" borderId="145" applyNumberFormat="0" applyFont="0" applyAlignment="0" applyProtection="0"/>
    <xf numFmtId="0" fontId="5" fillId="59" borderId="145" applyNumberFormat="0" applyFont="0" applyAlignment="0" applyProtection="0"/>
    <xf numFmtId="0" fontId="62" fillId="56" borderId="142" applyNumberFormat="0" applyAlignment="0" applyProtection="0"/>
    <xf numFmtId="0" fontId="65" fillId="0" borderId="144" applyNumberFormat="0" applyFill="0" applyAlignment="0" applyProtection="0"/>
    <xf numFmtId="0" fontId="46" fillId="56" borderId="143" applyNumberFormat="0" applyAlignment="0" applyProtection="0"/>
    <xf numFmtId="0" fontId="58" fillId="43" borderId="143" applyNumberFormat="0" applyAlignment="0" applyProtection="0"/>
    <xf numFmtId="0" fontId="40" fillId="59" borderId="145" applyNumberFormat="0" applyFont="0" applyAlignment="0" applyProtection="0"/>
    <xf numFmtId="0" fontId="62" fillId="56" borderId="142" applyNumberFormat="0" applyAlignment="0" applyProtection="0"/>
    <xf numFmtId="0" fontId="65" fillId="0" borderId="144" applyNumberFormat="0" applyFill="0" applyAlignment="0" applyProtection="0"/>
    <xf numFmtId="0" fontId="40" fillId="59" borderId="168" applyNumberFormat="0" applyFont="0" applyAlignment="0" applyProtection="0"/>
    <xf numFmtId="0" fontId="34" fillId="0" borderId="154" applyNumberFormat="0" applyFill="0" applyAlignment="0" applyProtection="0"/>
    <xf numFmtId="4" fontId="32" fillId="34" borderId="156">
      <alignment horizontal="right" vertical="center"/>
    </xf>
    <xf numFmtId="0" fontId="32" fillId="34" borderId="154">
      <alignment horizontal="right" vertical="center"/>
    </xf>
    <xf numFmtId="0" fontId="46" fillId="56" borderId="143" applyNumberFormat="0" applyAlignment="0" applyProtection="0"/>
    <xf numFmtId="4" fontId="32" fillId="34" borderId="154">
      <alignment horizontal="right" vertical="center"/>
    </xf>
    <xf numFmtId="0" fontId="12" fillId="28" borderId="0" applyNumberFormat="0" applyBorder="0" applyAlignment="0" applyProtection="0"/>
    <xf numFmtId="0" fontId="65" fillId="0" borderId="167" applyNumberFormat="0" applyFill="0" applyAlignment="0" applyProtection="0"/>
    <xf numFmtId="0" fontId="58" fillId="43" borderId="143" applyNumberFormat="0" applyAlignment="0" applyProtection="0"/>
    <xf numFmtId="0" fontId="62" fillId="56" borderId="142" applyNumberFormat="0" applyAlignment="0" applyProtection="0"/>
    <xf numFmtId="0" fontId="65" fillId="0" borderId="144" applyNumberFormat="0" applyFill="0" applyAlignment="0" applyProtection="0"/>
    <xf numFmtId="4" fontId="32" fillId="34" borderId="164">
      <alignment horizontal="right" vertical="center"/>
    </xf>
    <xf numFmtId="0" fontId="43" fillId="56" borderId="142" applyNumberFormat="0" applyAlignment="0" applyProtection="0"/>
    <xf numFmtId="0" fontId="45" fillId="56" borderId="143" applyNumberFormat="0" applyAlignment="0" applyProtection="0"/>
    <xf numFmtId="0" fontId="50" fillId="0" borderId="144" applyNumberFormat="0" applyFill="0" applyAlignment="0" applyProtection="0"/>
    <xf numFmtId="49" fontId="34" fillId="0" borderId="146" applyNumberFormat="0" applyFont="0" applyFill="0" applyBorder="0" applyProtection="0">
      <alignment horizontal="left" vertical="center" indent="2"/>
    </xf>
    <xf numFmtId="0" fontId="32" fillId="32" borderId="146">
      <alignment horizontal="right" vertical="center"/>
    </xf>
    <xf numFmtId="4" fontId="32" fillId="32" borderId="146">
      <alignment horizontal="right" vertical="center"/>
    </xf>
    <xf numFmtId="0" fontId="36" fillId="32" borderId="146">
      <alignment horizontal="right" vertical="center"/>
    </xf>
    <xf numFmtId="4" fontId="36" fillId="32" borderId="146">
      <alignment horizontal="right" vertical="center"/>
    </xf>
    <xf numFmtId="0" fontId="32" fillId="34" borderId="146">
      <alignment horizontal="right" vertical="center"/>
    </xf>
    <xf numFmtId="4" fontId="32" fillId="34" borderId="146">
      <alignment horizontal="right" vertical="center"/>
    </xf>
    <xf numFmtId="0" fontId="32" fillId="34" borderId="146">
      <alignment horizontal="right" vertical="center"/>
    </xf>
    <xf numFmtId="4" fontId="32" fillId="34" borderId="146">
      <alignment horizontal="right" vertical="center"/>
    </xf>
    <xf numFmtId="0" fontId="49" fillId="43" borderId="143" applyNumberFormat="0" applyAlignment="0" applyProtection="0"/>
    <xf numFmtId="0" fontId="34" fillId="0" borderId="146">
      <alignment horizontal="right" vertical="center"/>
    </xf>
    <xf numFmtId="4" fontId="34" fillId="0" borderId="146">
      <alignment horizontal="right" vertical="center"/>
    </xf>
    <xf numFmtId="4" fontId="34" fillId="0" borderId="146" applyFill="0" applyBorder="0" applyProtection="0">
      <alignment horizontal="right" vertical="center"/>
    </xf>
    <xf numFmtId="49" fontId="33" fillId="0" borderId="146" applyNumberFormat="0" applyFill="0" applyBorder="0" applyProtection="0">
      <alignment horizontal="left" vertical="center"/>
    </xf>
    <xf numFmtId="0" fontId="34" fillId="0" borderId="146" applyNumberFormat="0" applyFill="0" applyAlignment="0" applyProtection="0"/>
    <xf numFmtId="173" fontId="34" fillId="60" borderId="146" applyNumberFormat="0" applyFont="0" applyBorder="0" applyAlignment="0" applyProtection="0">
      <alignment horizontal="right" vertical="center"/>
    </xf>
    <xf numFmtId="0" fontId="34" fillId="33" borderId="146"/>
    <xf numFmtId="4" fontId="34" fillId="33" borderId="146"/>
    <xf numFmtId="4" fontId="32" fillId="34" borderId="146">
      <alignment horizontal="right" vertical="center"/>
    </xf>
    <xf numFmtId="0" fontId="34" fillId="33" borderId="146"/>
    <xf numFmtId="0" fontId="45" fillId="56" borderId="143" applyNumberFormat="0" applyAlignment="0" applyProtection="0"/>
    <xf numFmtId="0" fontId="32" fillId="32" borderId="146">
      <alignment horizontal="right" vertical="center"/>
    </xf>
    <xf numFmtId="0" fontId="34" fillId="0" borderId="146">
      <alignment horizontal="right" vertical="center"/>
    </xf>
    <xf numFmtId="0" fontId="65" fillId="0" borderId="144" applyNumberFormat="0" applyFill="0" applyAlignment="0" applyProtection="0"/>
    <xf numFmtId="0" fontId="34" fillId="32" borderId="147">
      <alignment horizontal="left" vertical="center"/>
    </xf>
    <xf numFmtId="0" fontId="58" fillId="43" borderId="143" applyNumberFormat="0" applyAlignment="0" applyProtection="0"/>
    <xf numFmtId="173" fontId="34" fillId="60" borderId="146" applyNumberFormat="0" applyFont="0" applyBorder="0" applyAlignment="0" applyProtection="0">
      <alignment horizontal="right" vertical="center"/>
    </xf>
    <xf numFmtId="0" fontId="40" fillId="59" borderId="145" applyNumberFormat="0" applyFont="0" applyAlignment="0" applyProtection="0"/>
    <xf numFmtId="0" fontId="34" fillId="0" borderId="149">
      <alignment horizontal="left" vertical="center" wrapText="1" indent="2"/>
    </xf>
    <xf numFmtId="4" fontId="34" fillId="33" borderId="146"/>
    <xf numFmtId="49" fontId="33" fillId="0" borderId="146" applyNumberFormat="0" applyFill="0" applyBorder="0" applyProtection="0">
      <alignment horizontal="left" vertical="center"/>
    </xf>
    <xf numFmtId="0" fontId="34" fillId="0" borderId="146">
      <alignment horizontal="right" vertical="center"/>
    </xf>
    <xf numFmtId="4" fontId="32" fillId="34" borderId="148">
      <alignment horizontal="right" vertical="center"/>
    </xf>
    <xf numFmtId="4" fontId="32" fillId="34" borderId="146">
      <alignment horizontal="right" vertical="center"/>
    </xf>
    <xf numFmtId="4" fontId="32" fillId="34" borderId="146">
      <alignment horizontal="right" vertical="center"/>
    </xf>
    <xf numFmtId="0" fontId="36" fillId="32" borderId="146">
      <alignment horizontal="right" vertical="center"/>
    </xf>
    <xf numFmtId="0" fontId="32" fillId="32" borderId="146">
      <alignment horizontal="right" vertical="center"/>
    </xf>
    <xf numFmtId="49" fontId="34" fillId="0" borderId="146" applyNumberFormat="0" applyFont="0" applyFill="0" applyBorder="0" applyProtection="0">
      <alignment horizontal="left" vertical="center" indent="2"/>
    </xf>
    <xf numFmtId="0" fontId="58" fillId="43" borderId="143" applyNumberFormat="0" applyAlignment="0" applyProtection="0"/>
    <xf numFmtId="0" fontId="43" fillId="56" borderId="142" applyNumberFormat="0" applyAlignment="0" applyProtection="0"/>
    <xf numFmtId="49" fontId="34" fillId="0" borderId="146" applyNumberFormat="0" applyFont="0" applyFill="0" applyBorder="0" applyProtection="0">
      <alignment horizontal="left" vertical="center" indent="2"/>
    </xf>
    <xf numFmtId="0" fontId="49" fillId="43" borderId="143" applyNumberFormat="0" applyAlignment="0" applyProtection="0"/>
    <xf numFmtId="4" fontId="34" fillId="0" borderId="146" applyFill="0" applyBorder="0" applyProtection="0">
      <alignment horizontal="right" vertical="center"/>
    </xf>
    <xf numFmtId="0" fontId="46" fillId="56" borderId="143" applyNumberFormat="0" applyAlignment="0" applyProtection="0"/>
    <xf numFmtId="0" fontId="65" fillId="0" borderId="144" applyNumberFormat="0" applyFill="0" applyAlignment="0" applyProtection="0"/>
    <xf numFmtId="0" fontId="62" fillId="56" borderId="142" applyNumberFormat="0" applyAlignment="0" applyProtection="0"/>
    <xf numFmtId="0" fontId="34" fillId="0" borderId="146" applyNumberFormat="0" applyFill="0" applyAlignment="0" applyProtection="0"/>
    <xf numFmtId="4" fontId="34" fillId="0" borderId="146">
      <alignment horizontal="right" vertical="center"/>
    </xf>
    <xf numFmtId="0" fontId="34" fillId="0" borderId="146">
      <alignment horizontal="right" vertical="center"/>
    </xf>
    <xf numFmtId="0" fontId="58" fillId="43" borderId="143" applyNumberFormat="0" applyAlignment="0" applyProtection="0"/>
    <xf numFmtId="0" fontId="43" fillId="56" borderId="142" applyNumberFormat="0" applyAlignment="0" applyProtection="0"/>
    <xf numFmtId="0" fontId="45" fillId="56" borderId="143" applyNumberFormat="0" applyAlignment="0" applyProtection="0"/>
    <xf numFmtId="0" fontId="34" fillId="34" borderId="149">
      <alignment horizontal="left" vertical="center" wrapText="1" indent="2"/>
    </xf>
    <xf numFmtId="0" fontId="46" fillId="56" borderId="143" applyNumberFormat="0" applyAlignment="0" applyProtection="0"/>
    <xf numFmtId="0" fontId="46" fillId="56" borderId="143" applyNumberFormat="0" applyAlignment="0" applyProtection="0"/>
    <xf numFmtId="4" fontId="32" fillId="34" borderId="147">
      <alignment horizontal="right" vertical="center"/>
    </xf>
    <xf numFmtId="0" fontId="32" fillId="34" borderId="147">
      <alignment horizontal="right" vertical="center"/>
    </xf>
    <xf numFmtId="0" fontId="32" fillId="34" borderId="146">
      <alignment horizontal="right" vertical="center"/>
    </xf>
    <xf numFmtId="4" fontId="36" fillId="32" borderId="146">
      <alignment horizontal="right" vertical="center"/>
    </xf>
    <xf numFmtId="0" fontId="49" fillId="43" borderId="143" applyNumberFormat="0" applyAlignment="0" applyProtection="0"/>
    <xf numFmtId="0" fontId="50" fillId="0" borderId="144" applyNumberFormat="0" applyFill="0" applyAlignment="0" applyProtection="0"/>
    <xf numFmtId="0" fontId="65" fillId="0" borderId="144" applyNumberFormat="0" applyFill="0" applyAlignment="0" applyProtection="0"/>
    <xf numFmtId="0" fontId="40" fillId="59" borderId="145" applyNumberFormat="0" applyFont="0" applyAlignment="0" applyProtection="0"/>
    <xf numFmtId="0" fontId="58" fillId="43" borderId="143" applyNumberFormat="0" applyAlignment="0" applyProtection="0"/>
    <xf numFmtId="49" fontId="33" fillId="0" borderId="146" applyNumberFormat="0" applyFill="0" applyBorder="0" applyProtection="0">
      <alignment horizontal="left" vertical="center"/>
    </xf>
    <xf numFmtId="0" fontId="34" fillId="34" borderId="149">
      <alignment horizontal="left" vertical="center" wrapText="1" indent="2"/>
    </xf>
    <xf numFmtId="0" fontId="46" fillId="56" borderId="143" applyNumberFormat="0" applyAlignment="0" applyProtection="0"/>
    <xf numFmtId="0" fontId="34" fillId="0" borderId="149">
      <alignment horizontal="left" vertical="center" wrapText="1" indent="2"/>
    </xf>
    <xf numFmtId="0" fontId="40" fillId="59" borderId="145" applyNumberFormat="0" applyFont="0" applyAlignment="0" applyProtection="0"/>
    <xf numFmtId="0" fontId="5" fillId="59" borderId="145" applyNumberFormat="0" applyFont="0" applyAlignment="0" applyProtection="0"/>
    <xf numFmtId="0" fontId="62" fillId="56" borderId="142" applyNumberFormat="0" applyAlignment="0" applyProtection="0"/>
    <xf numFmtId="0" fontId="65" fillId="0" borderId="144" applyNumberFormat="0" applyFill="0" applyAlignment="0" applyProtection="0"/>
    <xf numFmtId="4" fontId="34" fillId="33" borderId="146"/>
    <xf numFmtId="0" fontId="32" fillId="34" borderId="146">
      <alignment horizontal="right" vertical="center"/>
    </xf>
    <xf numFmtId="0" fontId="65" fillId="0" borderId="144" applyNumberFormat="0" applyFill="0" applyAlignment="0" applyProtection="0"/>
    <xf numFmtId="4" fontId="32" fillId="34" borderId="148">
      <alignment horizontal="right" vertical="center"/>
    </xf>
    <xf numFmtId="0" fontId="45" fillId="56" borderId="143" applyNumberFormat="0" applyAlignment="0" applyProtection="0"/>
    <xf numFmtId="0" fontId="32" fillId="34" borderId="147">
      <alignment horizontal="right" vertical="center"/>
    </xf>
    <xf numFmtId="0" fontId="46" fillId="56" borderId="143" applyNumberFormat="0" applyAlignment="0" applyProtection="0"/>
    <xf numFmtId="0" fontId="50" fillId="0" borderId="144" applyNumberFormat="0" applyFill="0" applyAlignment="0" applyProtection="0"/>
    <xf numFmtId="0" fontId="40" fillId="59" borderId="145" applyNumberFormat="0" applyFont="0" applyAlignment="0" applyProtection="0"/>
    <xf numFmtId="4" fontId="32" fillId="34" borderId="147">
      <alignment horizontal="right" vertical="center"/>
    </xf>
    <xf numFmtId="0" fontId="34" fillId="34" borderId="149">
      <alignment horizontal="left" vertical="center" wrapText="1" indent="2"/>
    </xf>
    <xf numFmtId="0" fontId="34" fillId="33" borderId="146"/>
    <xf numFmtId="173" fontId="34" fillId="60" borderId="146" applyNumberFormat="0" applyFont="0" applyBorder="0" applyAlignment="0" applyProtection="0">
      <alignment horizontal="right" vertical="center"/>
    </xf>
    <xf numFmtId="0" fontId="34" fillId="0" borderId="146" applyNumberFormat="0" applyFill="0" applyAlignment="0" applyProtection="0"/>
    <xf numFmtId="4" fontId="34" fillId="0" borderId="146" applyFill="0" applyBorder="0" applyProtection="0">
      <alignment horizontal="right" vertical="center"/>
    </xf>
    <xf numFmtId="4" fontId="32" fillId="32" borderId="146">
      <alignment horizontal="right" vertical="center"/>
    </xf>
    <xf numFmtId="0" fontId="50" fillId="0" borderId="144" applyNumberFormat="0" applyFill="0" applyAlignment="0" applyProtection="0"/>
    <xf numFmtId="49" fontId="33" fillId="0" borderId="146" applyNumberFormat="0" applyFill="0" applyBorder="0" applyProtection="0">
      <alignment horizontal="left" vertical="center"/>
    </xf>
    <xf numFmtId="49" fontId="34" fillId="0" borderId="147" applyNumberFormat="0" applyFont="0" applyFill="0" applyBorder="0" applyProtection="0">
      <alignment horizontal="left" vertical="center" indent="5"/>
    </xf>
    <xf numFmtId="0" fontId="34" fillId="32" borderId="147">
      <alignment horizontal="left" vertical="center"/>
    </xf>
    <xf numFmtId="0" fontId="46" fillId="56" borderId="143" applyNumberFormat="0" applyAlignment="0" applyProtection="0"/>
    <xf numFmtId="4" fontId="32" fillId="34" borderId="148">
      <alignment horizontal="right" vertical="center"/>
    </xf>
    <xf numFmtId="0" fontId="58" fillId="43" borderId="143" applyNumberFormat="0" applyAlignment="0" applyProtection="0"/>
    <xf numFmtId="0" fontId="58" fillId="43" borderId="143" applyNumberFormat="0" applyAlignment="0" applyProtection="0"/>
    <xf numFmtId="0" fontId="40" fillId="59" borderId="145" applyNumberFormat="0" applyFont="0" applyAlignment="0" applyProtection="0"/>
    <xf numFmtId="0" fontId="62" fillId="56" borderId="142" applyNumberFormat="0" applyAlignment="0" applyProtection="0"/>
    <xf numFmtId="0" fontId="65" fillId="0" borderId="144" applyNumberFormat="0" applyFill="0" applyAlignment="0" applyProtection="0"/>
    <xf numFmtId="0" fontId="32" fillId="34" borderId="146">
      <alignment horizontal="right" vertical="center"/>
    </xf>
    <xf numFmtId="0" fontId="5" fillId="59" borderId="145" applyNumberFormat="0" applyFont="0" applyAlignment="0" applyProtection="0"/>
    <xf numFmtId="4" fontId="34" fillId="0" borderId="146">
      <alignment horizontal="right" vertical="center"/>
    </xf>
    <xf numFmtId="0" fontId="65" fillId="0" borderId="144" applyNumberFormat="0" applyFill="0" applyAlignment="0" applyProtection="0"/>
    <xf numFmtId="0" fontId="32" fillId="34" borderId="146">
      <alignment horizontal="right" vertical="center"/>
    </xf>
    <xf numFmtId="0" fontId="32" fillId="34" borderId="146">
      <alignment horizontal="right" vertical="center"/>
    </xf>
    <xf numFmtId="4" fontId="36" fillId="32" borderId="146">
      <alignment horizontal="right" vertical="center"/>
    </xf>
    <xf numFmtId="0" fontId="32" fillId="32" borderId="146">
      <alignment horizontal="right" vertical="center"/>
    </xf>
    <xf numFmtId="4" fontId="32" fillId="32" borderId="146">
      <alignment horizontal="right" vertical="center"/>
    </xf>
    <xf numFmtId="0" fontId="36" fillId="32" borderId="146">
      <alignment horizontal="right" vertical="center"/>
    </xf>
    <xf numFmtId="4" fontId="36" fillId="32" borderId="146">
      <alignment horizontal="right" vertical="center"/>
    </xf>
    <xf numFmtId="0" fontId="32" fillId="34" borderId="146">
      <alignment horizontal="right" vertical="center"/>
    </xf>
    <xf numFmtId="4" fontId="32" fillId="34" borderId="146">
      <alignment horizontal="right" vertical="center"/>
    </xf>
    <xf numFmtId="0" fontId="32" fillId="34" borderId="146">
      <alignment horizontal="right" vertical="center"/>
    </xf>
    <xf numFmtId="4" fontId="32" fillId="34" borderId="146">
      <alignment horizontal="right" vertical="center"/>
    </xf>
    <xf numFmtId="0" fontId="32" fillId="34" borderId="147">
      <alignment horizontal="right" vertical="center"/>
    </xf>
    <xf numFmtId="4" fontId="32" fillId="34" borderId="147">
      <alignment horizontal="right" vertical="center"/>
    </xf>
    <xf numFmtId="0" fontId="32" fillId="34" borderId="148">
      <alignment horizontal="right" vertical="center"/>
    </xf>
    <xf numFmtId="4" fontId="32" fillId="34" borderId="148">
      <alignment horizontal="right" vertical="center"/>
    </xf>
    <xf numFmtId="0" fontId="46" fillId="56" borderId="143" applyNumberFormat="0" applyAlignment="0" applyProtection="0"/>
    <xf numFmtId="0" fontId="34" fillId="34" borderId="149">
      <alignment horizontal="left" vertical="center" wrapText="1" indent="2"/>
    </xf>
    <xf numFmtId="0" fontId="34" fillId="0" borderId="149">
      <alignment horizontal="left" vertical="center" wrapText="1" indent="2"/>
    </xf>
    <xf numFmtId="0" fontId="34" fillId="32" borderId="147">
      <alignment horizontal="left" vertical="center"/>
    </xf>
    <xf numFmtId="0" fontId="58" fillId="43" borderId="143" applyNumberFormat="0" applyAlignment="0" applyProtection="0"/>
    <xf numFmtId="0" fontId="34" fillId="0" borderId="146">
      <alignment horizontal="right" vertical="center"/>
    </xf>
    <xf numFmtId="4" fontId="34" fillId="0" borderId="146">
      <alignment horizontal="right" vertical="center"/>
    </xf>
    <xf numFmtId="0" fontId="34" fillId="0" borderId="146" applyNumberFormat="0" applyFill="0" applyAlignment="0" applyProtection="0"/>
    <xf numFmtId="0" fontId="62" fillId="56" borderId="142" applyNumberFormat="0" applyAlignment="0" applyProtection="0"/>
    <xf numFmtId="173" fontId="34" fillId="60" borderId="146" applyNumberFormat="0" applyFont="0" applyBorder="0" applyAlignment="0" applyProtection="0">
      <alignment horizontal="right" vertical="center"/>
    </xf>
    <xf numFmtId="0" fontId="34" fillId="33" borderId="146"/>
    <xf numFmtId="4" fontId="34" fillId="33" borderId="146"/>
    <xf numFmtId="0" fontId="65" fillId="0" borderId="144" applyNumberFormat="0" applyFill="0" applyAlignment="0" applyProtection="0"/>
    <xf numFmtId="0" fontId="5" fillId="59" borderId="145" applyNumberFormat="0" applyFont="0" applyAlignment="0" applyProtection="0"/>
    <xf numFmtId="0" fontId="40" fillId="59" borderId="145" applyNumberFormat="0" applyFont="0" applyAlignment="0" applyProtection="0"/>
    <xf numFmtId="0" fontId="34" fillId="0" borderId="146" applyNumberFormat="0" applyFill="0" applyAlignment="0" applyProtection="0"/>
    <xf numFmtId="0" fontId="50" fillId="0" borderId="144" applyNumberFormat="0" applyFill="0" applyAlignment="0" applyProtection="0"/>
    <xf numFmtId="0" fontId="65" fillId="0" borderId="144" applyNumberFormat="0" applyFill="0" applyAlignment="0" applyProtection="0"/>
    <xf numFmtId="0" fontId="49" fillId="43" borderId="143" applyNumberFormat="0" applyAlignment="0" applyProtection="0"/>
    <xf numFmtId="0" fontId="46" fillId="56" borderId="143" applyNumberFormat="0" applyAlignment="0" applyProtection="0"/>
    <xf numFmtId="4" fontId="36" fillId="32" borderId="146">
      <alignment horizontal="right" vertical="center"/>
    </xf>
    <xf numFmtId="0" fontId="32" fillId="32" borderId="146">
      <alignment horizontal="right" vertical="center"/>
    </xf>
    <xf numFmtId="173" fontId="34" fillId="60" borderId="146" applyNumberFormat="0" applyFont="0" applyBorder="0" applyAlignment="0" applyProtection="0">
      <alignment horizontal="right" vertical="center"/>
    </xf>
    <xf numFmtId="0" fontId="50" fillId="0" borderId="144" applyNumberFormat="0" applyFill="0" applyAlignment="0" applyProtection="0"/>
    <xf numFmtId="49" fontId="34" fillId="0" borderId="146" applyNumberFormat="0" applyFont="0" applyFill="0" applyBorder="0" applyProtection="0">
      <alignment horizontal="left" vertical="center" indent="2"/>
    </xf>
    <xf numFmtId="49" fontId="34" fillId="0" borderId="147" applyNumberFormat="0" applyFont="0" applyFill="0" applyBorder="0" applyProtection="0">
      <alignment horizontal="left" vertical="center" indent="5"/>
    </xf>
    <xf numFmtId="49" fontId="34" fillId="0" borderId="146" applyNumberFormat="0" applyFont="0" applyFill="0" applyBorder="0" applyProtection="0">
      <alignment horizontal="left" vertical="center" indent="2"/>
    </xf>
    <xf numFmtId="4" fontId="34" fillId="0" borderId="146" applyFill="0" applyBorder="0" applyProtection="0">
      <alignment horizontal="right" vertical="center"/>
    </xf>
    <xf numFmtId="49" fontId="33" fillId="0" borderId="146" applyNumberFormat="0" applyFill="0" applyBorder="0" applyProtection="0">
      <alignment horizontal="left" vertical="center"/>
    </xf>
    <xf numFmtId="0" fontId="34" fillId="0" borderId="149">
      <alignment horizontal="left" vertical="center" wrapText="1" indent="2"/>
    </xf>
    <xf numFmtId="0" fontId="62" fillId="56" borderId="142" applyNumberFormat="0" applyAlignment="0" applyProtection="0"/>
    <xf numFmtId="0" fontId="32" fillId="34" borderId="148">
      <alignment horizontal="right" vertical="center"/>
    </xf>
    <xf numFmtId="0" fontId="49" fillId="43" borderId="143" applyNumberFormat="0" applyAlignment="0" applyProtection="0"/>
    <xf numFmtId="0" fontId="32" fillId="34" borderId="148">
      <alignment horizontal="right" vertical="center"/>
    </xf>
    <xf numFmtId="4" fontId="32" fillId="34" borderId="146">
      <alignment horizontal="right" vertical="center"/>
    </xf>
    <xf numFmtId="0" fontId="32" fillId="34" borderId="146">
      <alignment horizontal="right" vertical="center"/>
    </xf>
    <xf numFmtId="0" fontId="43" fillId="56" borderId="142" applyNumberFormat="0" applyAlignment="0" applyProtection="0"/>
    <xf numFmtId="0" fontId="45" fillId="56" borderId="143" applyNumberFormat="0" applyAlignment="0" applyProtection="0"/>
    <xf numFmtId="0" fontId="50" fillId="0" borderId="144" applyNumberFormat="0" applyFill="0" applyAlignment="0" applyProtection="0"/>
    <xf numFmtId="0" fontId="34" fillId="33" borderId="146"/>
    <xf numFmtId="4" fontId="34" fillId="33" borderId="146"/>
    <xf numFmtId="4" fontId="32" fillId="34" borderId="146">
      <alignment horizontal="right" vertical="center"/>
    </xf>
    <xf numFmtId="0" fontId="36" fillId="32" borderId="146">
      <alignment horizontal="right" vertical="center"/>
    </xf>
    <xf numFmtId="0" fontId="49" fillId="43" borderId="143" applyNumberFormat="0" applyAlignment="0" applyProtection="0"/>
    <xf numFmtId="0" fontId="46" fillId="56" borderId="143" applyNumberFormat="0" applyAlignment="0" applyProtection="0"/>
    <xf numFmtId="4" fontId="34" fillId="0" borderId="146">
      <alignment horizontal="right" vertical="center"/>
    </xf>
    <xf numFmtId="0" fontId="34" fillId="34" borderId="149">
      <alignment horizontal="left" vertical="center" wrapText="1" indent="2"/>
    </xf>
    <xf numFmtId="0" fontId="34" fillId="0" borderId="149">
      <alignment horizontal="left" vertical="center" wrapText="1" indent="2"/>
    </xf>
    <xf numFmtId="0" fontId="62" fillId="56" borderId="142" applyNumberFormat="0" applyAlignment="0" applyProtection="0"/>
    <xf numFmtId="0" fontId="58" fillId="43" borderId="143" applyNumberFormat="0" applyAlignment="0" applyProtection="0"/>
    <xf numFmtId="0" fontId="45" fillId="56" borderId="143" applyNumberFormat="0" applyAlignment="0" applyProtection="0"/>
    <xf numFmtId="0" fontId="43" fillId="56" borderId="142" applyNumberFormat="0" applyAlignment="0" applyProtection="0"/>
    <xf numFmtId="0" fontId="32" fillId="34" borderId="148">
      <alignment horizontal="right" vertical="center"/>
    </xf>
    <xf numFmtId="0" fontId="36" fillId="32" borderId="146">
      <alignment horizontal="right" vertical="center"/>
    </xf>
    <xf numFmtId="4" fontId="32" fillId="32" borderId="146">
      <alignment horizontal="right" vertical="center"/>
    </xf>
    <xf numFmtId="4" fontId="32" fillId="34" borderId="146">
      <alignment horizontal="right" vertical="center"/>
    </xf>
    <xf numFmtId="49" fontId="34" fillId="0" borderId="147" applyNumberFormat="0" applyFont="0" applyFill="0" applyBorder="0" applyProtection="0">
      <alignment horizontal="left" vertical="center" indent="5"/>
    </xf>
    <xf numFmtId="4" fontId="34" fillId="0" borderId="146" applyFill="0" applyBorder="0" applyProtection="0">
      <alignment horizontal="right" vertical="center"/>
    </xf>
    <xf numFmtId="4" fontId="32" fillId="32" borderId="146">
      <alignment horizontal="right" vertical="center"/>
    </xf>
    <xf numFmtId="0" fontId="58" fillId="43" borderId="143" applyNumberFormat="0" applyAlignment="0" applyProtection="0"/>
    <xf numFmtId="0" fontId="49" fillId="43" borderId="143" applyNumberFormat="0" applyAlignment="0" applyProtection="0"/>
    <xf numFmtId="0" fontId="45" fillId="56" borderId="143" applyNumberFormat="0" applyAlignment="0" applyProtection="0"/>
    <xf numFmtId="0" fontId="34" fillId="34" borderId="149">
      <alignment horizontal="left" vertical="center" wrapText="1" indent="2"/>
    </xf>
    <xf numFmtId="0" fontId="34" fillId="0" borderId="149">
      <alignment horizontal="left" vertical="center" wrapText="1" indent="2"/>
    </xf>
    <xf numFmtId="0" fontId="34" fillId="34" borderId="149">
      <alignment horizontal="left" vertical="center" wrapText="1" indent="2"/>
    </xf>
    <xf numFmtId="0" fontId="34" fillId="0" borderId="149">
      <alignment horizontal="left" vertical="center" wrapText="1" indent="2"/>
    </xf>
    <xf numFmtId="0" fontId="26" fillId="23" borderId="0" applyNumberFormat="0" applyBorder="0" applyAlignment="0" applyProtection="0"/>
    <xf numFmtId="0" fontId="26" fillId="15" borderId="0" applyNumberFormat="0" applyBorder="0" applyAlignment="0" applyProtection="0"/>
    <xf numFmtId="0" fontId="26" fillId="26" borderId="0" applyNumberFormat="0" applyBorder="0" applyAlignment="0" applyProtection="0"/>
    <xf numFmtId="0" fontId="26" fillId="29" borderId="0" applyNumberFormat="0" applyBorder="0" applyAlignment="0" applyProtection="0"/>
    <xf numFmtId="0" fontId="34" fillId="33" borderId="162"/>
    <xf numFmtId="0" fontId="28" fillId="13" borderId="14" applyNumberFormat="0" applyAlignment="0" applyProtection="0"/>
    <xf numFmtId="0" fontId="34" fillId="32" borderId="155">
      <alignment horizontal="left" vertical="center"/>
    </xf>
    <xf numFmtId="0" fontId="34" fillId="0" borderId="165">
      <alignment horizontal="left" vertical="center" wrapText="1" indent="2"/>
    </xf>
    <xf numFmtId="0" fontId="40" fillId="59" borderId="153" applyNumberFormat="0" applyFont="0" applyAlignment="0" applyProtection="0"/>
    <xf numFmtId="0" fontId="40" fillId="59" borderId="161" applyNumberFormat="0" applyFont="0" applyAlignment="0" applyProtection="0"/>
    <xf numFmtId="0" fontId="26" fillId="29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4" fontId="34" fillId="33" borderId="162"/>
    <xf numFmtId="49" fontId="34" fillId="0" borderId="163" applyNumberFormat="0" applyFont="0" applyFill="0" applyBorder="0" applyProtection="0">
      <alignment horizontal="left" vertical="center" indent="5"/>
    </xf>
    <xf numFmtId="0" fontId="26" fillId="26" borderId="0" applyNumberFormat="0" applyBorder="0" applyAlignment="0" applyProtection="0"/>
    <xf numFmtId="0" fontId="26" fillId="17" borderId="0" applyNumberFormat="0" applyBorder="0" applyAlignment="0" applyProtection="0"/>
    <xf numFmtId="0" fontId="26" fillId="30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62" fillId="56" borderId="158" applyNumberFormat="0" applyAlignment="0" applyProtection="0"/>
    <xf numFmtId="0" fontId="34" fillId="34" borderId="157">
      <alignment horizontal="left" vertical="center" wrapText="1" indent="2"/>
    </xf>
    <xf numFmtId="0" fontId="62" fillId="56" borderId="150" applyNumberFormat="0" applyAlignment="0" applyProtection="0"/>
    <xf numFmtId="4" fontId="34" fillId="33" borderId="154"/>
    <xf numFmtId="0" fontId="65" fillId="0" borderId="152" applyNumberFormat="0" applyFill="0" applyAlignment="0" applyProtection="0"/>
    <xf numFmtId="173" fontId="34" fillId="60" borderId="154" applyNumberFormat="0" applyFont="0" applyBorder="0" applyAlignment="0" applyProtection="0">
      <alignment horizontal="right" vertical="center"/>
    </xf>
    <xf numFmtId="0" fontId="34" fillId="0" borderId="154">
      <alignment horizontal="right" vertical="center"/>
    </xf>
    <xf numFmtId="4" fontId="34" fillId="0" borderId="154">
      <alignment horizontal="right" vertical="center"/>
    </xf>
    <xf numFmtId="0" fontId="12" fillId="28" borderId="0" applyNumberFormat="0" applyBorder="0" applyAlignment="0" applyProtection="0"/>
    <xf numFmtId="0" fontId="34" fillId="0" borderId="157">
      <alignment horizontal="left" vertical="center" wrapText="1" indent="2"/>
    </xf>
    <xf numFmtId="4" fontId="32" fillId="34" borderId="154">
      <alignment horizontal="right" vertical="center"/>
    </xf>
    <xf numFmtId="0" fontId="32" fillId="34" borderId="155">
      <alignment horizontal="right" vertical="center"/>
    </xf>
    <xf numFmtId="4" fontId="32" fillId="34" borderId="155">
      <alignment horizontal="right" vertical="center"/>
    </xf>
    <xf numFmtId="0" fontId="32" fillId="34" borderId="154">
      <alignment horizontal="right" vertical="center"/>
    </xf>
    <xf numFmtId="4" fontId="32" fillId="32" borderId="154">
      <alignment horizontal="right" vertical="center"/>
    </xf>
    <xf numFmtId="0" fontId="36" fillId="32" borderId="154">
      <alignment horizontal="right" vertical="center"/>
    </xf>
    <xf numFmtId="0" fontId="65" fillId="0" borderId="167" applyNumberFormat="0" applyFill="0" applyAlignment="0" applyProtection="0"/>
    <xf numFmtId="0" fontId="12" fillId="22" borderId="0" applyNumberFormat="0" applyBorder="0" applyAlignment="0" applyProtection="0"/>
    <xf numFmtId="0" fontId="26" fillId="27" borderId="0" applyNumberFormat="0" applyBorder="0" applyAlignment="0" applyProtection="0"/>
    <xf numFmtId="0" fontId="12" fillId="28" borderId="0" applyNumberFormat="0" applyBorder="0" applyAlignment="0" applyProtection="0"/>
    <xf numFmtId="0" fontId="34" fillId="0" borderId="165">
      <alignment horizontal="left" vertical="center" wrapText="1" indent="2"/>
    </xf>
    <xf numFmtId="0" fontId="12" fillId="16" borderId="0" applyNumberFormat="0" applyBorder="0" applyAlignment="0" applyProtection="0"/>
    <xf numFmtId="0" fontId="40" fillId="59" borderId="161" applyNumberFormat="0" applyFont="0" applyAlignment="0" applyProtection="0"/>
    <xf numFmtId="0" fontId="65" fillId="0" borderId="152" applyNumberFormat="0" applyFill="0" applyAlignment="0" applyProtection="0"/>
    <xf numFmtId="0" fontId="26" fillId="15" borderId="0" applyNumberFormat="0" applyBorder="0" applyAlignment="0" applyProtection="0"/>
    <xf numFmtId="0" fontId="62" fillId="56" borderId="150" applyNumberFormat="0" applyAlignment="0" applyProtection="0"/>
    <xf numFmtId="0" fontId="26" fillId="17" borderId="0" applyNumberFormat="0" applyBorder="0" applyAlignment="0" applyProtection="0"/>
    <xf numFmtId="0" fontId="2" fillId="0" borderId="15" applyNumberFormat="0" applyFill="0" applyAlignment="0" applyProtection="0"/>
    <xf numFmtId="0" fontId="29" fillId="13" borderId="13" applyNumberFormat="0" applyAlignment="0" applyProtection="0"/>
    <xf numFmtId="0" fontId="62" fillId="56" borderId="158" applyNumberFormat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30" fillId="0" borderId="0" applyNumberFormat="0" applyFill="0" applyBorder="0" applyAlignment="0" applyProtection="0"/>
    <xf numFmtId="0" fontId="26" fillId="15" borderId="0" applyNumberFormat="0" applyBorder="0" applyAlignment="0" applyProtection="0"/>
    <xf numFmtId="4" fontId="36" fillId="32" borderId="169">
      <alignment horizontal="right" vertical="center"/>
    </xf>
    <xf numFmtId="0" fontId="1" fillId="0" borderId="0" applyNumberFormat="0" applyFill="0" applyBorder="0" applyAlignment="0" applyProtection="0"/>
    <xf numFmtId="0" fontId="34" fillId="0" borderId="165">
      <alignment horizontal="left" vertical="center" wrapText="1" indent="2"/>
    </xf>
    <xf numFmtId="4" fontId="32" fillId="34" borderId="163">
      <alignment horizontal="right" vertical="center"/>
    </xf>
    <xf numFmtId="0" fontId="26" fillId="24" borderId="0" applyNumberFormat="0" applyBorder="0" applyAlignment="0" applyProtection="0"/>
    <xf numFmtId="0" fontId="26" fillId="15" borderId="0" applyNumberFormat="0" applyBorder="0" applyAlignment="0" applyProtection="0"/>
    <xf numFmtId="0" fontId="32" fillId="34" borderId="163">
      <alignment horizontal="right" vertical="center"/>
    </xf>
    <xf numFmtId="0" fontId="34" fillId="34" borderId="165">
      <alignment horizontal="left" vertical="center" wrapText="1" indent="2"/>
    </xf>
    <xf numFmtId="0" fontId="26" fillId="26" borderId="0" applyNumberFormat="0" applyBorder="0" applyAlignment="0" applyProtection="0"/>
    <xf numFmtId="0" fontId="43" fillId="56" borderId="158" applyNumberFormat="0" applyAlignment="0" applyProtection="0"/>
    <xf numFmtId="0" fontId="46" fillId="56" borderId="159" applyNumberFormat="0" applyAlignment="0" applyProtection="0"/>
    <xf numFmtId="0" fontId="46" fillId="56" borderId="166" applyNumberFormat="0" applyAlignment="0" applyProtection="0"/>
    <xf numFmtId="0" fontId="49" fillId="43" borderId="159" applyNumberFormat="0" applyAlignment="0" applyProtection="0"/>
    <xf numFmtId="0" fontId="26" fillId="27" borderId="0" applyNumberFormat="0" applyBorder="0" applyAlignment="0" applyProtection="0"/>
    <xf numFmtId="0" fontId="30" fillId="0" borderId="0" applyNumberFormat="0" applyFill="0" applyBorder="0" applyAlignment="0" applyProtection="0"/>
    <xf numFmtId="0" fontId="12" fillId="16" borderId="0" applyNumberFormat="0" applyBorder="0" applyAlignment="0" applyProtection="0"/>
    <xf numFmtId="0" fontId="65" fillId="0" borderId="152" applyNumberFormat="0" applyFill="0" applyAlignment="0" applyProtection="0"/>
    <xf numFmtId="0" fontId="40" fillId="59" borderId="153" applyNumberFormat="0" applyFont="0" applyAlignment="0" applyProtection="0"/>
    <xf numFmtId="0" fontId="26" fillId="23" borderId="0" applyNumberFormat="0" applyBorder="0" applyAlignment="0" applyProtection="0"/>
    <xf numFmtId="0" fontId="5" fillId="59" borderId="153" applyNumberFormat="0" applyFont="0" applyAlignment="0" applyProtection="0"/>
    <xf numFmtId="49" fontId="34" fillId="0" borderId="162" applyNumberFormat="0" applyFont="0" applyFill="0" applyBorder="0" applyProtection="0">
      <alignment horizontal="left" vertical="center" indent="2"/>
    </xf>
    <xf numFmtId="0" fontId="36" fillId="32" borderId="169">
      <alignment horizontal="right" vertical="center"/>
    </xf>
    <xf numFmtId="0" fontId="12" fillId="16" borderId="0" applyNumberFormat="0" applyBorder="0" applyAlignment="0" applyProtection="0"/>
    <xf numFmtId="0" fontId="26" fillId="18" borderId="0" applyNumberFormat="0" applyBorder="0" applyAlignment="0" applyProtection="0"/>
    <xf numFmtId="4" fontId="34" fillId="33" borderId="169"/>
    <xf numFmtId="4" fontId="32" fillId="32" borderId="169">
      <alignment horizontal="right" vertical="center"/>
    </xf>
    <xf numFmtId="0" fontId="12" fillId="16" borderId="0" applyNumberFormat="0" applyBorder="0" applyAlignment="0" applyProtection="0"/>
    <xf numFmtId="0" fontId="34" fillId="34" borderId="165">
      <alignment horizontal="left" vertical="center" wrapText="1" indent="2"/>
    </xf>
    <xf numFmtId="0" fontId="26" fillId="24" borderId="0" applyNumberFormat="0" applyBorder="0" applyAlignment="0" applyProtection="0"/>
    <xf numFmtId="0" fontId="58" fillId="43" borderId="151" applyNumberFormat="0" applyAlignment="0" applyProtection="0"/>
    <xf numFmtId="0" fontId="12" fillId="25" borderId="0" applyNumberFormat="0" applyBorder="0" applyAlignment="0" applyProtection="0"/>
    <xf numFmtId="0" fontId="34" fillId="34" borderId="157">
      <alignment horizontal="left" vertical="center" wrapText="1" indent="2"/>
    </xf>
    <xf numFmtId="4" fontId="36" fillId="32" borderId="154">
      <alignment horizontal="right" vertical="center"/>
    </xf>
    <xf numFmtId="173" fontId="34" fillId="60" borderId="169" applyNumberFormat="0" applyFont="0" applyBorder="0" applyAlignment="0" applyProtection="0">
      <alignment horizontal="right" vertical="center"/>
    </xf>
    <xf numFmtId="0" fontId="34" fillId="34" borderId="165">
      <alignment horizontal="left" vertical="center" wrapText="1" indent="2"/>
    </xf>
    <xf numFmtId="0" fontId="26" fillId="29" borderId="0" applyNumberFormat="0" applyBorder="0" applyAlignment="0" applyProtection="0"/>
    <xf numFmtId="0" fontId="1" fillId="0" borderId="0" applyNumberFormat="0" applyFill="0" applyBorder="0" applyAlignment="0" applyProtection="0"/>
    <xf numFmtId="0" fontId="26" fillId="21" borderId="0" applyNumberFormat="0" applyBorder="0" applyAlignment="0" applyProtection="0"/>
    <xf numFmtId="0" fontId="46" fillId="56" borderId="166" applyNumberFormat="0" applyAlignment="0" applyProtection="0"/>
    <xf numFmtId="0" fontId="26" fillId="20" borderId="0" applyNumberFormat="0" applyBorder="0" applyAlignment="0" applyProtection="0"/>
    <xf numFmtId="0" fontId="2" fillId="0" borderId="15" applyNumberFormat="0" applyFill="0" applyAlignment="0" applyProtection="0"/>
    <xf numFmtId="0" fontId="26" fillId="27" borderId="0" applyNumberFormat="0" applyBorder="0" applyAlignment="0" applyProtection="0"/>
    <xf numFmtId="4" fontId="36" fillId="32" borderId="154">
      <alignment horizontal="right" vertical="center"/>
    </xf>
    <xf numFmtId="4" fontId="32" fillId="32" borderId="154">
      <alignment horizontal="right" vertical="center"/>
    </xf>
    <xf numFmtId="0" fontId="34" fillId="0" borderId="157">
      <alignment horizontal="left" vertical="center" wrapText="1" indent="2"/>
    </xf>
    <xf numFmtId="0" fontId="62" fillId="56" borderId="150" applyNumberFormat="0" applyAlignment="0" applyProtection="0"/>
    <xf numFmtId="0" fontId="34" fillId="0" borderId="154">
      <alignment horizontal="right" vertical="center"/>
    </xf>
    <xf numFmtId="0" fontId="65" fillId="0" borderId="152" applyNumberFormat="0" applyFill="0" applyAlignment="0" applyProtection="0"/>
    <xf numFmtId="49" fontId="33" fillId="0" borderId="154" applyNumberFormat="0" applyFill="0" applyBorder="0" applyProtection="0">
      <alignment horizontal="left" vertical="center"/>
    </xf>
    <xf numFmtId="4" fontId="34" fillId="33" borderId="154"/>
    <xf numFmtId="0" fontId="58" fillId="43" borderId="151" applyNumberFormat="0" applyAlignment="0" applyProtection="0"/>
    <xf numFmtId="173" fontId="34" fillId="60" borderId="162" applyNumberFormat="0" applyFont="0" applyBorder="0" applyAlignment="0" applyProtection="0">
      <alignment horizontal="right" vertical="center"/>
    </xf>
    <xf numFmtId="0" fontId="46" fillId="56" borderId="166" applyNumberFormat="0" applyAlignment="0" applyProtection="0"/>
    <xf numFmtId="173" fontId="34" fillId="60" borderId="154" applyNumberFormat="0" applyFont="0" applyBorder="0" applyAlignment="0" applyProtection="0">
      <alignment horizontal="right" vertical="center"/>
    </xf>
    <xf numFmtId="0" fontId="65" fillId="0" borderId="167" applyNumberFormat="0" applyFill="0" applyAlignment="0" applyProtection="0"/>
    <xf numFmtId="0" fontId="46" fillId="56" borderId="151" applyNumberFormat="0" applyAlignment="0" applyProtection="0"/>
    <xf numFmtId="0" fontId="65" fillId="0" borderId="167" applyNumberFormat="0" applyFill="0" applyAlignment="0" applyProtection="0"/>
    <xf numFmtId="0" fontId="1" fillId="0" borderId="0" applyNumberFormat="0" applyFill="0" applyBorder="0" applyAlignment="0" applyProtection="0"/>
    <xf numFmtId="0" fontId="12" fillId="22" borderId="0" applyNumberFormat="0" applyBorder="0" applyAlignment="0" applyProtection="0"/>
    <xf numFmtId="0" fontId="34" fillId="0" borderId="165">
      <alignment horizontal="left" vertical="center" wrapText="1" indent="2"/>
    </xf>
    <xf numFmtId="0" fontId="58" fillId="43" borderId="151" applyNumberFormat="0" applyAlignment="0" applyProtection="0"/>
    <xf numFmtId="0" fontId="43" fillId="56" borderId="150" applyNumberFormat="0" applyAlignment="0" applyProtection="0"/>
    <xf numFmtId="0" fontId="50" fillId="0" borderId="167" applyNumberFormat="0" applyFill="0" applyAlignment="0" applyProtection="0"/>
    <xf numFmtId="49" fontId="33" fillId="0" borderId="154" applyNumberFormat="0" applyFill="0" applyBorder="0" applyProtection="0">
      <alignment horizontal="left" vertical="center"/>
    </xf>
    <xf numFmtId="0" fontId="65" fillId="0" borderId="152" applyNumberFormat="0" applyFill="0" applyAlignment="0" applyProtection="0"/>
    <xf numFmtId="0" fontId="34" fillId="0" borderId="154">
      <alignment horizontal="right" vertical="center"/>
    </xf>
    <xf numFmtId="0" fontId="32" fillId="34" borderId="155">
      <alignment horizontal="right" vertical="center"/>
    </xf>
    <xf numFmtId="0" fontId="65" fillId="0" borderId="152" applyNumberFormat="0" applyFill="0" applyAlignment="0" applyProtection="0"/>
    <xf numFmtId="4" fontId="34" fillId="33" borderId="169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12" fillId="19" borderId="0" applyNumberFormat="0" applyBorder="0" applyAlignment="0" applyProtection="0"/>
    <xf numFmtId="0" fontId="65" fillId="0" borderId="160" applyNumberFormat="0" applyFill="0" applyAlignment="0" applyProtection="0"/>
    <xf numFmtId="0" fontId="26" fillId="20" borderId="0" applyNumberFormat="0" applyBorder="0" applyAlignment="0" applyProtection="0"/>
    <xf numFmtId="0" fontId="32" fillId="34" borderId="162">
      <alignment horizontal="right" vertical="center"/>
    </xf>
    <xf numFmtId="0" fontId="46" fillId="56" borderId="159" applyNumberFormat="0" applyAlignment="0" applyProtection="0"/>
    <xf numFmtId="4" fontId="34" fillId="0" borderId="154" applyFill="0" applyBorder="0" applyProtection="0">
      <alignment horizontal="right" vertical="center"/>
    </xf>
    <xf numFmtId="0" fontId="5" fillId="59" borderId="168" applyNumberFormat="0" applyFont="0" applyAlignment="0" applyProtection="0"/>
    <xf numFmtId="0" fontId="34" fillId="33" borderId="162"/>
    <xf numFmtId="0" fontId="30" fillId="0" borderId="0" applyNumberFormat="0" applyFill="0" applyBorder="0" applyAlignment="0" applyProtection="0"/>
    <xf numFmtId="0" fontId="26" fillId="20" borderId="0" applyNumberFormat="0" applyBorder="0" applyAlignment="0" applyProtection="0"/>
    <xf numFmtId="0" fontId="34" fillId="0" borderId="157">
      <alignment horizontal="left" vertical="center" wrapText="1" indent="2"/>
    </xf>
    <xf numFmtId="0" fontId="12" fillId="31" borderId="0" applyNumberFormat="0" applyBorder="0" applyAlignment="0" applyProtection="0"/>
    <xf numFmtId="0" fontId="65" fillId="0" borderId="152" applyNumberFormat="0" applyFill="0" applyAlignment="0" applyProtection="0"/>
    <xf numFmtId="0" fontId="43" fillId="56" borderId="150" applyNumberFormat="0" applyAlignment="0" applyProtection="0"/>
    <xf numFmtId="0" fontId="32" fillId="34" borderId="154">
      <alignment horizontal="right" vertical="center"/>
    </xf>
    <xf numFmtId="0" fontId="45" fillId="56" borderId="151" applyNumberFormat="0" applyAlignment="0" applyProtection="0"/>
    <xf numFmtId="4" fontId="34" fillId="0" borderId="162">
      <alignment horizontal="right" vertical="center"/>
    </xf>
    <xf numFmtId="0" fontId="26" fillId="17" borderId="0" applyNumberFormat="0" applyBorder="0" applyAlignment="0" applyProtection="0"/>
    <xf numFmtId="0" fontId="34" fillId="32" borderId="155">
      <alignment horizontal="left" vertical="center"/>
    </xf>
    <xf numFmtId="0" fontId="58" fillId="43" borderId="166" applyNumberFormat="0" applyAlignment="0" applyProtection="0"/>
    <xf numFmtId="4" fontId="32" fillId="34" borderId="163">
      <alignment horizontal="right" vertical="center"/>
    </xf>
    <xf numFmtId="0" fontId="1" fillId="0" borderId="0" applyNumberFormat="0" applyFill="0" applyBorder="0" applyAlignment="0" applyProtection="0"/>
    <xf numFmtId="0" fontId="26" fillId="26" borderId="0" applyNumberFormat="0" applyBorder="0" applyAlignment="0" applyProtection="0"/>
    <xf numFmtId="0" fontId="50" fillId="0" borderId="160" applyNumberFormat="0" applyFill="0" applyAlignment="0" applyProtection="0"/>
    <xf numFmtId="0" fontId="32" fillId="32" borderId="154">
      <alignment horizontal="right" vertical="center"/>
    </xf>
    <xf numFmtId="0" fontId="26" fillId="24" borderId="0" applyNumberFormat="0" applyBorder="0" applyAlignment="0" applyProtection="0"/>
    <xf numFmtId="0" fontId="5" fillId="59" borderId="161" applyNumberFormat="0" applyFont="0" applyAlignment="0" applyProtection="0"/>
    <xf numFmtId="0" fontId="50" fillId="0" borderId="152" applyNumberFormat="0" applyFill="0" applyAlignment="0" applyProtection="0"/>
    <xf numFmtId="0" fontId="50" fillId="0" borderId="160" applyNumberFormat="0" applyFill="0" applyAlignment="0" applyProtection="0"/>
    <xf numFmtId="0" fontId="34" fillId="0" borderId="154">
      <alignment horizontal="right" vertical="center"/>
    </xf>
    <xf numFmtId="0" fontId="5" fillId="59" borderId="153" applyNumberFormat="0" applyFont="0" applyAlignment="0" applyProtection="0"/>
    <xf numFmtId="0" fontId="2" fillId="0" borderId="15" applyNumberFormat="0" applyFill="0" applyAlignment="0" applyProtection="0"/>
    <xf numFmtId="0" fontId="26" fillId="17" borderId="0" applyNumberFormat="0" applyBorder="0" applyAlignment="0" applyProtection="0"/>
    <xf numFmtId="0" fontId="58" fillId="43" borderId="159" applyNumberFormat="0" applyAlignment="0" applyProtection="0"/>
    <xf numFmtId="0" fontId="12" fillId="31" borderId="0" applyNumberFormat="0" applyBorder="0" applyAlignment="0" applyProtection="0"/>
    <xf numFmtId="0" fontId="28" fillId="13" borderId="14" applyNumberFormat="0" applyAlignment="0" applyProtection="0"/>
    <xf numFmtId="0" fontId="58" fillId="43" borderId="151" applyNumberFormat="0" applyAlignment="0" applyProtection="0"/>
    <xf numFmtId="49" fontId="34" fillId="0" borderId="155" applyNumberFormat="0" applyFont="0" applyFill="0" applyBorder="0" applyProtection="0">
      <alignment horizontal="left" vertical="center" indent="5"/>
    </xf>
    <xf numFmtId="0" fontId="26" fillId="20" borderId="0" applyNumberFormat="0" applyBorder="0" applyAlignment="0" applyProtection="0"/>
    <xf numFmtId="0" fontId="34" fillId="0" borderId="154" applyNumberFormat="0" applyFill="0" applyAlignment="0" applyProtection="0"/>
    <xf numFmtId="0" fontId="50" fillId="0" borderId="152" applyNumberFormat="0" applyFill="0" applyAlignment="0" applyProtection="0"/>
    <xf numFmtId="0" fontId="62" fillId="56" borderId="150" applyNumberFormat="0" applyAlignment="0" applyProtection="0"/>
    <xf numFmtId="4" fontId="32" fillId="34" borderId="154">
      <alignment horizontal="right" vertical="center"/>
    </xf>
    <xf numFmtId="4" fontId="34" fillId="33" borderId="154"/>
    <xf numFmtId="0" fontId="65" fillId="0" borderId="152" applyNumberFormat="0" applyFill="0" applyAlignment="0" applyProtection="0"/>
    <xf numFmtId="0" fontId="28" fillId="13" borderId="14" applyNumberFormat="0" applyAlignment="0" applyProtection="0"/>
    <xf numFmtId="0" fontId="43" fillId="56" borderId="150" applyNumberFormat="0" applyAlignment="0" applyProtection="0"/>
    <xf numFmtId="0" fontId="45" fillId="56" borderId="151" applyNumberFormat="0" applyAlignment="0" applyProtection="0"/>
    <xf numFmtId="0" fontId="46" fillId="56" borderId="151" applyNumberFormat="0" applyAlignment="0" applyProtection="0"/>
    <xf numFmtId="0" fontId="62" fillId="56" borderId="150" applyNumberFormat="0" applyAlignment="0" applyProtection="0"/>
    <xf numFmtId="0" fontId="32" fillId="34" borderId="156">
      <alignment horizontal="right" vertical="center"/>
    </xf>
    <xf numFmtId="0" fontId="34" fillId="0" borderId="154" applyNumberFormat="0" applyFill="0" applyAlignment="0" applyProtection="0"/>
    <xf numFmtId="49" fontId="34" fillId="0" borderId="155" applyNumberFormat="0" applyFont="0" applyFill="0" applyBorder="0" applyProtection="0">
      <alignment horizontal="left" vertical="center" indent="5"/>
    </xf>
    <xf numFmtId="0" fontId="65" fillId="0" borderId="152" applyNumberFormat="0" applyFill="0" applyAlignment="0" applyProtection="0"/>
    <xf numFmtId="0" fontId="34" fillId="0" borderId="154" applyNumberFormat="0" applyFill="0" applyAlignment="0" applyProtection="0"/>
    <xf numFmtId="4" fontId="34" fillId="0" borderId="162" applyFill="0" applyBorder="0" applyProtection="0">
      <alignment horizontal="right" vertical="center"/>
    </xf>
    <xf numFmtId="0" fontId="12" fillId="28" borderId="0" applyNumberFormat="0" applyBorder="0" applyAlignment="0" applyProtection="0"/>
    <xf numFmtId="0" fontId="26" fillId="14" borderId="0" applyNumberFormat="0" applyBorder="0" applyAlignment="0" applyProtection="0"/>
    <xf numFmtId="0" fontId="26" fillId="21" borderId="0" applyNumberFormat="0" applyBorder="0" applyAlignment="0" applyProtection="0"/>
    <xf numFmtId="0" fontId="26" fillId="29" borderId="0" applyNumberFormat="0" applyBorder="0" applyAlignment="0" applyProtection="0"/>
    <xf numFmtId="0" fontId="40" fillId="59" borderId="153" applyNumberFormat="0" applyFont="0" applyAlignment="0" applyProtection="0"/>
    <xf numFmtId="0" fontId="49" fillId="43" borderId="166" applyNumberFormat="0" applyAlignment="0" applyProtection="0"/>
    <xf numFmtId="0" fontId="26" fillId="20" borderId="0" applyNumberFormat="0" applyBorder="0" applyAlignment="0" applyProtection="0"/>
    <xf numFmtId="0" fontId="28" fillId="13" borderId="14" applyNumberFormat="0" applyAlignment="0" applyProtection="0"/>
    <xf numFmtId="173" fontId="34" fillId="60" borderId="169" applyNumberFormat="0" applyFont="0" applyBorder="0" applyAlignment="0" applyProtection="0">
      <alignment horizontal="right" vertical="center"/>
    </xf>
    <xf numFmtId="0" fontId="40" fillId="59" borderId="168" applyNumberFormat="0" applyFont="0" applyAlignment="0" applyProtection="0"/>
    <xf numFmtId="4" fontId="32" fillId="34" borderId="171">
      <alignment horizontal="right" vertical="center"/>
    </xf>
    <xf numFmtId="0" fontId="26" fillId="20" borderId="0" applyNumberFormat="0" applyBorder="0" applyAlignment="0" applyProtection="0"/>
    <xf numFmtId="0" fontId="32" fillId="34" borderId="162">
      <alignment horizontal="right" vertical="center"/>
    </xf>
    <xf numFmtId="0" fontId="30" fillId="0" borderId="0" applyNumberFormat="0" applyFill="0" applyBorder="0" applyAlignment="0" applyProtection="0"/>
    <xf numFmtId="0" fontId="34" fillId="34" borderId="165">
      <alignment horizontal="left" vertical="center" wrapText="1" indent="2"/>
    </xf>
    <xf numFmtId="0" fontId="34" fillId="0" borderId="157">
      <alignment horizontal="left" vertical="center" wrapText="1" indent="2"/>
    </xf>
    <xf numFmtId="0" fontId="45" fillId="56" borderId="166" applyNumberFormat="0" applyAlignment="0" applyProtection="0"/>
    <xf numFmtId="4" fontId="32" fillId="32" borderId="154">
      <alignment horizontal="right" vertical="center"/>
    </xf>
    <xf numFmtId="0" fontId="1" fillId="0" borderId="0" applyNumberFormat="0" applyFill="0" applyBorder="0" applyAlignment="0" applyProtection="0"/>
    <xf numFmtId="0" fontId="26" fillId="17" borderId="0" applyNumberFormat="0" applyBorder="0" applyAlignment="0" applyProtection="0"/>
    <xf numFmtId="0" fontId="62" fillId="56" borderId="150" applyNumberFormat="0" applyAlignment="0" applyProtection="0"/>
    <xf numFmtId="49" fontId="34" fillId="0" borderId="155" applyNumberFormat="0" applyFont="0" applyFill="0" applyBorder="0" applyProtection="0">
      <alignment horizontal="left" vertical="center" indent="5"/>
    </xf>
    <xf numFmtId="4" fontId="34" fillId="0" borderId="154">
      <alignment horizontal="right" vertical="center"/>
    </xf>
    <xf numFmtId="0" fontId="65" fillId="0" borderId="160" applyNumberFormat="0" applyFill="0" applyAlignment="0" applyProtection="0"/>
    <xf numFmtId="0" fontId="45" fillId="56" borderId="166" applyNumberFormat="0" applyAlignment="0" applyProtection="0"/>
    <xf numFmtId="0" fontId="12" fillId="22" borderId="0" applyNumberFormat="0" applyBorder="0" applyAlignment="0" applyProtection="0"/>
    <xf numFmtId="0" fontId="26" fillId="29" borderId="0" applyNumberFormat="0" applyBorder="0" applyAlignment="0" applyProtection="0"/>
    <xf numFmtId="0" fontId="50" fillId="0" borderId="152" applyNumberFormat="0" applyFill="0" applyAlignment="0" applyProtection="0"/>
    <xf numFmtId="0" fontId="32" fillId="34" borderId="163">
      <alignment horizontal="right" vertical="center"/>
    </xf>
    <xf numFmtId="4" fontId="32" fillId="34" borderId="156">
      <alignment horizontal="right" vertical="center"/>
    </xf>
    <xf numFmtId="4" fontId="32" fillId="34" borderId="154">
      <alignment horizontal="right" vertical="center"/>
    </xf>
    <xf numFmtId="4" fontId="32" fillId="34" borderId="154">
      <alignment horizontal="right" vertical="center"/>
    </xf>
    <xf numFmtId="0" fontId="65" fillId="0" borderId="152" applyNumberFormat="0" applyFill="0" applyAlignment="0" applyProtection="0"/>
    <xf numFmtId="0" fontId="46" fillId="56" borderId="151" applyNumberFormat="0" applyAlignment="0" applyProtection="0"/>
    <xf numFmtId="0" fontId="49" fillId="43" borderId="151" applyNumberFormat="0" applyAlignment="0" applyProtection="0"/>
    <xf numFmtId="0" fontId="65" fillId="0" borderId="160" applyNumberFormat="0" applyFill="0" applyAlignment="0" applyProtection="0"/>
    <xf numFmtId="0" fontId="29" fillId="13" borderId="13" applyNumberFormat="0" applyAlignment="0" applyProtection="0"/>
    <xf numFmtId="49" fontId="33" fillId="0" borderId="154" applyNumberFormat="0" applyFill="0" applyBorder="0" applyProtection="0">
      <alignment horizontal="left" vertical="center"/>
    </xf>
    <xf numFmtId="0" fontId="5" fillId="59" borderId="153" applyNumberFormat="0" applyFont="0" applyAlignment="0" applyProtection="0"/>
    <xf numFmtId="4" fontId="32" fillId="34" borderId="162">
      <alignment horizontal="right" vertical="center"/>
    </xf>
    <xf numFmtId="4" fontId="32" fillId="34" borderId="154">
      <alignment horizontal="right" vertical="center"/>
    </xf>
    <xf numFmtId="0" fontId="26" fillId="23" borderId="0" applyNumberFormat="0" applyBorder="0" applyAlignment="0" applyProtection="0"/>
    <xf numFmtId="0" fontId="26" fillId="17" borderId="0" applyNumberFormat="0" applyBorder="0" applyAlignment="0" applyProtection="0"/>
    <xf numFmtId="49" fontId="34" fillId="0" borderId="163" applyNumberFormat="0" applyFont="0" applyFill="0" applyBorder="0" applyProtection="0">
      <alignment horizontal="left" vertical="center" indent="5"/>
    </xf>
    <xf numFmtId="4" fontId="32" fillId="34" borderId="163">
      <alignment horizontal="right" vertical="center"/>
    </xf>
    <xf numFmtId="0" fontId="26" fillId="18" borderId="0" applyNumberFormat="0" applyBorder="0" applyAlignment="0" applyProtection="0"/>
    <xf numFmtId="49" fontId="34" fillId="0" borderId="154" applyNumberFormat="0" applyFont="0" applyFill="0" applyBorder="0" applyProtection="0">
      <alignment horizontal="left" vertical="center" indent="2"/>
    </xf>
    <xf numFmtId="0" fontId="65" fillId="0" borderId="152" applyNumberFormat="0" applyFill="0" applyAlignment="0" applyProtection="0"/>
    <xf numFmtId="4" fontId="34" fillId="0" borderId="154" applyFill="0" applyBorder="0" applyProtection="0">
      <alignment horizontal="right" vertical="center"/>
    </xf>
    <xf numFmtId="0" fontId="58" fillId="43" borderId="151" applyNumberFormat="0" applyAlignment="0" applyProtection="0"/>
    <xf numFmtId="49" fontId="33" fillId="0" borderId="154" applyNumberFormat="0" applyFill="0" applyBorder="0" applyProtection="0">
      <alignment horizontal="left" vertical="center"/>
    </xf>
    <xf numFmtId="49" fontId="34" fillId="0" borderId="154" applyNumberFormat="0" applyFont="0" applyFill="0" applyBorder="0" applyProtection="0">
      <alignment horizontal="left" vertical="center" indent="2"/>
    </xf>
    <xf numFmtId="4" fontId="34" fillId="0" borderId="154" applyFill="0" applyBorder="0" applyProtection="0">
      <alignment horizontal="right" vertical="center"/>
    </xf>
    <xf numFmtId="4" fontId="32" fillId="34" borderId="164">
      <alignment horizontal="right" vertical="center"/>
    </xf>
    <xf numFmtId="173" fontId="34" fillId="60" borderId="154" applyNumberFormat="0" applyFont="0" applyBorder="0" applyAlignment="0" applyProtection="0">
      <alignment horizontal="right" vertical="center"/>
    </xf>
    <xf numFmtId="0" fontId="5" fillId="59" borderId="161" applyNumberFormat="0" applyFont="0" applyAlignment="0" applyProtection="0"/>
    <xf numFmtId="0" fontId="45" fillId="56" borderId="159" applyNumberFormat="0" applyAlignment="0" applyProtection="0"/>
    <xf numFmtId="0" fontId="34" fillId="0" borderId="165">
      <alignment horizontal="left" vertical="center" wrapText="1" indent="2"/>
    </xf>
    <xf numFmtId="0" fontId="36" fillId="32" borderId="154">
      <alignment horizontal="right" vertical="center"/>
    </xf>
    <xf numFmtId="4" fontId="34" fillId="33" borderId="162"/>
    <xf numFmtId="0" fontId="12" fillId="31" borderId="0" applyNumberFormat="0" applyBorder="0" applyAlignment="0" applyProtection="0"/>
    <xf numFmtId="49" fontId="34" fillId="0" borderId="163" applyNumberFormat="0" applyFont="0" applyFill="0" applyBorder="0" applyProtection="0">
      <alignment horizontal="left" vertical="center" indent="5"/>
    </xf>
    <xf numFmtId="0" fontId="49" fillId="43" borderId="151" applyNumberFormat="0" applyAlignment="0" applyProtection="0"/>
    <xf numFmtId="4" fontId="32" fillId="34" borderId="154">
      <alignment horizontal="right" vertical="center"/>
    </xf>
    <xf numFmtId="0" fontId="34" fillId="32" borderId="155">
      <alignment horizontal="left" vertical="center"/>
    </xf>
    <xf numFmtId="0" fontId="26" fillId="26" borderId="0" applyNumberFormat="0" applyBorder="0" applyAlignment="0" applyProtection="0"/>
    <xf numFmtId="0" fontId="26" fillId="17" borderId="0" applyNumberFormat="0" applyBorder="0" applyAlignment="0" applyProtection="0"/>
    <xf numFmtId="0" fontId="29" fillId="13" borderId="13" applyNumberFormat="0" applyAlignment="0" applyProtection="0"/>
    <xf numFmtId="0" fontId="28" fillId="13" borderId="14" applyNumberFormat="0" applyAlignment="0" applyProtection="0"/>
    <xf numFmtId="0" fontId="12" fillId="16" borderId="0" applyNumberFormat="0" applyBorder="0" applyAlignment="0" applyProtection="0"/>
    <xf numFmtId="0" fontId="32" fillId="32" borderId="162">
      <alignment horizontal="right" vertical="center"/>
    </xf>
    <xf numFmtId="0" fontId="26" fillId="21" borderId="0" applyNumberFormat="0" applyBorder="0" applyAlignment="0" applyProtection="0"/>
    <xf numFmtId="4" fontId="34" fillId="0" borderId="162">
      <alignment horizontal="right" vertical="center"/>
    </xf>
    <xf numFmtId="0" fontId="26" fillId="20" borderId="0" applyNumberFormat="0" applyBorder="0" applyAlignment="0" applyProtection="0"/>
    <xf numFmtId="0" fontId="12" fillId="28" borderId="0" applyNumberFormat="0" applyBorder="0" applyAlignment="0" applyProtection="0"/>
    <xf numFmtId="0" fontId="32" fillId="34" borderId="154">
      <alignment horizontal="right" vertical="center"/>
    </xf>
    <xf numFmtId="0" fontId="34" fillId="34" borderId="157">
      <alignment horizontal="left" vertical="center" wrapText="1" indent="2"/>
    </xf>
    <xf numFmtId="173" fontId="34" fillId="60" borderId="154" applyNumberFormat="0" applyFont="0" applyBorder="0" applyAlignment="0" applyProtection="0">
      <alignment horizontal="right" vertical="center"/>
    </xf>
    <xf numFmtId="0" fontId="40" fillId="59" borderId="153" applyNumberFormat="0" applyFont="0" applyAlignment="0" applyProtection="0"/>
    <xf numFmtId="49" fontId="34" fillId="0" borderId="154" applyNumberFormat="0" applyFont="0" applyFill="0" applyBorder="0" applyProtection="0">
      <alignment horizontal="left" vertical="center" indent="2"/>
    </xf>
    <xf numFmtId="4" fontId="36" fillId="32" borderId="162">
      <alignment horizontal="right" vertical="center"/>
    </xf>
    <xf numFmtId="0" fontId="12" fillId="19" borderId="0" applyNumberFormat="0" applyBorder="0" applyAlignment="0" applyProtection="0"/>
    <xf numFmtId="49" fontId="34" fillId="0" borderId="169" applyNumberFormat="0" applyFont="0" applyFill="0" applyBorder="0" applyProtection="0">
      <alignment horizontal="left" vertical="center" indent="2"/>
    </xf>
    <xf numFmtId="0" fontId="34" fillId="34" borderId="172">
      <alignment horizontal="left" vertical="center" wrapText="1" indent="2"/>
    </xf>
    <xf numFmtId="49" fontId="33" fillId="0" borderId="154" applyNumberFormat="0" applyFill="0" applyBorder="0" applyProtection="0">
      <alignment horizontal="left" vertical="center"/>
    </xf>
    <xf numFmtId="0" fontId="34" fillId="0" borderId="169">
      <alignment horizontal="right" vertical="center"/>
    </xf>
    <xf numFmtId="173" fontId="34" fillId="60" borderId="154" applyNumberFormat="0" applyFont="0" applyBorder="0" applyAlignment="0" applyProtection="0">
      <alignment horizontal="right" vertical="center"/>
    </xf>
    <xf numFmtId="0" fontId="62" fillId="56" borderId="150" applyNumberFormat="0" applyAlignment="0" applyProtection="0"/>
    <xf numFmtId="0" fontId="34" fillId="0" borderId="154">
      <alignment horizontal="right" vertical="center"/>
    </xf>
    <xf numFmtId="0" fontId="43" fillId="56" borderId="158" applyNumberFormat="0" applyAlignment="0" applyProtection="0"/>
    <xf numFmtId="0" fontId="34" fillId="33" borderId="154"/>
    <xf numFmtId="4" fontId="32" fillId="34" borderId="154">
      <alignment horizontal="right" vertical="center"/>
    </xf>
    <xf numFmtId="0" fontId="34" fillId="33" borderId="154"/>
    <xf numFmtId="0" fontId="58" fillId="43" borderId="151" applyNumberFormat="0" applyAlignment="0" applyProtection="0"/>
    <xf numFmtId="49" fontId="33" fillId="0" borderId="162" applyNumberFormat="0" applyFill="0" applyBorder="0" applyProtection="0">
      <alignment horizontal="left" vertical="center"/>
    </xf>
    <xf numFmtId="0" fontId="36" fillId="32" borderId="154">
      <alignment horizontal="right" vertical="center"/>
    </xf>
    <xf numFmtId="0" fontId="34" fillId="0" borderId="157">
      <alignment horizontal="left" vertical="center" wrapText="1" indent="2"/>
    </xf>
    <xf numFmtId="0" fontId="32" fillId="32" borderId="154">
      <alignment horizontal="right" vertical="center"/>
    </xf>
    <xf numFmtId="0" fontId="49" fillId="43" borderId="151" applyNumberFormat="0" applyAlignment="0" applyProtection="0"/>
    <xf numFmtId="0" fontId="34" fillId="34" borderId="157">
      <alignment horizontal="left" vertical="center" wrapText="1" indent="2"/>
    </xf>
    <xf numFmtId="0" fontId="62" fillId="56" borderId="173" applyNumberFormat="0" applyAlignment="0" applyProtection="0"/>
    <xf numFmtId="0" fontId="26" fillId="29" borderId="0" applyNumberFormat="0" applyBorder="0" applyAlignment="0" applyProtection="0"/>
    <xf numFmtId="0" fontId="29" fillId="13" borderId="13" applyNumberFormat="0" applyAlignment="0" applyProtection="0"/>
    <xf numFmtId="0" fontId="26" fillId="14" borderId="0" applyNumberFormat="0" applyBorder="0" applyAlignment="0" applyProtection="0"/>
    <xf numFmtId="0" fontId="30" fillId="0" borderId="0" applyNumberFormat="0" applyFill="0" applyBorder="0" applyAlignment="0" applyProtection="0"/>
    <xf numFmtId="0" fontId="26" fillId="24" borderId="0" applyNumberFormat="0" applyBorder="0" applyAlignment="0" applyProtection="0"/>
    <xf numFmtId="0" fontId="50" fillId="0" borderId="160" applyNumberFormat="0" applyFill="0" applyAlignment="0" applyProtection="0"/>
    <xf numFmtId="4" fontId="34" fillId="0" borderId="162" applyFill="0" applyBorder="0" applyProtection="0">
      <alignment horizontal="right" vertical="center"/>
    </xf>
    <xf numFmtId="0" fontId="34" fillId="0" borderId="162" applyNumberFormat="0" applyFill="0" applyAlignment="0" applyProtection="0"/>
    <xf numFmtId="0" fontId="26" fillId="26" borderId="0" applyNumberFormat="0" applyBorder="0" applyAlignment="0" applyProtection="0"/>
    <xf numFmtId="0" fontId="45" fillId="56" borderId="151" applyNumberFormat="0" applyAlignment="0" applyProtection="0"/>
    <xf numFmtId="0" fontId="36" fillId="32" borderId="154">
      <alignment horizontal="right" vertical="center"/>
    </xf>
    <xf numFmtId="0" fontId="30" fillId="0" borderId="0" applyNumberFormat="0" applyFill="0" applyBorder="0" applyAlignment="0" applyProtection="0"/>
    <xf numFmtId="0" fontId="32" fillId="34" borderId="162">
      <alignment horizontal="right" vertical="center"/>
    </xf>
    <xf numFmtId="49" fontId="33" fillId="0" borderId="169" applyNumberFormat="0" applyFill="0" applyBorder="0" applyProtection="0">
      <alignment horizontal="left" vertical="center"/>
    </xf>
    <xf numFmtId="0" fontId="28" fillId="13" borderId="14" applyNumberFormat="0" applyAlignment="0" applyProtection="0"/>
    <xf numFmtId="0" fontId="26" fillId="20" borderId="0" applyNumberFormat="0" applyBorder="0" applyAlignment="0" applyProtection="0"/>
    <xf numFmtId="0" fontId="45" fillId="56" borderId="166" applyNumberFormat="0" applyAlignment="0" applyProtection="0"/>
    <xf numFmtId="0" fontId="49" fillId="43" borderId="159" applyNumberFormat="0" applyAlignment="0" applyProtection="0"/>
    <xf numFmtId="0" fontId="30" fillId="0" borderId="0" applyNumberFormat="0" applyFill="0" applyBorder="0" applyAlignment="0" applyProtection="0"/>
    <xf numFmtId="0" fontId="32" fillId="34" borderId="169">
      <alignment horizontal="right" vertical="center"/>
    </xf>
    <xf numFmtId="0" fontId="32" fillId="34" borderId="154">
      <alignment horizontal="right" vertical="center"/>
    </xf>
    <xf numFmtId="4" fontId="34" fillId="0" borderId="154" applyFill="0" applyBorder="0" applyProtection="0">
      <alignment horizontal="right" vertical="center"/>
    </xf>
    <xf numFmtId="0" fontId="34" fillId="34" borderId="157">
      <alignment horizontal="left" vertical="center" wrapText="1" indent="2"/>
    </xf>
    <xf numFmtId="0" fontId="40" fillId="59" borderId="153" applyNumberFormat="0" applyFont="0" applyAlignment="0" applyProtection="0"/>
    <xf numFmtId="0" fontId="49" fillId="43" borderId="151" applyNumberFormat="0" applyAlignment="0" applyProtection="0"/>
    <xf numFmtId="4" fontId="34" fillId="33" borderId="154"/>
    <xf numFmtId="4" fontId="34" fillId="0" borderId="154" applyFill="0" applyBorder="0" applyProtection="0">
      <alignment horizontal="right" vertical="center"/>
    </xf>
    <xf numFmtId="0" fontId="65" fillId="0" borderId="152" applyNumberFormat="0" applyFill="0" applyAlignment="0" applyProtection="0"/>
    <xf numFmtId="0" fontId="34" fillId="32" borderId="155">
      <alignment horizontal="left" vertical="center"/>
    </xf>
    <xf numFmtId="0" fontId="34" fillId="0" borderId="157">
      <alignment horizontal="left" vertical="center" wrapText="1" indent="2"/>
    </xf>
    <xf numFmtId="0" fontId="58" fillId="43" borderId="159" applyNumberFormat="0" applyAlignment="0" applyProtection="0"/>
    <xf numFmtId="0" fontId="58" fillId="43" borderId="151" applyNumberFormat="0" applyAlignment="0" applyProtection="0"/>
    <xf numFmtId="0" fontId="26" fillId="15" borderId="0" applyNumberFormat="0" applyBorder="0" applyAlignment="0" applyProtection="0"/>
    <xf numFmtId="0" fontId="34" fillId="34" borderId="157">
      <alignment horizontal="left" vertical="center" wrapText="1" indent="2"/>
    </xf>
    <xf numFmtId="0" fontId="40" fillId="59" borderId="161" applyNumberFormat="0" applyFont="0" applyAlignment="0" applyProtection="0"/>
    <xf numFmtId="0" fontId="26" fillId="15" borderId="0" applyNumberFormat="0" applyBorder="0" applyAlignment="0" applyProtection="0"/>
    <xf numFmtId="4" fontId="36" fillId="32" borderId="169">
      <alignment horizontal="right" vertical="center"/>
    </xf>
    <xf numFmtId="0" fontId="26" fillId="17" borderId="0" applyNumberFormat="0" applyBorder="0" applyAlignment="0" applyProtection="0"/>
    <xf numFmtId="0" fontId="40" fillId="59" borderId="153" applyNumberFormat="0" applyFont="0" applyAlignment="0" applyProtection="0"/>
    <xf numFmtId="0" fontId="58" fillId="43" borderId="151" applyNumberFormat="0" applyAlignment="0" applyProtection="0"/>
    <xf numFmtId="0" fontId="45" fillId="56" borderId="166" applyNumberFormat="0" applyAlignment="0" applyProtection="0"/>
    <xf numFmtId="4" fontId="34" fillId="33" borderId="154"/>
    <xf numFmtId="0" fontId="46" fillId="56" borderId="151" applyNumberFormat="0" applyAlignment="0" applyProtection="0"/>
    <xf numFmtId="0" fontId="58" fillId="43" borderId="151" applyNumberFormat="0" applyAlignment="0" applyProtection="0"/>
    <xf numFmtId="4" fontId="32" fillId="34" borderId="154">
      <alignment horizontal="right" vertical="center"/>
    </xf>
    <xf numFmtId="0" fontId="50" fillId="0" borderId="152" applyNumberFormat="0" applyFill="0" applyAlignment="0" applyProtection="0"/>
    <xf numFmtId="0" fontId="58" fillId="43" borderId="159" applyNumberFormat="0" applyAlignment="0" applyProtection="0"/>
    <xf numFmtId="0" fontId="12" fillId="16" borderId="0" applyNumberFormat="0" applyBorder="0" applyAlignment="0" applyProtection="0"/>
    <xf numFmtId="0" fontId="45" fillId="56" borderId="166" applyNumberFormat="0" applyAlignment="0" applyProtection="0"/>
    <xf numFmtId="0" fontId="34" fillId="0" borderId="172">
      <alignment horizontal="left" vertical="center" wrapText="1" indent="2"/>
    </xf>
    <xf numFmtId="4" fontId="36" fillId="32" borderId="162">
      <alignment horizontal="right" vertical="center"/>
    </xf>
    <xf numFmtId="0" fontId="46" fillId="56" borderId="151" applyNumberFormat="0" applyAlignment="0" applyProtection="0"/>
    <xf numFmtId="0" fontId="26" fillId="17" borderId="0" applyNumberFormat="0" applyBorder="0" applyAlignment="0" applyProtection="0"/>
    <xf numFmtId="0" fontId="49" fillId="43" borderId="151" applyNumberFormat="0" applyAlignment="0" applyProtection="0"/>
    <xf numFmtId="0" fontId="26" fillId="14" borderId="0" applyNumberFormat="0" applyBorder="0" applyAlignment="0" applyProtection="0"/>
    <xf numFmtId="0" fontId="26" fillId="17" borderId="0" applyNumberFormat="0" applyBorder="0" applyAlignment="0" applyProtection="0"/>
    <xf numFmtId="0" fontId="50" fillId="0" borderId="160" applyNumberFormat="0" applyFill="0" applyAlignment="0" applyProtection="0"/>
    <xf numFmtId="0" fontId="32" fillId="32" borderId="162">
      <alignment horizontal="right" vertical="center"/>
    </xf>
    <xf numFmtId="0" fontId="34" fillId="34" borderId="157">
      <alignment horizontal="left" vertical="center" wrapText="1" indent="2"/>
    </xf>
    <xf numFmtId="0" fontId="34" fillId="0" borderId="169" applyNumberFormat="0" applyFill="0" applyAlignment="0" applyProtection="0"/>
    <xf numFmtId="0" fontId="62" fillId="56" borderId="150" applyNumberFormat="0" applyAlignment="0" applyProtection="0"/>
    <xf numFmtId="0" fontId="58" fillId="43" borderId="151" applyNumberFormat="0" applyAlignment="0" applyProtection="0"/>
    <xf numFmtId="4" fontId="32" fillId="34" borderId="154">
      <alignment horizontal="right" vertical="center"/>
    </xf>
    <xf numFmtId="0" fontId="34" fillId="33" borderId="154"/>
    <xf numFmtId="4" fontId="34" fillId="0" borderId="169">
      <alignment horizontal="right" vertical="center"/>
    </xf>
    <xf numFmtId="0" fontId="26" fillId="24" borderId="0" applyNumberFormat="0" applyBorder="0" applyAlignment="0" applyProtection="0"/>
    <xf numFmtId="0" fontId="34" fillId="0" borderId="157">
      <alignment horizontal="left" vertical="center" wrapText="1" indent="2"/>
    </xf>
    <xf numFmtId="0" fontId="12" fillId="22" borderId="0" applyNumberFormat="0" applyBorder="0" applyAlignment="0" applyProtection="0"/>
    <xf numFmtId="4" fontId="34" fillId="33" borderId="162"/>
    <xf numFmtId="0" fontId="12" fillId="25" borderId="0" applyNumberFormat="0" applyBorder="0" applyAlignment="0" applyProtection="0"/>
    <xf numFmtId="0" fontId="45" fillId="56" borderId="159" applyNumberFormat="0" applyAlignment="0" applyProtection="0"/>
    <xf numFmtId="0" fontId="45" fillId="56" borderId="151" applyNumberFormat="0" applyAlignment="0" applyProtection="0"/>
    <xf numFmtId="4" fontId="32" fillId="32" borderId="154">
      <alignment horizontal="right" vertical="center"/>
    </xf>
    <xf numFmtId="0" fontId="26" fillId="18" borderId="0" applyNumberFormat="0" applyBorder="0" applyAlignment="0" applyProtection="0"/>
    <xf numFmtId="0" fontId="32" fillId="32" borderId="154">
      <alignment horizontal="right" vertical="center"/>
    </xf>
    <xf numFmtId="0" fontId="32" fillId="34" borderId="154">
      <alignment horizontal="right" vertical="center"/>
    </xf>
    <xf numFmtId="0" fontId="65" fillId="0" borderId="160" applyNumberFormat="0" applyFill="0" applyAlignment="0" applyProtection="0"/>
    <xf numFmtId="0" fontId="58" fillId="43" borderId="159" applyNumberFormat="0" applyAlignment="0" applyProtection="0"/>
    <xf numFmtId="0" fontId="26" fillId="30" borderId="0" applyNumberFormat="0" applyBorder="0" applyAlignment="0" applyProtection="0"/>
    <xf numFmtId="0" fontId="26" fillId="29" borderId="0" applyNumberFormat="0" applyBorder="0" applyAlignment="0" applyProtection="0"/>
    <xf numFmtId="0" fontId="62" fillId="56" borderId="150" applyNumberFormat="0" applyAlignment="0" applyProtection="0"/>
    <xf numFmtId="4" fontId="34" fillId="0" borderId="162">
      <alignment horizontal="right" vertical="center"/>
    </xf>
    <xf numFmtId="49" fontId="34" fillId="0" borderId="154" applyNumberFormat="0" applyFont="0" applyFill="0" applyBorder="0" applyProtection="0">
      <alignment horizontal="left" vertical="center" indent="2"/>
    </xf>
    <xf numFmtId="0" fontId="32" fillId="34" borderId="171">
      <alignment horizontal="right" vertical="center"/>
    </xf>
    <xf numFmtId="0" fontId="40" fillId="59" borderId="153" applyNumberFormat="0" applyFont="0" applyAlignment="0" applyProtection="0"/>
    <xf numFmtId="173" fontId="34" fillId="60" borderId="154" applyNumberFormat="0" applyFont="0" applyBorder="0" applyAlignment="0" applyProtection="0">
      <alignment horizontal="right" vertical="center"/>
    </xf>
    <xf numFmtId="0" fontId="58" fillId="43" borderId="151" applyNumberFormat="0" applyAlignment="0" applyProtection="0"/>
    <xf numFmtId="0" fontId="32" fillId="34" borderId="154">
      <alignment horizontal="right" vertical="center"/>
    </xf>
    <xf numFmtId="0" fontId="34" fillId="33" borderId="154"/>
    <xf numFmtId="0" fontId="62" fillId="56" borderId="150" applyNumberFormat="0" applyAlignment="0" applyProtection="0"/>
    <xf numFmtId="0" fontId="46" fillId="56" borderId="151" applyNumberFormat="0" applyAlignment="0" applyProtection="0"/>
    <xf numFmtId="0" fontId="45" fillId="56" borderId="151" applyNumberFormat="0" applyAlignment="0" applyProtection="0"/>
    <xf numFmtId="0" fontId="49" fillId="43" borderId="151" applyNumberFormat="0" applyAlignment="0" applyProtection="0"/>
    <xf numFmtId="0" fontId="49" fillId="43" borderId="151" applyNumberFormat="0" applyAlignment="0" applyProtection="0"/>
    <xf numFmtId="0" fontId="34" fillId="0" borderId="157">
      <alignment horizontal="left" vertical="center" wrapText="1" indent="2"/>
    </xf>
    <xf numFmtId="4" fontId="32" fillId="34" borderId="155">
      <alignment horizontal="right" vertical="center"/>
    </xf>
    <xf numFmtId="4" fontId="34" fillId="0" borderId="154">
      <alignment horizontal="right" vertical="center"/>
    </xf>
    <xf numFmtId="49" fontId="33" fillId="0" borderId="154" applyNumberFormat="0" applyFill="0" applyBorder="0" applyProtection="0">
      <alignment horizontal="left" vertical="center"/>
    </xf>
    <xf numFmtId="4" fontId="34" fillId="0" borderId="154">
      <alignment horizontal="right" vertical="center"/>
    </xf>
    <xf numFmtId="0" fontId="62" fillId="56" borderId="150" applyNumberFormat="0" applyAlignment="0" applyProtection="0"/>
    <xf numFmtId="0" fontId="36" fillId="32" borderId="162">
      <alignment horizontal="right" vertical="center"/>
    </xf>
    <xf numFmtId="0" fontId="26" fillId="14" borderId="0" applyNumberFormat="0" applyBorder="0" applyAlignment="0" applyProtection="0"/>
    <xf numFmtId="0" fontId="34" fillId="0" borderId="172">
      <alignment horizontal="left" vertical="center" wrapText="1" indent="2"/>
    </xf>
    <xf numFmtId="0" fontId="26" fillId="20" borderId="0" applyNumberFormat="0" applyBorder="0" applyAlignment="0" applyProtection="0"/>
    <xf numFmtId="0" fontId="1" fillId="0" borderId="0" applyNumberFormat="0" applyFill="0" applyBorder="0" applyAlignment="0" applyProtection="0"/>
    <xf numFmtId="0" fontId="34" fillId="0" borderId="157">
      <alignment horizontal="left" vertical="center" wrapText="1" indent="2"/>
    </xf>
    <xf numFmtId="0" fontId="12" fillId="22" borderId="0" applyNumberFormat="0" applyBorder="0" applyAlignment="0" applyProtection="0"/>
    <xf numFmtId="0" fontId="26" fillId="21" borderId="0" applyNumberFormat="0" applyBorder="0" applyAlignment="0" applyProtection="0"/>
    <xf numFmtId="0" fontId="46" fillId="56" borderId="166" applyNumberFormat="0" applyAlignment="0" applyProtection="0"/>
    <xf numFmtId="0" fontId="12" fillId="31" borderId="0" applyNumberFormat="0" applyBorder="0" applyAlignment="0" applyProtection="0"/>
    <xf numFmtId="0" fontId="34" fillId="32" borderId="163">
      <alignment horizontal="left" vertical="center"/>
    </xf>
    <xf numFmtId="0" fontId="32" fillId="34" borderId="162">
      <alignment horizontal="right" vertical="center"/>
    </xf>
    <xf numFmtId="0" fontId="12" fillId="22" borderId="0" applyNumberFormat="0" applyBorder="0" applyAlignment="0" applyProtection="0"/>
    <xf numFmtId="0" fontId="32" fillId="34" borderId="162">
      <alignment horizontal="right" vertical="center"/>
    </xf>
    <xf numFmtId="0" fontId="12" fillId="28" borderId="0" applyNumberFormat="0" applyBorder="0" applyAlignment="0" applyProtection="0"/>
    <xf numFmtId="0" fontId="40" fillId="59" borderId="153" applyNumberFormat="0" applyFont="0" applyAlignment="0" applyProtection="0"/>
    <xf numFmtId="0" fontId="34" fillId="33" borderId="169"/>
    <xf numFmtId="0" fontId="32" fillId="32" borderId="154">
      <alignment horizontal="right" vertical="center"/>
    </xf>
    <xf numFmtId="0" fontId="12" fillId="19" borderId="0" applyNumberFormat="0" applyBorder="0" applyAlignment="0" applyProtection="0"/>
    <xf numFmtId="0" fontId="49" fillId="43" borderId="159" applyNumberFormat="0" applyAlignment="0" applyProtection="0"/>
    <xf numFmtId="0" fontId="34" fillId="0" borderId="154" applyNumberFormat="0" applyFill="0" applyAlignment="0" applyProtection="0"/>
    <xf numFmtId="49" fontId="33" fillId="0" borderId="154" applyNumberFormat="0" applyFill="0" applyBorder="0" applyProtection="0">
      <alignment horizontal="left" vertical="center"/>
    </xf>
    <xf numFmtId="0" fontId="34" fillId="0" borderId="154">
      <alignment horizontal="right" vertical="center"/>
    </xf>
    <xf numFmtId="0" fontId="26" fillId="29" borderId="0" applyNumberFormat="0" applyBorder="0" applyAlignment="0" applyProtection="0"/>
    <xf numFmtId="0" fontId="34" fillId="32" borderId="163">
      <alignment horizontal="left" vertical="center"/>
    </xf>
    <xf numFmtId="0" fontId="46" fillId="56" borderId="159" applyNumberFormat="0" applyAlignment="0" applyProtection="0"/>
    <xf numFmtId="4" fontId="32" fillId="32" borderId="154">
      <alignment horizontal="right" vertical="center"/>
    </xf>
    <xf numFmtId="0" fontId="26" fillId="21" borderId="0" applyNumberFormat="0" applyBorder="0" applyAlignment="0" applyProtection="0"/>
    <xf numFmtId="0" fontId="46" fillId="56" borderId="151" applyNumberFormat="0" applyAlignment="0" applyProtection="0"/>
    <xf numFmtId="0" fontId="32" fillId="34" borderId="156">
      <alignment horizontal="right" vertical="center"/>
    </xf>
    <xf numFmtId="4" fontId="32" fillId="32" borderId="154">
      <alignment horizontal="right" vertical="center"/>
    </xf>
    <xf numFmtId="0" fontId="32" fillId="34" borderId="154">
      <alignment horizontal="right" vertical="center"/>
    </xf>
    <xf numFmtId="0" fontId="46" fillId="56" borderId="151" applyNumberFormat="0" applyAlignment="0" applyProtection="0"/>
    <xf numFmtId="4" fontId="32" fillId="32" borderId="169">
      <alignment horizontal="right" vertical="center"/>
    </xf>
    <xf numFmtId="0" fontId="28" fillId="13" borderId="14" applyNumberFormat="0" applyAlignment="0" applyProtection="0"/>
    <xf numFmtId="4" fontId="34" fillId="0" borderId="154" applyFill="0" applyBorder="0" applyProtection="0">
      <alignment horizontal="right" vertical="center"/>
    </xf>
    <xf numFmtId="0" fontId="40" fillId="59" borderId="153" applyNumberFormat="0" applyFont="0" applyAlignment="0" applyProtection="0"/>
    <xf numFmtId="0" fontId="62" fillId="56" borderId="173" applyNumberFormat="0" applyAlignment="0" applyProtection="0"/>
    <xf numFmtId="0" fontId="2" fillId="0" borderId="15" applyNumberFormat="0" applyFill="0" applyAlignment="0" applyProtection="0"/>
    <xf numFmtId="0" fontId="32" fillId="34" borderId="162">
      <alignment horizontal="right" vertical="center"/>
    </xf>
    <xf numFmtId="0" fontId="12" fillId="19" borderId="0" applyNumberFormat="0" applyBorder="0" applyAlignment="0" applyProtection="0"/>
    <xf numFmtId="0" fontId="40" fillId="59" borderId="161" applyNumberFormat="0" applyFont="0" applyAlignment="0" applyProtection="0"/>
    <xf numFmtId="0" fontId="58" fillId="43" borderId="159" applyNumberFormat="0" applyAlignment="0" applyProtection="0"/>
    <xf numFmtId="0" fontId="43" fillId="56" borderId="173" applyNumberFormat="0" applyAlignment="0" applyProtection="0"/>
    <xf numFmtId="0" fontId="32" fillId="32" borderId="154">
      <alignment horizontal="right" vertical="center"/>
    </xf>
    <xf numFmtId="0" fontId="50" fillId="0" borderId="152" applyNumberFormat="0" applyFill="0" applyAlignment="0" applyProtection="0"/>
    <xf numFmtId="0" fontId="34" fillId="0" borderId="154" applyNumberFormat="0" applyFill="0" applyAlignment="0" applyProtection="0"/>
    <xf numFmtId="0" fontId="50" fillId="0" borderId="152" applyNumberFormat="0" applyFill="0" applyAlignment="0" applyProtection="0"/>
    <xf numFmtId="4" fontId="34" fillId="0" borderId="154" applyFill="0" applyBorder="0" applyProtection="0">
      <alignment horizontal="right" vertical="center"/>
    </xf>
    <xf numFmtId="49" fontId="34" fillId="0" borderId="155" applyNumberFormat="0" applyFont="0" applyFill="0" applyBorder="0" applyProtection="0">
      <alignment horizontal="left" vertical="center" indent="5"/>
    </xf>
    <xf numFmtId="0" fontId="34" fillId="0" borderId="154" applyNumberFormat="0" applyFill="0" applyAlignment="0" applyProtection="0"/>
    <xf numFmtId="49" fontId="34" fillId="0" borderId="162" applyNumberFormat="0" applyFont="0" applyFill="0" applyBorder="0" applyProtection="0">
      <alignment horizontal="left" vertical="center" indent="2"/>
    </xf>
    <xf numFmtId="0" fontId="34" fillId="0" borderId="154" applyNumberFormat="0" applyFill="0" applyAlignment="0" applyProtection="0"/>
    <xf numFmtId="0" fontId="58" fillId="43" borderId="159" applyNumberFormat="0" applyAlignment="0" applyProtection="0"/>
    <xf numFmtId="4" fontId="32" fillId="34" borderId="154">
      <alignment horizontal="right" vertical="center"/>
    </xf>
    <xf numFmtId="4" fontId="32" fillId="34" borderId="164">
      <alignment horizontal="right" vertical="center"/>
    </xf>
    <xf numFmtId="0" fontId="30" fillId="0" borderId="0" applyNumberFormat="0" applyFill="0" applyBorder="0" applyAlignment="0" applyProtection="0"/>
    <xf numFmtId="0" fontId="12" fillId="19" borderId="0" applyNumberFormat="0" applyBorder="0" applyAlignment="0" applyProtection="0"/>
    <xf numFmtId="0" fontId="26" fillId="26" borderId="0" applyNumberFormat="0" applyBorder="0" applyAlignment="0" applyProtection="0"/>
    <xf numFmtId="0" fontId="49" fillId="43" borderId="151" applyNumberFormat="0" applyAlignment="0" applyProtection="0"/>
    <xf numFmtId="0" fontId="46" fillId="56" borderId="151" applyNumberFormat="0" applyAlignment="0" applyProtection="0"/>
    <xf numFmtId="4" fontId="34" fillId="0" borderId="154">
      <alignment horizontal="right" vertical="center"/>
    </xf>
    <xf numFmtId="0" fontId="34" fillId="34" borderId="157">
      <alignment horizontal="left" vertical="center" wrapText="1" indent="2"/>
    </xf>
    <xf numFmtId="0" fontId="34" fillId="0" borderId="157">
      <alignment horizontal="left" vertical="center" wrapText="1" indent="2"/>
    </xf>
    <xf numFmtId="0" fontId="62" fillId="56" borderId="150" applyNumberFormat="0" applyAlignment="0" applyProtection="0"/>
    <xf numFmtId="0" fontId="58" fillId="43" borderId="151" applyNumberFormat="0" applyAlignment="0" applyProtection="0"/>
    <xf numFmtId="0" fontId="45" fillId="56" borderId="151" applyNumberFormat="0" applyAlignment="0" applyProtection="0"/>
    <xf numFmtId="0" fontId="43" fillId="56" borderId="150" applyNumberFormat="0" applyAlignment="0" applyProtection="0"/>
    <xf numFmtId="0" fontId="32" fillId="34" borderId="156">
      <alignment horizontal="right" vertical="center"/>
    </xf>
    <xf numFmtId="0" fontId="36" fillId="32" borderId="154">
      <alignment horizontal="right" vertical="center"/>
    </xf>
    <xf numFmtId="4" fontId="32" fillId="32" borderId="154">
      <alignment horizontal="right" vertical="center"/>
    </xf>
    <xf numFmtId="4" fontId="32" fillId="34" borderId="154">
      <alignment horizontal="right" vertical="center"/>
    </xf>
    <xf numFmtId="49" fontId="34" fillId="0" borderId="155" applyNumberFormat="0" applyFont="0" applyFill="0" applyBorder="0" applyProtection="0">
      <alignment horizontal="left" vertical="center" indent="5"/>
    </xf>
    <xf numFmtId="4" fontId="34" fillId="0" borderId="154" applyFill="0" applyBorder="0" applyProtection="0">
      <alignment horizontal="right" vertical="center"/>
    </xf>
    <xf numFmtId="4" fontId="32" fillId="32" borderId="154">
      <alignment horizontal="right" vertical="center"/>
    </xf>
    <xf numFmtId="0" fontId="58" fillId="43" borderId="151" applyNumberFormat="0" applyAlignment="0" applyProtection="0"/>
    <xf numFmtId="0" fontId="49" fillId="43" borderId="151" applyNumberFormat="0" applyAlignment="0" applyProtection="0"/>
    <xf numFmtId="0" fontId="45" fillId="56" borderId="151" applyNumberFormat="0" applyAlignment="0" applyProtection="0"/>
    <xf numFmtId="0" fontId="34" fillId="34" borderId="157">
      <alignment horizontal="left" vertical="center" wrapText="1" indent="2"/>
    </xf>
    <xf numFmtId="0" fontId="34" fillId="0" borderId="157">
      <alignment horizontal="left" vertical="center" wrapText="1" indent="2"/>
    </xf>
    <xf numFmtId="0" fontId="34" fillId="34" borderId="157">
      <alignment horizontal="left" vertical="center" wrapText="1" indent="2"/>
    </xf>
    <xf numFmtId="0" fontId="34" fillId="0" borderId="157">
      <alignment horizontal="left" vertical="center" wrapText="1" indent="2"/>
    </xf>
    <xf numFmtId="0" fontId="29" fillId="13" borderId="13" applyNumberFormat="0" applyAlignment="0" applyProtection="0"/>
    <xf numFmtId="0" fontId="12" fillId="28" borderId="0" applyNumberFormat="0" applyBorder="0" applyAlignment="0" applyProtection="0"/>
    <xf numFmtId="0" fontId="30" fillId="0" borderId="0" applyNumberFormat="0" applyFill="0" applyBorder="0" applyAlignment="0" applyProtection="0"/>
    <xf numFmtId="0" fontId="34" fillId="0" borderId="162" applyNumberFormat="0" applyFill="0" applyAlignment="0" applyProtection="0"/>
    <xf numFmtId="0" fontId="26" fillId="26" borderId="0" applyNumberFormat="0" applyBorder="0" applyAlignment="0" applyProtection="0"/>
    <xf numFmtId="0" fontId="34" fillId="0" borderId="165">
      <alignment horizontal="left" vertical="center" wrapText="1" indent="2"/>
    </xf>
    <xf numFmtId="0" fontId="43" fillId="56" borderId="158" applyNumberFormat="0" applyAlignment="0" applyProtection="0"/>
    <xf numFmtId="0" fontId="46" fillId="56" borderId="159" applyNumberFormat="0" applyAlignment="0" applyProtection="0"/>
    <xf numFmtId="0" fontId="58" fillId="43" borderId="166" applyNumberFormat="0" applyAlignment="0" applyProtection="0"/>
    <xf numFmtId="0" fontId="34" fillId="34" borderId="165">
      <alignment horizontal="left" vertical="center" wrapText="1" indent="2"/>
    </xf>
    <xf numFmtId="0" fontId="26" fillId="26" borderId="0" applyNumberFormat="0" applyBorder="0" applyAlignment="0" applyProtection="0"/>
    <xf numFmtId="4" fontId="32" fillId="32" borderId="162">
      <alignment horizontal="right" vertical="center"/>
    </xf>
    <xf numFmtId="0" fontId="26" fillId="14" borderId="0" applyNumberFormat="0" applyBorder="0" applyAlignment="0" applyProtection="0"/>
    <xf numFmtId="0" fontId="12" fillId="31" borderId="0" applyNumberFormat="0" applyBorder="0" applyAlignment="0" applyProtection="0"/>
    <xf numFmtId="0" fontId="2" fillId="0" borderId="15" applyNumberFormat="0" applyFill="0" applyAlignment="0" applyProtection="0"/>
    <xf numFmtId="0" fontId="32" fillId="34" borderId="162">
      <alignment horizontal="right" vertical="center"/>
    </xf>
    <xf numFmtId="0" fontId="12" fillId="25" borderId="0" applyNumberFormat="0" applyBorder="0" applyAlignment="0" applyProtection="0"/>
    <xf numFmtId="0" fontId="26" fillId="20" borderId="0" applyNumberFormat="0" applyBorder="0" applyAlignment="0" applyProtection="0"/>
    <xf numFmtId="49" fontId="33" fillId="0" borderId="162" applyNumberFormat="0" applyFill="0" applyBorder="0" applyProtection="0">
      <alignment horizontal="left" vertical="center"/>
    </xf>
    <xf numFmtId="0" fontId="62" fillId="56" borderId="158" applyNumberFormat="0" applyAlignment="0" applyProtection="0"/>
    <xf numFmtId="0" fontId="36" fillId="32" borderId="169">
      <alignment horizontal="right" vertical="center"/>
    </xf>
    <xf numFmtId="0" fontId="12" fillId="22" borderId="0" applyNumberFormat="0" applyBorder="0" applyAlignment="0" applyProtection="0"/>
    <xf numFmtId="0" fontId="49" fillId="43" borderId="159" applyNumberFormat="0" applyAlignment="0" applyProtection="0"/>
    <xf numFmtId="0" fontId="26" fillId="24" borderId="0" applyNumberFormat="0" applyBorder="0" applyAlignment="0" applyProtection="0"/>
    <xf numFmtId="0" fontId="26" fillId="14" borderId="0" applyNumberFormat="0" applyBorder="0" applyAlignment="0" applyProtection="0"/>
    <xf numFmtId="0" fontId="34" fillId="32" borderId="170">
      <alignment horizontal="left" vertical="center"/>
    </xf>
    <xf numFmtId="0" fontId="12" fillId="31" borderId="0" applyNumberFormat="0" applyBorder="0" applyAlignment="0" applyProtection="0"/>
    <xf numFmtId="0" fontId="46" fillId="56" borderId="159" applyNumberFormat="0" applyAlignment="0" applyProtection="0"/>
    <xf numFmtId="0" fontId="65" fillId="0" borderId="160" applyNumberFormat="0" applyFill="0" applyAlignment="0" applyProtection="0"/>
    <xf numFmtId="0" fontId="46" fillId="56" borderId="159" applyNumberFormat="0" applyAlignment="0" applyProtection="0"/>
    <xf numFmtId="0" fontId="34" fillId="0" borderId="162">
      <alignment horizontal="right" vertical="center"/>
    </xf>
    <xf numFmtId="0" fontId="34" fillId="0" borderId="169" applyNumberFormat="0" applyFill="0" applyAlignment="0" applyProtection="0"/>
    <xf numFmtId="0" fontId="26" fillId="18" borderId="0" applyNumberFormat="0" applyBorder="0" applyAlignment="0" applyProtection="0"/>
    <xf numFmtId="4" fontId="32" fillId="34" borderId="162">
      <alignment horizontal="right" vertical="center"/>
    </xf>
    <xf numFmtId="0" fontId="45" fillId="56" borderId="159" applyNumberFormat="0" applyAlignment="0" applyProtection="0"/>
    <xf numFmtId="0" fontId="12" fillId="19" borderId="0" applyNumberFormat="0" applyBorder="0" applyAlignment="0" applyProtection="0"/>
    <xf numFmtId="0" fontId="26" fillId="26" borderId="0" applyNumberFormat="0" applyBorder="0" applyAlignment="0" applyProtection="0"/>
    <xf numFmtId="0" fontId="26" fillId="17" borderId="0" applyNumberFormat="0" applyBorder="0" applyAlignment="0" applyProtection="0"/>
    <xf numFmtId="0" fontId="36" fillId="32" borderId="169">
      <alignment horizontal="right" vertical="center"/>
    </xf>
    <xf numFmtId="0" fontId="43" fillId="56" borderId="158" applyNumberFormat="0" applyAlignment="0" applyProtection="0"/>
    <xf numFmtId="0" fontId="2" fillId="0" borderId="15" applyNumberFormat="0" applyFill="0" applyAlignment="0" applyProtection="0"/>
    <xf numFmtId="4" fontId="32" fillId="32" borderId="162">
      <alignment horizontal="right" vertical="center"/>
    </xf>
    <xf numFmtId="0" fontId="62" fillId="56" borderId="158" applyNumberFormat="0" applyAlignment="0" applyProtection="0"/>
    <xf numFmtId="173" fontId="34" fillId="60" borderId="169" applyNumberFormat="0" applyFont="0" applyBorder="0" applyAlignment="0" applyProtection="0">
      <alignment horizontal="right" vertical="center"/>
    </xf>
    <xf numFmtId="0" fontId="34" fillId="0" borderId="162" applyNumberFormat="0" applyFill="0" applyAlignment="0" applyProtection="0"/>
    <xf numFmtId="0" fontId="26" fillId="17" borderId="0" applyNumberFormat="0" applyBorder="0" applyAlignment="0" applyProtection="0"/>
    <xf numFmtId="0" fontId="2" fillId="0" borderId="15" applyNumberFormat="0" applyFill="0" applyAlignment="0" applyProtection="0"/>
    <xf numFmtId="4" fontId="32" fillId="32" borderId="162">
      <alignment horizontal="right" vertical="center"/>
    </xf>
    <xf numFmtId="49" fontId="34" fillId="0" borderId="169" applyNumberFormat="0" applyFont="0" applyFill="0" applyBorder="0" applyProtection="0">
      <alignment horizontal="left" vertical="center" indent="2"/>
    </xf>
    <xf numFmtId="0" fontId="26" fillId="21" borderId="0" applyNumberFormat="0" applyBorder="0" applyAlignment="0" applyProtection="0"/>
    <xf numFmtId="0" fontId="26" fillId="30" borderId="0" applyNumberFormat="0" applyBorder="0" applyAlignment="0" applyProtection="0"/>
    <xf numFmtId="0" fontId="1" fillId="0" borderId="0" applyNumberFormat="0" applyFill="0" applyBorder="0" applyAlignment="0" applyProtection="0"/>
    <xf numFmtId="0" fontId="2" fillId="0" borderId="15" applyNumberFormat="0" applyFill="0" applyAlignment="0" applyProtection="0"/>
    <xf numFmtId="0" fontId="26" fillId="26" borderId="0" applyNumberFormat="0" applyBorder="0" applyAlignment="0" applyProtection="0"/>
    <xf numFmtId="0" fontId="28" fillId="13" borderId="14" applyNumberFormat="0" applyAlignment="0" applyProtection="0"/>
    <xf numFmtId="0" fontId="32" fillId="32" borderId="162">
      <alignment horizontal="right" vertical="center"/>
    </xf>
    <xf numFmtId="0" fontId="12" fillId="25" borderId="0" applyNumberFormat="0" applyBorder="0" applyAlignment="0" applyProtection="0"/>
    <xf numFmtId="0" fontId="26" fillId="27" borderId="0" applyNumberFormat="0" applyBorder="0" applyAlignment="0" applyProtection="0"/>
    <xf numFmtId="4" fontId="34" fillId="0" borderId="162">
      <alignment horizontal="right" vertical="center"/>
    </xf>
    <xf numFmtId="0" fontId="43" fillId="56" borderId="173" applyNumberFormat="0" applyAlignment="0" applyProtection="0"/>
    <xf numFmtId="0" fontId="26" fillId="27" borderId="0" applyNumberFormat="0" applyBorder="0" applyAlignment="0" applyProtection="0"/>
    <xf numFmtId="4" fontId="34" fillId="0" borderId="169">
      <alignment horizontal="right" vertical="center"/>
    </xf>
    <xf numFmtId="0" fontId="26" fillId="26" borderId="0" applyNumberFormat="0" applyBorder="0" applyAlignment="0" applyProtection="0"/>
    <xf numFmtId="0" fontId="34" fillId="0" borderId="172">
      <alignment horizontal="left" vertical="center" wrapText="1" indent="2"/>
    </xf>
    <xf numFmtId="0" fontId="26" fillId="20" borderId="0" applyNumberFormat="0" applyBorder="0" applyAlignment="0" applyProtection="0"/>
    <xf numFmtId="0" fontId="26" fillId="14" borderId="0" applyNumberFormat="0" applyBorder="0" applyAlignment="0" applyProtection="0"/>
    <xf numFmtId="0" fontId="65" fillId="0" borderId="160" applyNumberFormat="0" applyFill="0" applyAlignment="0" applyProtection="0"/>
    <xf numFmtId="0" fontId="46" fillId="56" borderId="159" applyNumberFormat="0" applyAlignment="0" applyProtection="0"/>
    <xf numFmtId="0" fontId="34" fillId="0" borderId="162">
      <alignment horizontal="right" vertical="center"/>
    </xf>
    <xf numFmtId="0" fontId="34" fillId="33" borderId="162"/>
    <xf numFmtId="0" fontId="34" fillId="32" borderId="170">
      <alignment horizontal="left" vertical="center"/>
    </xf>
    <xf numFmtId="0" fontId="12" fillId="22" borderId="0" applyNumberFormat="0" applyBorder="0" applyAlignment="0" applyProtection="0"/>
    <xf numFmtId="0" fontId="32" fillId="34" borderId="169">
      <alignment horizontal="right" vertical="center"/>
    </xf>
    <xf numFmtId="0" fontId="28" fillId="13" borderId="14" applyNumberFormat="0" applyAlignment="0" applyProtection="0"/>
    <xf numFmtId="0" fontId="34" fillId="0" borderId="162">
      <alignment horizontal="right" vertical="center"/>
    </xf>
    <xf numFmtId="0" fontId="2" fillId="0" borderId="15" applyNumberFormat="0" applyFill="0" applyAlignment="0" applyProtection="0"/>
    <xf numFmtId="0" fontId="28" fillId="13" borderId="14" applyNumberFormat="0" applyAlignment="0" applyProtection="0"/>
    <xf numFmtId="49" fontId="34" fillId="0" borderId="163" applyNumberFormat="0" applyFont="0" applyFill="0" applyBorder="0" applyProtection="0">
      <alignment horizontal="left" vertical="center" indent="5"/>
    </xf>
    <xf numFmtId="0" fontId="32" fillId="34" borderId="162">
      <alignment horizontal="right" vertical="center"/>
    </xf>
    <xf numFmtId="0" fontId="34" fillId="0" borderId="162">
      <alignment horizontal="right" vertical="center"/>
    </xf>
    <xf numFmtId="0" fontId="30" fillId="0" borderId="0" applyNumberFormat="0" applyFill="0" applyBorder="0" applyAlignment="0" applyProtection="0"/>
    <xf numFmtId="0" fontId="12" fillId="31" borderId="0" applyNumberFormat="0" applyBorder="0" applyAlignment="0" applyProtection="0"/>
    <xf numFmtId="0" fontId="32" fillId="34" borderId="154">
      <alignment horizontal="right" vertical="center"/>
    </xf>
    <xf numFmtId="0" fontId="62" fillId="56" borderId="158" applyNumberFormat="0" applyAlignment="0" applyProtection="0"/>
    <xf numFmtId="4" fontId="34" fillId="0" borderId="162">
      <alignment horizontal="right" vertical="center"/>
    </xf>
    <xf numFmtId="0" fontId="34" fillId="0" borderId="162">
      <alignment horizontal="right" vertical="center"/>
    </xf>
    <xf numFmtId="0" fontId="26" fillId="24" borderId="0" applyNumberFormat="0" applyBorder="0" applyAlignment="0" applyProtection="0"/>
    <xf numFmtId="0" fontId="26" fillId="18" borderId="0" applyNumberFormat="0" applyBorder="0" applyAlignment="0" applyProtection="0"/>
    <xf numFmtId="4" fontId="32" fillId="32" borderId="169">
      <alignment horizontal="right" vertical="center"/>
    </xf>
    <xf numFmtId="0" fontId="26" fillId="23" borderId="0" applyNumberFormat="0" applyBorder="0" applyAlignment="0" applyProtection="0"/>
    <xf numFmtId="0" fontId="28" fillId="13" borderId="14" applyNumberFormat="0" applyAlignment="0" applyProtection="0"/>
    <xf numFmtId="4" fontId="32" fillId="34" borderId="162">
      <alignment horizontal="right" vertical="center"/>
    </xf>
    <xf numFmtId="0" fontId="62" fillId="56" borderId="158" applyNumberFormat="0" applyAlignment="0" applyProtection="0"/>
    <xf numFmtId="4" fontId="36" fillId="32" borderId="162">
      <alignment horizontal="right" vertical="center"/>
    </xf>
    <xf numFmtId="4" fontId="36" fillId="32" borderId="162">
      <alignment horizontal="right" vertical="center"/>
    </xf>
    <xf numFmtId="0" fontId="26" fillId="30" borderId="0" applyNumberFormat="0" applyBorder="0" applyAlignment="0" applyProtection="0"/>
    <xf numFmtId="0" fontId="46" fillId="56" borderId="159" applyNumberFormat="0" applyAlignment="0" applyProtection="0"/>
    <xf numFmtId="0" fontId="30" fillId="0" borderId="0" applyNumberFormat="0" applyFill="0" applyBorder="0" applyAlignment="0" applyProtection="0"/>
    <xf numFmtId="49" fontId="34" fillId="0" borderId="162" applyNumberFormat="0" applyFont="0" applyFill="0" applyBorder="0" applyProtection="0">
      <alignment horizontal="left" vertical="center" indent="2"/>
    </xf>
    <xf numFmtId="0" fontId="28" fillId="13" borderId="14" applyNumberFormat="0" applyAlignment="0" applyProtection="0"/>
    <xf numFmtId="0" fontId="12" fillId="31" borderId="0" applyNumberFormat="0" applyBorder="0" applyAlignment="0" applyProtection="0"/>
    <xf numFmtId="0" fontId="1" fillId="0" borderId="0" applyNumberFormat="0" applyFill="0" applyBorder="0" applyAlignment="0" applyProtection="0"/>
    <xf numFmtId="4" fontId="32" fillId="34" borderId="164">
      <alignment horizontal="right" vertical="center"/>
    </xf>
    <xf numFmtId="0" fontId="26" fillId="24" borderId="0" applyNumberFormat="0" applyBorder="0" applyAlignment="0" applyProtection="0"/>
    <xf numFmtId="0" fontId="40" fillId="59" borderId="161" applyNumberFormat="0" applyFont="0" applyAlignment="0" applyProtection="0"/>
    <xf numFmtId="0" fontId="40" fillId="59" borderId="161" applyNumberFormat="0" applyFont="0" applyAlignment="0" applyProtection="0"/>
    <xf numFmtId="0" fontId="1" fillId="0" borderId="0" applyNumberFormat="0" applyFill="0" applyBorder="0" applyAlignment="0" applyProtection="0"/>
    <xf numFmtId="0" fontId="29" fillId="13" borderId="13" applyNumberFormat="0" applyAlignment="0" applyProtection="0"/>
    <xf numFmtId="173" fontId="34" fillId="60" borderId="162" applyNumberFormat="0" applyFont="0" applyBorder="0" applyAlignment="0" applyProtection="0">
      <alignment horizontal="right" vertical="center"/>
    </xf>
    <xf numFmtId="0" fontId="40" fillId="59" borderId="161" applyNumberFormat="0" applyFont="0" applyAlignment="0" applyProtection="0"/>
    <xf numFmtId="0" fontId="58" fillId="43" borderId="166" applyNumberFormat="0" applyAlignment="0" applyProtection="0"/>
    <xf numFmtId="0" fontId="28" fillId="13" borderId="14" applyNumberFormat="0" applyAlignment="0" applyProtection="0"/>
    <xf numFmtId="0" fontId="49" fillId="43" borderId="166" applyNumberFormat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14" borderId="0" applyNumberFormat="0" applyBorder="0" applyAlignment="0" applyProtection="0"/>
    <xf numFmtId="0" fontId="32" fillId="34" borderId="171">
      <alignment horizontal="right" vertical="center"/>
    </xf>
    <xf numFmtId="0" fontId="34" fillId="34" borderId="165">
      <alignment horizontal="left" vertical="center" wrapText="1" indent="2"/>
    </xf>
    <xf numFmtId="0" fontId="34" fillId="0" borderId="172">
      <alignment horizontal="left" vertical="center" wrapText="1" indent="2"/>
    </xf>
    <xf numFmtId="0" fontId="26" fillId="21" borderId="0" applyNumberFormat="0" applyBorder="0" applyAlignment="0" applyProtection="0"/>
    <xf numFmtId="0" fontId="26" fillId="26" borderId="0" applyNumberFormat="0" applyBorder="0" applyAlignment="0" applyProtection="0"/>
    <xf numFmtId="0" fontId="45" fillId="56" borderId="166" applyNumberFormat="0" applyAlignment="0" applyProtection="0"/>
    <xf numFmtId="0" fontId="26" fillId="26" borderId="0" applyNumberFormat="0" applyBorder="0" applyAlignment="0" applyProtection="0"/>
    <xf numFmtId="0" fontId="62" fillId="56" borderId="158" applyNumberFormat="0" applyAlignment="0" applyProtection="0"/>
    <xf numFmtId="0" fontId="34" fillId="0" borderId="162" applyNumberFormat="0" applyFill="0" applyAlignment="0" applyProtection="0"/>
    <xf numFmtId="4" fontId="32" fillId="34" borderId="164">
      <alignment horizontal="right" vertical="center"/>
    </xf>
    <xf numFmtId="49" fontId="33" fillId="0" borderId="169" applyNumberFormat="0" applyFill="0" applyBorder="0" applyProtection="0">
      <alignment horizontal="left" vertical="center"/>
    </xf>
    <xf numFmtId="0" fontId="32" fillId="34" borderId="164">
      <alignment horizontal="right" vertical="center"/>
    </xf>
    <xf numFmtId="0" fontId="50" fillId="0" borderId="160" applyNumberFormat="0" applyFill="0" applyAlignment="0" applyProtection="0"/>
    <xf numFmtId="49" fontId="33" fillId="0" borderId="169" applyNumberFormat="0" applyFill="0" applyBorder="0" applyProtection="0">
      <alignment horizontal="left" vertical="center"/>
    </xf>
    <xf numFmtId="0" fontId="49" fillId="43" borderId="166" applyNumberFormat="0" applyAlignment="0" applyProtection="0"/>
    <xf numFmtId="0" fontId="26" fillId="21" borderId="0" applyNumberFormat="0" applyBorder="0" applyAlignment="0" applyProtection="0"/>
    <xf numFmtId="0" fontId="32" fillId="34" borderId="162">
      <alignment horizontal="right" vertical="center"/>
    </xf>
    <xf numFmtId="0" fontId="34" fillId="34" borderId="165">
      <alignment horizontal="left" vertical="center" wrapText="1" indent="2"/>
    </xf>
    <xf numFmtId="4" fontId="36" fillId="32" borderId="162">
      <alignment horizontal="right" vertical="center"/>
    </xf>
    <xf numFmtId="0" fontId="26" fillId="15" borderId="0" applyNumberFormat="0" applyBorder="0" applyAlignment="0" applyProtection="0"/>
    <xf numFmtId="0" fontId="12" fillId="19" borderId="0" applyNumberFormat="0" applyBorder="0" applyAlignment="0" applyProtection="0"/>
    <xf numFmtId="0" fontId="1" fillId="0" borderId="0" applyNumberFormat="0" applyFill="0" applyBorder="0" applyAlignment="0" applyProtection="0"/>
    <xf numFmtId="0" fontId="34" fillId="0" borderId="162" applyNumberFormat="0" applyFill="0" applyAlignment="0" applyProtection="0"/>
    <xf numFmtId="0" fontId="12" fillId="28" borderId="0" applyNumberFormat="0" applyBorder="0" applyAlignment="0" applyProtection="0"/>
    <xf numFmtId="4" fontId="36" fillId="32" borderId="162">
      <alignment horizontal="right" vertical="center"/>
    </xf>
    <xf numFmtId="0" fontId="65" fillId="0" borderId="160" applyNumberFormat="0" applyFill="0" applyAlignment="0" applyProtection="0"/>
    <xf numFmtId="0" fontId="26" fillId="29" borderId="0" applyNumberFormat="0" applyBorder="0" applyAlignment="0" applyProtection="0"/>
    <xf numFmtId="4" fontId="32" fillId="34" borderId="162">
      <alignment horizontal="right" vertical="center"/>
    </xf>
    <xf numFmtId="0" fontId="12" fillId="28" borderId="0" applyNumberFormat="0" applyBorder="0" applyAlignment="0" applyProtection="0"/>
    <xf numFmtId="0" fontId="65" fillId="0" borderId="160" applyNumberFormat="0" applyFill="0" applyAlignment="0" applyProtection="0"/>
    <xf numFmtId="0" fontId="50" fillId="0" borderId="167" applyNumberFormat="0" applyFill="0" applyAlignment="0" applyProtection="0"/>
    <xf numFmtId="0" fontId="26" fillId="18" borderId="0" applyNumberFormat="0" applyBorder="0" applyAlignment="0" applyProtection="0"/>
    <xf numFmtId="49" fontId="34" fillId="0" borderId="163" applyNumberFormat="0" applyFont="0" applyFill="0" applyBorder="0" applyProtection="0">
      <alignment horizontal="left" vertical="center" indent="5"/>
    </xf>
    <xf numFmtId="0" fontId="26" fillId="21" borderId="0" applyNumberFormat="0" applyBorder="0" applyAlignment="0" applyProtection="0"/>
    <xf numFmtId="0" fontId="32" fillId="34" borderId="169">
      <alignment horizontal="right" vertical="center"/>
    </xf>
    <xf numFmtId="0" fontId="29" fillId="13" borderId="13" applyNumberFormat="0" applyAlignment="0" applyProtection="0"/>
    <xf numFmtId="0" fontId="34" fillId="0" borderId="162" applyNumberFormat="0" applyFill="0" applyAlignment="0" applyProtection="0"/>
    <xf numFmtId="0" fontId="43" fillId="56" borderId="158" applyNumberFormat="0" applyAlignment="0" applyProtection="0"/>
    <xf numFmtId="0" fontId="1" fillId="0" borderId="0" applyNumberFormat="0" applyFill="0" applyBorder="0" applyAlignment="0" applyProtection="0"/>
    <xf numFmtId="0" fontId="50" fillId="0" borderId="167" applyNumberFormat="0" applyFill="0" applyAlignment="0" applyProtection="0"/>
    <xf numFmtId="0" fontId="32" fillId="34" borderId="164">
      <alignment horizontal="right" vertical="center"/>
    </xf>
    <xf numFmtId="0" fontId="32" fillId="34" borderId="164">
      <alignment horizontal="right" vertical="center"/>
    </xf>
    <xf numFmtId="0" fontId="58" fillId="43" borderId="166" applyNumberFormat="0" applyAlignment="0" applyProtection="0"/>
    <xf numFmtId="0" fontId="26" fillId="14" borderId="0" applyNumberFormat="0" applyBorder="0" applyAlignment="0" applyProtection="0"/>
    <xf numFmtId="4" fontId="32" fillId="34" borderId="162">
      <alignment horizontal="right" vertical="center"/>
    </xf>
    <xf numFmtId="0" fontId="1" fillId="0" borderId="0" applyNumberFormat="0" applyFill="0" applyBorder="0" applyAlignment="0" applyProtection="0"/>
    <xf numFmtId="0" fontId="32" fillId="32" borderId="162">
      <alignment horizontal="right" vertical="center"/>
    </xf>
    <xf numFmtId="0" fontId="12" fillId="22" borderId="0" applyNumberFormat="0" applyBorder="0" applyAlignment="0" applyProtection="0"/>
    <xf numFmtId="0" fontId="34" fillId="34" borderId="165">
      <alignment horizontal="left" vertical="center" wrapText="1" indent="2"/>
    </xf>
    <xf numFmtId="173" fontId="34" fillId="60" borderId="162" applyNumberFormat="0" applyFont="0" applyBorder="0" applyAlignment="0" applyProtection="0">
      <alignment horizontal="right" vertical="center"/>
    </xf>
    <xf numFmtId="0" fontId="26" fillId="23" borderId="0" applyNumberFormat="0" applyBorder="0" applyAlignment="0" applyProtection="0"/>
    <xf numFmtId="0" fontId="65" fillId="0" borderId="167" applyNumberFormat="0" applyFill="0" applyAlignment="0" applyProtection="0"/>
    <xf numFmtId="0" fontId="30" fillId="0" borderId="0" applyNumberFormat="0" applyFill="0" applyBorder="0" applyAlignment="0" applyProtection="0"/>
    <xf numFmtId="0" fontId="26" fillId="17" borderId="0" applyNumberFormat="0" applyBorder="0" applyAlignment="0" applyProtection="0"/>
    <xf numFmtId="0" fontId="12" fillId="31" borderId="0" applyNumberFormat="0" applyBorder="0" applyAlignment="0" applyProtection="0"/>
    <xf numFmtId="4" fontId="32" fillId="32" borderId="169">
      <alignment horizontal="right" vertical="center"/>
    </xf>
    <xf numFmtId="0" fontId="49" fillId="43" borderId="159" applyNumberFormat="0" applyAlignment="0" applyProtection="0"/>
    <xf numFmtId="0" fontId="34" fillId="32" borderId="163">
      <alignment horizontal="left" vertical="center"/>
    </xf>
    <xf numFmtId="0" fontId="12" fillId="28" borderId="0" applyNumberFormat="0" applyBorder="0" applyAlignment="0" applyProtection="0"/>
    <xf numFmtId="0" fontId="26" fillId="26" borderId="0" applyNumberFormat="0" applyBorder="0" applyAlignment="0" applyProtection="0"/>
    <xf numFmtId="0" fontId="34" fillId="0" borderId="169">
      <alignment horizontal="right" vertical="center"/>
    </xf>
    <xf numFmtId="0" fontId="32" fillId="34" borderId="171">
      <alignment horizontal="right" vertical="center"/>
    </xf>
    <xf numFmtId="0" fontId="62" fillId="56" borderId="158" applyNumberFormat="0" applyAlignment="0" applyProtection="0"/>
    <xf numFmtId="0" fontId="12" fillId="22" borderId="0" applyNumberFormat="0" applyBorder="0" applyAlignment="0" applyProtection="0"/>
    <xf numFmtId="0" fontId="62" fillId="56" borderId="158" applyNumberFormat="0" applyAlignment="0" applyProtection="0"/>
    <xf numFmtId="0" fontId="34" fillId="33" borderId="162"/>
    <xf numFmtId="0" fontId="12" fillId="19" borderId="0" applyNumberFormat="0" applyBorder="0" applyAlignment="0" applyProtection="0"/>
    <xf numFmtId="173" fontId="34" fillId="60" borderId="162" applyNumberFormat="0" applyFont="0" applyBorder="0" applyAlignment="0" applyProtection="0">
      <alignment horizontal="right" vertical="center"/>
    </xf>
    <xf numFmtId="0" fontId="12" fillId="28" borderId="0" applyNumberFormat="0" applyBorder="0" applyAlignment="0" applyProtection="0"/>
    <xf numFmtId="4" fontId="34" fillId="33" borderId="169"/>
    <xf numFmtId="0" fontId="46" fillId="56" borderId="159" applyNumberFormat="0" applyAlignment="0" applyProtection="0"/>
    <xf numFmtId="0" fontId="12" fillId="19" borderId="0" applyNumberFormat="0" applyBorder="0" applyAlignment="0" applyProtection="0"/>
    <xf numFmtId="0" fontId="12" fillId="25" borderId="0" applyNumberFormat="0" applyBorder="0" applyAlignment="0" applyProtection="0"/>
    <xf numFmtId="0" fontId="30" fillId="0" borderId="0" applyNumberFormat="0" applyFill="0" applyBorder="0" applyAlignment="0" applyProtection="0"/>
    <xf numFmtId="0" fontId="29" fillId="13" borderId="13" applyNumberFormat="0" applyAlignment="0" applyProtection="0"/>
    <xf numFmtId="0" fontId="50" fillId="0" borderId="167" applyNumberFormat="0" applyFill="0" applyAlignment="0" applyProtection="0"/>
    <xf numFmtId="0" fontId="12" fillId="28" borderId="0" applyNumberFormat="0" applyBorder="0" applyAlignment="0" applyProtection="0"/>
    <xf numFmtId="0" fontId="26" fillId="24" borderId="0" applyNumberFormat="0" applyBorder="0" applyAlignment="0" applyProtection="0"/>
    <xf numFmtId="0" fontId="26" fillId="23" borderId="0" applyNumberFormat="0" applyBorder="0" applyAlignment="0" applyProtection="0"/>
    <xf numFmtId="0" fontId="40" fillId="59" borderId="161" applyNumberFormat="0" applyFont="0" applyAlignment="0" applyProtection="0"/>
    <xf numFmtId="4" fontId="34" fillId="0" borderId="169">
      <alignment horizontal="right" vertical="center"/>
    </xf>
    <xf numFmtId="0" fontId="26" fillId="30" borderId="0" applyNumberFormat="0" applyBorder="0" applyAlignment="0" applyProtection="0"/>
    <xf numFmtId="0" fontId="34" fillId="0" borderId="172">
      <alignment horizontal="left" vertical="center" wrapText="1" indent="2"/>
    </xf>
    <xf numFmtId="49" fontId="34" fillId="0" borderId="169" applyNumberFormat="0" applyFont="0" applyFill="0" applyBorder="0" applyProtection="0">
      <alignment horizontal="left" vertical="center" indent="2"/>
    </xf>
    <xf numFmtId="0" fontId="36" fillId="32" borderId="162">
      <alignment horizontal="right" vertical="center"/>
    </xf>
    <xf numFmtId="0" fontId="12" fillId="31" borderId="0" applyNumberFormat="0" applyBorder="0" applyAlignment="0" applyProtection="0"/>
    <xf numFmtId="0" fontId="26" fillId="14" borderId="0" applyNumberFormat="0" applyBorder="0" applyAlignment="0" applyProtection="0"/>
    <xf numFmtId="0" fontId="26" fillId="23" borderId="0" applyNumberFormat="0" applyBorder="0" applyAlignment="0" applyProtection="0"/>
    <xf numFmtId="0" fontId="32" fillId="34" borderId="170">
      <alignment horizontal="right" vertical="center"/>
    </xf>
    <xf numFmtId="4" fontId="36" fillId="32" borderId="169">
      <alignment horizontal="right" vertical="center"/>
    </xf>
    <xf numFmtId="0" fontId="46" fillId="56" borderId="159" applyNumberFormat="0" applyAlignment="0" applyProtection="0"/>
    <xf numFmtId="0" fontId="34" fillId="33" borderId="169"/>
    <xf numFmtId="0" fontId="26" fillId="24" borderId="0" applyNumberFormat="0" applyBorder="0" applyAlignment="0" applyProtection="0"/>
    <xf numFmtId="0" fontId="65" fillId="0" borderId="160" applyNumberFormat="0" applyFill="0" applyAlignment="0" applyProtection="0"/>
    <xf numFmtId="0" fontId="32" fillId="32" borderId="162">
      <alignment horizontal="right" vertical="center"/>
    </xf>
    <xf numFmtId="4" fontId="36" fillId="32" borderId="162">
      <alignment horizontal="right" vertical="center"/>
    </xf>
    <xf numFmtId="0" fontId="62" fillId="56" borderId="173" applyNumberFormat="0" applyAlignment="0" applyProtection="0"/>
    <xf numFmtId="0" fontId="62" fillId="56" borderId="158" applyNumberFormat="0" applyAlignment="0" applyProtection="0"/>
    <xf numFmtId="0" fontId="2" fillId="0" borderId="15" applyNumberFormat="0" applyFill="0" applyAlignment="0" applyProtection="0"/>
    <xf numFmtId="4" fontId="34" fillId="33" borderId="162"/>
    <xf numFmtId="0" fontId="26" fillId="27" borderId="0" applyNumberFormat="0" applyBorder="0" applyAlignment="0" applyProtection="0"/>
    <xf numFmtId="0" fontId="45" fillId="56" borderId="166" applyNumberFormat="0" applyAlignment="0" applyProtection="0"/>
    <xf numFmtId="0" fontId="26" fillId="20" borderId="0" applyNumberFormat="0" applyBorder="0" applyAlignment="0" applyProtection="0"/>
    <xf numFmtId="0" fontId="46" fillId="56" borderId="159" applyNumberFormat="0" applyAlignment="0" applyProtection="0"/>
    <xf numFmtId="0" fontId="30" fillId="0" borderId="0" applyNumberFormat="0" applyFill="0" applyBorder="0" applyAlignment="0" applyProtection="0"/>
    <xf numFmtId="0" fontId="32" fillId="34" borderId="162">
      <alignment horizontal="right" vertical="center"/>
    </xf>
    <xf numFmtId="0" fontId="32" fillId="34" borderId="169">
      <alignment horizontal="right" vertical="center"/>
    </xf>
    <xf numFmtId="0" fontId="65" fillId="0" borderId="160" applyNumberFormat="0" applyFill="0" applyAlignment="0" applyProtection="0"/>
    <xf numFmtId="49" fontId="34" fillId="0" borderId="169" applyNumberFormat="0" applyFont="0" applyFill="0" applyBorder="0" applyProtection="0">
      <alignment horizontal="left" vertical="center" indent="2"/>
    </xf>
    <xf numFmtId="0" fontId="29" fillId="13" borderId="13" applyNumberFormat="0" applyAlignment="0" applyProtection="0"/>
    <xf numFmtId="0" fontId="26" fillId="30" borderId="0" applyNumberFormat="0" applyBorder="0" applyAlignment="0" applyProtection="0"/>
    <xf numFmtId="0" fontId="1" fillId="0" borderId="0" applyNumberFormat="0" applyFill="0" applyBorder="0" applyAlignment="0" applyProtection="0"/>
    <xf numFmtId="0" fontId="2" fillId="0" borderId="15" applyNumberFormat="0" applyFill="0" applyAlignment="0" applyProtection="0"/>
    <xf numFmtId="0" fontId="26" fillId="29" borderId="0" applyNumberFormat="0" applyBorder="0" applyAlignment="0" applyProtection="0"/>
    <xf numFmtId="0" fontId="26" fillId="26" borderId="0" applyNumberFormat="0" applyBorder="0" applyAlignment="0" applyProtection="0"/>
    <xf numFmtId="0" fontId="26" fillId="20" borderId="0" applyNumberFormat="0" applyBorder="0" applyAlignment="0" applyProtection="0"/>
    <xf numFmtId="4" fontId="34" fillId="0" borderId="162" applyFill="0" applyBorder="0" applyProtection="0">
      <alignment horizontal="right" vertical="center"/>
    </xf>
    <xf numFmtId="0" fontId="40" fillId="59" borderId="168" applyNumberFormat="0" applyFont="0" applyAlignment="0" applyProtection="0"/>
    <xf numFmtId="4" fontId="32" fillId="34" borderId="170">
      <alignment horizontal="right" vertical="center"/>
    </xf>
    <xf numFmtId="4" fontId="34" fillId="0" borderId="169" applyFill="0" applyBorder="0" applyProtection="0">
      <alignment horizontal="right" vertical="center"/>
    </xf>
    <xf numFmtId="0" fontId="26" fillId="24" borderId="0" applyNumberFormat="0" applyBorder="0" applyAlignment="0" applyProtection="0"/>
    <xf numFmtId="0" fontId="46" fillId="56" borderId="159" applyNumberFormat="0" applyAlignment="0" applyProtection="0"/>
    <xf numFmtId="0" fontId="28" fillId="13" borderId="14" applyNumberFormat="0" applyAlignment="0" applyProtection="0"/>
    <xf numFmtId="0" fontId="30" fillId="0" borderId="0" applyNumberFormat="0" applyFill="0" applyBorder="0" applyAlignment="0" applyProtection="0"/>
    <xf numFmtId="0" fontId="40" fillId="59" borderId="168" applyNumberFormat="0" applyFont="0" applyAlignment="0" applyProtection="0"/>
    <xf numFmtId="0" fontId="26" fillId="17" borderId="0" applyNumberFormat="0" applyBorder="0" applyAlignment="0" applyProtection="0"/>
    <xf numFmtId="4" fontId="34" fillId="33" borderId="162"/>
    <xf numFmtId="0" fontId="26" fillId="23" borderId="0" applyNumberFormat="0" applyBorder="0" applyAlignment="0" applyProtection="0"/>
    <xf numFmtId="0" fontId="26" fillId="18" borderId="0" applyNumberFormat="0" applyBorder="0" applyAlignment="0" applyProtection="0"/>
    <xf numFmtId="0" fontId="46" fillId="56" borderId="166" applyNumberFormat="0" applyAlignment="0" applyProtection="0"/>
    <xf numFmtId="0" fontId="1" fillId="0" borderId="0" applyNumberFormat="0" applyFill="0" applyBorder="0" applyAlignment="0" applyProtection="0"/>
    <xf numFmtId="0" fontId="26" fillId="30" borderId="0" applyNumberFormat="0" applyBorder="0" applyAlignment="0" applyProtection="0"/>
    <xf numFmtId="0" fontId="34" fillId="33" borderId="169"/>
    <xf numFmtId="0" fontId="26" fillId="17" borderId="0" applyNumberFormat="0" applyBorder="0" applyAlignment="0" applyProtection="0"/>
    <xf numFmtId="0" fontId="12" fillId="22" borderId="0" applyNumberFormat="0" applyBorder="0" applyAlignment="0" applyProtection="0"/>
    <xf numFmtId="4" fontId="32" fillId="32" borderId="162">
      <alignment horizontal="right" vertical="center"/>
    </xf>
    <xf numFmtId="0" fontId="43" fillId="56" borderId="158" applyNumberFormat="0" applyAlignment="0" applyProtection="0"/>
    <xf numFmtId="4" fontId="34" fillId="0" borderId="169" applyFill="0" applyBorder="0" applyProtection="0">
      <alignment horizontal="right" vertical="center"/>
    </xf>
    <xf numFmtId="4" fontId="32" fillId="34" borderId="169">
      <alignment horizontal="right" vertical="center"/>
    </xf>
    <xf numFmtId="0" fontId="32" fillId="32" borderId="162">
      <alignment horizontal="right" vertical="center"/>
    </xf>
    <xf numFmtId="0" fontId="26" fillId="30" borderId="0" applyNumberFormat="0" applyBorder="0" applyAlignment="0" applyProtection="0"/>
    <xf numFmtId="0" fontId="34" fillId="0" borderId="165">
      <alignment horizontal="left" vertical="center" wrapText="1" indent="2"/>
    </xf>
    <xf numFmtId="0" fontId="29" fillId="13" borderId="13" applyNumberFormat="0" applyAlignment="0" applyProtection="0"/>
    <xf numFmtId="0" fontId="12" fillId="31" borderId="0" applyNumberFormat="0" applyBorder="0" applyAlignment="0" applyProtection="0"/>
    <xf numFmtId="0" fontId="62" fillId="56" borderId="173" applyNumberFormat="0" applyAlignment="0" applyProtection="0"/>
    <xf numFmtId="4" fontId="34" fillId="0" borderId="169" applyFill="0" applyBorder="0" applyProtection="0">
      <alignment horizontal="right" vertical="center"/>
    </xf>
    <xf numFmtId="0" fontId="26" fillId="15" borderId="0" applyNumberFormat="0" applyBorder="0" applyAlignment="0" applyProtection="0"/>
    <xf numFmtId="0" fontId="26" fillId="23" borderId="0" applyNumberFormat="0" applyBorder="0" applyAlignment="0" applyProtection="0"/>
    <xf numFmtId="0" fontId="12" fillId="25" borderId="0" applyNumberFormat="0" applyBorder="0" applyAlignment="0" applyProtection="0"/>
    <xf numFmtId="0" fontId="65" fillId="0" borderId="160" applyNumberFormat="0" applyFill="0" applyAlignment="0" applyProtection="0"/>
    <xf numFmtId="0" fontId="46" fillId="56" borderId="159" applyNumberFormat="0" applyAlignment="0" applyProtection="0"/>
    <xf numFmtId="0" fontId="26" fillId="21" borderId="0" applyNumberFormat="0" applyBorder="0" applyAlignment="0" applyProtection="0"/>
    <xf numFmtId="0" fontId="29" fillId="13" borderId="13" applyNumberFormat="0" applyAlignment="0" applyProtection="0"/>
    <xf numFmtId="0" fontId="45" fillId="56" borderId="159" applyNumberFormat="0" applyAlignment="0" applyProtection="0"/>
    <xf numFmtId="0" fontId="29" fillId="13" borderId="13" applyNumberFormat="0" applyAlignment="0" applyProtection="0"/>
    <xf numFmtId="0" fontId="28" fillId="13" borderId="14" applyNumberFormat="0" applyAlignment="0" applyProtection="0"/>
    <xf numFmtId="0" fontId="50" fillId="0" borderId="160" applyNumberFormat="0" applyFill="0" applyAlignment="0" applyProtection="0"/>
    <xf numFmtId="0" fontId="62" fillId="56" borderId="158" applyNumberFormat="0" applyAlignment="0" applyProtection="0"/>
    <xf numFmtId="4" fontId="34" fillId="33" borderId="162"/>
    <xf numFmtId="0" fontId="26" fillId="30" borderId="0" applyNumberFormat="0" applyBorder="0" applyAlignment="0" applyProtection="0"/>
    <xf numFmtId="0" fontId="2" fillId="0" borderId="15" applyNumberFormat="0" applyFill="0" applyAlignment="0" applyProtection="0"/>
    <xf numFmtId="4" fontId="32" fillId="34" borderId="162">
      <alignment horizontal="right" vertical="center"/>
    </xf>
    <xf numFmtId="173" fontId="34" fillId="60" borderId="169" applyNumberFormat="0" applyFont="0" applyBorder="0" applyAlignment="0" applyProtection="0">
      <alignment horizontal="right" vertical="center"/>
    </xf>
    <xf numFmtId="0" fontId="49" fillId="43" borderId="159" applyNumberFormat="0" applyAlignment="0" applyProtection="0"/>
    <xf numFmtId="4" fontId="32" fillId="34" borderId="162">
      <alignment horizontal="right" vertical="center"/>
    </xf>
    <xf numFmtId="0" fontId="32" fillId="34" borderId="162">
      <alignment horizontal="right" vertical="center"/>
    </xf>
    <xf numFmtId="0" fontId="12" fillId="19" borderId="0" applyNumberFormat="0" applyBorder="0" applyAlignment="0" applyProtection="0"/>
    <xf numFmtId="0" fontId="12" fillId="28" borderId="0" applyNumberFormat="0" applyBorder="0" applyAlignment="0" applyProtection="0"/>
    <xf numFmtId="0" fontId="26" fillId="23" borderId="0" applyNumberFormat="0" applyBorder="0" applyAlignment="0" applyProtection="0"/>
    <xf numFmtId="0" fontId="12" fillId="25" borderId="0" applyNumberFormat="0" applyBorder="0" applyAlignment="0" applyProtection="0"/>
    <xf numFmtId="0" fontId="26" fillId="23" borderId="0" applyNumberFormat="0" applyBorder="0" applyAlignment="0" applyProtection="0"/>
    <xf numFmtId="0" fontId="26" fillId="18" borderId="0" applyNumberFormat="0" applyBorder="0" applyAlignment="0" applyProtection="0"/>
    <xf numFmtId="0" fontId="46" fillId="56" borderId="159" applyNumberFormat="0" applyAlignment="0" applyProtection="0"/>
    <xf numFmtId="0" fontId="45" fillId="56" borderId="159" applyNumberFormat="0" applyAlignment="0" applyProtection="0"/>
    <xf numFmtId="0" fontId="26" fillId="20" borderId="0" applyNumberFormat="0" applyBorder="0" applyAlignment="0" applyProtection="0"/>
    <xf numFmtId="0" fontId="58" fillId="43" borderId="166" applyNumberFormat="0" applyAlignment="0" applyProtection="0"/>
    <xf numFmtId="0" fontId="12" fillId="22" borderId="0" applyNumberFormat="0" applyBorder="0" applyAlignment="0" applyProtection="0"/>
    <xf numFmtId="0" fontId="28" fillId="13" borderId="14" applyNumberFormat="0" applyAlignment="0" applyProtection="0"/>
    <xf numFmtId="0" fontId="34" fillId="34" borderId="165">
      <alignment horizontal="left" vertical="center" wrapText="1" indent="2"/>
    </xf>
    <xf numFmtId="0" fontId="36" fillId="32" borderId="169">
      <alignment horizontal="right" vertical="center"/>
    </xf>
    <xf numFmtId="4" fontId="32" fillId="34" borderId="169">
      <alignment horizontal="right" vertical="center"/>
    </xf>
    <xf numFmtId="0" fontId="34" fillId="0" borderId="165">
      <alignment horizontal="left" vertical="center" wrapText="1" indent="2"/>
    </xf>
    <xf numFmtId="0" fontId="30" fillId="0" borderId="0" applyNumberFormat="0" applyFill="0" applyBorder="0" applyAlignment="0" applyProtection="0"/>
    <xf numFmtId="4" fontId="34" fillId="0" borderId="162" applyFill="0" applyBorder="0" applyProtection="0">
      <alignment horizontal="right" vertical="center"/>
    </xf>
    <xf numFmtId="0" fontId="12" fillId="28" borderId="0" applyNumberFormat="0" applyBorder="0" applyAlignment="0" applyProtection="0"/>
    <xf numFmtId="0" fontId="12" fillId="22" borderId="0" applyNumberFormat="0" applyBorder="0" applyAlignment="0" applyProtection="0"/>
    <xf numFmtId="0" fontId="34" fillId="0" borderId="165">
      <alignment horizontal="left" vertical="center" wrapText="1" indent="2"/>
    </xf>
    <xf numFmtId="4" fontId="34" fillId="0" borderId="162" applyFill="0" applyBorder="0" applyProtection="0">
      <alignment horizontal="right" vertical="center"/>
    </xf>
    <xf numFmtId="0" fontId="32" fillId="34" borderId="164">
      <alignment horizontal="right" vertical="center"/>
    </xf>
    <xf numFmtId="0" fontId="12" fillId="16" borderId="0" applyNumberFormat="0" applyBorder="0" applyAlignment="0" applyProtection="0"/>
    <xf numFmtId="0" fontId="34" fillId="34" borderId="165">
      <alignment horizontal="left" vertical="center" wrapText="1" indent="2"/>
    </xf>
    <xf numFmtId="0" fontId="58" fillId="43" borderId="166" applyNumberFormat="0" applyAlignment="0" applyProtection="0"/>
    <xf numFmtId="0" fontId="26" fillId="24" borderId="0" applyNumberFormat="0" applyBorder="0" applyAlignment="0" applyProtection="0"/>
    <xf numFmtId="0" fontId="26" fillId="20" borderId="0" applyNumberFormat="0" applyBorder="0" applyAlignment="0" applyProtection="0"/>
    <xf numFmtId="0" fontId="34" fillId="0" borderId="172">
      <alignment horizontal="left" vertical="center" wrapText="1" indent="2"/>
    </xf>
    <xf numFmtId="0" fontId="12" fillId="19" borderId="0" applyNumberFormat="0" applyBorder="0" applyAlignment="0" applyProtection="0"/>
    <xf numFmtId="0" fontId="32" fillId="34" borderId="169">
      <alignment horizontal="right" vertical="center"/>
    </xf>
    <xf numFmtId="49" fontId="34" fillId="0" borderId="169" applyNumberFormat="0" applyFont="0" applyFill="0" applyBorder="0" applyProtection="0">
      <alignment horizontal="left" vertical="center" indent="2"/>
    </xf>
    <xf numFmtId="4" fontId="34" fillId="0" borderId="162" applyFill="0" applyBorder="0" applyProtection="0">
      <alignment horizontal="right" vertical="center"/>
    </xf>
    <xf numFmtId="0" fontId="26" fillId="17" borderId="0" applyNumberFormat="0" applyBorder="0" applyAlignment="0" applyProtection="0"/>
    <xf numFmtId="0" fontId="34" fillId="33" borderId="162"/>
    <xf numFmtId="4" fontId="32" fillId="34" borderId="164">
      <alignment horizontal="right" vertical="center"/>
    </xf>
    <xf numFmtId="0" fontId="62" fillId="56" borderId="173" applyNumberFormat="0" applyAlignment="0" applyProtection="0"/>
    <xf numFmtId="0" fontId="26" fillId="23" borderId="0" applyNumberFormat="0" applyBorder="0" applyAlignment="0" applyProtection="0"/>
    <xf numFmtId="0" fontId="36" fillId="32" borderId="162">
      <alignment horizontal="right" vertical="center"/>
    </xf>
    <xf numFmtId="0" fontId="2" fillId="0" borderId="15" applyNumberFormat="0" applyFill="0" applyAlignment="0" applyProtection="0"/>
    <xf numFmtId="4" fontId="36" fillId="32" borderId="162">
      <alignment horizontal="right" vertical="center"/>
    </xf>
    <xf numFmtId="0" fontId="40" fillId="59" borderId="161" applyNumberFormat="0" applyFont="0" applyAlignment="0" applyProtection="0"/>
    <xf numFmtId="0" fontId="28" fillId="13" borderId="14" applyNumberFormat="0" applyAlignment="0" applyProtection="0"/>
    <xf numFmtId="0" fontId="50" fillId="0" borderId="160" applyNumberFormat="0" applyFill="0" applyAlignment="0" applyProtection="0"/>
    <xf numFmtId="0" fontId="26" fillId="23" borderId="0" applyNumberFormat="0" applyBorder="0" applyAlignment="0" applyProtection="0"/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4" fontId="34" fillId="0" borderId="162" applyFill="0" applyBorder="0" applyProtection="0">
      <alignment horizontal="right" vertical="center"/>
    </xf>
    <xf numFmtId="0" fontId="58" fillId="43" borderId="159" applyNumberFormat="0" applyAlignment="0" applyProtection="0"/>
    <xf numFmtId="0" fontId="26" fillId="26" borderId="0" applyNumberFormat="0" applyBorder="0" applyAlignment="0" applyProtection="0"/>
    <xf numFmtId="0" fontId="43" fillId="56" borderId="158" applyNumberFormat="0" applyAlignment="0" applyProtection="0"/>
    <xf numFmtId="0" fontId="62" fillId="56" borderId="158" applyNumberFormat="0" applyAlignment="0" applyProtection="0"/>
    <xf numFmtId="0" fontId="26" fillId="27" borderId="0" applyNumberFormat="0" applyBorder="0" applyAlignment="0" applyProtection="0"/>
    <xf numFmtId="49" fontId="33" fillId="0" borderId="169" applyNumberFormat="0" applyFill="0" applyBorder="0" applyProtection="0">
      <alignment horizontal="left" vertical="center"/>
    </xf>
    <xf numFmtId="4" fontId="32" fillId="34" borderId="169">
      <alignment horizontal="right" vertical="center"/>
    </xf>
    <xf numFmtId="0" fontId="12" fillId="19" borderId="0" applyNumberFormat="0" applyBorder="0" applyAlignment="0" applyProtection="0"/>
    <xf numFmtId="0" fontId="58" fillId="43" borderId="159" applyNumberFormat="0" applyAlignment="0" applyProtection="0"/>
    <xf numFmtId="0" fontId="26" fillId="30" borderId="0" applyNumberFormat="0" applyBorder="0" applyAlignment="0" applyProtection="0"/>
    <xf numFmtId="0" fontId="26" fillId="15" borderId="0" applyNumberFormat="0" applyBorder="0" applyAlignment="0" applyProtection="0"/>
    <xf numFmtId="0" fontId="26" fillId="23" borderId="0" applyNumberFormat="0" applyBorder="0" applyAlignment="0" applyProtection="0"/>
    <xf numFmtId="0" fontId="62" fillId="56" borderId="173" applyNumberFormat="0" applyAlignment="0" applyProtection="0"/>
    <xf numFmtId="0" fontId="40" fillId="59" borderId="161" applyNumberFormat="0" applyFont="0" applyAlignment="0" applyProtection="0"/>
    <xf numFmtId="0" fontId="12" fillId="31" borderId="0" applyNumberFormat="0" applyBorder="0" applyAlignment="0" applyProtection="0"/>
    <xf numFmtId="0" fontId="2" fillId="0" borderId="15" applyNumberFormat="0" applyFill="0" applyAlignment="0" applyProtection="0"/>
    <xf numFmtId="0" fontId="36" fillId="32" borderId="162">
      <alignment horizontal="right" vertical="center"/>
    </xf>
    <xf numFmtId="0" fontId="32" fillId="34" borderId="169">
      <alignment horizontal="right" vertical="center"/>
    </xf>
    <xf numFmtId="4" fontId="32" fillId="34" borderId="169">
      <alignment horizontal="right" vertical="center"/>
    </xf>
    <xf numFmtId="0" fontId="45" fillId="56" borderId="159" applyNumberFormat="0" applyAlignment="0" applyProtection="0"/>
    <xf numFmtId="49" fontId="34" fillId="0" borderId="162" applyNumberFormat="0" applyFont="0" applyFill="0" applyBorder="0" applyProtection="0">
      <alignment horizontal="left" vertical="center" indent="2"/>
    </xf>
    <xf numFmtId="0" fontId="12" fillId="28" borderId="0" applyNumberFormat="0" applyBorder="0" applyAlignment="0" applyProtection="0"/>
    <xf numFmtId="0" fontId="34" fillId="0" borderId="165">
      <alignment horizontal="left" vertical="center" wrapText="1" indent="2"/>
    </xf>
    <xf numFmtId="0" fontId="34" fillId="32" borderId="163">
      <alignment horizontal="left" vertical="center"/>
    </xf>
    <xf numFmtId="0" fontId="12" fillId="25" borderId="0" applyNumberFormat="0" applyBorder="0" applyAlignment="0" applyProtection="0"/>
    <xf numFmtId="0" fontId="26" fillId="27" borderId="0" applyNumberFormat="0" applyBorder="0" applyAlignment="0" applyProtection="0"/>
    <xf numFmtId="4" fontId="32" fillId="34" borderId="169">
      <alignment horizontal="right" vertical="center"/>
    </xf>
    <xf numFmtId="0" fontId="34" fillId="0" borderId="169">
      <alignment horizontal="right" vertical="center"/>
    </xf>
    <xf numFmtId="0" fontId="26" fillId="24" borderId="0" applyNumberFormat="0" applyBorder="0" applyAlignment="0" applyProtection="0"/>
    <xf numFmtId="0" fontId="50" fillId="0" borderId="160" applyNumberFormat="0" applyFill="0" applyAlignment="0" applyProtection="0"/>
    <xf numFmtId="0" fontId="26" fillId="15" borderId="0" applyNumberFormat="0" applyBorder="0" applyAlignment="0" applyProtection="0"/>
    <xf numFmtId="0" fontId="26" fillId="14" borderId="0" applyNumberFormat="0" applyBorder="0" applyAlignment="0" applyProtection="0"/>
    <xf numFmtId="0" fontId="58" fillId="43" borderId="159" applyNumberFormat="0" applyAlignment="0" applyProtection="0"/>
    <xf numFmtId="0" fontId="5" fillId="59" borderId="161" applyNumberFormat="0" applyFont="0" applyAlignment="0" applyProtection="0"/>
    <xf numFmtId="0" fontId="12" fillId="16" borderId="0" applyNumberFormat="0" applyBorder="0" applyAlignment="0" applyProtection="0"/>
    <xf numFmtId="4" fontId="32" fillId="34" borderId="163">
      <alignment horizontal="right" vertical="center"/>
    </xf>
    <xf numFmtId="49" fontId="33" fillId="0" borderId="169" applyNumberFormat="0" applyFill="0" applyBorder="0" applyProtection="0">
      <alignment horizontal="left" vertical="center"/>
    </xf>
    <xf numFmtId="0" fontId="26" fillId="18" borderId="0" applyNumberFormat="0" applyBorder="0" applyAlignment="0" applyProtection="0"/>
    <xf numFmtId="0" fontId="62" fillId="56" borderId="158" applyNumberFormat="0" applyAlignment="0" applyProtection="0"/>
    <xf numFmtId="0" fontId="46" fillId="56" borderId="159" applyNumberFormat="0" applyAlignment="0" applyProtection="0"/>
    <xf numFmtId="0" fontId="26" fillId="23" borderId="0" applyNumberFormat="0" applyBorder="0" applyAlignment="0" applyProtection="0"/>
    <xf numFmtId="0" fontId="36" fillId="32" borderId="162">
      <alignment horizontal="right" vertical="center"/>
    </xf>
    <xf numFmtId="0" fontId="12" fillId="16" borderId="0" applyNumberFormat="0" applyBorder="0" applyAlignment="0" applyProtection="0"/>
    <xf numFmtId="0" fontId="5" fillId="59" borderId="168" applyNumberFormat="0" applyFont="0" applyAlignment="0" applyProtection="0"/>
    <xf numFmtId="0" fontId="32" fillId="34" borderId="162">
      <alignment horizontal="right" vertical="center"/>
    </xf>
    <xf numFmtId="4" fontId="32" fillId="34" borderId="164">
      <alignment horizontal="right" vertical="center"/>
    </xf>
    <xf numFmtId="0" fontId="58" fillId="43" borderId="159" applyNumberFormat="0" applyAlignment="0" applyProtection="0"/>
    <xf numFmtId="0" fontId="65" fillId="0" borderId="160" applyNumberFormat="0" applyFill="0" applyAlignment="0" applyProtection="0"/>
    <xf numFmtId="4" fontId="32" fillId="34" borderId="170">
      <alignment horizontal="right" vertical="center"/>
    </xf>
    <xf numFmtId="0" fontId="65" fillId="0" borderId="167" applyNumberFormat="0" applyFill="0" applyAlignment="0" applyProtection="0"/>
    <xf numFmtId="0" fontId="12" fillId="25" borderId="0" applyNumberFormat="0" applyBorder="0" applyAlignment="0" applyProtection="0"/>
    <xf numFmtId="0" fontId="65" fillId="0" borderId="160" applyNumberFormat="0" applyFill="0" applyAlignment="0" applyProtection="0"/>
    <xf numFmtId="0" fontId="12" fillId="16" borderId="0" applyNumberFormat="0" applyBorder="0" applyAlignment="0" applyProtection="0"/>
    <xf numFmtId="173" fontId="34" fillId="60" borderId="162" applyNumberFormat="0" applyFont="0" applyBorder="0" applyAlignment="0" applyProtection="0">
      <alignment horizontal="right" vertical="center"/>
    </xf>
    <xf numFmtId="0" fontId="5" fillId="59" borderId="168" applyNumberFormat="0" applyFont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32" fillId="34" borderId="169">
      <alignment horizontal="right" vertical="center"/>
    </xf>
    <xf numFmtId="0" fontId="32" fillId="34" borderId="162">
      <alignment horizontal="right" vertical="center"/>
    </xf>
    <xf numFmtId="0" fontId="36" fillId="32" borderId="162">
      <alignment horizontal="right" vertical="center"/>
    </xf>
    <xf numFmtId="0" fontId="26" fillId="23" borderId="0" applyNumberFormat="0" applyBorder="0" applyAlignment="0" applyProtection="0"/>
    <xf numFmtId="4" fontId="32" fillId="34" borderId="162">
      <alignment horizontal="right" vertical="center"/>
    </xf>
    <xf numFmtId="0" fontId="50" fillId="0" borderId="167" applyNumberFormat="0" applyFill="0" applyAlignment="0" applyProtection="0"/>
    <xf numFmtId="0" fontId="12" fillId="16" borderId="0" applyNumberFormat="0" applyBorder="0" applyAlignment="0" applyProtection="0"/>
    <xf numFmtId="0" fontId="65" fillId="0" borderId="167" applyNumberFormat="0" applyFill="0" applyAlignment="0" applyProtection="0"/>
    <xf numFmtId="0" fontId="34" fillId="34" borderId="172">
      <alignment horizontal="left" vertical="center" wrapText="1" indent="2"/>
    </xf>
    <xf numFmtId="0" fontId="58" fillId="43" borderId="159" applyNumberFormat="0" applyAlignment="0" applyProtection="0"/>
    <xf numFmtId="0" fontId="34" fillId="0" borderId="162" applyNumberFormat="0" applyFill="0" applyAlignment="0" applyProtection="0"/>
    <xf numFmtId="0" fontId="12" fillId="25" borderId="0" applyNumberFormat="0" applyBorder="0" applyAlignment="0" applyProtection="0"/>
    <xf numFmtId="0" fontId="5" fillId="59" borderId="161" applyNumberFormat="0" applyFont="0" applyAlignment="0" applyProtection="0"/>
    <xf numFmtId="0" fontId="12" fillId="16" borderId="0" applyNumberFormat="0" applyBorder="0" applyAlignment="0" applyProtection="0"/>
    <xf numFmtId="0" fontId="50" fillId="0" borderId="160" applyNumberFormat="0" applyFill="0" applyAlignment="0" applyProtection="0"/>
    <xf numFmtId="0" fontId="34" fillId="0" borderId="162" applyNumberFormat="0" applyFill="0" applyAlignment="0" applyProtection="0"/>
    <xf numFmtId="4" fontId="32" fillId="34" borderId="164">
      <alignment horizontal="right" vertical="center"/>
    </xf>
    <xf numFmtId="4" fontId="34" fillId="0" borderId="169" applyFill="0" applyBorder="0" applyProtection="0">
      <alignment horizontal="right" vertical="center"/>
    </xf>
    <xf numFmtId="0" fontId="26" fillId="17" borderId="0" applyNumberFormat="0" applyBorder="0" applyAlignment="0" applyProtection="0"/>
    <xf numFmtId="0" fontId="26" fillId="20" borderId="0" applyNumberFormat="0" applyBorder="0" applyAlignment="0" applyProtection="0"/>
    <xf numFmtId="0" fontId="32" fillId="32" borderId="154">
      <alignment horizontal="right" vertical="center"/>
    </xf>
    <xf numFmtId="0" fontId="26" fillId="23" borderId="0" applyNumberFormat="0" applyBorder="0" applyAlignment="0" applyProtection="0"/>
    <xf numFmtId="4" fontId="32" fillId="34" borderId="171">
      <alignment horizontal="right" vertical="center"/>
    </xf>
    <xf numFmtId="0" fontId="2" fillId="0" borderId="15" applyNumberFormat="0" applyFill="0" applyAlignment="0" applyProtection="0"/>
    <xf numFmtId="0" fontId="26" fillId="15" borderId="0" applyNumberFormat="0" applyBorder="0" applyAlignment="0" applyProtection="0"/>
    <xf numFmtId="4" fontId="34" fillId="33" borderId="162"/>
    <xf numFmtId="0" fontId="26" fillId="30" borderId="0" applyNumberFormat="0" applyBorder="0" applyAlignment="0" applyProtection="0"/>
    <xf numFmtId="0" fontId="34" fillId="0" borderId="162">
      <alignment horizontal="right" vertical="center"/>
    </xf>
    <xf numFmtId="0" fontId="65" fillId="0" borderId="160" applyNumberFormat="0" applyFill="0" applyAlignment="0" applyProtection="0"/>
    <xf numFmtId="0" fontId="32" fillId="34" borderId="169">
      <alignment horizontal="right" vertical="center"/>
    </xf>
    <xf numFmtId="0" fontId="12" fillId="22" borderId="0" applyNumberFormat="0" applyBorder="0" applyAlignment="0" applyProtection="0"/>
    <xf numFmtId="0" fontId="12" fillId="25" borderId="0" applyNumberFormat="0" applyBorder="0" applyAlignment="0" applyProtection="0"/>
    <xf numFmtId="4" fontId="34" fillId="0" borderId="169" applyFill="0" applyBorder="0" applyProtection="0">
      <alignment horizontal="right" vertical="center"/>
    </xf>
    <xf numFmtId="0" fontId="26" fillId="30" borderId="0" applyNumberFormat="0" applyBorder="0" applyAlignment="0" applyProtection="0"/>
    <xf numFmtId="0" fontId="12" fillId="16" borderId="0" applyNumberFormat="0" applyBorder="0" applyAlignment="0" applyProtection="0"/>
    <xf numFmtId="0" fontId="34" fillId="33" borderId="154"/>
    <xf numFmtId="0" fontId="43" fillId="56" borderId="158" applyNumberFormat="0" applyAlignment="0" applyProtection="0"/>
    <xf numFmtId="0" fontId="50" fillId="0" borderId="160" applyNumberFormat="0" applyFill="0" applyAlignment="0" applyProtection="0"/>
    <xf numFmtId="173" fontId="34" fillId="60" borderId="169" applyNumberFormat="0" applyFont="0" applyBorder="0" applyAlignment="0" applyProtection="0">
      <alignment horizontal="right" vertical="center"/>
    </xf>
    <xf numFmtId="0" fontId="32" fillId="34" borderId="162">
      <alignment horizontal="right" vertical="center"/>
    </xf>
    <xf numFmtId="0" fontId="26" fillId="27" borderId="0" applyNumberFormat="0" applyBorder="0" applyAlignment="0" applyProtection="0"/>
    <xf numFmtId="0" fontId="58" fillId="43" borderId="166" applyNumberFormat="0" applyAlignment="0" applyProtection="0"/>
    <xf numFmtId="0" fontId="58" fillId="43" borderId="166" applyNumberFormat="0" applyAlignment="0" applyProtection="0"/>
    <xf numFmtId="0" fontId="49" fillId="43" borderId="166" applyNumberFormat="0" applyAlignment="0" applyProtection="0"/>
    <xf numFmtId="0" fontId="45" fillId="56" borderId="166" applyNumberFormat="0" applyAlignment="0" applyProtection="0"/>
    <xf numFmtId="4" fontId="36" fillId="32" borderId="162">
      <alignment horizontal="right" vertical="center"/>
    </xf>
    <xf numFmtId="0" fontId="32" fillId="34" borderId="163">
      <alignment horizontal="right" vertical="center"/>
    </xf>
    <xf numFmtId="4" fontId="32" fillId="34" borderId="162">
      <alignment horizontal="right" vertical="center"/>
    </xf>
    <xf numFmtId="0" fontId="40" fillId="59" borderId="168" applyNumberFormat="0" applyFont="0" applyAlignment="0" applyProtection="0"/>
    <xf numFmtId="0" fontId="50" fillId="0" borderId="160" applyNumberFormat="0" applyFill="0" applyAlignment="0" applyProtection="0"/>
    <xf numFmtId="0" fontId="12" fillId="25" borderId="0" applyNumberFormat="0" applyBorder="0" applyAlignment="0" applyProtection="0"/>
    <xf numFmtId="0" fontId="65" fillId="0" borderId="160" applyNumberFormat="0" applyFill="0" applyAlignment="0" applyProtection="0"/>
    <xf numFmtId="0" fontId="45" fillId="56" borderId="159" applyNumberFormat="0" applyAlignment="0" applyProtection="0"/>
    <xf numFmtId="0" fontId="12" fillId="16" borderId="0" applyNumberFormat="0" applyBorder="0" applyAlignment="0" applyProtection="0"/>
    <xf numFmtId="0" fontId="32" fillId="34" borderId="162">
      <alignment horizontal="right" vertical="center"/>
    </xf>
    <xf numFmtId="4" fontId="36" fillId="32" borderId="162">
      <alignment horizontal="right" vertical="center"/>
    </xf>
    <xf numFmtId="173" fontId="34" fillId="60" borderId="162" applyNumberFormat="0" applyFont="0" applyBorder="0" applyAlignment="0" applyProtection="0">
      <alignment horizontal="right" vertical="center"/>
    </xf>
    <xf numFmtId="49" fontId="34" fillId="0" borderId="162" applyNumberFormat="0" applyFont="0" applyFill="0" applyBorder="0" applyProtection="0">
      <alignment horizontal="left" vertical="center" indent="2"/>
    </xf>
    <xf numFmtId="0" fontId="12" fillId="25" borderId="0" applyNumberFormat="0" applyBorder="0" applyAlignment="0" applyProtection="0"/>
    <xf numFmtId="0" fontId="50" fillId="0" borderId="160" applyNumberFormat="0" applyFill="0" applyAlignment="0" applyProtection="0"/>
    <xf numFmtId="49" fontId="34" fillId="0" borderId="162" applyNumberFormat="0" applyFont="0" applyFill="0" applyBorder="0" applyProtection="0">
      <alignment horizontal="left" vertical="center" indent="2"/>
    </xf>
    <xf numFmtId="0" fontId="46" fillId="56" borderId="159" applyNumberFormat="0" applyAlignment="0" applyProtection="0"/>
    <xf numFmtId="0" fontId="62" fillId="56" borderId="158" applyNumberFormat="0" applyAlignment="0" applyProtection="0"/>
    <xf numFmtId="0" fontId="46" fillId="56" borderId="159" applyNumberFormat="0" applyAlignment="0" applyProtection="0"/>
    <xf numFmtId="0" fontId="34" fillId="0" borderId="169">
      <alignment horizontal="right" vertical="center"/>
    </xf>
    <xf numFmtId="0" fontId="65" fillId="0" borderId="160" applyNumberFormat="0" applyFill="0" applyAlignment="0" applyProtection="0"/>
    <xf numFmtId="4" fontId="34" fillId="0" borderId="162">
      <alignment horizontal="right" vertical="center"/>
    </xf>
    <xf numFmtId="0" fontId="50" fillId="0" borderId="167" applyNumberFormat="0" applyFill="0" applyAlignment="0" applyProtection="0"/>
    <xf numFmtId="0" fontId="46" fillId="56" borderId="159" applyNumberFormat="0" applyAlignment="0" applyProtection="0"/>
    <xf numFmtId="0" fontId="12" fillId="25" borderId="0" applyNumberFormat="0" applyBorder="0" applyAlignment="0" applyProtection="0"/>
    <xf numFmtId="0" fontId="58" fillId="43" borderId="159" applyNumberFormat="0" applyAlignment="0" applyProtection="0"/>
    <xf numFmtId="0" fontId="34" fillId="34" borderId="172">
      <alignment horizontal="left" vertical="center" wrapText="1" indent="2"/>
    </xf>
    <xf numFmtId="0" fontId="12" fillId="16" borderId="0" applyNumberFormat="0" applyBorder="0" applyAlignment="0" applyProtection="0"/>
    <xf numFmtId="0" fontId="34" fillId="0" borderId="169" applyNumberFormat="0" applyFill="0" applyAlignment="0" applyProtection="0"/>
    <xf numFmtId="4" fontId="32" fillId="34" borderId="169">
      <alignment horizontal="right" vertical="center"/>
    </xf>
    <xf numFmtId="0" fontId="58" fillId="43" borderId="166" applyNumberFormat="0" applyAlignment="0" applyProtection="0"/>
    <xf numFmtId="0" fontId="50" fillId="0" borderId="167" applyNumberFormat="0" applyFill="0" applyAlignment="0" applyProtection="0"/>
    <xf numFmtId="0" fontId="26" fillId="15" borderId="0" applyNumberFormat="0" applyBorder="0" applyAlignment="0" applyProtection="0"/>
    <xf numFmtId="4" fontId="32" fillId="34" borderId="163">
      <alignment horizontal="right" vertical="center"/>
    </xf>
    <xf numFmtId="4" fontId="34" fillId="33" borderId="162"/>
    <xf numFmtId="0" fontId="49" fillId="43" borderId="159" applyNumberFormat="0" applyAlignment="0" applyProtection="0"/>
    <xf numFmtId="0" fontId="65" fillId="0" borderId="160" applyNumberFormat="0" applyFill="0" applyAlignment="0" applyProtection="0"/>
    <xf numFmtId="0" fontId="2" fillId="0" borderId="15" applyNumberFormat="0" applyFill="0" applyAlignment="0" applyProtection="0"/>
    <xf numFmtId="0" fontId="32" fillId="34" borderId="169">
      <alignment horizontal="right" vertical="center"/>
    </xf>
    <xf numFmtId="0" fontId="32" fillId="34" borderId="164">
      <alignment horizontal="right" vertical="center"/>
    </xf>
    <xf numFmtId="0" fontId="26" fillId="27" borderId="0" applyNumberFormat="0" applyBorder="0" applyAlignment="0" applyProtection="0"/>
    <xf numFmtId="0" fontId="34" fillId="0" borderId="154">
      <alignment horizontal="right" vertical="center"/>
    </xf>
    <xf numFmtId="4" fontId="34" fillId="0" borderId="162">
      <alignment horizontal="right" vertical="center"/>
    </xf>
    <xf numFmtId="0" fontId="26" fillId="24" borderId="0" applyNumberFormat="0" applyBorder="0" applyAlignment="0" applyProtection="0"/>
    <xf numFmtId="173" fontId="34" fillId="60" borderId="169" applyNumberFormat="0" applyFont="0" applyBorder="0" applyAlignment="0" applyProtection="0">
      <alignment horizontal="right" vertical="center"/>
    </xf>
    <xf numFmtId="0" fontId="12" fillId="16" borderId="0" applyNumberFormat="0" applyBorder="0" applyAlignment="0" applyProtection="0"/>
    <xf numFmtId="173" fontId="34" fillId="60" borderId="162" applyNumberFormat="0" applyFont="0" applyBorder="0" applyAlignment="0" applyProtection="0">
      <alignment horizontal="right" vertical="center"/>
    </xf>
    <xf numFmtId="0" fontId="62" fillId="56" borderId="173" applyNumberFormat="0" applyAlignment="0" applyProtection="0"/>
    <xf numFmtId="0" fontId="62" fillId="56" borderId="158" applyNumberFormat="0" applyAlignment="0" applyProtection="0"/>
    <xf numFmtId="0" fontId="40" fillId="59" borderId="161" applyNumberFormat="0" applyFont="0" applyAlignment="0" applyProtection="0"/>
    <xf numFmtId="0" fontId="40" fillId="59" borderId="168" applyNumberFormat="0" applyFont="0" applyAlignment="0" applyProtection="0"/>
    <xf numFmtId="0" fontId="34" fillId="0" borderId="169" applyNumberFormat="0" applyFill="0" applyAlignment="0" applyProtection="0"/>
    <xf numFmtId="0" fontId="32" fillId="34" borderId="164">
      <alignment horizontal="right" vertical="center"/>
    </xf>
    <xf numFmtId="4" fontId="32" fillId="34" borderId="169">
      <alignment horizontal="right" vertical="center"/>
    </xf>
    <xf numFmtId="0" fontId="58" fillId="43" borderId="159" applyNumberFormat="0" applyAlignment="0" applyProtection="0"/>
    <xf numFmtId="0" fontId="40" fillId="59" borderId="161" applyNumberFormat="0" applyFont="0" applyAlignment="0" applyProtection="0"/>
    <xf numFmtId="4" fontId="32" fillId="34" borderId="162">
      <alignment horizontal="right" vertical="center"/>
    </xf>
    <xf numFmtId="4" fontId="32" fillId="32" borderId="162">
      <alignment horizontal="right" vertical="center"/>
    </xf>
    <xf numFmtId="0" fontId="34" fillId="0" borderId="169">
      <alignment horizontal="right" vertical="center"/>
    </xf>
    <xf numFmtId="0" fontId="58" fillId="43" borderId="159" applyNumberFormat="0" applyAlignment="0" applyProtection="0"/>
    <xf numFmtId="0" fontId="5" fillId="59" borderId="161" applyNumberFormat="0" applyFont="0" applyAlignment="0" applyProtection="0"/>
    <xf numFmtId="0" fontId="32" fillId="34" borderId="163">
      <alignment horizontal="right" vertical="center"/>
    </xf>
    <xf numFmtId="0" fontId="34" fillId="33" borderId="162"/>
    <xf numFmtId="0" fontId="26" fillId="17" borderId="0" applyNumberFormat="0" applyBorder="0" applyAlignment="0" applyProtection="0"/>
    <xf numFmtId="0" fontId="34" fillId="0" borderId="162">
      <alignment horizontal="right" vertical="center"/>
    </xf>
    <xf numFmtId="0" fontId="12" fillId="16" borderId="0" applyNumberFormat="0" applyBorder="0" applyAlignment="0" applyProtection="0"/>
    <xf numFmtId="4" fontId="32" fillId="34" borderId="162">
      <alignment horizontal="right" vertical="center"/>
    </xf>
    <xf numFmtId="0" fontId="34" fillId="0" borderId="162" applyNumberFormat="0" applyFill="0" applyAlignment="0" applyProtection="0"/>
    <xf numFmtId="173" fontId="34" fillId="60" borderId="169" applyNumberFormat="0" applyFont="0" applyBorder="0" applyAlignment="0" applyProtection="0">
      <alignment horizontal="right" vertical="center"/>
    </xf>
    <xf numFmtId="0" fontId="40" fillId="59" borderId="168" applyNumberFormat="0" applyFont="0" applyAlignment="0" applyProtection="0"/>
    <xf numFmtId="0" fontId="40" fillId="59" borderId="161" applyNumberFormat="0" applyFont="0" applyAlignment="0" applyProtection="0"/>
    <xf numFmtId="0" fontId="1" fillId="0" borderId="0" applyNumberFormat="0" applyFill="0" applyBorder="0" applyAlignment="0" applyProtection="0"/>
    <xf numFmtId="0" fontId="43" fillId="56" borderId="158" applyNumberFormat="0" applyAlignment="0" applyProtection="0"/>
    <xf numFmtId="0" fontId="49" fillId="43" borderId="159" applyNumberFormat="0" applyAlignment="0" applyProtection="0"/>
    <xf numFmtId="0" fontId="45" fillId="56" borderId="159" applyNumberFormat="0" applyAlignment="0" applyProtection="0"/>
    <xf numFmtId="4" fontId="34" fillId="33" borderId="162"/>
    <xf numFmtId="0" fontId="58" fillId="43" borderId="166" applyNumberFormat="0" applyAlignment="0" applyProtection="0"/>
    <xf numFmtId="0" fontId="46" fillId="56" borderId="166" applyNumberFormat="0" applyAlignment="0" applyProtection="0"/>
    <xf numFmtId="4" fontId="32" fillId="34" borderId="162">
      <alignment horizontal="right" vertical="center"/>
    </xf>
    <xf numFmtId="0" fontId="65" fillId="0" borderId="160" applyNumberFormat="0" applyFill="0" applyAlignment="0" applyProtection="0"/>
    <xf numFmtId="0" fontId="12" fillId="16" borderId="0" applyNumberFormat="0" applyBorder="0" applyAlignment="0" applyProtection="0"/>
    <xf numFmtId="0" fontId="40" fillId="59" borderId="168" applyNumberFormat="0" applyFont="0" applyAlignment="0" applyProtection="0"/>
    <xf numFmtId="0" fontId="32" fillId="34" borderId="163">
      <alignment horizontal="right" vertical="center"/>
    </xf>
    <xf numFmtId="4" fontId="34" fillId="0" borderId="169" applyFill="0" applyBorder="0" applyProtection="0">
      <alignment horizontal="right" vertical="center"/>
    </xf>
    <xf numFmtId="0" fontId="32" fillId="34" borderId="170">
      <alignment horizontal="right" vertical="center"/>
    </xf>
    <xf numFmtId="0" fontId="58" fillId="43" borderId="159" applyNumberFormat="0" applyAlignment="0" applyProtection="0"/>
    <xf numFmtId="0" fontId="58" fillId="43" borderId="166" applyNumberFormat="0" applyAlignment="0" applyProtection="0"/>
    <xf numFmtId="173" fontId="34" fillId="60" borderId="162" applyNumberFormat="0" applyFont="0" applyBorder="0" applyAlignment="0" applyProtection="0">
      <alignment horizontal="right" vertical="center"/>
    </xf>
    <xf numFmtId="0" fontId="34" fillId="33" borderId="162"/>
    <xf numFmtId="4" fontId="32" fillId="34" borderId="162">
      <alignment horizontal="right" vertical="center"/>
    </xf>
    <xf numFmtId="0" fontId="65" fillId="0" borderId="160" applyNumberFormat="0" applyFill="0" applyAlignment="0" applyProtection="0"/>
    <xf numFmtId="0" fontId="34" fillId="33" borderId="162"/>
    <xf numFmtId="49" fontId="34" fillId="0" borderId="163" applyNumberFormat="0" applyFont="0" applyFill="0" applyBorder="0" applyProtection="0">
      <alignment horizontal="left" vertical="center" indent="5"/>
    </xf>
    <xf numFmtId="0" fontId="32" fillId="32" borderId="162">
      <alignment horizontal="right" vertical="center"/>
    </xf>
    <xf numFmtId="0" fontId="45" fillId="56" borderId="166" applyNumberFormat="0" applyAlignment="0" applyProtection="0"/>
    <xf numFmtId="0" fontId="45" fillId="56" borderId="159" applyNumberFormat="0" applyAlignment="0" applyProtection="0"/>
    <xf numFmtId="0" fontId="49" fillId="43" borderId="159" applyNumberFormat="0" applyAlignment="0" applyProtection="0"/>
    <xf numFmtId="0" fontId="5" fillId="59" borderId="168" applyNumberFormat="0" applyFont="0" applyAlignment="0" applyProtection="0"/>
    <xf numFmtId="0" fontId="26" fillId="15" borderId="0" applyNumberFormat="0" applyBorder="0" applyAlignment="0" applyProtection="0"/>
    <xf numFmtId="49" fontId="33" fillId="0" borderId="162" applyNumberFormat="0" applyFill="0" applyBorder="0" applyProtection="0">
      <alignment horizontal="left" vertical="center"/>
    </xf>
    <xf numFmtId="0" fontId="26" fillId="26" borderId="0" applyNumberFormat="0" applyBorder="0" applyAlignment="0" applyProtection="0"/>
    <xf numFmtId="0" fontId="36" fillId="32" borderId="162">
      <alignment horizontal="right" vertical="center"/>
    </xf>
    <xf numFmtId="173" fontId="34" fillId="60" borderId="169" applyNumberFormat="0" applyFont="0" applyBorder="0" applyAlignment="0" applyProtection="0">
      <alignment horizontal="right" vertical="center"/>
    </xf>
    <xf numFmtId="0" fontId="32" fillId="32" borderId="162">
      <alignment horizontal="right" vertical="center"/>
    </xf>
    <xf numFmtId="4" fontId="32" fillId="34" borderId="164">
      <alignment horizontal="right" vertical="center"/>
    </xf>
    <xf numFmtId="0" fontId="40" fillId="59" borderId="168" applyNumberFormat="0" applyFont="0" applyAlignment="0" applyProtection="0"/>
    <xf numFmtId="0" fontId="34" fillId="33" borderId="169"/>
    <xf numFmtId="4" fontId="34" fillId="0" borderId="162" applyFill="0" applyBorder="0" applyProtection="0">
      <alignment horizontal="right" vertical="center"/>
    </xf>
    <xf numFmtId="0" fontId="45" fillId="56" borderId="159" applyNumberFormat="0" applyAlignment="0" applyProtection="0"/>
    <xf numFmtId="4" fontId="32" fillId="34" borderId="171">
      <alignment horizontal="right" vertical="center"/>
    </xf>
    <xf numFmtId="0" fontId="32" fillId="34" borderId="163">
      <alignment horizontal="right" vertical="center"/>
    </xf>
    <xf numFmtId="4" fontId="32" fillId="34" borderId="163">
      <alignment horizontal="right" vertical="center"/>
    </xf>
    <xf numFmtId="0" fontId="65" fillId="0" borderId="167" applyNumberFormat="0" applyFill="0" applyAlignment="0" applyProtection="0"/>
    <xf numFmtId="0" fontId="46" fillId="56" borderId="166" applyNumberFormat="0" applyAlignment="0" applyProtection="0"/>
    <xf numFmtId="0" fontId="32" fillId="34" borderId="171">
      <alignment horizontal="right" vertical="center"/>
    </xf>
    <xf numFmtId="0" fontId="45" fillId="56" borderId="159" applyNumberFormat="0" applyAlignment="0" applyProtection="0"/>
    <xf numFmtId="0" fontId="12" fillId="31" borderId="0" applyNumberFormat="0" applyBorder="0" applyAlignment="0" applyProtection="0"/>
    <xf numFmtId="0" fontId="46" fillId="56" borderId="159" applyNumberFormat="0" applyAlignment="0" applyProtection="0"/>
    <xf numFmtId="0" fontId="29" fillId="13" borderId="13" applyNumberFormat="0" applyAlignment="0" applyProtection="0"/>
    <xf numFmtId="0" fontId="46" fillId="56" borderId="159" applyNumberFormat="0" applyAlignment="0" applyProtection="0"/>
    <xf numFmtId="0" fontId="46" fillId="56" borderId="166" applyNumberFormat="0" applyAlignment="0" applyProtection="0"/>
    <xf numFmtId="0" fontId="49" fillId="43" borderId="159" applyNumberFormat="0" applyAlignment="0" applyProtection="0"/>
    <xf numFmtId="4" fontId="34" fillId="0" borderId="169">
      <alignment horizontal="right" vertical="center"/>
    </xf>
    <xf numFmtId="49" fontId="33" fillId="0" borderId="162" applyNumberFormat="0" applyFill="0" applyBorder="0" applyProtection="0">
      <alignment horizontal="left" vertical="center"/>
    </xf>
    <xf numFmtId="0" fontId="34" fillId="0" borderId="169" applyNumberFormat="0" applyFill="0" applyAlignment="0" applyProtection="0"/>
    <xf numFmtId="4" fontId="32" fillId="34" borderId="169">
      <alignment horizontal="right" vertical="center"/>
    </xf>
    <xf numFmtId="4" fontId="32" fillId="34" borderId="171">
      <alignment horizontal="right" vertical="center"/>
    </xf>
    <xf numFmtId="0" fontId="34" fillId="0" borderId="165">
      <alignment horizontal="left" vertical="center" wrapText="1" indent="2"/>
    </xf>
    <xf numFmtId="0" fontId="34" fillId="34" borderId="165">
      <alignment horizontal="left" vertical="center" wrapText="1" indent="2"/>
    </xf>
    <xf numFmtId="0" fontId="34" fillId="34" borderId="172">
      <alignment horizontal="left" vertical="center" wrapText="1" indent="2"/>
    </xf>
    <xf numFmtId="0" fontId="34" fillId="32" borderId="170">
      <alignment horizontal="left" vertical="center"/>
    </xf>
    <xf numFmtId="4" fontId="34" fillId="0" borderId="154" applyFill="0" applyBorder="0" applyProtection="0">
      <alignment horizontal="right" vertical="center"/>
    </xf>
    <xf numFmtId="0" fontId="40" fillId="59" borderId="161" applyNumberFormat="0" applyFont="0" applyAlignment="0" applyProtection="0"/>
    <xf numFmtId="0" fontId="65" fillId="0" borderId="167" applyNumberFormat="0" applyFill="0" applyAlignment="0" applyProtection="0"/>
    <xf numFmtId="0" fontId="34" fillId="33" borderId="169"/>
    <xf numFmtId="0" fontId="26" fillId="24" borderId="0" applyNumberFormat="0" applyBorder="0" applyAlignment="0" applyProtection="0"/>
    <xf numFmtId="0" fontId="12" fillId="25" borderId="0" applyNumberFormat="0" applyBorder="0" applyAlignment="0" applyProtection="0"/>
    <xf numFmtId="0" fontId="32" fillId="34" borderId="154">
      <alignment horizontal="right" vertical="center"/>
    </xf>
    <xf numFmtId="0" fontId="12" fillId="22" borderId="0" applyNumberFormat="0" applyBorder="0" applyAlignment="0" applyProtection="0"/>
    <xf numFmtId="0" fontId="36" fillId="32" borderId="162">
      <alignment horizontal="right" vertical="center"/>
    </xf>
    <xf numFmtId="0" fontId="49" fillId="43" borderId="159" applyNumberFormat="0" applyAlignment="0" applyProtection="0"/>
    <xf numFmtId="173" fontId="34" fillId="60" borderId="162" applyNumberFormat="0" applyFont="0" applyBorder="0" applyAlignment="0" applyProtection="0">
      <alignment horizontal="right" vertical="center"/>
    </xf>
    <xf numFmtId="0" fontId="49" fillId="43" borderId="159" applyNumberFormat="0" applyAlignment="0" applyProtection="0"/>
    <xf numFmtId="4" fontId="34" fillId="0" borderId="162">
      <alignment horizontal="right" vertical="center"/>
    </xf>
    <xf numFmtId="49" fontId="34" fillId="0" borderId="162" applyNumberFormat="0" applyFont="0" applyFill="0" applyBorder="0" applyProtection="0">
      <alignment horizontal="left" vertical="center" indent="2"/>
    </xf>
    <xf numFmtId="173" fontId="34" fillId="60" borderId="162" applyNumberFormat="0" applyFont="0" applyBorder="0" applyAlignment="0" applyProtection="0">
      <alignment horizontal="right" vertical="center"/>
    </xf>
    <xf numFmtId="0" fontId="58" fillId="43" borderId="159" applyNumberFormat="0" applyAlignment="0" applyProtection="0"/>
    <xf numFmtId="49" fontId="33" fillId="0" borderId="162" applyNumberFormat="0" applyFill="0" applyBorder="0" applyProtection="0">
      <alignment horizontal="left" vertical="center"/>
    </xf>
    <xf numFmtId="0" fontId="26" fillId="14" borderId="0" applyNumberFormat="0" applyBorder="0" applyAlignment="0" applyProtection="0"/>
    <xf numFmtId="4" fontId="32" fillId="34" borderId="162">
      <alignment horizontal="right" vertical="center"/>
    </xf>
    <xf numFmtId="0" fontId="26" fillId="18" borderId="0" applyNumberFormat="0" applyBorder="0" applyAlignment="0" applyProtection="0"/>
    <xf numFmtId="0" fontId="5" fillId="59" borderId="168" applyNumberFormat="0" applyFont="0" applyAlignment="0" applyProtection="0"/>
    <xf numFmtId="0" fontId="32" fillId="32" borderId="169">
      <alignment horizontal="right" vertical="center"/>
    </xf>
    <xf numFmtId="0" fontId="36" fillId="32" borderId="162">
      <alignment horizontal="right" vertical="center"/>
    </xf>
    <xf numFmtId="0" fontId="49" fillId="43" borderId="159" applyNumberFormat="0" applyAlignment="0" applyProtection="0"/>
    <xf numFmtId="0" fontId="46" fillId="56" borderId="159" applyNumberFormat="0" applyAlignment="0" applyProtection="0"/>
    <xf numFmtId="4" fontId="34" fillId="0" borderId="162">
      <alignment horizontal="right" vertical="center"/>
    </xf>
    <xf numFmtId="0" fontId="34" fillId="34" borderId="165">
      <alignment horizontal="left" vertical="center" wrapText="1" indent="2"/>
    </xf>
    <xf numFmtId="0" fontId="34" fillId="0" borderId="165">
      <alignment horizontal="left" vertical="center" wrapText="1" indent="2"/>
    </xf>
    <xf numFmtId="0" fontId="62" fillId="56" borderId="158" applyNumberFormat="0" applyAlignment="0" applyProtection="0"/>
    <xf numFmtId="0" fontId="58" fillId="43" borderId="159" applyNumberFormat="0" applyAlignment="0" applyProtection="0"/>
    <xf numFmtId="0" fontId="45" fillId="56" borderId="159" applyNumberFormat="0" applyAlignment="0" applyProtection="0"/>
    <xf numFmtId="0" fontId="43" fillId="56" borderId="158" applyNumberFormat="0" applyAlignment="0" applyProtection="0"/>
    <xf numFmtId="0" fontId="32" fillId="34" borderId="164">
      <alignment horizontal="right" vertical="center"/>
    </xf>
    <xf numFmtId="0" fontId="36" fillId="32" borderId="162">
      <alignment horizontal="right" vertical="center"/>
    </xf>
    <xf numFmtId="4" fontId="32" fillId="32" borderId="162">
      <alignment horizontal="right" vertical="center"/>
    </xf>
    <xf numFmtId="4" fontId="32" fillId="34" borderId="162">
      <alignment horizontal="right" vertical="center"/>
    </xf>
    <xf numFmtId="49" fontId="34" fillId="0" borderId="163" applyNumberFormat="0" applyFont="0" applyFill="0" applyBorder="0" applyProtection="0">
      <alignment horizontal="left" vertical="center" indent="5"/>
    </xf>
    <xf numFmtId="4" fontId="34" fillId="0" borderId="162" applyFill="0" applyBorder="0" applyProtection="0">
      <alignment horizontal="right" vertical="center"/>
    </xf>
    <xf numFmtId="4" fontId="32" fillId="32" borderId="162">
      <alignment horizontal="right" vertical="center"/>
    </xf>
    <xf numFmtId="0" fontId="58" fillId="43" borderId="159" applyNumberFormat="0" applyAlignment="0" applyProtection="0"/>
    <xf numFmtId="0" fontId="49" fillId="43" borderId="159" applyNumberFormat="0" applyAlignment="0" applyProtection="0"/>
    <xf numFmtId="0" fontId="45" fillId="56" borderId="159" applyNumberFormat="0" applyAlignment="0" applyProtection="0"/>
    <xf numFmtId="0" fontId="34" fillId="34" borderId="165">
      <alignment horizontal="left" vertical="center" wrapText="1" indent="2"/>
    </xf>
    <xf numFmtId="0" fontId="34" fillId="0" borderId="165">
      <alignment horizontal="left" vertical="center" wrapText="1" indent="2"/>
    </xf>
    <xf numFmtId="0" fontId="34" fillId="34" borderId="165">
      <alignment horizontal="left" vertical="center" wrapText="1" indent="2"/>
    </xf>
    <xf numFmtId="0" fontId="1" fillId="0" borderId="0" applyNumberFormat="0" applyFill="0" applyBorder="0" applyAlignment="0" applyProtection="0"/>
    <xf numFmtId="173" fontId="34" fillId="60" borderId="169" applyNumberFormat="0" applyFont="0" applyBorder="0" applyAlignment="0" applyProtection="0">
      <alignment horizontal="right" vertical="center"/>
    </xf>
    <xf numFmtId="0" fontId="26" fillId="23" borderId="0" applyNumberFormat="0" applyBorder="0" applyAlignment="0" applyProtection="0"/>
    <xf numFmtId="0" fontId="65" fillId="0" borderId="167" applyNumberFormat="0" applyFill="0" applyAlignment="0" applyProtection="0"/>
    <xf numFmtId="0" fontId="40" fillId="59" borderId="168" applyNumberFormat="0" applyFont="0" applyAlignment="0" applyProtection="0"/>
    <xf numFmtId="0" fontId="49" fillId="43" borderId="166" applyNumberFormat="0" applyAlignment="0" applyProtection="0"/>
    <xf numFmtId="0" fontId="46" fillId="56" borderId="166" applyNumberFormat="0" applyAlignment="0" applyProtection="0"/>
    <xf numFmtId="0" fontId="32" fillId="34" borderId="169">
      <alignment horizontal="right" vertical="center"/>
    </xf>
    <xf numFmtId="4" fontId="34" fillId="33" borderId="169"/>
    <xf numFmtId="0" fontId="26" fillId="15" borderId="0" applyNumberFormat="0" applyBorder="0" applyAlignment="0" applyProtection="0"/>
    <xf numFmtId="0" fontId="46" fillId="56" borderId="166" applyNumberFormat="0" applyAlignment="0" applyProtection="0"/>
    <xf numFmtId="0" fontId="46" fillId="56" borderId="166" applyNumberFormat="0" applyAlignment="0" applyProtection="0"/>
    <xf numFmtId="0" fontId="32" fillId="34" borderId="169">
      <alignment horizontal="right" vertical="center"/>
    </xf>
    <xf numFmtId="0" fontId="34" fillId="34" borderId="172">
      <alignment horizontal="left" vertical="center" wrapText="1" indent="2"/>
    </xf>
    <xf numFmtId="0" fontId="58" fillId="43" borderId="166" applyNumberFormat="0" applyAlignment="0" applyProtection="0"/>
    <xf numFmtId="0" fontId="26" fillId="30" borderId="0" applyNumberFormat="0" applyBorder="0" applyAlignment="0" applyProtection="0"/>
    <xf numFmtId="0" fontId="58" fillId="43" borderId="166" applyNumberFormat="0" applyAlignment="0" applyProtection="0"/>
    <xf numFmtId="0" fontId="40" fillId="59" borderId="168" applyNumberFormat="0" applyFont="0" applyAlignment="0" applyProtection="0"/>
    <xf numFmtId="0" fontId="12" fillId="19" borderId="0" applyNumberFormat="0" applyBorder="0" applyAlignment="0" applyProtection="0"/>
    <xf numFmtId="0" fontId="34" fillId="0" borderId="169">
      <alignment horizontal="right" vertical="center"/>
    </xf>
    <xf numFmtId="0" fontId="36" fillId="32" borderId="169">
      <alignment horizontal="right" vertical="center"/>
    </xf>
    <xf numFmtId="0" fontId="43" fillId="56" borderId="173" applyNumberFormat="0" applyAlignment="0" applyProtection="0"/>
    <xf numFmtId="0" fontId="50" fillId="0" borderId="167" applyNumberFormat="0" applyFill="0" applyAlignment="0" applyProtection="0"/>
    <xf numFmtId="0" fontId="34" fillId="32" borderId="170">
      <alignment horizontal="left" vertical="center"/>
    </xf>
    <xf numFmtId="0" fontId="58" fillId="43" borderId="166" applyNumberFormat="0" applyAlignment="0" applyProtection="0"/>
    <xf numFmtId="0" fontId="40" fillId="59" borderId="168" applyNumberFormat="0" applyFont="0" applyAlignment="0" applyProtection="0"/>
    <xf numFmtId="0" fontId="26" fillId="27" borderId="0" applyNumberFormat="0" applyBorder="0" applyAlignment="0" applyProtection="0"/>
    <xf numFmtId="0" fontId="26" fillId="18" borderId="0" applyNumberFormat="0" applyBorder="0" applyAlignment="0" applyProtection="0"/>
    <xf numFmtId="0" fontId="50" fillId="0" borderId="167" applyNumberFormat="0" applyFill="0" applyAlignment="0" applyProtection="0"/>
    <xf numFmtId="49" fontId="34" fillId="0" borderId="169" applyNumberFormat="0" applyFont="0" applyFill="0" applyBorder="0" applyProtection="0">
      <alignment horizontal="left" vertical="center" indent="2"/>
    </xf>
    <xf numFmtId="0" fontId="46" fillId="56" borderId="166" applyNumberFormat="0" applyAlignment="0" applyProtection="0"/>
    <xf numFmtId="0" fontId="34" fillId="0" borderId="172">
      <alignment horizontal="left" vertical="center" wrapText="1" indent="2"/>
    </xf>
    <xf numFmtId="0" fontId="34" fillId="34" borderId="172">
      <alignment horizontal="left" vertical="center" wrapText="1" indent="2"/>
    </xf>
    <xf numFmtId="0" fontId="50" fillId="0" borderId="167" applyNumberFormat="0" applyFill="0" applyAlignment="0" applyProtection="0"/>
    <xf numFmtId="0" fontId="32" fillId="34" borderId="169">
      <alignment horizontal="right" vertical="center"/>
    </xf>
    <xf numFmtId="0" fontId="49" fillId="43" borderId="166" applyNumberFormat="0" applyAlignment="0" applyProtection="0"/>
    <xf numFmtId="0" fontId="26" fillId="21" borderId="0" applyNumberFormat="0" applyBorder="0" applyAlignment="0" applyProtection="0"/>
    <xf numFmtId="0" fontId="26" fillId="14" borderId="0" applyNumberFormat="0" applyBorder="0" applyAlignment="0" applyProtection="0"/>
    <xf numFmtId="0" fontId="2" fillId="0" borderId="15" applyNumberFormat="0" applyFill="0" applyAlignment="0" applyProtection="0"/>
    <xf numFmtId="0" fontId="65" fillId="0" borderId="167" applyNumberFormat="0" applyFill="0" applyAlignment="0" applyProtection="0"/>
    <xf numFmtId="4" fontId="34" fillId="0" borderId="169">
      <alignment horizontal="right" vertical="center"/>
    </xf>
    <xf numFmtId="4" fontId="32" fillId="34" borderId="170">
      <alignment horizontal="right" vertical="center"/>
    </xf>
    <xf numFmtId="4" fontId="36" fillId="32" borderId="169">
      <alignment horizontal="right" vertical="center"/>
    </xf>
    <xf numFmtId="49" fontId="34" fillId="0" borderId="170" applyNumberFormat="0" applyFont="0" applyFill="0" applyBorder="0" applyProtection="0">
      <alignment horizontal="left" vertical="center" indent="5"/>
    </xf>
    <xf numFmtId="0" fontId="65" fillId="0" borderId="167" applyNumberFormat="0" applyFill="0" applyAlignment="0" applyProtection="0"/>
    <xf numFmtId="0" fontId="34" fillId="0" borderId="172">
      <alignment horizontal="left" vertical="center" wrapText="1" indent="2"/>
    </xf>
    <xf numFmtId="4" fontId="34" fillId="0" borderId="169" applyFill="0" applyBorder="0" applyProtection="0">
      <alignment horizontal="right" vertical="center"/>
    </xf>
    <xf numFmtId="4" fontId="34" fillId="33" borderId="169"/>
    <xf numFmtId="0" fontId="32" fillId="34" borderId="169">
      <alignment horizontal="right" vertical="center"/>
    </xf>
    <xf numFmtId="4" fontId="36" fillId="32" borderId="169">
      <alignment horizontal="right" vertical="center"/>
    </xf>
    <xf numFmtId="4" fontId="34" fillId="33" borderId="169"/>
    <xf numFmtId="4" fontId="36" fillId="32" borderId="169">
      <alignment horizontal="right" vertical="center"/>
    </xf>
    <xf numFmtId="0" fontId="32" fillId="34" borderId="169">
      <alignment horizontal="right" vertical="center"/>
    </xf>
    <xf numFmtId="0" fontId="34" fillId="0" borderId="172">
      <alignment horizontal="left" vertical="center" wrapText="1" indent="2"/>
    </xf>
    <xf numFmtId="0" fontId="43" fillId="56" borderId="173" applyNumberFormat="0" applyAlignment="0" applyProtection="0"/>
    <xf numFmtId="0" fontId="43" fillId="56" borderId="173" applyNumberFormat="0" applyAlignment="0" applyProtection="0"/>
    <xf numFmtId="0" fontId="32" fillId="32" borderId="169">
      <alignment horizontal="right" vertical="center"/>
    </xf>
    <xf numFmtId="0" fontId="32" fillId="32" borderId="169">
      <alignment horizontal="right" vertical="center"/>
    </xf>
    <xf numFmtId="0" fontId="58" fillId="43" borderId="166" applyNumberFormat="0" applyAlignment="0" applyProtection="0"/>
    <xf numFmtId="4" fontId="36" fillId="32" borderId="169">
      <alignment horizontal="right" vertical="center"/>
    </xf>
    <xf numFmtId="49" fontId="33" fillId="0" borderId="169" applyNumberFormat="0" applyFill="0" applyBorder="0" applyProtection="0">
      <alignment horizontal="left" vertical="center"/>
    </xf>
    <xf numFmtId="0" fontId="58" fillId="43" borderId="166" applyNumberFormat="0" applyAlignment="0" applyProtection="0"/>
    <xf numFmtId="0" fontId="49" fillId="43" borderId="166" applyNumberFormat="0" applyAlignment="0" applyProtection="0"/>
    <xf numFmtId="0" fontId="32" fillId="32" borderId="169">
      <alignment horizontal="right" vertical="center"/>
    </xf>
    <xf numFmtId="0" fontId="65" fillId="0" borderId="167" applyNumberFormat="0" applyFill="0" applyAlignment="0" applyProtection="0"/>
    <xf numFmtId="4" fontId="34" fillId="33" borderId="169"/>
    <xf numFmtId="0" fontId="65" fillId="0" borderId="167" applyNumberFormat="0" applyFill="0" applyAlignment="0" applyProtection="0"/>
    <xf numFmtId="0" fontId="43" fillId="56" borderId="173" applyNumberFormat="0" applyAlignment="0" applyProtection="0"/>
    <xf numFmtId="0" fontId="34" fillId="33" borderId="169"/>
    <xf numFmtId="0" fontId="32" fillId="34" borderId="170">
      <alignment horizontal="right" vertical="center"/>
    </xf>
    <xf numFmtId="0" fontId="32" fillId="34" borderId="169">
      <alignment horizontal="right" vertical="center"/>
    </xf>
    <xf numFmtId="0" fontId="12" fillId="31" borderId="0" applyNumberFormat="0" applyBorder="0" applyAlignment="0" applyProtection="0"/>
    <xf numFmtId="0" fontId="34" fillId="0" borderId="172">
      <alignment horizontal="left" vertical="center" wrapText="1" indent="2"/>
    </xf>
    <xf numFmtId="0" fontId="34" fillId="33" borderId="169"/>
    <xf numFmtId="0" fontId="65" fillId="0" borderId="167" applyNumberFormat="0" applyFill="0" applyAlignment="0" applyProtection="0"/>
    <xf numFmtId="0" fontId="34" fillId="34" borderId="172">
      <alignment horizontal="left" vertical="center" wrapText="1" indent="2"/>
    </xf>
    <xf numFmtId="49" fontId="34" fillId="0" borderId="170" applyNumberFormat="0" applyFont="0" applyFill="0" applyBorder="0" applyProtection="0">
      <alignment horizontal="left" vertical="center" indent="5"/>
    </xf>
    <xf numFmtId="4" fontId="36" fillId="32" borderId="169">
      <alignment horizontal="right" vertical="center"/>
    </xf>
    <xf numFmtId="49" fontId="34" fillId="0" borderId="169" applyNumberFormat="0" applyFont="0" applyFill="0" applyBorder="0" applyProtection="0">
      <alignment horizontal="left" vertical="center" indent="2"/>
    </xf>
    <xf numFmtId="0" fontId="49" fillId="43" borderId="166" applyNumberFormat="0" applyAlignment="0" applyProtection="0"/>
    <xf numFmtId="0" fontId="62" fillId="56" borderId="173" applyNumberFormat="0" applyAlignment="0" applyProtection="0"/>
    <xf numFmtId="4" fontId="32" fillId="34" borderId="171">
      <alignment horizontal="right" vertical="center"/>
    </xf>
    <xf numFmtId="0" fontId="26" fillId="26" borderId="0" applyNumberFormat="0" applyBorder="0" applyAlignment="0" applyProtection="0"/>
    <xf numFmtId="0" fontId="65" fillId="0" borderId="167" applyNumberFormat="0" applyFill="0" applyAlignment="0" applyProtection="0"/>
    <xf numFmtId="0" fontId="58" fillId="43" borderId="166" applyNumberFormat="0" applyAlignment="0" applyProtection="0"/>
    <xf numFmtId="0" fontId="62" fillId="56" borderId="173" applyNumberFormat="0" applyAlignment="0" applyProtection="0"/>
    <xf numFmtId="0" fontId="65" fillId="0" borderId="167" applyNumberFormat="0" applyFill="0" applyAlignment="0" applyProtection="0"/>
    <xf numFmtId="4" fontId="32" fillId="34" borderId="170">
      <alignment horizontal="right" vertical="center"/>
    </xf>
    <xf numFmtId="0" fontId="26" fillId="21" borderId="0" applyNumberFormat="0" applyBorder="0" applyAlignment="0" applyProtection="0"/>
    <xf numFmtId="0" fontId="12" fillId="28" borderId="0" applyNumberFormat="0" applyBorder="0" applyAlignment="0" applyProtection="0"/>
    <xf numFmtId="4" fontId="32" fillId="34" borderId="169">
      <alignment horizontal="right" vertical="center"/>
    </xf>
    <xf numFmtId="4" fontId="32" fillId="34" borderId="170">
      <alignment horizontal="right" vertical="center"/>
    </xf>
    <xf numFmtId="0" fontId="32" fillId="34" borderId="170">
      <alignment horizontal="right" vertical="center"/>
    </xf>
    <xf numFmtId="4" fontId="32" fillId="34" borderId="169">
      <alignment horizontal="right" vertical="center"/>
    </xf>
    <xf numFmtId="0" fontId="50" fillId="0" borderId="167" applyNumberFormat="0" applyFill="0" applyAlignment="0" applyProtection="0"/>
    <xf numFmtId="0" fontId="26" fillId="29" borderId="0" applyNumberFormat="0" applyBorder="0" applyAlignment="0" applyProtection="0"/>
    <xf numFmtId="0" fontId="32" fillId="34" borderId="170">
      <alignment horizontal="right" vertical="center"/>
    </xf>
    <xf numFmtId="0" fontId="45" fillId="56" borderId="166" applyNumberFormat="0" applyAlignment="0" applyProtection="0"/>
    <xf numFmtId="0" fontId="29" fillId="13" borderId="13" applyNumberFormat="0" applyAlignment="0" applyProtection="0"/>
    <xf numFmtId="4" fontId="32" fillId="34" borderId="171">
      <alignment horizontal="right" vertical="center"/>
    </xf>
    <xf numFmtId="0" fontId="34" fillId="33" borderId="169"/>
    <xf numFmtId="0" fontId="12" fillId="28" borderId="0" applyNumberFormat="0" applyBorder="0" applyAlignment="0" applyProtection="0"/>
    <xf numFmtId="0" fontId="26" fillId="15" borderId="0" applyNumberFormat="0" applyBorder="0" applyAlignment="0" applyProtection="0"/>
    <xf numFmtId="0" fontId="34" fillId="0" borderId="172">
      <alignment horizontal="left" vertical="center" wrapText="1" indent="2"/>
    </xf>
    <xf numFmtId="4" fontId="34" fillId="0" borderId="169">
      <alignment horizontal="right" vertical="center"/>
    </xf>
    <xf numFmtId="0" fontId="49" fillId="43" borderId="166" applyNumberFormat="0" applyAlignment="0" applyProtection="0"/>
    <xf numFmtId="0" fontId="32" fillId="34" borderId="171">
      <alignment horizontal="right" vertical="center"/>
    </xf>
    <xf numFmtId="173" fontId="34" fillId="60" borderId="169" applyNumberFormat="0" applyFont="0" applyBorder="0" applyAlignment="0" applyProtection="0">
      <alignment horizontal="right" vertical="center"/>
    </xf>
    <xf numFmtId="49" fontId="34" fillId="0" borderId="169" applyNumberFormat="0" applyFont="0" applyFill="0" applyBorder="0" applyProtection="0">
      <alignment horizontal="left" vertical="center" indent="2"/>
    </xf>
    <xf numFmtId="0" fontId="32" fillId="34" borderId="169">
      <alignment horizontal="right" vertical="center"/>
    </xf>
    <xf numFmtId="0" fontId="36" fillId="32" borderId="169">
      <alignment horizontal="right" vertical="center"/>
    </xf>
    <xf numFmtId="4" fontId="32" fillId="34" borderId="170">
      <alignment horizontal="right" vertical="center"/>
    </xf>
    <xf numFmtId="0" fontId="32" fillId="32" borderId="169">
      <alignment horizontal="right" vertical="center"/>
    </xf>
    <xf numFmtId="0" fontId="12" fillId="28" borderId="0" applyNumberFormat="0" applyBorder="0" applyAlignment="0" applyProtection="0"/>
    <xf numFmtId="0" fontId="32" fillId="34" borderId="170">
      <alignment horizontal="right" vertical="center"/>
    </xf>
    <xf numFmtId="0" fontId="62" fillId="56" borderId="173" applyNumberFormat="0" applyAlignment="0" applyProtection="0"/>
    <xf numFmtId="0" fontId="65" fillId="0" borderId="167" applyNumberFormat="0" applyFill="0" applyAlignment="0" applyProtection="0"/>
    <xf numFmtId="0" fontId="26" fillId="23" borderId="0" applyNumberFormat="0" applyBorder="0" applyAlignment="0" applyProtection="0"/>
    <xf numFmtId="0" fontId="40" fillId="59" borderId="168" applyNumberFormat="0" applyFont="0" applyAlignment="0" applyProtection="0"/>
    <xf numFmtId="0" fontId="26" fillId="21" borderId="0" applyNumberFormat="0" applyBorder="0" applyAlignment="0" applyProtection="0"/>
    <xf numFmtId="0" fontId="32" fillId="32" borderId="169">
      <alignment horizontal="right" vertical="center"/>
    </xf>
    <xf numFmtId="0" fontId="62" fillId="56" borderId="173" applyNumberFormat="0" applyAlignment="0" applyProtection="0"/>
    <xf numFmtId="4" fontId="32" fillId="32" borderId="169">
      <alignment horizontal="right" vertical="center"/>
    </xf>
    <xf numFmtId="0" fontId="34" fillId="0" borderId="169" applyNumberFormat="0" applyFill="0" applyAlignment="0" applyProtection="0"/>
    <xf numFmtId="0" fontId="26" fillId="24" borderId="0" applyNumberFormat="0" applyBorder="0" applyAlignment="0" applyProtection="0"/>
    <xf numFmtId="0" fontId="5" fillId="59" borderId="168" applyNumberFormat="0" applyFont="0" applyAlignment="0" applyProtection="0"/>
    <xf numFmtId="0" fontId="58" fillId="43" borderId="166" applyNumberFormat="0" applyAlignment="0" applyProtection="0"/>
    <xf numFmtId="0" fontId="65" fillId="0" borderId="167" applyNumberFormat="0" applyFill="0" applyAlignment="0" applyProtection="0"/>
    <xf numFmtId="0" fontId="26" fillId="29" borderId="0" applyNumberFormat="0" applyBorder="0" applyAlignment="0" applyProtection="0"/>
    <xf numFmtId="0" fontId="26" fillId="20" borderId="0" applyNumberFormat="0" applyBorder="0" applyAlignment="0" applyProtection="0"/>
    <xf numFmtId="0" fontId="34" fillId="33" borderId="169"/>
    <xf numFmtId="0" fontId="45" fillId="56" borderId="166" applyNumberFormat="0" applyAlignment="0" applyProtection="0"/>
    <xf numFmtId="0" fontId="26" fillId="24" borderId="0" applyNumberFormat="0" applyBorder="0" applyAlignment="0" applyProtection="0"/>
    <xf numFmtId="4" fontId="32" fillId="34" borderId="171">
      <alignment horizontal="right" vertical="center"/>
    </xf>
    <xf numFmtId="0" fontId="26" fillId="26" borderId="0" applyNumberFormat="0" applyBorder="0" applyAlignment="0" applyProtection="0"/>
    <xf numFmtId="0" fontId="58" fillId="43" borderId="166" applyNumberFormat="0" applyAlignment="0" applyProtection="0"/>
    <xf numFmtId="0" fontId="34" fillId="0" borderId="169">
      <alignment horizontal="right" vertical="center"/>
    </xf>
    <xf numFmtId="0" fontId="5" fillId="59" borderId="168" applyNumberFormat="0" applyFont="0" applyAlignment="0" applyProtection="0"/>
    <xf numFmtId="0" fontId="26" fillId="20" borderId="0" applyNumberFormat="0" applyBorder="0" applyAlignment="0" applyProtection="0"/>
    <xf numFmtId="0" fontId="30" fillId="0" borderId="0" applyNumberFormat="0" applyFill="0" applyBorder="0" applyAlignment="0" applyProtection="0"/>
    <xf numFmtId="4" fontId="32" fillId="34" borderId="170">
      <alignment horizontal="right" vertical="center"/>
    </xf>
    <xf numFmtId="0" fontId="65" fillId="0" borderId="167" applyNumberFormat="0" applyFill="0" applyAlignment="0" applyProtection="0"/>
    <xf numFmtId="0" fontId="62" fillId="56" borderId="173" applyNumberFormat="0" applyAlignment="0" applyProtection="0"/>
    <xf numFmtId="0" fontId="58" fillId="43" borderId="166" applyNumberFormat="0" applyAlignment="0" applyProtection="0"/>
    <xf numFmtId="49" fontId="33" fillId="0" borderId="169" applyNumberFormat="0" applyFill="0" applyBorder="0" applyProtection="0">
      <alignment horizontal="left" vertical="center"/>
    </xf>
    <xf numFmtId="0" fontId="32" fillId="34" borderId="169">
      <alignment horizontal="right" vertical="center"/>
    </xf>
    <xf numFmtId="49" fontId="34" fillId="0" borderId="170" applyNumberFormat="0" applyFont="0" applyFill="0" applyBorder="0" applyProtection="0">
      <alignment horizontal="left" vertical="center" indent="5"/>
    </xf>
    <xf numFmtId="0" fontId="46" fillId="56" borderId="166" applyNumberFormat="0" applyAlignment="0" applyProtection="0"/>
    <xf numFmtId="0" fontId="50" fillId="0" borderId="167" applyNumberFormat="0" applyFill="0" applyAlignment="0" applyProtection="0"/>
    <xf numFmtId="4" fontId="32" fillId="34" borderId="169">
      <alignment horizontal="right" vertical="center"/>
    </xf>
    <xf numFmtId="0" fontId="12" fillId="16" borderId="0" applyNumberFormat="0" applyBorder="0" applyAlignment="0" applyProtection="0"/>
    <xf numFmtId="0" fontId="34" fillId="0" borderId="169">
      <alignment horizontal="right" vertical="center"/>
    </xf>
    <xf numFmtId="0" fontId="5" fillId="59" borderId="168" applyNumberFormat="0" applyFont="0" applyAlignment="0" applyProtection="0"/>
    <xf numFmtId="0" fontId="65" fillId="0" borderId="167" applyNumberFormat="0" applyFill="0" applyAlignment="0" applyProtection="0"/>
    <xf numFmtId="0" fontId="12" fillId="31" borderId="0" applyNumberFormat="0" applyBorder="0" applyAlignment="0" applyProtection="0"/>
    <xf numFmtId="0" fontId="65" fillId="0" borderId="167" applyNumberFormat="0" applyFill="0" applyAlignment="0" applyProtection="0"/>
    <xf numFmtId="0" fontId="36" fillId="32" borderId="169">
      <alignment horizontal="right" vertical="center"/>
    </xf>
    <xf numFmtId="0" fontId="58" fillId="43" borderId="166" applyNumberFormat="0" applyAlignment="0" applyProtection="0"/>
    <xf numFmtId="4" fontId="32" fillId="34" borderId="169">
      <alignment horizontal="right" vertical="center"/>
    </xf>
    <xf numFmtId="0" fontId="49" fillId="43" borderId="166" applyNumberFormat="0" applyAlignment="0" applyProtection="0"/>
    <xf numFmtId="0" fontId="34" fillId="34" borderId="172">
      <alignment horizontal="left" vertical="center" wrapText="1" indent="2"/>
    </xf>
    <xf numFmtId="4" fontId="32" fillId="34" borderId="169">
      <alignment horizontal="right" vertical="center"/>
    </xf>
    <xf numFmtId="0" fontId="32" fillId="34" borderId="169">
      <alignment horizontal="right" vertical="center"/>
    </xf>
    <xf numFmtId="0" fontId="26" fillId="27" borderId="0" applyNumberFormat="0" applyBorder="0" applyAlignment="0" applyProtection="0"/>
    <xf numFmtId="0" fontId="36" fillId="32" borderId="169">
      <alignment horizontal="right" vertical="center"/>
    </xf>
    <xf numFmtId="0" fontId="40" fillId="59" borderId="168" applyNumberFormat="0" applyFont="0" applyAlignment="0" applyProtection="0"/>
    <xf numFmtId="0" fontId="12" fillId="25" borderId="0" applyNumberFormat="0" applyBorder="0" applyAlignment="0" applyProtection="0"/>
    <xf numFmtId="0" fontId="32" fillId="34" borderId="169">
      <alignment horizontal="right" vertical="center"/>
    </xf>
    <xf numFmtId="0" fontId="46" fillId="56" borderId="166" applyNumberFormat="0" applyAlignment="0" applyProtection="0"/>
    <xf numFmtId="4" fontId="32" fillId="34" borderId="169">
      <alignment horizontal="right" vertical="center"/>
    </xf>
    <xf numFmtId="0" fontId="12" fillId="31" borderId="0" applyNumberFormat="0" applyBorder="0" applyAlignment="0" applyProtection="0"/>
    <xf numFmtId="49" fontId="34" fillId="0" borderId="169" applyNumberFormat="0" applyFont="0" applyFill="0" applyBorder="0" applyProtection="0">
      <alignment horizontal="left" vertical="center" indent="2"/>
    </xf>
    <xf numFmtId="0" fontId="62" fillId="56" borderId="173" applyNumberFormat="0" applyAlignment="0" applyProtection="0"/>
    <xf numFmtId="0" fontId="26" fillId="30" borderId="0" applyNumberFormat="0" applyBorder="0" applyAlignment="0" applyProtection="0"/>
    <xf numFmtId="4" fontId="36" fillId="32" borderId="169">
      <alignment horizontal="right" vertical="center"/>
    </xf>
    <xf numFmtId="0" fontId="34" fillId="33" borderId="169"/>
    <xf numFmtId="0" fontId="65" fillId="0" borderId="167" applyNumberFormat="0" applyFill="0" applyAlignment="0" applyProtection="0"/>
    <xf numFmtId="0" fontId="46" fillId="56" borderId="166" applyNumberFormat="0" applyAlignment="0" applyProtection="0"/>
    <xf numFmtId="0" fontId="46" fillId="56" borderId="166" applyNumberFormat="0" applyAlignment="0" applyProtection="0"/>
    <xf numFmtId="0" fontId="34" fillId="34" borderId="172">
      <alignment horizontal="left" vertical="center" wrapText="1" indent="2"/>
    </xf>
    <xf numFmtId="0" fontId="49" fillId="43" borderId="166" applyNumberFormat="0" applyAlignment="0" applyProtection="0"/>
    <xf numFmtId="0" fontId="26" fillId="24" borderId="0" applyNumberFormat="0" applyBorder="0" applyAlignment="0" applyProtection="0"/>
    <xf numFmtId="0" fontId="46" fillId="56" borderId="166" applyNumberFormat="0" applyAlignment="0" applyProtection="0"/>
    <xf numFmtId="0" fontId="26" fillId="29" borderId="0" applyNumberFormat="0" applyBorder="0" applyAlignment="0" applyProtection="0"/>
    <xf numFmtId="0" fontId="36" fillId="32" borderId="169">
      <alignment horizontal="right" vertical="center"/>
    </xf>
    <xf numFmtId="0" fontId="26" fillId="21" borderId="0" applyNumberFormat="0" applyBorder="0" applyAlignment="0" applyProtection="0"/>
    <xf numFmtId="0" fontId="32" fillId="34" borderId="169">
      <alignment horizontal="right" vertical="center"/>
    </xf>
    <xf numFmtId="0" fontId="49" fillId="43" borderId="166" applyNumberFormat="0" applyAlignment="0" applyProtection="0"/>
    <xf numFmtId="0" fontId="34" fillId="34" borderId="172">
      <alignment horizontal="left" vertical="center" wrapText="1" indent="2"/>
    </xf>
    <xf numFmtId="0" fontId="34" fillId="34" borderId="172">
      <alignment horizontal="left" vertical="center" wrapText="1" indent="2"/>
    </xf>
    <xf numFmtId="0" fontId="34" fillId="0" borderId="172">
      <alignment horizontal="left" vertical="center" wrapText="1" indent="2"/>
    </xf>
    <xf numFmtId="0" fontId="34" fillId="32" borderId="170">
      <alignment horizontal="left" vertical="center"/>
    </xf>
    <xf numFmtId="0" fontId="12" fillId="22" borderId="0" applyNumberFormat="0" applyBorder="0" applyAlignment="0" applyProtection="0"/>
    <xf numFmtId="0" fontId="49" fillId="43" borderId="166" applyNumberFormat="0" applyAlignment="0" applyProtection="0"/>
    <xf numFmtId="4" fontId="32" fillId="34" borderId="169">
      <alignment horizontal="right" vertical="center"/>
    </xf>
    <xf numFmtId="49" fontId="33" fillId="0" borderId="169" applyNumberFormat="0" applyFill="0" applyBorder="0" applyProtection="0">
      <alignment horizontal="left" vertical="center"/>
    </xf>
    <xf numFmtId="0" fontId="50" fillId="0" borderId="167" applyNumberFormat="0" applyFill="0" applyAlignment="0" applyProtection="0"/>
    <xf numFmtId="0" fontId="32" fillId="32" borderId="169">
      <alignment horizontal="right" vertical="center"/>
    </xf>
    <xf numFmtId="0" fontId="12" fillId="19" borderId="0" applyNumberFormat="0" applyBorder="0" applyAlignment="0" applyProtection="0"/>
    <xf numFmtId="4" fontId="32" fillId="34" borderId="169">
      <alignment horizontal="right" vertical="center"/>
    </xf>
    <xf numFmtId="0" fontId="12" fillId="25" borderId="0" applyNumberFormat="0" applyBorder="0" applyAlignment="0" applyProtection="0"/>
    <xf numFmtId="0" fontId="46" fillId="56" borderId="166" applyNumberFormat="0" applyAlignment="0" applyProtection="0"/>
    <xf numFmtId="0" fontId="45" fillId="56" borderId="166" applyNumberFormat="0" applyAlignment="0" applyProtection="0"/>
    <xf numFmtId="49" fontId="34" fillId="0" borderId="170" applyNumberFormat="0" applyFont="0" applyFill="0" applyBorder="0" applyProtection="0">
      <alignment horizontal="left" vertical="center" indent="5"/>
    </xf>
    <xf numFmtId="4" fontId="34" fillId="33" borderId="169"/>
    <xf numFmtId="0" fontId="40" fillId="59" borderId="168" applyNumberFormat="0" applyFont="0" applyAlignment="0" applyProtection="0"/>
    <xf numFmtId="0" fontId="28" fillId="13" borderId="14" applyNumberFormat="0" applyAlignment="0" applyProtection="0"/>
    <xf numFmtId="4" fontId="32" fillId="32" borderId="169">
      <alignment horizontal="right" vertical="center"/>
    </xf>
    <xf numFmtId="0" fontId="46" fillId="56" borderId="166" applyNumberFormat="0" applyAlignment="0" applyProtection="0"/>
    <xf numFmtId="0" fontId="12" fillId="25" borderId="0" applyNumberFormat="0" applyBorder="0" applyAlignment="0" applyProtection="0"/>
    <xf numFmtId="0" fontId="32" fillId="34" borderId="171">
      <alignment horizontal="right" vertical="center"/>
    </xf>
    <xf numFmtId="0" fontId="40" fillId="59" borderId="168" applyNumberFormat="0" applyFont="0" applyAlignment="0" applyProtection="0"/>
    <xf numFmtId="4" fontId="32" fillId="32" borderId="169">
      <alignment horizontal="right" vertical="center"/>
    </xf>
    <xf numFmtId="0" fontId="46" fillId="56" borderId="166" applyNumberFormat="0" applyAlignment="0" applyProtection="0"/>
    <xf numFmtId="0" fontId="46" fillId="56" borderId="166" applyNumberFormat="0" applyAlignment="0" applyProtection="0"/>
    <xf numFmtId="0" fontId="62" fillId="56" borderId="173" applyNumberFormat="0" applyAlignment="0" applyProtection="0"/>
    <xf numFmtId="0" fontId="34" fillId="0" borderId="169">
      <alignment horizontal="right" vertical="center"/>
    </xf>
    <xf numFmtId="49" fontId="34" fillId="0" borderId="169" applyNumberFormat="0" applyFont="0" applyFill="0" applyBorder="0" applyProtection="0">
      <alignment horizontal="left" vertical="center" indent="2"/>
    </xf>
    <xf numFmtId="0" fontId="28" fillId="13" borderId="14" applyNumberFormat="0" applyAlignment="0" applyProtection="0"/>
    <xf numFmtId="0" fontId="34" fillId="34" borderId="172">
      <alignment horizontal="left" vertical="center" wrapText="1" indent="2"/>
    </xf>
    <xf numFmtId="4" fontId="34" fillId="0" borderId="169">
      <alignment horizontal="right" vertical="center"/>
    </xf>
    <xf numFmtId="0" fontId="34" fillId="0" borderId="169">
      <alignment horizontal="right" vertical="center"/>
    </xf>
    <xf numFmtId="49" fontId="34" fillId="0" borderId="170" applyNumberFormat="0" applyFont="0" applyFill="0" applyBorder="0" applyProtection="0">
      <alignment horizontal="left" vertical="center" indent="5"/>
    </xf>
    <xf numFmtId="0" fontId="34" fillId="32" borderId="170">
      <alignment horizontal="left" vertical="center"/>
    </xf>
    <xf numFmtId="0" fontId="34" fillId="0" borderId="172">
      <alignment horizontal="left" vertical="center" wrapText="1" indent="2"/>
    </xf>
    <xf numFmtId="0" fontId="1" fillId="0" borderId="0" applyNumberFormat="0" applyFill="0" applyBorder="0" applyAlignment="0" applyProtection="0"/>
    <xf numFmtId="0" fontId="26" fillId="30" borderId="0" applyNumberFormat="0" applyBorder="0" applyAlignment="0" applyProtection="0"/>
    <xf numFmtId="0" fontId="32" fillId="32" borderId="169">
      <alignment horizontal="right" vertical="center"/>
    </xf>
    <xf numFmtId="0" fontId="50" fillId="0" borderId="167" applyNumberFormat="0" applyFill="0" applyAlignment="0" applyProtection="0"/>
    <xf numFmtId="0" fontId="34" fillId="0" borderId="169" applyNumberFormat="0" applyFill="0" applyAlignment="0" applyProtection="0"/>
    <xf numFmtId="0" fontId="50" fillId="0" borderId="167" applyNumberFormat="0" applyFill="0" applyAlignment="0" applyProtection="0"/>
    <xf numFmtId="4" fontId="34" fillId="0" borderId="169" applyFill="0" applyBorder="0" applyProtection="0">
      <alignment horizontal="right" vertical="center"/>
    </xf>
    <xf numFmtId="49" fontId="34" fillId="0" borderId="170" applyNumberFormat="0" applyFont="0" applyFill="0" applyBorder="0" applyProtection="0">
      <alignment horizontal="left" vertical="center" indent="5"/>
    </xf>
    <xf numFmtId="0" fontId="34" fillId="0" borderId="169" applyNumberFormat="0" applyFill="0" applyAlignment="0" applyProtection="0"/>
    <xf numFmtId="0" fontId="34" fillId="0" borderId="169" applyNumberFormat="0" applyFill="0" applyAlignment="0" applyProtection="0"/>
    <xf numFmtId="4" fontId="32" fillId="34" borderId="169">
      <alignment horizontal="right" vertical="center"/>
    </xf>
    <xf numFmtId="0" fontId="26" fillId="20" borderId="0" applyNumberFormat="0" applyBorder="0" applyAlignment="0" applyProtection="0"/>
    <xf numFmtId="0" fontId="49" fillId="43" borderId="166" applyNumberFormat="0" applyAlignment="0" applyProtection="0"/>
    <xf numFmtId="0" fontId="46" fillId="56" borderId="166" applyNumberFormat="0" applyAlignment="0" applyProtection="0"/>
    <xf numFmtId="4" fontId="34" fillId="0" borderId="169">
      <alignment horizontal="right" vertical="center"/>
    </xf>
    <xf numFmtId="0" fontId="34" fillId="34" borderId="172">
      <alignment horizontal="left" vertical="center" wrapText="1" indent="2"/>
    </xf>
    <xf numFmtId="0" fontId="34" fillId="0" borderId="172">
      <alignment horizontal="left" vertical="center" wrapText="1" indent="2"/>
    </xf>
    <xf numFmtId="0" fontId="62" fillId="56" borderId="173" applyNumberFormat="0" applyAlignment="0" applyProtection="0"/>
    <xf numFmtId="0" fontId="58" fillId="43" borderId="166" applyNumberFormat="0" applyAlignment="0" applyProtection="0"/>
    <xf numFmtId="0" fontId="45" fillId="56" borderId="166" applyNumberFormat="0" applyAlignment="0" applyProtection="0"/>
    <xf numFmtId="0" fontId="43" fillId="56" borderId="173" applyNumberFormat="0" applyAlignment="0" applyProtection="0"/>
    <xf numFmtId="0" fontId="32" fillId="34" borderId="171">
      <alignment horizontal="right" vertical="center"/>
    </xf>
    <xf numFmtId="0" fontId="36" fillId="32" borderId="169">
      <alignment horizontal="right" vertical="center"/>
    </xf>
    <xf numFmtId="4" fontId="32" fillId="32" borderId="169">
      <alignment horizontal="right" vertical="center"/>
    </xf>
    <xf numFmtId="4" fontId="32" fillId="34" borderId="169">
      <alignment horizontal="right" vertical="center"/>
    </xf>
    <xf numFmtId="49" fontId="34" fillId="0" borderId="170" applyNumberFormat="0" applyFont="0" applyFill="0" applyBorder="0" applyProtection="0">
      <alignment horizontal="left" vertical="center" indent="5"/>
    </xf>
    <xf numFmtId="4" fontId="34" fillId="0" borderId="169" applyFill="0" applyBorder="0" applyProtection="0">
      <alignment horizontal="right" vertical="center"/>
    </xf>
    <xf numFmtId="4" fontId="32" fillId="32" borderId="169">
      <alignment horizontal="right" vertical="center"/>
    </xf>
    <xf numFmtId="0" fontId="58" fillId="43" borderId="166" applyNumberFormat="0" applyAlignment="0" applyProtection="0"/>
    <xf numFmtId="0" fontId="49" fillId="43" borderId="166" applyNumberFormat="0" applyAlignment="0" applyProtection="0"/>
    <xf numFmtId="0" fontId="45" fillId="56" borderId="166" applyNumberFormat="0" applyAlignment="0" applyProtection="0"/>
    <xf numFmtId="0" fontId="34" fillId="34" borderId="172">
      <alignment horizontal="left" vertical="center" wrapText="1" indent="2"/>
    </xf>
    <xf numFmtId="0" fontId="34" fillId="0" borderId="172">
      <alignment horizontal="left" vertical="center" wrapText="1" indent="2"/>
    </xf>
    <xf numFmtId="0" fontId="34" fillId="34" borderId="172">
      <alignment horizontal="left" vertical="center" wrapText="1" indent="2"/>
    </xf>
    <xf numFmtId="0" fontId="34" fillId="33" borderId="187"/>
    <xf numFmtId="0" fontId="2" fillId="0" borderId="15" applyNumberFormat="0" applyFill="0" applyAlignment="0" applyProtection="0"/>
    <xf numFmtId="0" fontId="34" fillId="0" borderId="190">
      <alignment horizontal="left" vertical="center" wrapText="1" indent="2"/>
    </xf>
    <xf numFmtId="4" fontId="32" fillId="34" borderId="187">
      <alignment horizontal="right" vertical="center"/>
    </xf>
    <xf numFmtId="4" fontId="32" fillId="34" borderId="211">
      <alignment horizontal="right" vertical="center"/>
    </xf>
    <xf numFmtId="0" fontId="2" fillId="0" borderId="15" applyNumberFormat="0" applyFill="0" applyAlignment="0" applyProtection="0"/>
    <xf numFmtId="0" fontId="46" fillId="56" borderId="205" applyNumberFormat="0" applyAlignment="0" applyProtection="0"/>
    <xf numFmtId="0" fontId="26" fillId="18" borderId="0" applyNumberFormat="0" applyBorder="0" applyAlignment="0" applyProtection="0"/>
    <xf numFmtId="4" fontId="32" fillId="34" borderId="188">
      <alignment horizontal="right" vertical="center"/>
    </xf>
    <xf numFmtId="0" fontId="32" fillId="34" borderId="187">
      <alignment horizontal="right" vertical="center"/>
    </xf>
    <xf numFmtId="0" fontId="32" fillId="34" borderId="188">
      <alignment horizontal="right" vertical="center"/>
    </xf>
    <xf numFmtId="0" fontId="40" fillId="59" borderId="199" applyNumberFormat="0" applyFont="0" applyAlignment="0" applyProtection="0"/>
    <xf numFmtId="0" fontId="65" fillId="0" borderId="198" applyNumberFormat="0" applyFill="0" applyAlignment="0" applyProtection="0"/>
    <xf numFmtId="0" fontId="45" fillId="56" borderId="197" applyNumberFormat="0" applyAlignment="0" applyProtection="0"/>
    <xf numFmtId="0" fontId="32" fillId="34" borderId="192">
      <alignment horizontal="right" vertical="center"/>
    </xf>
    <xf numFmtId="4" fontId="32" fillId="34" borderId="187">
      <alignment horizontal="right" vertical="center"/>
    </xf>
    <xf numFmtId="4" fontId="34" fillId="0" borderId="211">
      <alignment horizontal="right" vertical="center"/>
    </xf>
    <xf numFmtId="0" fontId="49" fillId="43" borderId="184" applyNumberFormat="0" applyAlignment="0" applyProtection="0"/>
    <xf numFmtId="0" fontId="32" fillId="32" borderId="211">
      <alignment horizontal="right" vertical="center"/>
    </xf>
    <xf numFmtId="0" fontId="26" fillId="15" borderId="0" applyNumberFormat="0" applyBorder="0" applyAlignment="0" applyProtection="0"/>
    <xf numFmtId="4" fontId="34" fillId="33" borderId="187"/>
    <xf numFmtId="0" fontId="34" fillId="0" borderId="187" applyNumberFormat="0" applyFill="0" applyAlignment="0" applyProtection="0"/>
    <xf numFmtId="4" fontId="32" fillId="34" borderId="200">
      <alignment horizontal="right" vertical="center"/>
    </xf>
    <xf numFmtId="49" fontId="34" fillId="0" borderId="187" applyNumberFormat="0" applyFont="0" applyFill="0" applyBorder="0" applyProtection="0">
      <alignment horizontal="left" vertical="center" indent="2"/>
    </xf>
    <xf numFmtId="0" fontId="32" fillId="32" borderId="187">
      <alignment horizontal="right" vertical="center"/>
    </xf>
    <xf numFmtId="0" fontId="26" fillId="23" borderId="0" applyNumberFormat="0" applyBorder="0" applyAlignment="0" applyProtection="0"/>
    <xf numFmtId="0" fontId="1" fillId="0" borderId="0" applyNumberFormat="0" applyFill="0" applyBorder="0" applyAlignment="0" applyProtection="0"/>
    <xf numFmtId="0" fontId="5" fillId="59" borderId="186" applyNumberFormat="0" applyFont="0" applyAlignment="0" applyProtection="0"/>
    <xf numFmtId="0" fontId="32" fillId="34" borderId="189">
      <alignment horizontal="right" vertical="center"/>
    </xf>
    <xf numFmtId="0" fontId="40" fillId="59" borderId="199" applyNumberFormat="0" applyFont="0" applyAlignment="0" applyProtection="0"/>
    <xf numFmtId="0" fontId="32" fillId="34" borderId="192">
      <alignment horizontal="right" vertical="center"/>
    </xf>
    <xf numFmtId="0" fontId="34" fillId="34" borderId="214">
      <alignment horizontal="left" vertical="center" wrapText="1" indent="2"/>
    </xf>
    <xf numFmtId="0" fontId="30" fillId="0" borderId="0" applyNumberFormat="0" applyFill="0" applyBorder="0" applyAlignment="0" applyProtection="0"/>
    <xf numFmtId="0" fontId="58" fillId="43" borderId="205" applyNumberFormat="0" applyAlignment="0" applyProtection="0"/>
    <xf numFmtId="0" fontId="2" fillId="0" borderId="15" applyNumberFormat="0" applyFill="0" applyAlignment="0" applyProtection="0"/>
    <xf numFmtId="0" fontId="12" fillId="16" borderId="0" applyNumberFormat="0" applyBorder="0" applyAlignment="0" applyProtection="0"/>
    <xf numFmtId="0" fontId="34" fillId="33" borderId="192"/>
    <xf numFmtId="0" fontId="5" fillId="59" borderId="186" applyNumberFormat="0" applyFont="0" applyAlignment="0" applyProtection="0"/>
    <xf numFmtId="0" fontId="46" fillId="56" borderId="184" applyNumberFormat="0" applyAlignment="0" applyProtection="0"/>
    <xf numFmtId="0" fontId="34" fillId="32" borderId="188">
      <alignment horizontal="left" vertical="center"/>
    </xf>
    <xf numFmtId="0" fontId="45" fillId="56" borderId="205" applyNumberFormat="0" applyAlignment="0" applyProtection="0"/>
    <xf numFmtId="0" fontId="40" fillId="59" borderId="186" applyNumberFormat="0" applyFont="0" applyAlignment="0" applyProtection="0"/>
    <xf numFmtId="0" fontId="65" fillId="0" borderId="209" applyNumberFormat="0" applyFill="0" applyAlignment="0" applyProtection="0"/>
    <xf numFmtId="0" fontId="46" fillId="56" borderId="197" applyNumberFormat="0" applyAlignment="0" applyProtection="0"/>
    <xf numFmtId="0" fontId="43" fillId="56" borderId="215" applyNumberFormat="0" applyAlignment="0" applyProtection="0"/>
    <xf numFmtId="0" fontId="26" fillId="29" borderId="0" applyNumberFormat="0" applyBorder="0" applyAlignment="0" applyProtection="0"/>
    <xf numFmtId="4" fontId="34" fillId="33" borderId="187"/>
    <xf numFmtId="0" fontId="65" fillId="0" borderId="185" applyNumberFormat="0" applyFill="0" applyAlignment="0" applyProtection="0"/>
    <xf numFmtId="0" fontId="28" fillId="13" borderId="14" applyNumberFormat="0" applyAlignment="0" applyProtection="0"/>
    <xf numFmtId="0" fontId="29" fillId="13" borderId="13" applyNumberFormat="0" applyAlignment="0" applyProtection="0"/>
    <xf numFmtId="0" fontId="34" fillId="0" borderId="192">
      <alignment horizontal="right" vertical="center"/>
    </xf>
    <xf numFmtId="0" fontId="58" fillId="43" borderId="184" applyNumberFormat="0" applyAlignment="0" applyProtection="0"/>
    <xf numFmtId="0" fontId="1" fillId="0" borderId="0" applyNumberFormat="0" applyFill="0" applyBorder="0" applyAlignment="0" applyProtection="0"/>
    <xf numFmtId="4" fontId="32" fillId="34" borderId="187">
      <alignment horizontal="right" vertical="center"/>
    </xf>
    <xf numFmtId="0" fontId="30" fillId="0" borderId="0" applyNumberFormat="0" applyFill="0" applyBorder="0" applyAlignment="0" applyProtection="0"/>
    <xf numFmtId="0" fontId="2" fillId="0" borderId="15" applyNumberFormat="0" applyFill="0" applyAlignment="0" applyProtection="0"/>
    <xf numFmtId="4" fontId="32" fillId="34" borderId="202">
      <alignment horizontal="right" vertical="center"/>
    </xf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12" fillId="16" borderId="0" applyNumberFormat="0" applyBorder="0" applyAlignment="0" applyProtection="0"/>
    <xf numFmtId="4" fontId="32" fillId="32" borderId="192">
      <alignment horizontal="right"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12" fillId="19" borderId="0" applyNumberFormat="0" applyBorder="0" applyAlignment="0" applyProtection="0"/>
    <xf numFmtId="0" fontId="26" fillId="24" borderId="0" applyNumberFormat="0" applyBorder="0" applyAlignment="0" applyProtection="0"/>
    <xf numFmtId="0" fontId="26" fillId="20" borderId="0" applyNumberFormat="0" applyBorder="0" applyAlignment="0" applyProtection="0"/>
    <xf numFmtId="0" fontId="26" fillId="21" borderId="0" applyNumberFormat="0" applyBorder="0" applyAlignment="0" applyProtection="0"/>
    <xf numFmtId="0" fontId="12" fillId="22" borderId="0" applyNumberFormat="0" applyBorder="0" applyAlignment="0" applyProtection="0"/>
    <xf numFmtId="0" fontId="26" fillId="27" borderId="0" applyNumberFormat="0" applyBorder="0" applyAlignment="0" applyProtection="0"/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12" fillId="25" borderId="0" applyNumberFormat="0" applyBorder="0" applyAlignment="0" applyProtection="0"/>
    <xf numFmtId="0" fontId="43" fillId="56" borderId="204" applyNumberFormat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12" fillId="28" borderId="0" applyNumberFormat="0" applyBorder="0" applyAlignment="0" applyProtection="0"/>
    <xf numFmtId="49" fontId="33" fillId="0" borderId="211" applyNumberFormat="0" applyFill="0" applyBorder="0" applyProtection="0">
      <alignment horizontal="left" vertical="center"/>
    </xf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12" fillId="31" borderId="0" applyNumberFormat="0" applyBorder="0" applyAlignment="0" applyProtection="0"/>
    <xf numFmtId="0" fontId="34" fillId="0" borderId="169" applyNumberFormat="0" applyFill="0" applyAlignment="0" applyProtection="0"/>
    <xf numFmtId="0" fontId="32" fillId="34" borderId="169">
      <alignment horizontal="right" vertical="center"/>
    </xf>
    <xf numFmtId="0" fontId="32" fillId="34" borderId="169">
      <alignment horizontal="right" vertical="center"/>
    </xf>
    <xf numFmtId="0" fontId="34" fillId="34" borderId="195">
      <alignment horizontal="left" vertical="center" wrapText="1" indent="2"/>
    </xf>
    <xf numFmtId="4" fontId="32" fillId="34" borderId="189">
      <alignment horizontal="right" vertical="center"/>
    </xf>
    <xf numFmtId="0" fontId="34" fillId="0" borderId="169">
      <alignment horizontal="right" vertical="center"/>
    </xf>
    <xf numFmtId="0" fontId="36" fillId="32" borderId="169">
      <alignment horizontal="right" vertical="center"/>
    </xf>
    <xf numFmtId="0" fontId="34" fillId="33" borderId="169"/>
    <xf numFmtId="0" fontId="32" fillId="32" borderId="169">
      <alignment horizontal="right" vertical="center"/>
    </xf>
    <xf numFmtId="0" fontId="32" fillId="32" borderId="192">
      <alignment horizontal="right" vertical="center"/>
    </xf>
    <xf numFmtId="0" fontId="36" fillId="32" borderId="187">
      <alignment horizontal="right" vertical="center"/>
    </xf>
    <xf numFmtId="0" fontId="65" fillId="0" borderId="185" applyNumberFormat="0" applyFill="0" applyAlignment="0" applyProtection="0"/>
    <xf numFmtId="4" fontId="34" fillId="0" borderId="187">
      <alignment horizontal="right" vertical="center"/>
    </xf>
    <xf numFmtId="0" fontId="5" fillId="59" borderId="186" applyNumberFormat="0" applyFont="0" applyAlignment="0" applyProtection="0"/>
    <xf numFmtId="0" fontId="46" fillId="56" borderId="205" applyNumberFormat="0" applyAlignment="0" applyProtection="0"/>
    <xf numFmtId="0" fontId="46" fillId="56" borderId="205" applyNumberFormat="0" applyAlignment="0" applyProtection="0"/>
    <xf numFmtId="4" fontId="32" fillId="34" borderId="192">
      <alignment horizontal="right" vertical="center"/>
    </xf>
    <xf numFmtId="4" fontId="32" fillId="34" borderId="189">
      <alignment horizontal="right" vertical="center"/>
    </xf>
    <xf numFmtId="4" fontId="34" fillId="33" borderId="187"/>
    <xf numFmtId="0" fontId="65" fillId="0" borderId="185" applyNumberFormat="0" applyFill="0" applyAlignment="0" applyProtection="0"/>
    <xf numFmtId="0" fontId="45" fillId="56" borderId="184" applyNumberFormat="0" applyAlignment="0" applyProtection="0"/>
    <xf numFmtId="4" fontId="32" fillId="34" borderId="187">
      <alignment horizontal="right" vertical="center"/>
    </xf>
    <xf numFmtId="4" fontId="32" fillId="34" borderId="200">
      <alignment horizontal="right" vertical="center"/>
    </xf>
    <xf numFmtId="0" fontId="65" fillId="0" borderId="198" applyNumberFormat="0" applyFill="0" applyAlignment="0" applyProtection="0"/>
    <xf numFmtId="0" fontId="32" fillId="32" borderId="192">
      <alignment horizontal="right" vertical="center"/>
    </xf>
    <xf numFmtId="173" fontId="34" fillId="60" borderId="192" applyNumberFormat="0" applyFont="0" applyBorder="0" applyAlignment="0" applyProtection="0">
      <alignment horizontal="right" vertical="center"/>
    </xf>
    <xf numFmtId="4" fontId="32" fillId="34" borderId="194">
      <alignment horizontal="right" vertical="center"/>
    </xf>
    <xf numFmtId="4" fontId="32" fillId="32" borderId="192">
      <alignment horizontal="right" vertical="center"/>
    </xf>
    <xf numFmtId="49" fontId="33" fillId="0" borderId="187" applyNumberFormat="0" applyFill="0" applyBorder="0" applyProtection="0">
      <alignment horizontal="left" vertical="center"/>
    </xf>
    <xf numFmtId="49" fontId="33" fillId="0" borderId="200" applyNumberFormat="0" applyFill="0" applyBorder="0" applyProtection="0">
      <alignment horizontal="left" vertical="center"/>
    </xf>
    <xf numFmtId="0" fontId="45" fillId="56" borderId="197" applyNumberFormat="0" applyAlignment="0" applyProtection="0"/>
    <xf numFmtId="0" fontId="26" fillId="18" borderId="0" applyNumberFormat="0" applyBorder="0" applyAlignment="0" applyProtection="0"/>
    <xf numFmtId="0" fontId="28" fillId="13" borderId="14" applyNumberFormat="0" applyAlignment="0" applyProtection="0"/>
    <xf numFmtId="4" fontId="32" fillId="34" borderId="194">
      <alignment horizontal="right" vertical="center"/>
    </xf>
    <xf numFmtId="0" fontId="5" fillId="59" borderId="199" applyNumberFormat="0" applyFont="0" applyAlignment="0" applyProtection="0"/>
    <xf numFmtId="0" fontId="32" fillId="34" borderId="189">
      <alignment horizontal="right" vertical="center"/>
    </xf>
    <xf numFmtId="0" fontId="12" fillId="31" borderId="0" applyNumberFormat="0" applyBorder="0" applyAlignment="0" applyProtection="0"/>
    <xf numFmtId="0" fontId="32" fillId="32" borderId="187">
      <alignment horizontal="right" vertical="center"/>
    </xf>
    <xf numFmtId="0" fontId="32" fillId="34" borderId="200">
      <alignment horizontal="right" vertical="center"/>
    </xf>
    <xf numFmtId="0" fontId="46" fillId="56" borderId="208" applyNumberFormat="0" applyAlignment="0" applyProtection="0"/>
    <xf numFmtId="0" fontId="50" fillId="0" borderId="206" applyNumberFormat="0" applyFill="0" applyAlignment="0" applyProtection="0"/>
    <xf numFmtId="4" fontId="34" fillId="0" borderId="192">
      <alignment horizontal="right" vertical="center"/>
    </xf>
    <xf numFmtId="0" fontId="32" fillId="34" borderId="187">
      <alignment horizontal="right" vertical="center"/>
    </xf>
    <xf numFmtId="0" fontId="34" fillId="33" borderId="192"/>
    <xf numFmtId="0" fontId="32" fillId="34" borderId="192">
      <alignment horizontal="right" vertical="center"/>
    </xf>
    <xf numFmtId="0" fontId="32" fillId="32" borderId="200">
      <alignment horizontal="right" vertical="center"/>
    </xf>
    <xf numFmtId="0" fontId="34" fillId="0" borderId="192">
      <alignment horizontal="right" vertical="center"/>
    </xf>
    <xf numFmtId="4" fontId="36" fillId="32" borderId="187">
      <alignment horizontal="right" vertical="center"/>
    </xf>
    <xf numFmtId="0" fontId="34" fillId="34" borderId="190">
      <alignment horizontal="left" vertical="center" wrapText="1" indent="2"/>
    </xf>
    <xf numFmtId="0" fontId="32" fillId="34" borderId="189">
      <alignment horizontal="right" vertical="center"/>
    </xf>
    <xf numFmtId="0" fontId="65" fillId="0" borderId="198" applyNumberFormat="0" applyFill="0" applyAlignment="0" applyProtection="0"/>
    <xf numFmtId="0" fontId="46" fillId="56" borderId="184" applyNumberFormat="0" applyAlignment="0" applyProtection="0"/>
    <xf numFmtId="4" fontId="32" fillId="34" borderId="187">
      <alignment horizontal="right" vertical="center"/>
    </xf>
    <xf numFmtId="0" fontId="32" fillId="34" borderId="187">
      <alignment horizontal="right" vertical="center"/>
    </xf>
    <xf numFmtId="4" fontId="32" fillId="34" borderId="189">
      <alignment horizontal="right" vertical="center"/>
    </xf>
    <xf numFmtId="0" fontId="46" fillId="56" borderId="176" applyNumberFormat="0" applyAlignment="0" applyProtection="0"/>
    <xf numFmtId="0" fontId="32" fillId="34" borderId="188">
      <alignment horizontal="right" vertical="center"/>
    </xf>
    <xf numFmtId="43" fontId="37" fillId="0" borderId="0" applyFont="0" applyFill="0" applyBorder="0" applyAlignment="0" applyProtection="0"/>
    <xf numFmtId="4" fontId="36" fillId="32" borderId="187">
      <alignment horizontal="right" vertical="center"/>
    </xf>
    <xf numFmtId="43" fontId="37" fillId="0" borderId="0" applyFont="0" applyFill="0" applyBorder="0" applyAlignment="0" applyProtection="0"/>
    <xf numFmtId="4" fontId="32" fillId="34" borderId="189">
      <alignment horizontal="right" vertical="center"/>
    </xf>
    <xf numFmtId="0" fontId="40" fillId="59" borderId="199" applyNumberFormat="0" applyFont="0" applyAlignment="0" applyProtection="0"/>
    <xf numFmtId="0" fontId="40" fillId="59" borderId="191" applyNumberFormat="0" applyFont="0" applyAlignment="0" applyProtection="0"/>
    <xf numFmtId="0" fontId="46" fillId="56" borderId="197" applyNumberFormat="0" applyAlignment="0" applyProtection="0"/>
    <xf numFmtId="0" fontId="65" fillId="0" borderId="185" applyNumberFormat="0" applyFill="0" applyAlignment="0" applyProtection="0"/>
    <xf numFmtId="0" fontId="62" fillId="56" borderId="183" applyNumberFormat="0" applyAlignment="0" applyProtection="0"/>
    <xf numFmtId="0" fontId="46" fillId="56" borderId="184" applyNumberFormat="0" applyAlignment="0" applyProtection="0"/>
    <xf numFmtId="0" fontId="65" fillId="0" borderId="185" applyNumberFormat="0" applyFill="0" applyAlignment="0" applyProtection="0"/>
    <xf numFmtId="0" fontId="58" fillId="43" borderId="176" applyNumberFormat="0" applyAlignment="0" applyProtection="0"/>
    <xf numFmtId="4" fontId="34" fillId="0" borderId="187">
      <alignment horizontal="right" vertical="center"/>
    </xf>
    <xf numFmtId="4" fontId="32" fillId="32" borderId="187">
      <alignment horizontal="right" vertical="center"/>
    </xf>
    <xf numFmtId="4" fontId="36" fillId="32" borderId="187">
      <alignment horizontal="right" vertical="center"/>
    </xf>
    <xf numFmtId="49" fontId="33" fillId="0" borderId="187" applyNumberFormat="0" applyFill="0" applyBorder="0" applyProtection="0">
      <alignment horizontal="left" vertical="center"/>
    </xf>
    <xf numFmtId="0" fontId="34" fillId="0" borderId="192">
      <alignment horizontal="right" vertical="center"/>
    </xf>
    <xf numFmtId="4" fontId="32" fillId="34" borderId="193">
      <alignment horizontal="right" vertical="center"/>
    </xf>
    <xf numFmtId="0" fontId="40" fillId="59" borderId="186" applyNumberFormat="0" applyFont="0" applyAlignment="0" applyProtection="0"/>
    <xf numFmtId="0" fontId="34" fillId="0" borderId="187">
      <alignment horizontal="right" vertical="center"/>
    </xf>
    <xf numFmtId="0" fontId="65" fillId="0" borderId="198" applyNumberFormat="0" applyFill="0" applyAlignment="0" applyProtection="0"/>
    <xf numFmtId="0" fontId="30" fillId="0" borderId="0" applyNumberFormat="0" applyFill="0" applyBorder="0" applyAlignment="0" applyProtection="0"/>
    <xf numFmtId="0" fontId="34" fillId="34" borderId="203">
      <alignment horizontal="left" vertical="center" wrapText="1" indent="2"/>
    </xf>
    <xf numFmtId="0" fontId="26" fillId="14" borderId="0" applyNumberFormat="0" applyBorder="0" applyAlignment="0" applyProtection="0"/>
    <xf numFmtId="4" fontId="36" fillId="32" borderId="192">
      <alignment horizontal="right" vertical="center"/>
    </xf>
    <xf numFmtId="0" fontId="34" fillId="34" borderId="203">
      <alignment horizontal="left" vertical="center" wrapText="1" indent="2"/>
    </xf>
    <xf numFmtId="0" fontId="32" fillId="34" borderId="192">
      <alignment horizontal="right" vertical="center"/>
    </xf>
    <xf numFmtId="173" fontId="34" fillId="60" borderId="192" applyNumberFormat="0" applyFont="0" applyBorder="0" applyAlignment="0" applyProtection="0">
      <alignment horizontal="right" vertical="center"/>
    </xf>
    <xf numFmtId="0" fontId="26" fillId="20" borderId="0" applyNumberFormat="0" applyBorder="0" applyAlignment="0" applyProtection="0"/>
    <xf numFmtId="4" fontId="32" fillId="34" borderId="194">
      <alignment horizontal="right" vertical="center"/>
    </xf>
    <xf numFmtId="4" fontId="34" fillId="0" borderId="169" applyFill="0" applyBorder="0" applyProtection="0">
      <alignment horizontal="right" vertical="center"/>
    </xf>
    <xf numFmtId="0" fontId="58" fillId="43" borderId="184" applyNumberFormat="0" applyAlignment="0" applyProtection="0"/>
    <xf numFmtId="0" fontId="28" fillId="13" borderId="14" applyNumberFormat="0" applyAlignment="0" applyProtection="0"/>
    <xf numFmtId="0" fontId="36" fillId="32" borderId="187">
      <alignment horizontal="right" vertical="center"/>
    </xf>
    <xf numFmtId="0" fontId="12" fillId="16" borderId="0" applyNumberFormat="0" applyBorder="0" applyAlignment="0" applyProtection="0"/>
    <xf numFmtId="4" fontId="32" fillId="34" borderId="187">
      <alignment horizontal="right" vertical="center"/>
    </xf>
    <xf numFmtId="0" fontId="36" fillId="32" borderId="187">
      <alignment horizontal="right" vertical="center"/>
    </xf>
    <xf numFmtId="4" fontId="32" fillId="34" borderId="193">
      <alignment horizontal="right" vertical="center"/>
    </xf>
    <xf numFmtId="0" fontId="40" fillId="59" borderId="178" applyNumberFormat="0" applyFont="0" applyAlignment="0" applyProtection="0"/>
    <xf numFmtId="0" fontId="5" fillId="59" borderId="178" applyNumberFormat="0" applyFont="0" applyAlignment="0" applyProtection="0"/>
    <xf numFmtId="0" fontId="62" fillId="56" borderId="175" applyNumberFormat="0" applyAlignment="0" applyProtection="0"/>
    <xf numFmtId="49" fontId="33" fillId="0" borderId="200" applyNumberFormat="0" applyFill="0" applyBorder="0" applyProtection="0">
      <alignment horizontal="left" vertical="center"/>
    </xf>
    <xf numFmtId="4" fontId="34" fillId="0" borderId="211" applyFill="0" applyBorder="0" applyProtection="0">
      <alignment horizontal="right" vertical="center"/>
    </xf>
    <xf numFmtId="0" fontId="32" fillId="34" borderId="193">
      <alignment horizontal="right" vertical="center"/>
    </xf>
    <xf numFmtId="0" fontId="34" fillId="33" borderId="187"/>
    <xf numFmtId="0" fontId="65" fillId="0" borderId="185" applyNumberFormat="0" applyFill="0" applyAlignment="0" applyProtection="0"/>
    <xf numFmtId="0" fontId="46" fillId="56" borderId="197" applyNumberFormat="0" applyAlignment="0" applyProtection="0"/>
    <xf numFmtId="0" fontId="65" fillId="0" borderId="177" applyNumberFormat="0" applyFill="0" applyAlignment="0" applyProtection="0"/>
    <xf numFmtId="0" fontId="34" fillId="32" borderId="188">
      <alignment horizontal="left" vertical="center"/>
    </xf>
    <xf numFmtId="0" fontId="45" fillId="56" borderId="184" applyNumberFormat="0" applyAlignment="0" applyProtection="0"/>
    <xf numFmtId="4" fontId="32" fillId="34" borderId="187">
      <alignment horizontal="right" vertical="center"/>
    </xf>
    <xf numFmtId="0" fontId="34" fillId="0" borderId="200" applyNumberFormat="0" applyFill="0" applyAlignment="0" applyProtection="0"/>
    <xf numFmtId="0" fontId="32" fillId="34" borderId="194">
      <alignment horizontal="right" vertical="center"/>
    </xf>
    <xf numFmtId="0" fontId="26" fillId="15" borderId="0" applyNumberFormat="0" applyBorder="0" applyAlignment="0" applyProtection="0"/>
    <xf numFmtId="4" fontId="32" fillId="34" borderId="200">
      <alignment horizontal="right" vertical="center"/>
    </xf>
    <xf numFmtId="0" fontId="49" fillId="43" borderId="184" applyNumberFormat="0" applyAlignment="0" applyProtection="0"/>
    <xf numFmtId="0" fontId="36" fillId="32" borderId="187">
      <alignment horizontal="right" vertical="center"/>
    </xf>
    <xf numFmtId="0" fontId="40" fillId="59" borderId="191" applyNumberFormat="0" applyFont="0" applyAlignment="0" applyProtection="0"/>
    <xf numFmtId="0" fontId="32" fillId="32" borderId="192">
      <alignment horizontal="right" vertical="center"/>
    </xf>
    <xf numFmtId="0" fontId="40" fillId="59" borderId="199" applyNumberFormat="0" applyFont="0" applyAlignment="0" applyProtection="0"/>
    <xf numFmtId="0" fontId="5" fillId="59" borderId="191" applyNumberFormat="0" applyFont="0" applyAlignment="0" applyProtection="0"/>
    <xf numFmtId="0" fontId="32" fillId="34" borderId="187">
      <alignment horizontal="right" vertical="center"/>
    </xf>
    <xf numFmtId="0" fontId="26" fillId="18" borderId="0" applyNumberFormat="0" applyBorder="0" applyAlignment="0" applyProtection="0"/>
    <xf numFmtId="0" fontId="65" fillId="0" borderId="198" applyNumberFormat="0" applyFill="0" applyAlignment="0" applyProtection="0"/>
    <xf numFmtId="0" fontId="26" fillId="30" borderId="0" applyNumberFormat="0" applyBorder="0" applyAlignment="0" applyProtection="0"/>
    <xf numFmtId="0" fontId="46" fillId="56" borderId="184" applyNumberFormat="0" applyAlignment="0" applyProtection="0"/>
    <xf numFmtId="0" fontId="34" fillId="0" borderId="187">
      <alignment horizontal="right" vertical="center"/>
    </xf>
    <xf numFmtId="0" fontId="46" fillId="56" borderId="184" applyNumberFormat="0" applyAlignment="0" applyProtection="0"/>
    <xf numFmtId="0" fontId="50" fillId="0" borderId="198" applyNumberFormat="0" applyFill="0" applyAlignment="0" applyProtection="0"/>
    <xf numFmtId="0" fontId="34" fillId="0" borderId="195">
      <alignment horizontal="left" vertical="center" wrapText="1" indent="2"/>
    </xf>
    <xf numFmtId="4" fontId="32" fillId="32" borderId="200">
      <alignment horizontal="right" vertical="center"/>
    </xf>
    <xf numFmtId="0" fontId="32" fillId="34" borderId="192">
      <alignment horizontal="right" vertical="center"/>
    </xf>
    <xf numFmtId="0" fontId="34" fillId="33" borderId="187"/>
    <xf numFmtId="0" fontId="26" fillId="27" borderId="0" applyNumberFormat="0" applyBorder="0" applyAlignment="0" applyProtection="0"/>
    <xf numFmtId="0" fontId="32" fillId="32" borderId="192">
      <alignment horizontal="right" vertical="center"/>
    </xf>
    <xf numFmtId="173" fontId="34" fillId="60" borderId="200" applyNumberFormat="0" applyFont="0" applyBorder="0" applyAlignment="0" applyProtection="0">
      <alignment horizontal="right" vertical="center"/>
    </xf>
    <xf numFmtId="0" fontId="26" fillId="29" borderId="0" applyNumberFormat="0" applyBorder="0" applyAlignment="0" applyProtection="0"/>
    <xf numFmtId="0" fontId="45" fillId="56" borderId="197" applyNumberFormat="0" applyAlignment="0" applyProtection="0"/>
    <xf numFmtId="0" fontId="32" fillId="34" borderId="202">
      <alignment horizontal="right" vertical="center"/>
    </xf>
    <xf numFmtId="0" fontId="58" fillId="43" borderId="208" applyNumberFormat="0" applyAlignment="0" applyProtection="0"/>
    <xf numFmtId="0" fontId="62" fillId="56" borderId="183" applyNumberFormat="0" applyAlignment="0" applyProtection="0"/>
    <xf numFmtId="4" fontId="34" fillId="0" borderId="192">
      <alignment horizontal="right" vertical="center"/>
    </xf>
    <xf numFmtId="0" fontId="45" fillId="56" borderId="197" applyNumberFormat="0" applyAlignment="0" applyProtection="0"/>
    <xf numFmtId="0" fontId="50" fillId="0" borderId="198" applyNumberFormat="0" applyFill="0" applyAlignment="0" applyProtection="0"/>
    <xf numFmtId="4" fontId="32" fillId="34" borderId="201">
      <alignment horizontal="right" vertical="center"/>
    </xf>
    <xf numFmtId="49" fontId="34" fillId="0" borderId="192" applyNumberFormat="0" applyFont="0" applyFill="0" applyBorder="0" applyProtection="0">
      <alignment horizontal="left" vertical="center" indent="2"/>
    </xf>
    <xf numFmtId="4" fontId="32" fillId="34" borderId="187">
      <alignment horizontal="right" vertical="center"/>
    </xf>
    <xf numFmtId="0" fontId="34" fillId="33" borderId="187"/>
    <xf numFmtId="0" fontId="65" fillId="0" borderId="185" applyNumberFormat="0" applyFill="0" applyAlignment="0" applyProtection="0"/>
    <xf numFmtId="0" fontId="46" fillId="56" borderId="176" applyNumberFormat="0" applyAlignment="0" applyProtection="0"/>
    <xf numFmtId="0" fontId="50" fillId="0" borderId="185" applyNumberFormat="0" applyFill="0" applyAlignment="0" applyProtection="0"/>
    <xf numFmtId="173" fontId="34" fillId="60" borderId="192" applyNumberFormat="0" applyFont="0" applyBorder="0" applyAlignment="0" applyProtection="0">
      <alignment horizontal="right" vertical="center"/>
    </xf>
    <xf numFmtId="0" fontId="43" fillId="56" borderId="183" applyNumberFormat="0" applyAlignment="0" applyProtection="0"/>
    <xf numFmtId="0" fontId="32" fillId="34" borderId="187">
      <alignment horizontal="right" vertical="center"/>
    </xf>
    <xf numFmtId="0" fontId="34" fillId="0" borderId="187">
      <alignment horizontal="right" vertical="center"/>
    </xf>
    <xf numFmtId="0" fontId="32" fillId="34" borderId="187">
      <alignment horizontal="right" vertical="center"/>
    </xf>
    <xf numFmtId="0" fontId="58" fillId="43" borderId="184" applyNumberFormat="0" applyAlignment="0" applyProtection="0"/>
    <xf numFmtId="0" fontId="58" fillId="43" borderId="176" applyNumberFormat="0" applyAlignment="0" applyProtection="0"/>
    <xf numFmtId="0" fontId="34" fillId="32" borderId="193">
      <alignment horizontal="left" vertical="center"/>
    </xf>
    <xf numFmtId="0" fontId="29" fillId="13" borderId="13" applyNumberFormat="0" applyAlignment="0" applyProtection="0"/>
    <xf numFmtId="0" fontId="40" fillId="59" borderId="178" applyNumberFormat="0" applyFont="0" applyAlignment="0" applyProtection="0"/>
    <xf numFmtId="0" fontId="62" fillId="56" borderId="175" applyNumberFormat="0" applyAlignment="0" applyProtection="0"/>
    <xf numFmtId="0" fontId="50" fillId="0" borderId="185" applyNumberFormat="0" applyFill="0" applyAlignment="0" applyProtection="0"/>
    <xf numFmtId="0" fontId="65" fillId="0" borderId="177" applyNumberFormat="0" applyFill="0" applyAlignment="0" applyProtection="0"/>
    <xf numFmtId="0" fontId="46" fillId="56" borderId="208" applyNumberFormat="0" applyAlignment="0" applyProtection="0"/>
    <xf numFmtId="4" fontId="32" fillId="34" borderId="188">
      <alignment horizontal="right" vertical="center"/>
    </xf>
    <xf numFmtId="0" fontId="12" fillId="25" borderId="0" applyNumberFormat="0" applyBorder="0" applyAlignment="0" applyProtection="0"/>
    <xf numFmtId="0" fontId="32" fillId="32" borderId="187">
      <alignment horizontal="right" vertical="center"/>
    </xf>
    <xf numFmtId="173" fontId="34" fillId="60" borderId="187" applyNumberFormat="0" applyFont="0" applyBorder="0" applyAlignment="0" applyProtection="0">
      <alignment horizontal="right" vertical="center"/>
    </xf>
    <xf numFmtId="0" fontId="32" fillId="34" borderId="187">
      <alignment horizontal="right" vertical="center"/>
    </xf>
    <xf numFmtId="0" fontId="43" fillId="56" borderId="183" applyNumberFormat="0" applyAlignment="0" applyProtection="0"/>
    <xf numFmtId="0" fontId="65" fillId="0" borderId="185" applyNumberFormat="0" applyFill="0" applyAlignment="0" applyProtection="0"/>
    <xf numFmtId="0" fontId="40" fillId="59" borderId="186" applyNumberFormat="0" applyFont="0" applyAlignment="0" applyProtection="0"/>
    <xf numFmtId="0" fontId="32" fillId="34" borderId="187">
      <alignment horizontal="right" vertical="center"/>
    </xf>
    <xf numFmtId="0" fontId="32" fillId="34" borderId="188">
      <alignment horizontal="right" vertical="center"/>
    </xf>
    <xf numFmtId="0" fontId="46" fillId="56" borderId="184" applyNumberFormat="0" applyAlignment="0" applyProtection="0"/>
    <xf numFmtId="0" fontId="32" fillId="34" borderId="189">
      <alignment horizontal="right" vertical="center"/>
    </xf>
    <xf numFmtId="0" fontId="32" fillId="34" borderId="187">
      <alignment horizontal="right" vertical="center"/>
    </xf>
    <xf numFmtId="0" fontId="49" fillId="43" borderId="184" applyNumberFormat="0" applyAlignment="0" applyProtection="0"/>
    <xf numFmtId="4" fontId="34" fillId="0" borderId="187">
      <alignment horizontal="right" vertical="center"/>
    </xf>
    <xf numFmtId="0" fontId="46" fillId="56" borderId="184" applyNumberFormat="0" applyAlignment="0" applyProtection="0"/>
    <xf numFmtId="0" fontId="34" fillId="32" borderId="188">
      <alignment horizontal="left" vertical="center"/>
    </xf>
    <xf numFmtId="0" fontId="29" fillId="13" borderId="13" applyNumberFormat="0" applyAlignment="0" applyProtection="0"/>
    <xf numFmtId="173" fontId="34" fillId="60" borderId="187" applyNumberFormat="0" applyFont="0" applyBorder="0" applyAlignment="0" applyProtection="0">
      <alignment horizontal="right" vertical="center"/>
    </xf>
    <xf numFmtId="0" fontId="32" fillId="32" borderId="179">
      <alignment horizontal="right" vertical="center"/>
    </xf>
    <xf numFmtId="4" fontId="32" fillId="32" borderId="179">
      <alignment horizontal="right" vertical="center"/>
    </xf>
    <xf numFmtId="0" fontId="36" fillId="32" borderId="179">
      <alignment horizontal="right" vertical="center"/>
    </xf>
    <xf numFmtId="4" fontId="36" fillId="32" borderId="179">
      <alignment horizontal="right" vertical="center"/>
    </xf>
    <xf numFmtId="0" fontId="32" fillId="34" borderId="179">
      <alignment horizontal="right" vertical="center"/>
    </xf>
    <xf numFmtId="4" fontId="32" fillId="34" borderId="179">
      <alignment horizontal="right" vertical="center"/>
    </xf>
    <xf numFmtId="0" fontId="32" fillId="34" borderId="179">
      <alignment horizontal="right" vertical="center"/>
    </xf>
    <xf numFmtId="4" fontId="32" fillId="34" borderId="179">
      <alignment horizontal="right" vertical="center"/>
    </xf>
    <xf numFmtId="0" fontId="32" fillId="34" borderId="180">
      <alignment horizontal="right" vertical="center"/>
    </xf>
    <xf numFmtId="4" fontId="32" fillId="34" borderId="180">
      <alignment horizontal="right" vertical="center"/>
    </xf>
    <xf numFmtId="0" fontId="32" fillId="34" borderId="181">
      <alignment horizontal="right" vertical="center"/>
    </xf>
    <xf numFmtId="4" fontId="32" fillId="34" borderId="181">
      <alignment horizontal="right" vertical="center"/>
    </xf>
    <xf numFmtId="0" fontId="46" fillId="56" borderId="176" applyNumberFormat="0" applyAlignment="0" applyProtection="0"/>
    <xf numFmtId="0" fontId="34" fillId="34" borderId="182">
      <alignment horizontal="left" vertical="center" wrapText="1" indent="2"/>
    </xf>
    <xf numFmtId="0" fontId="34" fillId="0" borderId="182">
      <alignment horizontal="left" vertical="center" wrapText="1" indent="2"/>
    </xf>
    <xf numFmtId="0" fontId="34" fillId="32" borderId="180">
      <alignment horizontal="left" vertical="center"/>
    </xf>
    <xf numFmtId="0" fontId="58" fillId="43" borderId="176" applyNumberFormat="0" applyAlignment="0" applyProtection="0"/>
    <xf numFmtId="0" fontId="34" fillId="0" borderId="179">
      <alignment horizontal="right" vertical="center"/>
    </xf>
    <xf numFmtId="4" fontId="34" fillId="0" borderId="179">
      <alignment horizontal="right" vertical="center"/>
    </xf>
    <xf numFmtId="0" fontId="12" fillId="22" borderId="0" applyNumberFormat="0" applyBorder="0" applyAlignment="0" applyProtection="0"/>
    <xf numFmtId="0" fontId="34" fillId="0" borderId="179" applyNumberFormat="0" applyFill="0" applyAlignment="0" applyProtection="0"/>
    <xf numFmtId="0" fontId="62" fillId="56" borderId="175" applyNumberFormat="0" applyAlignment="0" applyProtection="0"/>
    <xf numFmtId="173" fontId="34" fillId="60" borderId="179" applyNumberFormat="0" applyFont="0" applyBorder="0" applyAlignment="0" applyProtection="0">
      <alignment horizontal="right" vertical="center"/>
    </xf>
    <xf numFmtId="0" fontId="34" fillId="33" borderId="179"/>
    <xf numFmtId="4" fontId="34" fillId="33" borderId="179"/>
    <xf numFmtId="0" fontId="65" fillId="0" borderId="177" applyNumberFormat="0" applyFill="0" applyAlignment="0" applyProtection="0"/>
    <xf numFmtId="0" fontId="34" fillId="34" borderId="214">
      <alignment horizontal="left" vertical="center" wrapText="1" indent="2"/>
    </xf>
    <xf numFmtId="49" fontId="34" fillId="0" borderId="212" applyNumberFormat="0" applyFont="0" applyFill="0" applyBorder="0" applyProtection="0">
      <alignment horizontal="left" vertical="center" indent="5"/>
    </xf>
    <xf numFmtId="0" fontId="34" fillId="34" borderId="203">
      <alignment horizontal="left" vertical="center" wrapText="1" indent="2"/>
    </xf>
    <xf numFmtId="4" fontId="32" fillId="34" borderId="189">
      <alignment horizontal="right" vertical="center"/>
    </xf>
    <xf numFmtId="0" fontId="34" fillId="33" borderId="187"/>
    <xf numFmtId="49" fontId="34" fillId="0" borderId="187" applyNumberFormat="0" applyFont="0" applyFill="0" applyBorder="0" applyProtection="0">
      <alignment horizontal="left" vertical="center" indent="2"/>
    </xf>
    <xf numFmtId="0" fontId="65" fillId="0" borderId="185" applyNumberFormat="0" applyFill="0" applyAlignment="0" applyProtection="0"/>
    <xf numFmtId="0" fontId="26" fillId="21" borderId="0" applyNumberFormat="0" applyBorder="0" applyAlignment="0" applyProtection="0"/>
    <xf numFmtId="4" fontId="36" fillId="32" borderId="187">
      <alignment horizontal="right" vertical="center"/>
    </xf>
    <xf numFmtId="0" fontId="34" fillId="32" borderId="212">
      <alignment horizontal="left" vertical="center"/>
    </xf>
    <xf numFmtId="0" fontId="46" fillId="56" borderId="184" applyNumberFormat="0" applyAlignment="0" applyProtection="0"/>
    <xf numFmtId="0" fontId="12" fillId="28" borderId="0" applyNumberFormat="0" applyBorder="0" applyAlignment="0" applyProtection="0"/>
    <xf numFmtId="0" fontId="26" fillId="30" borderId="0" applyNumberFormat="0" applyBorder="0" applyAlignment="0" applyProtection="0"/>
    <xf numFmtId="0" fontId="29" fillId="13" borderId="13" applyNumberFormat="0" applyAlignment="0" applyProtection="0"/>
    <xf numFmtId="0" fontId="65" fillId="0" borderId="198" applyNumberFormat="0" applyFill="0" applyAlignment="0" applyProtection="0"/>
    <xf numFmtId="0" fontId="50" fillId="0" borderId="185" applyNumberFormat="0" applyFill="0" applyAlignment="0" applyProtection="0"/>
    <xf numFmtId="0" fontId="34" fillId="33" borderId="187"/>
    <xf numFmtId="0" fontId="45" fillId="56" borderId="184" applyNumberFormat="0" applyAlignment="0" applyProtection="0"/>
    <xf numFmtId="49" fontId="33" fillId="0" borderId="187" applyNumberFormat="0" applyFill="0" applyBorder="0" applyProtection="0">
      <alignment horizontal="left" vertical="center"/>
    </xf>
    <xf numFmtId="0" fontId="34" fillId="0" borderId="187" applyNumberFormat="0" applyFill="0" applyAlignment="0" applyProtection="0"/>
    <xf numFmtId="0" fontId="5" fillId="59" borderId="186" applyNumberFormat="0" applyFont="0" applyAlignment="0" applyProtection="0"/>
    <xf numFmtId="0" fontId="26" fillId="15" borderId="0" applyNumberFormat="0" applyBorder="0" applyAlignment="0" applyProtection="0"/>
    <xf numFmtId="0" fontId="12" fillId="28" borderId="0" applyNumberFormat="0" applyBorder="0" applyAlignment="0" applyProtection="0"/>
    <xf numFmtId="4" fontId="34" fillId="0" borderId="187">
      <alignment horizontal="right" vertical="center"/>
    </xf>
    <xf numFmtId="0" fontId="26" fillId="20" borderId="0" applyNumberFormat="0" applyBorder="0" applyAlignment="0" applyProtection="0"/>
    <xf numFmtId="0" fontId="45" fillId="56" borderId="184" applyNumberFormat="0" applyAlignment="0" applyProtection="0"/>
    <xf numFmtId="0" fontId="26" fillId="17" borderId="0" applyNumberFormat="0" applyBorder="0" applyAlignment="0" applyProtection="0"/>
    <xf numFmtId="0" fontId="65" fillId="0" borderId="206" applyNumberFormat="0" applyFill="0" applyAlignment="0" applyProtection="0"/>
    <xf numFmtId="0" fontId="26" fillId="17" borderId="0" applyNumberFormat="0" applyBorder="0" applyAlignment="0" applyProtection="0"/>
    <xf numFmtId="0" fontId="26" fillId="14" borderId="0" applyNumberFormat="0" applyBorder="0" applyAlignment="0" applyProtection="0"/>
    <xf numFmtId="4" fontId="34" fillId="33" borderId="192"/>
    <xf numFmtId="0" fontId="34" fillId="0" borderId="200">
      <alignment horizontal="right" vertical="center"/>
    </xf>
    <xf numFmtId="4" fontId="34" fillId="33" borderId="192"/>
    <xf numFmtId="49" fontId="34" fillId="0" borderId="188" applyNumberFormat="0" applyFont="0" applyFill="0" applyBorder="0" applyProtection="0">
      <alignment horizontal="left" vertical="center" indent="5"/>
    </xf>
    <xf numFmtId="0" fontId="65" fillId="0" borderId="185" applyNumberFormat="0" applyFill="0" applyAlignment="0" applyProtection="0"/>
    <xf numFmtId="0" fontId="40" fillId="59" borderId="186" applyNumberFormat="0" applyFont="0" applyAlignment="0" applyProtection="0"/>
    <xf numFmtId="0" fontId="32" fillId="34" borderId="188">
      <alignment horizontal="right" vertical="center"/>
    </xf>
    <xf numFmtId="0" fontId="43" fillId="56" borderId="183" applyNumberFormat="0" applyAlignment="0" applyProtection="0"/>
    <xf numFmtId="4" fontId="32" fillId="34" borderId="189">
      <alignment horizontal="right" vertical="center"/>
    </xf>
    <xf numFmtId="4" fontId="36" fillId="32" borderId="187">
      <alignment horizontal="right" vertical="center"/>
    </xf>
    <xf numFmtId="0" fontId="58" fillId="43" borderId="184" applyNumberFormat="0" applyAlignment="0" applyProtection="0"/>
    <xf numFmtId="0" fontId="46" fillId="56" borderId="184" applyNumberFormat="0" applyAlignment="0" applyProtection="0"/>
    <xf numFmtId="0" fontId="36" fillId="32" borderId="187">
      <alignment horizontal="right" vertical="center"/>
    </xf>
    <xf numFmtId="0" fontId="65" fillId="0" borderId="185" applyNumberFormat="0" applyFill="0" applyAlignment="0" applyProtection="0"/>
    <xf numFmtId="0" fontId="46" fillId="56" borderId="184" applyNumberFormat="0" applyAlignment="0" applyProtection="0"/>
    <xf numFmtId="0" fontId="30" fillId="0" borderId="0" applyNumberFormat="0" applyFill="0" applyBorder="0" applyAlignment="0" applyProtection="0"/>
    <xf numFmtId="0" fontId="12" fillId="25" borderId="0" applyNumberFormat="0" applyBorder="0" applyAlignment="0" applyProtection="0"/>
    <xf numFmtId="0" fontId="26" fillId="30" borderId="0" applyNumberFormat="0" applyBorder="0" applyAlignment="0" applyProtection="0"/>
    <xf numFmtId="0" fontId="5" fillId="59" borderId="186" applyNumberFormat="0" applyFont="0" applyAlignment="0" applyProtection="0"/>
    <xf numFmtId="0" fontId="26" fillId="27" borderId="0" applyNumberFormat="0" applyBorder="0" applyAlignment="0" applyProtection="0"/>
    <xf numFmtId="0" fontId="26" fillId="17" borderId="0" applyNumberFormat="0" applyBorder="0" applyAlignment="0" applyProtection="0"/>
    <xf numFmtId="0" fontId="46" fillId="56" borderId="205" applyNumberFormat="0" applyAlignment="0" applyProtection="0"/>
    <xf numFmtId="0" fontId="26" fillId="14" borderId="0" applyNumberFormat="0" applyBorder="0" applyAlignment="0" applyProtection="0"/>
    <xf numFmtId="0" fontId="32" fillId="32" borderId="211">
      <alignment horizontal="right" vertical="center"/>
    </xf>
    <xf numFmtId="0" fontId="62" fillId="56" borderId="183" applyNumberFormat="0" applyAlignment="0" applyProtection="0"/>
    <xf numFmtId="0" fontId="46" fillId="56" borderId="184" applyNumberFormat="0" applyAlignment="0" applyProtection="0"/>
    <xf numFmtId="4" fontId="32" fillId="34" borderId="189">
      <alignment horizontal="right" vertical="center"/>
    </xf>
    <xf numFmtId="4" fontId="36" fillId="32" borderId="187">
      <alignment horizontal="right" vertical="center"/>
    </xf>
    <xf numFmtId="0" fontId="1" fillId="0" borderId="0" applyNumberFormat="0" applyFill="0" applyBorder="0" applyAlignment="0" applyProtection="0"/>
    <xf numFmtId="49" fontId="34" fillId="0" borderId="179" applyNumberFormat="0" applyFont="0" applyFill="0" applyBorder="0" applyProtection="0">
      <alignment horizontal="left" vertical="center" indent="2"/>
    </xf>
    <xf numFmtId="49" fontId="34" fillId="0" borderId="180" applyNumberFormat="0" applyFont="0" applyFill="0" applyBorder="0" applyProtection="0">
      <alignment horizontal="left" vertical="center" indent="5"/>
    </xf>
    <xf numFmtId="0" fontId="65" fillId="0" borderId="206" applyNumberFormat="0" applyFill="0" applyAlignment="0" applyProtection="0"/>
    <xf numFmtId="0" fontId="43" fillId="56" borderId="204" applyNumberFormat="0" applyAlignment="0" applyProtection="0"/>
    <xf numFmtId="0" fontId="34" fillId="34" borderId="195">
      <alignment horizontal="left" vertical="center" wrapText="1" indent="2"/>
    </xf>
    <xf numFmtId="4" fontId="36" fillId="32" borderId="187">
      <alignment horizontal="right" vertical="center"/>
    </xf>
    <xf numFmtId="4" fontId="32" fillId="34" borderId="212">
      <alignment horizontal="right" vertical="center"/>
    </xf>
    <xf numFmtId="0" fontId="58" fillId="43" borderId="184" applyNumberFormat="0" applyAlignment="0" applyProtection="0"/>
    <xf numFmtId="0" fontId="50" fillId="0" borderId="185" applyNumberFormat="0" applyFill="0" applyAlignment="0" applyProtection="0"/>
    <xf numFmtId="0" fontId="26" fillId="27" borderId="0" applyNumberFormat="0" applyBorder="0" applyAlignment="0" applyProtection="0"/>
    <xf numFmtId="0" fontId="49" fillId="43" borderId="205" applyNumberFormat="0" applyAlignment="0" applyProtection="0"/>
    <xf numFmtId="0" fontId="34" fillId="0" borderId="190">
      <alignment horizontal="left" vertical="center" wrapText="1" indent="2"/>
    </xf>
    <xf numFmtId="4" fontId="34" fillId="0" borderId="179" applyFill="0" applyBorder="0" applyProtection="0">
      <alignment horizontal="right" vertical="center"/>
    </xf>
    <xf numFmtId="49" fontId="33" fillId="0" borderId="179" applyNumberFormat="0" applyFill="0" applyBorder="0" applyProtection="0">
      <alignment horizontal="left" vertical="center"/>
    </xf>
    <xf numFmtId="0" fontId="32" fillId="34" borderId="187">
      <alignment horizontal="right" vertical="center"/>
    </xf>
    <xf numFmtId="4" fontId="34" fillId="0" borderId="187" applyFill="0" applyBorder="0" applyProtection="0">
      <alignment horizontal="right" vertical="center"/>
    </xf>
    <xf numFmtId="0" fontId="45" fillId="56" borderId="184" applyNumberFormat="0" applyAlignment="0" applyProtection="0"/>
    <xf numFmtId="0" fontId="49" fillId="43" borderId="184" applyNumberFormat="0" applyAlignment="0" applyProtection="0"/>
    <xf numFmtId="0" fontId="34" fillId="34" borderId="190">
      <alignment horizontal="left" vertical="center" wrapText="1" indent="2"/>
    </xf>
    <xf numFmtId="0" fontId="49" fillId="43" borderId="205" applyNumberFormat="0" applyAlignment="0" applyProtection="0"/>
    <xf numFmtId="4" fontId="32" fillId="34" borderId="188">
      <alignment horizontal="right" vertical="center"/>
    </xf>
    <xf numFmtId="0" fontId="45" fillId="56" borderId="184" applyNumberFormat="0" applyAlignment="0" applyProtection="0"/>
    <xf numFmtId="0" fontId="58" fillId="43" borderId="197" applyNumberFormat="0" applyAlignment="0" applyProtection="0"/>
    <xf numFmtId="4" fontId="32" fillId="34" borderId="200">
      <alignment horizontal="right" vertical="center"/>
    </xf>
    <xf numFmtId="0" fontId="40" fillId="59" borderId="191" applyNumberFormat="0" applyFont="0" applyAlignment="0" applyProtection="0"/>
    <xf numFmtId="0" fontId="46" fillId="56" borderId="205" applyNumberFormat="0" applyAlignment="0" applyProtection="0"/>
    <xf numFmtId="0" fontId="58" fillId="43" borderId="184" applyNumberFormat="0" applyAlignment="0" applyProtection="0"/>
    <xf numFmtId="0" fontId="46" fillId="56" borderId="184" applyNumberFormat="0" applyAlignment="0" applyProtection="0"/>
    <xf numFmtId="49" fontId="34" fillId="0" borderId="187" applyNumberFormat="0" applyFont="0" applyFill="0" applyBorder="0" applyProtection="0">
      <alignment horizontal="left" vertical="center" indent="2"/>
    </xf>
    <xf numFmtId="49" fontId="34" fillId="0" borderId="188" applyNumberFormat="0" applyFont="0" applyFill="0" applyBorder="0" applyProtection="0">
      <alignment horizontal="left" vertical="center" indent="5"/>
    </xf>
    <xf numFmtId="0" fontId="46" fillId="56" borderId="184" applyNumberFormat="0" applyAlignment="0" applyProtection="0"/>
    <xf numFmtId="0" fontId="34" fillId="34" borderId="190">
      <alignment horizontal="left" vertical="center" wrapText="1" indent="2"/>
    </xf>
    <xf numFmtId="0" fontId="32" fillId="34" borderId="187">
      <alignment horizontal="right" vertical="center"/>
    </xf>
    <xf numFmtId="0" fontId="32" fillId="34" borderId="189">
      <alignment horizontal="right" vertical="center"/>
    </xf>
    <xf numFmtId="0" fontId="34" fillId="0" borderId="190">
      <alignment horizontal="left" vertical="center" wrapText="1" indent="2"/>
    </xf>
    <xf numFmtId="0" fontId="32" fillId="34" borderId="189">
      <alignment horizontal="right" vertical="center"/>
    </xf>
    <xf numFmtId="0" fontId="46" fillId="56" borderId="197" applyNumberFormat="0" applyAlignment="0" applyProtection="0"/>
    <xf numFmtId="0" fontId="65" fillId="0" borderId="185" applyNumberFormat="0" applyFill="0" applyAlignment="0" applyProtection="0"/>
    <xf numFmtId="0" fontId="43" fillId="56" borderId="183" applyNumberFormat="0" applyAlignment="0" applyProtection="0"/>
    <xf numFmtId="0" fontId="32" fillId="34" borderId="188">
      <alignment horizontal="right" vertical="center"/>
    </xf>
    <xf numFmtId="173" fontId="34" fillId="60" borderId="187" applyNumberFormat="0" applyFont="0" applyBorder="0" applyAlignment="0" applyProtection="0">
      <alignment horizontal="right" vertical="center"/>
    </xf>
    <xf numFmtId="0" fontId="43" fillId="56" borderId="196" applyNumberFormat="0" applyAlignment="0" applyProtection="0"/>
    <xf numFmtId="0" fontId="43" fillId="56" borderId="175" applyNumberFormat="0" applyAlignment="0" applyProtection="0"/>
    <xf numFmtId="0" fontId="45" fillId="56" borderId="176" applyNumberFormat="0" applyAlignment="0" applyProtection="0"/>
    <xf numFmtId="0" fontId="50" fillId="0" borderId="177" applyNumberFormat="0" applyFill="0" applyAlignment="0" applyProtection="0"/>
    <xf numFmtId="0" fontId="34" fillId="34" borderId="203">
      <alignment horizontal="left" vertical="center" wrapText="1" indent="2"/>
    </xf>
    <xf numFmtId="4" fontId="36" fillId="32" borderId="187">
      <alignment horizontal="right" vertical="center"/>
    </xf>
    <xf numFmtId="0" fontId="43" fillId="56" borderId="183" applyNumberFormat="0" applyAlignment="0" applyProtection="0"/>
    <xf numFmtId="4" fontId="36" fillId="32" borderId="192">
      <alignment horizontal="right" vertical="center"/>
    </xf>
    <xf numFmtId="0" fontId="34" fillId="0" borderId="195">
      <alignment horizontal="left" vertical="center" wrapText="1" indent="2"/>
    </xf>
    <xf numFmtId="0" fontId="12" fillId="25" borderId="0" applyNumberFormat="0" applyBorder="0" applyAlignment="0" applyProtection="0"/>
    <xf numFmtId="0" fontId="45" fillId="56" borderId="184" applyNumberFormat="0" applyAlignment="0" applyProtection="0"/>
    <xf numFmtId="4" fontId="34" fillId="33" borderId="200"/>
    <xf numFmtId="0" fontId="65" fillId="0" borderId="209" applyNumberFormat="0" applyFill="0" applyAlignment="0" applyProtection="0"/>
    <xf numFmtId="0" fontId="58" fillId="43" borderId="184" applyNumberFormat="0" applyAlignment="0" applyProtection="0"/>
    <xf numFmtId="0" fontId="46" fillId="56" borderId="184" applyNumberFormat="0" applyAlignment="0" applyProtection="0"/>
    <xf numFmtId="0" fontId="50" fillId="0" borderId="209" applyNumberFormat="0" applyFill="0" applyAlignment="0" applyProtection="0"/>
    <xf numFmtId="4" fontId="34" fillId="0" borderId="200" applyFill="0" applyBorder="0" applyProtection="0">
      <alignment horizontal="right" vertical="center"/>
    </xf>
    <xf numFmtId="0" fontId="65" fillId="0" borderId="206" applyNumberFormat="0" applyFill="0" applyAlignment="0" applyProtection="0"/>
    <xf numFmtId="0" fontId="40" fillId="59" borderId="191" applyNumberFormat="0" applyFont="0" applyAlignment="0" applyProtection="0"/>
    <xf numFmtId="0" fontId="1" fillId="0" borderId="0" applyNumberFormat="0" applyFill="0" applyBorder="0" applyAlignment="0" applyProtection="0"/>
    <xf numFmtId="0" fontId="34" fillId="32" borderId="201">
      <alignment horizontal="left" vertical="center"/>
    </xf>
    <xf numFmtId="0" fontId="34" fillId="34" borderId="195">
      <alignment horizontal="left" vertical="center" wrapText="1" indent="2"/>
    </xf>
    <xf numFmtId="0" fontId="32" fillId="34" borderId="187">
      <alignment horizontal="right" vertical="center"/>
    </xf>
    <xf numFmtId="0" fontId="34" fillId="0" borderId="192" applyNumberFormat="0" applyFill="0" applyAlignment="0" applyProtection="0"/>
    <xf numFmtId="4" fontId="32" fillId="34" borderId="187">
      <alignment horizontal="right" vertical="center"/>
    </xf>
    <xf numFmtId="0" fontId="34" fillId="34" borderId="190">
      <alignment horizontal="left" vertical="center" wrapText="1" indent="2"/>
    </xf>
    <xf numFmtId="0" fontId="43" fillId="56" borderId="183" applyNumberFormat="0" applyAlignment="0" applyProtection="0"/>
    <xf numFmtId="0" fontId="50" fillId="0" borderId="206" applyNumberFormat="0" applyFill="0" applyAlignment="0" applyProtection="0"/>
    <xf numFmtId="0" fontId="49" fillId="43" borderId="176" applyNumberFormat="0" applyAlignment="0" applyProtection="0"/>
    <xf numFmtId="49" fontId="34" fillId="0" borderId="187" applyNumberFormat="0" applyFont="0" applyFill="0" applyBorder="0" applyProtection="0">
      <alignment horizontal="left" vertical="center" indent="2"/>
    </xf>
    <xf numFmtId="173" fontId="34" fillId="60" borderId="187" applyNumberFormat="0" applyFont="0" applyBorder="0" applyAlignment="0" applyProtection="0">
      <alignment horizontal="right" vertical="center"/>
    </xf>
    <xf numFmtId="0" fontId="34" fillId="33" borderId="200"/>
    <xf numFmtId="4" fontId="32" fillId="32" borderId="211">
      <alignment horizontal="right" vertical="center"/>
    </xf>
    <xf numFmtId="0" fontId="46" fillId="56" borderId="197" applyNumberFormat="0" applyAlignment="0" applyProtection="0"/>
    <xf numFmtId="4" fontId="32" fillId="34" borderId="194">
      <alignment horizontal="right" vertical="center"/>
    </xf>
    <xf numFmtId="0" fontId="26" fillId="14" borderId="0" applyNumberFormat="0" applyBorder="0" applyAlignment="0" applyProtection="0"/>
    <xf numFmtId="4" fontId="32" fillId="34" borderId="189">
      <alignment horizontal="right" vertical="center"/>
    </xf>
    <xf numFmtId="0" fontId="26" fillId="23" borderId="0" applyNumberFormat="0" applyBorder="0" applyAlignment="0" applyProtection="0"/>
    <xf numFmtId="0" fontId="40" fillId="59" borderId="191" applyNumberFormat="0" applyFont="0" applyAlignment="0" applyProtection="0"/>
    <xf numFmtId="0" fontId="28" fillId="13" borderId="14" applyNumberFormat="0" applyAlignment="0" applyProtection="0"/>
    <xf numFmtId="4" fontId="32" fillId="34" borderId="193">
      <alignment horizontal="right" vertical="center"/>
    </xf>
    <xf numFmtId="0" fontId="62" fillId="56" borderId="204" applyNumberFormat="0" applyAlignment="0" applyProtection="0"/>
    <xf numFmtId="0" fontId="45" fillId="56" borderId="205" applyNumberFormat="0" applyAlignment="0" applyProtection="0"/>
    <xf numFmtId="0" fontId="58" fillId="43" borderId="184" applyNumberFormat="0" applyAlignment="0" applyProtection="0"/>
    <xf numFmtId="0" fontId="34" fillId="34" borderId="190">
      <alignment horizontal="left" vertical="center" wrapText="1" indent="2"/>
    </xf>
    <xf numFmtId="0" fontId="50" fillId="0" borderId="185" applyNumberFormat="0" applyFill="0" applyAlignment="0" applyProtection="0"/>
    <xf numFmtId="4" fontId="34" fillId="33" borderId="187"/>
    <xf numFmtId="0" fontId="26" fillId="14" borderId="0" applyNumberFormat="0" applyBorder="0" applyAlignment="0" applyProtection="0"/>
    <xf numFmtId="0" fontId="34" fillId="34" borderId="182">
      <alignment horizontal="left" vertical="center" wrapText="1" indent="2"/>
    </xf>
    <xf numFmtId="0" fontId="34" fillId="0" borderId="182">
      <alignment horizontal="left" vertical="center" wrapText="1" indent="2"/>
    </xf>
    <xf numFmtId="4" fontId="32" fillId="34" borderId="192">
      <alignment horizontal="right" vertical="center"/>
    </xf>
    <xf numFmtId="0" fontId="46" fillId="56" borderId="197" applyNumberFormat="0" applyAlignment="0" applyProtection="0"/>
    <xf numFmtId="0" fontId="26" fillId="27" borderId="0" applyNumberFormat="0" applyBorder="0" applyAlignment="0" applyProtection="0"/>
    <xf numFmtId="0" fontId="26" fillId="18" borderId="0" applyNumberFormat="0" applyBorder="0" applyAlignment="0" applyProtection="0"/>
    <xf numFmtId="0" fontId="46" fillId="56" borderId="197" applyNumberFormat="0" applyAlignment="0" applyProtection="0"/>
    <xf numFmtId="0" fontId="58" fillId="43" borderId="184" applyNumberFormat="0" applyAlignment="0" applyProtection="0"/>
    <xf numFmtId="0" fontId="46" fillId="56" borderId="197" applyNumberFormat="0" applyAlignment="0" applyProtection="0"/>
    <xf numFmtId="0" fontId="45" fillId="56" borderId="205" applyNumberFormat="0" applyAlignment="0" applyProtection="0"/>
    <xf numFmtId="0" fontId="12" fillId="22" borderId="0" applyNumberFormat="0" applyBorder="0" applyAlignment="0" applyProtection="0"/>
    <xf numFmtId="0" fontId="58" fillId="43" borderId="208" applyNumberFormat="0" applyAlignment="0" applyProtection="0"/>
    <xf numFmtId="0" fontId="49" fillId="43" borderId="197" applyNumberFormat="0" applyAlignment="0" applyProtection="0"/>
    <xf numFmtId="49" fontId="33" fillId="0" borderId="211" applyNumberFormat="0" applyFill="0" applyBorder="0" applyProtection="0">
      <alignment horizontal="left" vertical="center"/>
    </xf>
    <xf numFmtId="0" fontId="34" fillId="0" borderId="192">
      <alignment horizontal="right" vertical="center"/>
    </xf>
    <xf numFmtId="0" fontId="32" fillId="34" borderId="193">
      <alignment horizontal="right" vertical="center"/>
    </xf>
    <xf numFmtId="0" fontId="32" fillId="34" borderId="192">
      <alignment horizontal="right" vertical="center"/>
    </xf>
    <xf numFmtId="0" fontId="34" fillId="34" borderId="195">
      <alignment horizontal="left" vertical="center" wrapText="1" indent="2"/>
    </xf>
    <xf numFmtId="0" fontId="34" fillId="0" borderId="187">
      <alignment horizontal="right" vertical="center"/>
    </xf>
    <xf numFmtId="0" fontId="34" fillId="34" borderId="195">
      <alignment horizontal="left" vertical="center" wrapText="1" indent="2"/>
    </xf>
    <xf numFmtId="0" fontId="43" fillId="56" borderId="183" applyNumberFormat="0" applyAlignment="0" applyProtection="0"/>
    <xf numFmtId="4" fontId="32" fillId="32" borderId="187">
      <alignment horizontal="right" vertical="center"/>
    </xf>
    <xf numFmtId="0" fontId="50" fillId="0" borderId="185" applyNumberFormat="0" applyFill="0" applyAlignment="0" applyProtection="0"/>
    <xf numFmtId="0" fontId="46" fillId="56" borderId="184" applyNumberFormat="0" applyAlignment="0" applyProtection="0"/>
    <xf numFmtId="4" fontId="32" fillId="34" borderId="188">
      <alignment horizontal="right" vertical="center"/>
    </xf>
    <xf numFmtId="4" fontId="32" fillId="34" borderId="193">
      <alignment horizontal="right" vertical="center"/>
    </xf>
    <xf numFmtId="0" fontId="45" fillId="56" borderId="184" applyNumberFormat="0" applyAlignment="0" applyProtection="0"/>
    <xf numFmtId="0" fontId="34" fillId="0" borderId="190">
      <alignment horizontal="left" vertical="center" wrapText="1" indent="2"/>
    </xf>
    <xf numFmtId="49" fontId="34" fillId="0" borderId="187" applyNumberFormat="0" applyFont="0" applyFill="0" applyBorder="0" applyProtection="0">
      <alignment horizontal="left" vertical="center" indent="2"/>
    </xf>
    <xf numFmtId="0" fontId="58" fillId="43" borderId="184" applyNumberFormat="0" applyAlignment="0" applyProtection="0"/>
    <xf numFmtId="0" fontId="40" fillId="59" borderId="186" applyNumberFormat="0" applyFont="0" applyAlignment="0" applyProtection="0"/>
    <xf numFmtId="4" fontId="32" fillId="34" borderId="188">
      <alignment horizontal="right" vertical="center"/>
    </xf>
    <xf numFmtId="0" fontId="34" fillId="34" borderId="190">
      <alignment horizontal="left" vertical="center" wrapText="1" indent="2"/>
    </xf>
    <xf numFmtId="0" fontId="50" fillId="0" borderId="185" applyNumberFormat="0" applyFill="0" applyAlignment="0" applyProtection="0"/>
    <xf numFmtId="0" fontId="62" fillId="56" borderId="183" applyNumberFormat="0" applyAlignment="0" applyProtection="0"/>
    <xf numFmtId="0" fontId="40" fillId="59" borderId="186" applyNumberFormat="0" applyFont="0" applyAlignment="0" applyProtection="0"/>
    <xf numFmtId="0" fontId="58" fillId="43" borderId="184" applyNumberFormat="0" applyAlignment="0" applyProtection="0"/>
    <xf numFmtId="0" fontId="34" fillId="0" borderId="187" applyNumberFormat="0" applyFill="0" applyAlignment="0" applyProtection="0"/>
    <xf numFmtId="0" fontId="32" fillId="32" borderId="187">
      <alignment horizontal="right" vertical="center"/>
    </xf>
    <xf numFmtId="0" fontId="32" fillId="34" borderId="187">
      <alignment horizontal="right" vertical="center"/>
    </xf>
    <xf numFmtId="0" fontId="40" fillId="59" borderId="186" applyNumberFormat="0" applyFont="0" applyAlignment="0" applyProtection="0"/>
    <xf numFmtId="0" fontId="50" fillId="0" borderId="185" applyNumberFormat="0" applyFill="0" applyAlignment="0" applyProtection="0"/>
    <xf numFmtId="0" fontId="32" fillId="32" borderId="187">
      <alignment horizontal="right" vertical="center"/>
    </xf>
    <xf numFmtId="4" fontId="34" fillId="0" borderId="187" applyFill="0" applyBorder="0" applyProtection="0">
      <alignment horizontal="right" vertical="center"/>
    </xf>
    <xf numFmtId="0" fontId="43" fillId="56" borderId="215" applyNumberFormat="0" applyAlignment="0" applyProtection="0"/>
    <xf numFmtId="49" fontId="34" fillId="0" borderId="187" applyNumberFormat="0" applyFont="0" applyFill="0" applyBorder="0" applyProtection="0">
      <alignment horizontal="left" vertical="center" indent="2"/>
    </xf>
    <xf numFmtId="0" fontId="49" fillId="43" borderId="184" applyNumberFormat="0" applyAlignment="0" applyProtection="0"/>
    <xf numFmtId="0" fontId="12" fillId="31" borderId="0" applyNumberFormat="0" applyBorder="0" applyAlignment="0" applyProtection="0"/>
    <xf numFmtId="0" fontId="12" fillId="22" borderId="0" applyNumberFormat="0" applyBorder="0" applyAlignment="0" applyProtection="0"/>
    <xf numFmtId="0" fontId="12" fillId="31" borderId="0" applyNumberFormat="0" applyBorder="0" applyAlignment="0" applyProtection="0"/>
    <xf numFmtId="0" fontId="34" fillId="34" borderId="203">
      <alignment horizontal="left" vertical="center" wrapText="1" indent="2"/>
    </xf>
    <xf numFmtId="0" fontId="26" fillId="29" borderId="0" applyNumberFormat="0" applyBorder="0" applyAlignment="0" applyProtection="0"/>
    <xf numFmtId="0" fontId="58" fillId="43" borderId="205" applyNumberFormat="0" applyAlignment="0" applyProtection="0"/>
    <xf numFmtId="0" fontId="26" fillId="26" borderId="0" applyNumberFormat="0" applyBorder="0" applyAlignment="0" applyProtection="0"/>
    <xf numFmtId="0" fontId="26" fillId="24" borderId="0" applyNumberFormat="0" applyBorder="0" applyAlignment="0" applyProtection="0"/>
    <xf numFmtId="0" fontId="12" fillId="16" borderId="0" applyNumberFormat="0" applyBorder="0" applyAlignment="0" applyProtection="0"/>
    <xf numFmtId="0" fontId="26" fillId="18" borderId="0" applyNumberFormat="0" applyBorder="0" applyAlignment="0" applyProtection="0"/>
    <xf numFmtId="0" fontId="12" fillId="19" borderId="0" applyNumberFormat="0" applyBorder="0" applyAlignment="0" applyProtection="0"/>
    <xf numFmtId="0" fontId="62" fillId="56" borderId="196" applyNumberFormat="0" applyAlignment="0" applyProtection="0"/>
    <xf numFmtId="0" fontId="2" fillId="0" borderId="15" applyNumberFormat="0" applyFill="0" applyAlignment="0" applyProtection="0"/>
    <xf numFmtId="0" fontId="32" fillId="32" borderId="200">
      <alignment horizontal="right" vertical="center"/>
    </xf>
    <xf numFmtId="4" fontId="36" fillId="32" borderId="192">
      <alignment horizontal="right" vertical="center"/>
    </xf>
    <xf numFmtId="4" fontId="36" fillId="32" borderId="192">
      <alignment horizontal="right" vertical="center"/>
    </xf>
    <xf numFmtId="0" fontId="45" fillId="56" borderId="205" applyNumberFormat="0" applyAlignment="0" applyProtection="0"/>
    <xf numFmtId="4" fontId="32" fillId="34" borderId="200">
      <alignment horizontal="right" vertical="center"/>
    </xf>
    <xf numFmtId="0" fontId="62" fillId="56" borderId="183" applyNumberFormat="0" applyAlignment="0" applyProtection="0"/>
    <xf numFmtId="0" fontId="50" fillId="0" borderId="185" applyNumberFormat="0" applyFill="0" applyAlignment="0" applyProtection="0"/>
    <xf numFmtId="4" fontId="32" fillId="34" borderId="179">
      <alignment horizontal="right" vertical="center"/>
    </xf>
    <xf numFmtId="0" fontId="34" fillId="33" borderId="179"/>
    <xf numFmtId="0" fontId="45" fillId="56" borderId="176" applyNumberFormat="0" applyAlignment="0" applyProtection="0"/>
    <xf numFmtId="0" fontId="32" fillId="32" borderId="179">
      <alignment horizontal="right" vertical="center"/>
    </xf>
    <xf numFmtId="0" fontId="34" fillId="0" borderId="179">
      <alignment horizontal="right" vertical="center"/>
    </xf>
    <xf numFmtId="0" fontId="65" fillId="0" borderId="177" applyNumberFormat="0" applyFill="0" applyAlignment="0" applyProtection="0"/>
    <xf numFmtId="0" fontId="34" fillId="32" borderId="180">
      <alignment horizontal="left" vertical="center"/>
    </xf>
    <xf numFmtId="0" fontId="58" fillId="43" borderId="176" applyNumberFormat="0" applyAlignment="0" applyProtection="0"/>
    <xf numFmtId="173" fontId="34" fillId="60" borderId="179" applyNumberFormat="0" applyFont="0" applyBorder="0" applyAlignment="0" applyProtection="0">
      <alignment horizontal="right" vertical="center"/>
    </xf>
    <xf numFmtId="0" fontId="40" fillId="59" borderId="178" applyNumberFormat="0" applyFont="0" applyAlignment="0" applyProtection="0"/>
    <xf numFmtId="0" fontId="34" fillId="0" borderId="182">
      <alignment horizontal="left" vertical="center" wrapText="1" indent="2"/>
    </xf>
    <xf numFmtId="4" fontId="34" fillId="33" borderId="179"/>
    <xf numFmtId="49" fontId="33" fillId="0" borderId="179" applyNumberFormat="0" applyFill="0" applyBorder="0" applyProtection="0">
      <alignment horizontal="left" vertical="center"/>
    </xf>
    <xf numFmtId="0" fontId="34" fillId="0" borderId="179">
      <alignment horizontal="right" vertical="center"/>
    </xf>
    <xf numFmtId="4" fontId="32" fillId="34" borderId="181">
      <alignment horizontal="right" vertical="center"/>
    </xf>
    <xf numFmtId="4" fontId="32" fillId="34" borderId="179">
      <alignment horizontal="right" vertical="center"/>
    </xf>
    <xf numFmtId="4" fontId="32" fillId="34" borderId="179">
      <alignment horizontal="right" vertical="center"/>
    </xf>
    <xf numFmtId="0" fontId="36" fillId="32" borderId="179">
      <alignment horizontal="right" vertical="center"/>
    </xf>
    <xf numFmtId="0" fontId="32" fillId="32" borderId="179">
      <alignment horizontal="right" vertical="center"/>
    </xf>
    <xf numFmtId="49" fontId="34" fillId="0" borderId="179" applyNumberFormat="0" applyFont="0" applyFill="0" applyBorder="0" applyProtection="0">
      <alignment horizontal="left" vertical="center" indent="2"/>
    </xf>
    <xf numFmtId="0" fontId="58" fillId="43" borderId="176" applyNumberFormat="0" applyAlignment="0" applyProtection="0"/>
    <xf numFmtId="0" fontId="43" fillId="56" borderId="175" applyNumberFormat="0" applyAlignment="0" applyProtection="0"/>
    <xf numFmtId="49" fontId="34" fillId="0" borderId="179" applyNumberFormat="0" applyFont="0" applyFill="0" applyBorder="0" applyProtection="0">
      <alignment horizontal="left" vertical="center" indent="2"/>
    </xf>
    <xf numFmtId="0" fontId="49" fillId="43" borderId="176" applyNumberFormat="0" applyAlignment="0" applyProtection="0"/>
    <xf numFmtId="4" fontId="34" fillId="0" borderId="179" applyFill="0" applyBorder="0" applyProtection="0">
      <alignment horizontal="right" vertical="center"/>
    </xf>
    <xf numFmtId="0" fontId="46" fillId="56" borderId="176" applyNumberFormat="0" applyAlignment="0" applyProtection="0"/>
    <xf numFmtId="0" fontId="65" fillId="0" borderId="177" applyNumberFormat="0" applyFill="0" applyAlignment="0" applyProtection="0"/>
    <xf numFmtId="0" fontId="62" fillId="56" borderId="175" applyNumberFormat="0" applyAlignment="0" applyProtection="0"/>
    <xf numFmtId="0" fontId="34" fillId="0" borderId="179" applyNumberFormat="0" applyFill="0" applyAlignment="0" applyProtection="0"/>
    <xf numFmtId="4" fontId="34" fillId="0" borderId="179">
      <alignment horizontal="right" vertical="center"/>
    </xf>
    <xf numFmtId="0" fontId="34" fillId="0" borderId="179">
      <alignment horizontal="right" vertical="center"/>
    </xf>
    <xf numFmtId="0" fontId="58" fillId="43" borderId="176" applyNumberFormat="0" applyAlignment="0" applyProtection="0"/>
    <xf numFmtId="0" fontId="43" fillId="56" borderId="175" applyNumberFormat="0" applyAlignment="0" applyProtection="0"/>
    <xf numFmtId="0" fontId="45" fillId="56" borderId="176" applyNumberFormat="0" applyAlignment="0" applyProtection="0"/>
    <xf numFmtId="0" fontId="34" fillId="34" borderId="182">
      <alignment horizontal="left" vertical="center" wrapText="1" indent="2"/>
    </xf>
    <xf numFmtId="0" fontId="46" fillId="56" borderId="176" applyNumberFormat="0" applyAlignment="0" applyProtection="0"/>
    <xf numFmtId="0" fontId="46" fillId="56" borderId="176" applyNumberFormat="0" applyAlignment="0" applyProtection="0"/>
    <xf numFmtId="4" fontId="32" fillId="34" borderId="180">
      <alignment horizontal="right" vertical="center"/>
    </xf>
    <xf numFmtId="0" fontId="32" fillId="34" borderId="180">
      <alignment horizontal="right" vertical="center"/>
    </xf>
    <xf numFmtId="0" fontId="32" fillId="34" borderId="179">
      <alignment horizontal="right" vertical="center"/>
    </xf>
    <xf numFmtId="4" fontId="36" fillId="32" borderId="179">
      <alignment horizontal="right" vertical="center"/>
    </xf>
    <xf numFmtId="0" fontId="49" fillId="43" borderId="176" applyNumberFormat="0" applyAlignment="0" applyProtection="0"/>
    <xf numFmtId="0" fontId="50" fillId="0" borderId="177" applyNumberFormat="0" applyFill="0" applyAlignment="0" applyProtection="0"/>
    <xf numFmtId="0" fontId="65" fillId="0" borderId="177" applyNumberFormat="0" applyFill="0" applyAlignment="0" applyProtection="0"/>
    <xf numFmtId="0" fontId="40" fillId="59" borderId="178" applyNumberFormat="0" applyFont="0" applyAlignment="0" applyProtection="0"/>
    <xf numFmtId="0" fontId="58" fillId="43" borderId="176" applyNumberFormat="0" applyAlignment="0" applyProtection="0"/>
    <xf numFmtId="49" fontId="33" fillId="0" borderId="179" applyNumberFormat="0" applyFill="0" applyBorder="0" applyProtection="0">
      <alignment horizontal="left" vertical="center"/>
    </xf>
    <xf numFmtId="0" fontId="34" fillId="34" borderId="182">
      <alignment horizontal="left" vertical="center" wrapText="1" indent="2"/>
    </xf>
    <xf numFmtId="0" fontId="46" fillId="56" borderId="176" applyNumberFormat="0" applyAlignment="0" applyProtection="0"/>
    <xf numFmtId="0" fontId="34" fillId="0" borderId="182">
      <alignment horizontal="left" vertical="center" wrapText="1" indent="2"/>
    </xf>
    <xf numFmtId="0" fontId="40" fillId="59" borderId="178" applyNumberFormat="0" applyFont="0" applyAlignment="0" applyProtection="0"/>
    <xf numFmtId="0" fontId="5" fillId="59" borderId="178" applyNumberFormat="0" applyFont="0" applyAlignment="0" applyProtection="0"/>
    <xf numFmtId="0" fontId="62" fillId="56" borderId="175" applyNumberFormat="0" applyAlignment="0" applyProtection="0"/>
    <xf numFmtId="0" fontId="65" fillId="0" borderId="177" applyNumberFormat="0" applyFill="0" applyAlignment="0" applyProtection="0"/>
    <xf numFmtId="4" fontId="34" fillId="33" borderId="179"/>
    <xf numFmtId="0" fontId="32" fillId="34" borderId="179">
      <alignment horizontal="right" vertical="center"/>
    </xf>
    <xf numFmtId="0" fontId="65" fillId="0" borderId="177" applyNumberFormat="0" applyFill="0" applyAlignment="0" applyProtection="0"/>
    <xf numFmtId="4" fontId="32" fillId="34" borderId="181">
      <alignment horizontal="right" vertical="center"/>
    </xf>
    <xf numFmtId="0" fontId="45" fillId="56" borderId="176" applyNumberFormat="0" applyAlignment="0" applyProtection="0"/>
    <xf numFmtId="0" fontId="32" fillId="34" borderId="180">
      <alignment horizontal="right" vertical="center"/>
    </xf>
    <xf numFmtId="0" fontId="46" fillId="56" borderId="176" applyNumberFormat="0" applyAlignment="0" applyProtection="0"/>
    <xf numFmtId="0" fontId="50" fillId="0" borderId="177" applyNumberFormat="0" applyFill="0" applyAlignment="0" applyProtection="0"/>
    <xf numFmtId="0" fontId="40" fillId="59" borderId="178" applyNumberFormat="0" applyFont="0" applyAlignment="0" applyProtection="0"/>
    <xf numFmtId="4" fontId="32" fillId="34" borderId="180">
      <alignment horizontal="right" vertical="center"/>
    </xf>
    <xf numFmtId="0" fontId="34" fillId="34" borderId="182">
      <alignment horizontal="left" vertical="center" wrapText="1" indent="2"/>
    </xf>
    <xf numFmtId="0" fontId="34" fillId="33" borderId="179"/>
    <xf numFmtId="173" fontId="34" fillId="60" borderId="179" applyNumberFormat="0" applyFont="0" applyBorder="0" applyAlignment="0" applyProtection="0">
      <alignment horizontal="right" vertical="center"/>
    </xf>
    <xf numFmtId="0" fontId="34" fillId="0" borderId="179" applyNumberFormat="0" applyFill="0" applyAlignment="0" applyProtection="0"/>
    <xf numFmtId="4" fontId="34" fillId="0" borderId="179" applyFill="0" applyBorder="0" applyProtection="0">
      <alignment horizontal="right" vertical="center"/>
    </xf>
    <xf numFmtId="4" fontId="32" fillId="32" borderId="179">
      <alignment horizontal="right" vertical="center"/>
    </xf>
    <xf numFmtId="0" fontId="50" fillId="0" borderId="177" applyNumberFormat="0" applyFill="0" applyAlignment="0" applyProtection="0"/>
    <xf numFmtId="49" fontId="33" fillId="0" borderId="179" applyNumberFormat="0" applyFill="0" applyBorder="0" applyProtection="0">
      <alignment horizontal="left" vertical="center"/>
    </xf>
    <xf numFmtId="49" fontId="34" fillId="0" borderId="180" applyNumberFormat="0" applyFont="0" applyFill="0" applyBorder="0" applyProtection="0">
      <alignment horizontal="left" vertical="center" indent="5"/>
    </xf>
    <xf numFmtId="0" fontId="34" fillId="32" borderId="180">
      <alignment horizontal="left" vertical="center"/>
    </xf>
    <xf numFmtId="0" fontId="46" fillId="56" borderId="176" applyNumberFormat="0" applyAlignment="0" applyProtection="0"/>
    <xf numFmtId="4" fontId="32" fillId="34" borderId="181">
      <alignment horizontal="right" vertical="center"/>
    </xf>
    <xf numFmtId="0" fontId="58" fillId="43" borderId="176" applyNumberFormat="0" applyAlignment="0" applyProtection="0"/>
    <xf numFmtId="0" fontId="58" fillId="43" borderId="176" applyNumberFormat="0" applyAlignment="0" applyProtection="0"/>
    <xf numFmtId="0" fontId="40" fillId="59" borderId="178" applyNumberFormat="0" applyFont="0" applyAlignment="0" applyProtection="0"/>
    <xf numFmtId="0" fontId="62" fillId="56" borderId="175" applyNumberFormat="0" applyAlignment="0" applyProtection="0"/>
    <xf numFmtId="0" fontId="65" fillId="0" borderId="177" applyNumberFormat="0" applyFill="0" applyAlignment="0" applyProtection="0"/>
    <xf numFmtId="0" fontId="32" fillId="34" borderId="179">
      <alignment horizontal="right" vertical="center"/>
    </xf>
    <xf numFmtId="0" fontId="5" fillId="59" borderId="178" applyNumberFormat="0" applyFont="0" applyAlignment="0" applyProtection="0"/>
    <xf numFmtId="4" fontId="34" fillId="0" borderId="179">
      <alignment horizontal="right" vertical="center"/>
    </xf>
    <xf numFmtId="0" fontId="65" fillId="0" borderId="177" applyNumberFormat="0" applyFill="0" applyAlignment="0" applyProtection="0"/>
    <xf numFmtId="0" fontId="32" fillId="34" borderId="179">
      <alignment horizontal="right" vertical="center"/>
    </xf>
    <xf numFmtId="0" fontId="32" fillId="34" borderId="179">
      <alignment horizontal="right" vertical="center"/>
    </xf>
    <xf numFmtId="4" fontId="36" fillId="32" borderId="179">
      <alignment horizontal="right" vertical="center"/>
    </xf>
    <xf numFmtId="0" fontId="32" fillId="32" borderId="179">
      <alignment horizontal="right" vertical="center"/>
    </xf>
    <xf numFmtId="4" fontId="32" fillId="32" borderId="179">
      <alignment horizontal="right" vertical="center"/>
    </xf>
    <xf numFmtId="0" fontId="36" fillId="32" borderId="179">
      <alignment horizontal="right" vertical="center"/>
    </xf>
    <xf numFmtId="4" fontId="36" fillId="32" borderId="179">
      <alignment horizontal="right" vertical="center"/>
    </xf>
    <xf numFmtId="0" fontId="32" fillId="34" borderId="179">
      <alignment horizontal="right" vertical="center"/>
    </xf>
    <xf numFmtId="4" fontId="32" fillId="34" borderId="179">
      <alignment horizontal="right" vertical="center"/>
    </xf>
    <xf numFmtId="0" fontId="32" fillId="34" borderId="179">
      <alignment horizontal="right" vertical="center"/>
    </xf>
    <xf numFmtId="4" fontId="32" fillId="34" borderId="179">
      <alignment horizontal="right" vertical="center"/>
    </xf>
    <xf numFmtId="0" fontId="32" fillId="34" borderId="180">
      <alignment horizontal="right" vertical="center"/>
    </xf>
    <xf numFmtId="4" fontId="32" fillId="34" borderId="180">
      <alignment horizontal="right" vertical="center"/>
    </xf>
    <xf numFmtId="0" fontId="32" fillId="34" borderId="181">
      <alignment horizontal="right" vertical="center"/>
    </xf>
    <xf numFmtId="4" fontId="32" fillId="34" borderId="181">
      <alignment horizontal="right" vertical="center"/>
    </xf>
    <xf numFmtId="0" fontId="46" fillId="56" borderId="176" applyNumberFormat="0" applyAlignment="0" applyProtection="0"/>
    <xf numFmtId="0" fontId="34" fillId="34" borderId="182">
      <alignment horizontal="left" vertical="center" wrapText="1" indent="2"/>
    </xf>
    <xf numFmtId="0" fontId="34" fillId="0" borderId="182">
      <alignment horizontal="left" vertical="center" wrapText="1" indent="2"/>
    </xf>
    <xf numFmtId="0" fontId="34" fillId="32" borderId="180">
      <alignment horizontal="left" vertical="center"/>
    </xf>
    <xf numFmtId="0" fontId="58" fillId="43" borderId="176" applyNumberFormat="0" applyAlignment="0" applyProtection="0"/>
    <xf numFmtId="0" fontId="34" fillId="0" borderId="179">
      <alignment horizontal="right" vertical="center"/>
    </xf>
    <xf numFmtId="4" fontId="34" fillId="0" borderId="179">
      <alignment horizontal="right" vertical="center"/>
    </xf>
    <xf numFmtId="0" fontId="34" fillId="0" borderId="179" applyNumberFormat="0" applyFill="0" applyAlignment="0" applyProtection="0"/>
    <xf numFmtId="0" fontId="62" fillId="56" borderId="175" applyNumberFormat="0" applyAlignment="0" applyProtection="0"/>
    <xf numFmtId="173" fontId="34" fillId="60" borderId="179" applyNumberFormat="0" applyFont="0" applyBorder="0" applyAlignment="0" applyProtection="0">
      <alignment horizontal="right" vertical="center"/>
    </xf>
    <xf numFmtId="0" fontId="34" fillId="33" borderId="179"/>
    <xf numFmtId="4" fontId="34" fillId="33" borderId="179"/>
    <xf numFmtId="0" fontId="65" fillId="0" borderId="177" applyNumberFormat="0" applyFill="0" applyAlignment="0" applyProtection="0"/>
    <xf numFmtId="0" fontId="5" fillId="59" borderId="178" applyNumberFormat="0" applyFont="0" applyAlignment="0" applyProtection="0"/>
    <xf numFmtId="0" fontId="40" fillId="59" borderId="178" applyNumberFormat="0" applyFont="0" applyAlignment="0" applyProtection="0"/>
    <xf numFmtId="0" fontId="34" fillId="0" borderId="179" applyNumberFormat="0" applyFill="0" applyAlignment="0" applyProtection="0"/>
    <xf numFmtId="0" fontId="50" fillId="0" borderId="177" applyNumberFormat="0" applyFill="0" applyAlignment="0" applyProtection="0"/>
    <xf numFmtId="0" fontId="65" fillId="0" borderId="177" applyNumberFormat="0" applyFill="0" applyAlignment="0" applyProtection="0"/>
    <xf numFmtId="0" fontId="49" fillId="43" borderId="176" applyNumberFormat="0" applyAlignment="0" applyProtection="0"/>
    <xf numFmtId="0" fontId="46" fillId="56" borderId="176" applyNumberFormat="0" applyAlignment="0" applyProtection="0"/>
    <xf numFmtId="4" fontId="36" fillId="32" borderId="179">
      <alignment horizontal="right" vertical="center"/>
    </xf>
    <xf numFmtId="0" fontId="32" fillId="32" borderId="179">
      <alignment horizontal="right" vertical="center"/>
    </xf>
    <xf numFmtId="173" fontId="34" fillId="60" borderId="179" applyNumberFormat="0" applyFont="0" applyBorder="0" applyAlignment="0" applyProtection="0">
      <alignment horizontal="right" vertical="center"/>
    </xf>
    <xf numFmtId="0" fontId="50" fillId="0" borderId="177" applyNumberFormat="0" applyFill="0" applyAlignment="0" applyProtection="0"/>
    <xf numFmtId="49" fontId="34" fillId="0" borderId="179" applyNumberFormat="0" applyFont="0" applyFill="0" applyBorder="0" applyProtection="0">
      <alignment horizontal="left" vertical="center" indent="2"/>
    </xf>
    <xf numFmtId="49" fontId="34" fillId="0" borderId="180" applyNumberFormat="0" applyFont="0" applyFill="0" applyBorder="0" applyProtection="0">
      <alignment horizontal="left" vertical="center" indent="5"/>
    </xf>
    <xf numFmtId="49" fontId="34" fillId="0" borderId="179" applyNumberFormat="0" applyFont="0" applyFill="0" applyBorder="0" applyProtection="0">
      <alignment horizontal="left" vertical="center" indent="2"/>
    </xf>
    <xf numFmtId="4" fontId="34" fillId="0" borderId="179" applyFill="0" applyBorder="0" applyProtection="0">
      <alignment horizontal="right" vertical="center"/>
    </xf>
    <xf numFmtId="49" fontId="33" fillId="0" borderId="179" applyNumberFormat="0" applyFill="0" applyBorder="0" applyProtection="0">
      <alignment horizontal="left" vertical="center"/>
    </xf>
    <xf numFmtId="0" fontId="34" fillId="0" borderId="182">
      <alignment horizontal="left" vertical="center" wrapText="1" indent="2"/>
    </xf>
    <xf numFmtId="0" fontId="62" fillId="56" borderId="175" applyNumberFormat="0" applyAlignment="0" applyProtection="0"/>
    <xf numFmtId="0" fontId="32" fillId="34" borderId="181">
      <alignment horizontal="right" vertical="center"/>
    </xf>
    <xf numFmtId="0" fontId="49" fillId="43" borderId="176" applyNumberFormat="0" applyAlignment="0" applyProtection="0"/>
    <xf numFmtId="0" fontId="32" fillId="34" borderId="181">
      <alignment horizontal="right" vertical="center"/>
    </xf>
    <xf numFmtId="4" fontId="32" fillId="34" borderId="179">
      <alignment horizontal="right" vertical="center"/>
    </xf>
    <xf numFmtId="0" fontId="32" fillId="34" borderId="179">
      <alignment horizontal="right" vertical="center"/>
    </xf>
    <xf numFmtId="0" fontId="43" fillId="56" borderId="175" applyNumberFormat="0" applyAlignment="0" applyProtection="0"/>
    <xf numFmtId="0" fontId="45" fillId="56" borderId="176" applyNumberFormat="0" applyAlignment="0" applyProtection="0"/>
    <xf numFmtId="0" fontId="50" fillId="0" borderId="177" applyNumberFormat="0" applyFill="0" applyAlignment="0" applyProtection="0"/>
    <xf numFmtId="0" fontId="34" fillId="33" borderId="179"/>
    <xf numFmtId="4" fontId="34" fillId="33" borderId="179"/>
    <xf numFmtId="4" fontId="32" fillId="34" borderId="179">
      <alignment horizontal="right" vertical="center"/>
    </xf>
    <xf numFmtId="0" fontId="36" fillId="32" borderId="179">
      <alignment horizontal="right" vertical="center"/>
    </xf>
    <xf numFmtId="0" fontId="49" fillId="43" borderId="176" applyNumberFormat="0" applyAlignment="0" applyProtection="0"/>
    <xf numFmtId="0" fontId="46" fillId="56" borderId="176" applyNumberFormat="0" applyAlignment="0" applyProtection="0"/>
    <xf numFmtId="4" fontId="34" fillId="0" borderId="179">
      <alignment horizontal="right" vertical="center"/>
    </xf>
    <xf numFmtId="0" fontId="34" fillId="34" borderId="182">
      <alignment horizontal="left" vertical="center" wrapText="1" indent="2"/>
    </xf>
    <xf numFmtId="0" fontId="34" fillId="0" borderId="182">
      <alignment horizontal="left" vertical="center" wrapText="1" indent="2"/>
    </xf>
    <xf numFmtId="0" fontId="62" fillId="56" borderId="175" applyNumberFormat="0" applyAlignment="0" applyProtection="0"/>
    <xf numFmtId="0" fontId="58" fillId="43" borderId="176" applyNumberFormat="0" applyAlignment="0" applyProtection="0"/>
    <xf numFmtId="0" fontId="45" fillId="56" borderId="176" applyNumberFormat="0" applyAlignment="0" applyProtection="0"/>
    <xf numFmtId="0" fontId="43" fillId="56" borderId="175" applyNumberFormat="0" applyAlignment="0" applyProtection="0"/>
    <xf numFmtId="0" fontId="32" fillId="34" borderId="181">
      <alignment horizontal="right" vertical="center"/>
    </xf>
    <xf numFmtId="0" fontId="36" fillId="32" borderId="179">
      <alignment horizontal="right" vertical="center"/>
    </xf>
    <xf numFmtId="4" fontId="32" fillId="32" borderId="179">
      <alignment horizontal="right" vertical="center"/>
    </xf>
    <xf numFmtId="4" fontId="32" fillId="34" borderId="179">
      <alignment horizontal="right" vertical="center"/>
    </xf>
    <xf numFmtId="49" fontId="34" fillId="0" borderId="180" applyNumberFormat="0" applyFont="0" applyFill="0" applyBorder="0" applyProtection="0">
      <alignment horizontal="left" vertical="center" indent="5"/>
    </xf>
    <xf numFmtId="4" fontId="34" fillId="0" borderId="179" applyFill="0" applyBorder="0" applyProtection="0">
      <alignment horizontal="right" vertical="center"/>
    </xf>
    <xf numFmtId="4" fontId="32" fillId="32" borderId="179">
      <alignment horizontal="right" vertical="center"/>
    </xf>
    <xf numFmtId="0" fontId="34" fillId="33" borderId="200"/>
    <xf numFmtId="0" fontId="58" fillId="43" borderId="176" applyNumberFormat="0" applyAlignment="0" applyProtection="0"/>
    <xf numFmtId="0" fontId="49" fillId="43" borderId="176" applyNumberFormat="0" applyAlignment="0" applyProtection="0"/>
    <xf numFmtId="0" fontId="45" fillId="56" borderId="176" applyNumberFormat="0" applyAlignment="0" applyProtection="0"/>
    <xf numFmtId="0" fontId="34" fillId="34" borderId="182">
      <alignment horizontal="left" vertical="center" wrapText="1" indent="2"/>
    </xf>
    <xf numFmtId="0" fontId="34" fillId="0" borderId="182">
      <alignment horizontal="left" vertical="center" wrapText="1" indent="2"/>
    </xf>
    <xf numFmtId="0" fontId="34" fillId="34" borderId="182">
      <alignment horizontal="left" vertical="center" wrapText="1" indent="2"/>
    </xf>
    <xf numFmtId="0" fontId="34" fillId="0" borderId="182">
      <alignment horizontal="left" vertical="center" wrapText="1" indent="2"/>
    </xf>
    <xf numFmtId="0" fontId="43" fillId="56" borderId="175" applyNumberFormat="0" applyAlignment="0" applyProtection="0"/>
    <xf numFmtId="0" fontId="45" fillId="56" borderId="176" applyNumberFormat="0" applyAlignment="0" applyProtection="0"/>
    <xf numFmtId="0" fontId="46" fillId="56" borderId="176" applyNumberFormat="0" applyAlignment="0" applyProtection="0"/>
    <xf numFmtId="0" fontId="49" fillId="43" borderId="176" applyNumberFormat="0" applyAlignment="0" applyProtection="0"/>
    <xf numFmtId="0" fontId="50" fillId="0" borderId="177" applyNumberFormat="0" applyFill="0" applyAlignment="0" applyProtection="0"/>
    <xf numFmtId="0" fontId="58" fillId="43" borderId="176" applyNumberFormat="0" applyAlignment="0" applyProtection="0"/>
    <xf numFmtId="0" fontId="40" fillId="59" borderId="178" applyNumberFormat="0" applyFont="0" applyAlignment="0" applyProtection="0"/>
    <xf numFmtId="0" fontId="5" fillId="59" borderId="178" applyNumberFormat="0" applyFont="0" applyAlignment="0" applyProtection="0"/>
    <xf numFmtId="0" fontId="62" fillId="56" borderId="175" applyNumberFormat="0" applyAlignment="0" applyProtection="0"/>
    <xf numFmtId="0" fontId="65" fillId="0" borderId="177" applyNumberFormat="0" applyFill="0" applyAlignment="0" applyProtection="0"/>
    <xf numFmtId="0" fontId="46" fillId="56" borderId="176" applyNumberFormat="0" applyAlignment="0" applyProtection="0"/>
    <xf numFmtId="0" fontId="58" fillId="43" borderId="176" applyNumberFormat="0" applyAlignment="0" applyProtection="0"/>
    <xf numFmtId="0" fontId="40" fillId="59" borderId="178" applyNumberFormat="0" applyFont="0" applyAlignment="0" applyProtection="0"/>
    <xf numFmtId="0" fontId="62" fillId="56" borderId="175" applyNumberFormat="0" applyAlignment="0" applyProtection="0"/>
    <xf numFmtId="0" fontId="65" fillId="0" borderId="177" applyNumberFormat="0" applyFill="0" applyAlignment="0" applyProtection="0"/>
    <xf numFmtId="0" fontId="50" fillId="0" borderId="198" applyNumberFormat="0" applyFill="0" applyAlignment="0" applyProtection="0"/>
    <xf numFmtId="4" fontId="34" fillId="0" borderId="192" applyFill="0" applyBorder="0" applyProtection="0">
      <alignment horizontal="right" vertical="center"/>
    </xf>
    <xf numFmtId="0" fontId="62" fillId="56" borderId="183" applyNumberFormat="0" applyAlignment="0" applyProtection="0"/>
    <xf numFmtId="4" fontId="34" fillId="0" borderId="187">
      <alignment horizontal="right" vertical="center"/>
    </xf>
    <xf numFmtId="0" fontId="46" fillId="56" borderId="176" applyNumberFormat="0" applyAlignment="0" applyProtection="0"/>
    <xf numFmtId="0" fontId="49" fillId="43" borderId="184" applyNumberFormat="0" applyAlignment="0" applyProtection="0"/>
    <xf numFmtId="0" fontId="12" fillId="28" borderId="0" applyNumberFormat="0" applyBorder="0" applyAlignment="0" applyProtection="0"/>
    <xf numFmtId="4" fontId="36" fillId="32" borderId="200">
      <alignment horizontal="right" vertical="center"/>
    </xf>
    <xf numFmtId="0" fontId="58" fillId="43" borderId="176" applyNumberFormat="0" applyAlignment="0" applyProtection="0"/>
    <xf numFmtId="0" fontId="62" fillId="56" borderId="175" applyNumberFormat="0" applyAlignment="0" applyProtection="0"/>
    <xf numFmtId="0" fontId="65" fillId="0" borderId="177" applyNumberFormat="0" applyFill="0" applyAlignment="0" applyProtection="0"/>
    <xf numFmtId="0" fontId="32" fillId="34" borderId="194">
      <alignment horizontal="right" vertical="center"/>
    </xf>
    <xf numFmtId="0" fontId="43" fillId="56" borderId="175" applyNumberFormat="0" applyAlignment="0" applyProtection="0"/>
    <xf numFmtId="0" fontId="45" fillId="56" borderId="176" applyNumberFormat="0" applyAlignment="0" applyProtection="0"/>
    <xf numFmtId="0" fontId="50" fillId="0" borderId="177" applyNumberFormat="0" applyFill="0" applyAlignment="0" applyProtection="0"/>
    <xf numFmtId="49" fontId="34" fillId="0" borderId="179" applyNumberFormat="0" applyFont="0" applyFill="0" applyBorder="0" applyProtection="0">
      <alignment horizontal="left" vertical="center" indent="2"/>
    </xf>
    <xf numFmtId="0" fontId="32" fillId="32" borderId="179">
      <alignment horizontal="right" vertical="center"/>
    </xf>
    <xf numFmtId="4" fontId="32" fillId="32" borderId="179">
      <alignment horizontal="right" vertical="center"/>
    </xf>
    <xf numFmtId="0" fontId="36" fillId="32" borderId="179">
      <alignment horizontal="right" vertical="center"/>
    </xf>
    <xf numFmtId="4" fontId="36" fillId="32" borderId="179">
      <alignment horizontal="right" vertical="center"/>
    </xf>
    <xf numFmtId="0" fontId="32" fillId="34" borderId="179">
      <alignment horizontal="right" vertical="center"/>
    </xf>
    <xf numFmtId="4" fontId="32" fillId="34" borderId="179">
      <alignment horizontal="right" vertical="center"/>
    </xf>
    <xf numFmtId="0" fontId="32" fillId="34" borderId="179">
      <alignment horizontal="right" vertical="center"/>
    </xf>
    <xf numFmtId="4" fontId="32" fillId="34" borderId="179">
      <alignment horizontal="right" vertical="center"/>
    </xf>
    <xf numFmtId="0" fontId="49" fillId="43" borderId="176" applyNumberFormat="0" applyAlignment="0" applyProtection="0"/>
    <xf numFmtId="0" fontId="34" fillId="0" borderId="179">
      <alignment horizontal="right" vertical="center"/>
    </xf>
    <xf numFmtId="4" fontId="34" fillId="0" borderId="179">
      <alignment horizontal="right" vertical="center"/>
    </xf>
    <xf numFmtId="4" fontId="34" fillId="0" borderId="179" applyFill="0" applyBorder="0" applyProtection="0">
      <alignment horizontal="right" vertical="center"/>
    </xf>
    <xf numFmtId="49" fontId="33" fillId="0" borderId="179" applyNumberFormat="0" applyFill="0" applyBorder="0" applyProtection="0">
      <alignment horizontal="left" vertical="center"/>
    </xf>
    <xf numFmtId="0" fontId="34" fillId="0" borderId="179" applyNumberFormat="0" applyFill="0" applyAlignment="0" applyProtection="0"/>
    <xf numFmtId="173" fontId="34" fillId="60" borderId="179" applyNumberFormat="0" applyFont="0" applyBorder="0" applyAlignment="0" applyProtection="0">
      <alignment horizontal="right" vertical="center"/>
    </xf>
    <xf numFmtId="0" fontId="34" fillId="33" borderId="179"/>
    <xf numFmtId="4" fontId="34" fillId="33" borderId="179"/>
    <xf numFmtId="4" fontId="32" fillId="34" borderId="179">
      <alignment horizontal="right" vertical="center"/>
    </xf>
    <xf numFmtId="0" fontId="34" fillId="33" borderId="179"/>
    <xf numFmtId="0" fontId="45" fillId="56" borderId="176" applyNumberFormat="0" applyAlignment="0" applyProtection="0"/>
    <xf numFmtId="0" fontId="32" fillId="32" borderId="179">
      <alignment horizontal="right" vertical="center"/>
    </xf>
    <xf numFmtId="0" fontId="34" fillId="0" borderId="179">
      <alignment horizontal="right" vertical="center"/>
    </xf>
    <xf numFmtId="0" fontId="65" fillId="0" borderId="177" applyNumberFormat="0" applyFill="0" applyAlignment="0" applyProtection="0"/>
    <xf numFmtId="0" fontId="34" fillId="32" borderId="180">
      <alignment horizontal="left" vertical="center"/>
    </xf>
    <xf numFmtId="0" fontId="58" fillId="43" borderId="176" applyNumberFormat="0" applyAlignment="0" applyProtection="0"/>
    <xf numFmtId="173" fontId="34" fillId="60" borderId="179" applyNumberFormat="0" applyFont="0" applyBorder="0" applyAlignment="0" applyProtection="0">
      <alignment horizontal="right" vertical="center"/>
    </xf>
    <xf numFmtId="0" fontId="40" fillId="59" borderId="178" applyNumberFormat="0" applyFont="0" applyAlignment="0" applyProtection="0"/>
    <xf numFmtId="0" fontId="34" fillId="0" borderId="182">
      <alignment horizontal="left" vertical="center" wrapText="1" indent="2"/>
    </xf>
    <xf numFmtId="4" fontId="34" fillId="33" borderId="179"/>
    <xf numFmtId="49" fontId="33" fillId="0" borderId="179" applyNumberFormat="0" applyFill="0" applyBorder="0" applyProtection="0">
      <alignment horizontal="left" vertical="center"/>
    </xf>
    <xf numFmtId="0" fontId="34" fillId="0" borderId="179">
      <alignment horizontal="right" vertical="center"/>
    </xf>
    <xf numFmtId="4" fontId="32" fillId="34" borderId="181">
      <alignment horizontal="right" vertical="center"/>
    </xf>
    <xf numFmtId="4" fontId="32" fillId="34" borderId="179">
      <alignment horizontal="right" vertical="center"/>
    </xf>
    <xf numFmtId="4" fontId="32" fillId="34" borderId="179">
      <alignment horizontal="right" vertical="center"/>
    </xf>
    <xf numFmtId="0" fontId="36" fillId="32" borderId="179">
      <alignment horizontal="right" vertical="center"/>
    </xf>
    <xf numFmtId="0" fontId="32" fillId="32" borderId="179">
      <alignment horizontal="right" vertical="center"/>
    </xf>
    <xf numFmtId="49" fontId="34" fillId="0" borderId="179" applyNumberFormat="0" applyFont="0" applyFill="0" applyBorder="0" applyProtection="0">
      <alignment horizontal="left" vertical="center" indent="2"/>
    </xf>
    <xf numFmtId="0" fontId="58" fillId="43" borderId="176" applyNumberFormat="0" applyAlignment="0" applyProtection="0"/>
    <xf numFmtId="0" fontId="43" fillId="56" borderId="175" applyNumberFormat="0" applyAlignment="0" applyProtection="0"/>
    <xf numFmtId="49" fontId="34" fillId="0" borderId="179" applyNumberFormat="0" applyFont="0" applyFill="0" applyBorder="0" applyProtection="0">
      <alignment horizontal="left" vertical="center" indent="2"/>
    </xf>
    <xf numFmtId="0" fontId="49" fillId="43" borderId="176" applyNumberFormat="0" applyAlignment="0" applyProtection="0"/>
    <xf numFmtId="4" fontId="34" fillId="0" borderId="179" applyFill="0" applyBorder="0" applyProtection="0">
      <alignment horizontal="right" vertical="center"/>
    </xf>
    <xf numFmtId="0" fontId="46" fillId="56" borderId="176" applyNumberFormat="0" applyAlignment="0" applyProtection="0"/>
    <xf numFmtId="0" fontId="65" fillId="0" borderId="177" applyNumberFormat="0" applyFill="0" applyAlignment="0" applyProtection="0"/>
    <xf numFmtId="0" fontId="62" fillId="56" borderId="175" applyNumberFormat="0" applyAlignment="0" applyProtection="0"/>
    <xf numFmtId="0" fontId="34" fillId="0" borderId="179" applyNumberFormat="0" applyFill="0" applyAlignment="0" applyProtection="0"/>
    <xf numFmtId="4" fontId="34" fillId="0" borderId="179">
      <alignment horizontal="right" vertical="center"/>
    </xf>
    <xf numFmtId="0" fontId="34" fillId="0" borderId="179">
      <alignment horizontal="right" vertical="center"/>
    </xf>
    <xf numFmtId="0" fontId="58" fillId="43" borderId="176" applyNumberFormat="0" applyAlignment="0" applyProtection="0"/>
    <xf numFmtId="0" fontId="43" fillId="56" borderId="175" applyNumberFormat="0" applyAlignment="0" applyProtection="0"/>
    <xf numFmtId="0" fontId="45" fillId="56" borderId="176" applyNumberFormat="0" applyAlignment="0" applyProtection="0"/>
    <xf numFmtId="0" fontId="34" fillId="34" borderId="182">
      <alignment horizontal="left" vertical="center" wrapText="1" indent="2"/>
    </xf>
    <xf numFmtId="0" fontId="46" fillId="56" borderId="176" applyNumberFormat="0" applyAlignment="0" applyProtection="0"/>
    <xf numFmtId="0" fontId="46" fillId="56" borderId="176" applyNumberFormat="0" applyAlignment="0" applyProtection="0"/>
    <xf numFmtId="4" fontId="32" fillId="34" borderId="180">
      <alignment horizontal="right" vertical="center"/>
    </xf>
    <xf numFmtId="0" fontId="32" fillId="34" borderId="180">
      <alignment horizontal="right" vertical="center"/>
    </xf>
    <xf numFmtId="0" fontId="32" fillId="34" borderId="179">
      <alignment horizontal="right" vertical="center"/>
    </xf>
    <xf numFmtId="4" fontId="36" fillId="32" borderId="179">
      <alignment horizontal="right" vertical="center"/>
    </xf>
    <xf numFmtId="0" fontId="49" fillId="43" borderId="176" applyNumberFormat="0" applyAlignment="0" applyProtection="0"/>
    <xf numFmtId="0" fontId="50" fillId="0" borderId="177" applyNumberFormat="0" applyFill="0" applyAlignment="0" applyProtection="0"/>
    <xf numFmtId="0" fontId="65" fillId="0" borderId="177" applyNumberFormat="0" applyFill="0" applyAlignment="0" applyProtection="0"/>
    <xf numFmtId="0" fontId="40" fillId="59" borderId="178" applyNumberFormat="0" applyFont="0" applyAlignment="0" applyProtection="0"/>
    <xf numFmtId="0" fontId="58" fillId="43" borderId="176" applyNumberFormat="0" applyAlignment="0" applyProtection="0"/>
    <xf numFmtId="49" fontId="33" fillId="0" borderId="179" applyNumberFormat="0" applyFill="0" applyBorder="0" applyProtection="0">
      <alignment horizontal="left" vertical="center"/>
    </xf>
    <xf numFmtId="0" fontId="34" fillId="34" borderId="182">
      <alignment horizontal="left" vertical="center" wrapText="1" indent="2"/>
    </xf>
    <xf numFmtId="0" fontId="46" fillId="56" borderId="176" applyNumberFormat="0" applyAlignment="0" applyProtection="0"/>
    <xf numFmtId="0" fontId="34" fillId="0" borderId="182">
      <alignment horizontal="left" vertical="center" wrapText="1" indent="2"/>
    </xf>
    <xf numFmtId="0" fontId="40" fillId="59" borderId="178" applyNumberFormat="0" applyFont="0" applyAlignment="0" applyProtection="0"/>
    <xf numFmtId="0" fontId="5" fillId="59" borderId="178" applyNumberFormat="0" applyFont="0" applyAlignment="0" applyProtection="0"/>
    <xf numFmtId="0" fontId="62" fillId="56" borderId="175" applyNumberFormat="0" applyAlignment="0" applyProtection="0"/>
    <xf numFmtId="0" fontId="65" fillId="0" borderId="177" applyNumberFormat="0" applyFill="0" applyAlignment="0" applyProtection="0"/>
    <xf numFmtId="4" fontId="34" fillId="33" borderId="179"/>
    <xf numFmtId="0" fontId="32" fillId="34" borderId="179">
      <alignment horizontal="right" vertical="center"/>
    </xf>
    <xf numFmtId="0" fontId="65" fillId="0" borderId="177" applyNumberFormat="0" applyFill="0" applyAlignment="0" applyProtection="0"/>
    <xf numFmtId="4" fontId="32" fillId="34" borderId="181">
      <alignment horizontal="right" vertical="center"/>
    </xf>
    <xf numFmtId="0" fontId="45" fillId="56" borderId="176" applyNumberFormat="0" applyAlignment="0" applyProtection="0"/>
    <xf numFmtId="0" fontId="32" fillId="34" borderId="180">
      <alignment horizontal="right" vertical="center"/>
    </xf>
    <xf numFmtId="0" fontId="46" fillId="56" borderId="176" applyNumberFormat="0" applyAlignment="0" applyProtection="0"/>
    <xf numFmtId="0" fontId="50" fillId="0" borderId="177" applyNumberFormat="0" applyFill="0" applyAlignment="0" applyProtection="0"/>
    <xf numFmtId="0" fontId="40" fillId="59" borderId="178" applyNumberFormat="0" applyFont="0" applyAlignment="0" applyProtection="0"/>
    <xf numFmtId="4" fontId="32" fillId="34" borderId="180">
      <alignment horizontal="right" vertical="center"/>
    </xf>
    <xf numFmtId="0" fontId="34" fillId="34" borderId="182">
      <alignment horizontal="left" vertical="center" wrapText="1" indent="2"/>
    </xf>
    <xf numFmtId="0" fontId="34" fillId="33" borderId="179"/>
    <xf numFmtId="173" fontId="34" fillId="60" borderId="179" applyNumberFormat="0" applyFont="0" applyBorder="0" applyAlignment="0" applyProtection="0">
      <alignment horizontal="right" vertical="center"/>
    </xf>
    <xf numFmtId="0" fontId="34" fillId="0" borderId="179" applyNumberFormat="0" applyFill="0" applyAlignment="0" applyProtection="0"/>
    <xf numFmtId="4" fontId="34" fillId="0" borderId="179" applyFill="0" applyBorder="0" applyProtection="0">
      <alignment horizontal="right" vertical="center"/>
    </xf>
    <xf numFmtId="4" fontId="32" fillId="32" borderId="179">
      <alignment horizontal="right" vertical="center"/>
    </xf>
    <xf numFmtId="0" fontId="50" fillId="0" borderId="177" applyNumberFormat="0" applyFill="0" applyAlignment="0" applyProtection="0"/>
    <xf numFmtId="49" fontId="33" fillId="0" borderId="179" applyNumberFormat="0" applyFill="0" applyBorder="0" applyProtection="0">
      <alignment horizontal="left" vertical="center"/>
    </xf>
    <xf numFmtId="49" fontId="34" fillId="0" borderId="180" applyNumberFormat="0" applyFont="0" applyFill="0" applyBorder="0" applyProtection="0">
      <alignment horizontal="left" vertical="center" indent="5"/>
    </xf>
    <xf numFmtId="0" fontId="34" fillId="32" borderId="180">
      <alignment horizontal="left" vertical="center"/>
    </xf>
    <xf numFmtId="0" fontId="46" fillId="56" borderId="176" applyNumberFormat="0" applyAlignment="0" applyProtection="0"/>
    <xf numFmtId="4" fontId="32" fillId="34" borderId="181">
      <alignment horizontal="right" vertical="center"/>
    </xf>
    <xf numFmtId="0" fontId="58" fillId="43" borderId="176" applyNumberFormat="0" applyAlignment="0" applyProtection="0"/>
    <xf numFmtId="0" fontId="58" fillId="43" borderId="176" applyNumberFormat="0" applyAlignment="0" applyProtection="0"/>
    <xf numFmtId="0" fontId="40" fillId="59" borderId="178" applyNumberFormat="0" applyFont="0" applyAlignment="0" applyProtection="0"/>
    <xf numFmtId="0" fontId="62" fillId="56" borderId="175" applyNumberFormat="0" applyAlignment="0" applyProtection="0"/>
    <xf numFmtId="0" fontId="65" fillId="0" borderId="177" applyNumberFormat="0" applyFill="0" applyAlignment="0" applyProtection="0"/>
    <xf numFmtId="0" fontId="32" fillId="34" borderId="179">
      <alignment horizontal="right" vertical="center"/>
    </xf>
    <xf numFmtId="0" fontId="5" fillId="59" borderId="178" applyNumberFormat="0" applyFont="0" applyAlignment="0" applyProtection="0"/>
    <xf numFmtId="4" fontId="34" fillId="0" borderId="179">
      <alignment horizontal="right" vertical="center"/>
    </xf>
    <xf numFmtId="0" fontId="65" fillId="0" borderId="177" applyNumberFormat="0" applyFill="0" applyAlignment="0" applyProtection="0"/>
    <xf numFmtId="0" fontId="32" fillId="34" borderId="179">
      <alignment horizontal="right" vertical="center"/>
    </xf>
    <xf numFmtId="0" fontId="32" fillId="34" borderId="179">
      <alignment horizontal="right" vertical="center"/>
    </xf>
    <xf numFmtId="4" fontId="36" fillId="32" borderId="179">
      <alignment horizontal="right" vertical="center"/>
    </xf>
    <xf numFmtId="0" fontId="32" fillId="32" borderId="179">
      <alignment horizontal="right" vertical="center"/>
    </xf>
    <xf numFmtId="4" fontId="32" fillId="32" borderId="179">
      <alignment horizontal="right" vertical="center"/>
    </xf>
    <xf numFmtId="0" fontId="36" fillId="32" borderId="179">
      <alignment horizontal="right" vertical="center"/>
    </xf>
    <xf numFmtId="4" fontId="36" fillId="32" borderId="179">
      <alignment horizontal="right" vertical="center"/>
    </xf>
    <xf numFmtId="0" fontId="32" fillId="34" borderId="179">
      <alignment horizontal="right" vertical="center"/>
    </xf>
    <xf numFmtId="4" fontId="32" fillId="34" borderId="179">
      <alignment horizontal="right" vertical="center"/>
    </xf>
    <xf numFmtId="0" fontId="32" fillId="34" borderId="179">
      <alignment horizontal="right" vertical="center"/>
    </xf>
    <xf numFmtId="4" fontId="32" fillId="34" borderId="179">
      <alignment horizontal="right" vertical="center"/>
    </xf>
    <xf numFmtId="0" fontId="32" fillId="34" borderId="180">
      <alignment horizontal="right" vertical="center"/>
    </xf>
    <xf numFmtId="4" fontId="32" fillId="34" borderId="180">
      <alignment horizontal="right" vertical="center"/>
    </xf>
    <xf numFmtId="0" fontId="32" fillId="34" borderId="181">
      <alignment horizontal="right" vertical="center"/>
    </xf>
    <xf numFmtId="4" fontId="32" fillId="34" borderId="181">
      <alignment horizontal="right" vertical="center"/>
    </xf>
    <xf numFmtId="0" fontId="46" fillId="56" borderId="176" applyNumberFormat="0" applyAlignment="0" applyProtection="0"/>
    <xf numFmtId="0" fontId="34" fillId="34" borderId="182">
      <alignment horizontal="left" vertical="center" wrapText="1" indent="2"/>
    </xf>
    <xf numFmtId="0" fontId="34" fillId="0" borderId="182">
      <alignment horizontal="left" vertical="center" wrapText="1" indent="2"/>
    </xf>
    <xf numFmtId="0" fontId="34" fillId="32" borderId="180">
      <alignment horizontal="left" vertical="center"/>
    </xf>
    <xf numFmtId="0" fontId="58" fillId="43" borderId="176" applyNumberFormat="0" applyAlignment="0" applyProtection="0"/>
    <xf numFmtId="0" fontId="34" fillId="0" borderId="179">
      <alignment horizontal="right" vertical="center"/>
    </xf>
    <xf numFmtId="4" fontId="34" fillId="0" borderId="179">
      <alignment horizontal="right" vertical="center"/>
    </xf>
    <xf numFmtId="0" fontId="34" fillId="0" borderId="179" applyNumberFormat="0" applyFill="0" applyAlignment="0" applyProtection="0"/>
    <xf numFmtId="0" fontId="62" fillId="56" borderId="175" applyNumberFormat="0" applyAlignment="0" applyProtection="0"/>
    <xf numFmtId="173" fontId="34" fillId="60" borderId="179" applyNumberFormat="0" applyFont="0" applyBorder="0" applyAlignment="0" applyProtection="0">
      <alignment horizontal="right" vertical="center"/>
    </xf>
    <xf numFmtId="0" fontId="34" fillId="33" borderId="179"/>
    <xf numFmtId="4" fontId="34" fillId="33" borderId="179"/>
    <xf numFmtId="0" fontId="65" fillId="0" borderId="177" applyNumberFormat="0" applyFill="0" applyAlignment="0" applyProtection="0"/>
    <xf numFmtId="0" fontId="5" fillId="59" borderId="178" applyNumberFormat="0" applyFont="0" applyAlignment="0" applyProtection="0"/>
    <xf numFmtId="0" fontId="40" fillId="59" borderId="178" applyNumberFormat="0" applyFont="0" applyAlignment="0" applyProtection="0"/>
    <xf numFmtId="0" fontId="34" fillId="0" borderId="179" applyNumberFormat="0" applyFill="0" applyAlignment="0" applyProtection="0"/>
    <xf numFmtId="0" fontId="50" fillId="0" borderId="177" applyNumberFormat="0" applyFill="0" applyAlignment="0" applyProtection="0"/>
    <xf numFmtId="0" fontId="65" fillId="0" borderId="177" applyNumberFormat="0" applyFill="0" applyAlignment="0" applyProtection="0"/>
    <xf numFmtId="0" fontId="49" fillId="43" borderId="176" applyNumberFormat="0" applyAlignment="0" applyProtection="0"/>
    <xf numFmtId="0" fontId="46" fillId="56" borderId="176" applyNumberFormat="0" applyAlignment="0" applyProtection="0"/>
    <xf numFmtId="4" fontId="36" fillId="32" borderId="179">
      <alignment horizontal="right" vertical="center"/>
    </xf>
    <xf numFmtId="0" fontId="32" fillId="32" borderId="179">
      <alignment horizontal="right" vertical="center"/>
    </xf>
    <xf numFmtId="173" fontId="34" fillId="60" borderId="179" applyNumberFormat="0" applyFont="0" applyBorder="0" applyAlignment="0" applyProtection="0">
      <alignment horizontal="right" vertical="center"/>
    </xf>
    <xf numFmtId="0" fontId="50" fillId="0" borderId="177" applyNumberFormat="0" applyFill="0" applyAlignment="0" applyProtection="0"/>
    <xf numFmtId="49" fontId="34" fillId="0" borderId="179" applyNumberFormat="0" applyFont="0" applyFill="0" applyBorder="0" applyProtection="0">
      <alignment horizontal="left" vertical="center" indent="2"/>
    </xf>
    <xf numFmtId="49" fontId="34" fillId="0" borderId="180" applyNumberFormat="0" applyFont="0" applyFill="0" applyBorder="0" applyProtection="0">
      <alignment horizontal="left" vertical="center" indent="5"/>
    </xf>
    <xf numFmtId="49" fontId="34" fillId="0" borderId="179" applyNumberFormat="0" applyFont="0" applyFill="0" applyBorder="0" applyProtection="0">
      <alignment horizontal="left" vertical="center" indent="2"/>
    </xf>
    <xf numFmtId="4" fontId="34" fillId="0" borderId="179" applyFill="0" applyBorder="0" applyProtection="0">
      <alignment horizontal="right" vertical="center"/>
    </xf>
    <xf numFmtId="49" fontId="33" fillId="0" borderId="179" applyNumberFormat="0" applyFill="0" applyBorder="0" applyProtection="0">
      <alignment horizontal="left" vertical="center"/>
    </xf>
    <xf numFmtId="0" fontId="34" fillId="0" borderId="182">
      <alignment horizontal="left" vertical="center" wrapText="1" indent="2"/>
    </xf>
    <xf numFmtId="0" fontId="62" fillId="56" borderId="175" applyNumberFormat="0" applyAlignment="0" applyProtection="0"/>
    <xf numFmtId="0" fontId="32" fillId="34" borderId="181">
      <alignment horizontal="right" vertical="center"/>
    </xf>
    <xf numFmtId="0" fontId="49" fillId="43" borderId="176" applyNumberFormat="0" applyAlignment="0" applyProtection="0"/>
    <xf numFmtId="0" fontId="32" fillId="34" borderId="181">
      <alignment horizontal="right" vertical="center"/>
    </xf>
    <xf numFmtId="4" fontId="32" fillId="34" borderId="179">
      <alignment horizontal="right" vertical="center"/>
    </xf>
    <xf numFmtId="0" fontId="32" fillId="34" borderId="179">
      <alignment horizontal="right" vertical="center"/>
    </xf>
    <xf numFmtId="0" fontId="43" fillId="56" borderId="175" applyNumberFormat="0" applyAlignment="0" applyProtection="0"/>
    <xf numFmtId="0" fontId="45" fillId="56" borderId="176" applyNumberFormat="0" applyAlignment="0" applyProtection="0"/>
    <xf numFmtId="0" fontId="50" fillId="0" borderId="177" applyNumberFormat="0" applyFill="0" applyAlignment="0" applyProtection="0"/>
    <xf numFmtId="0" fontId="34" fillId="33" borderId="179"/>
    <xf numFmtId="4" fontId="34" fillId="33" borderId="179"/>
    <xf numFmtId="4" fontId="32" fillId="34" borderId="179">
      <alignment horizontal="right" vertical="center"/>
    </xf>
    <xf numFmtId="0" fontId="36" fillId="32" borderId="179">
      <alignment horizontal="right" vertical="center"/>
    </xf>
    <xf numFmtId="0" fontId="49" fillId="43" borderId="176" applyNumberFormat="0" applyAlignment="0" applyProtection="0"/>
    <xf numFmtId="0" fontId="46" fillId="56" borderId="176" applyNumberFormat="0" applyAlignment="0" applyProtection="0"/>
    <xf numFmtId="4" fontId="34" fillId="0" borderId="179">
      <alignment horizontal="right" vertical="center"/>
    </xf>
    <xf numFmtId="0" fontId="34" fillId="34" borderId="182">
      <alignment horizontal="left" vertical="center" wrapText="1" indent="2"/>
    </xf>
    <xf numFmtId="0" fontId="34" fillId="0" borderId="182">
      <alignment horizontal="left" vertical="center" wrapText="1" indent="2"/>
    </xf>
    <xf numFmtId="0" fontId="62" fillId="56" borderId="175" applyNumberFormat="0" applyAlignment="0" applyProtection="0"/>
    <xf numFmtId="0" fontId="58" fillId="43" borderId="176" applyNumberFormat="0" applyAlignment="0" applyProtection="0"/>
    <xf numFmtId="0" fontId="45" fillId="56" borderId="176" applyNumberFormat="0" applyAlignment="0" applyProtection="0"/>
    <xf numFmtId="0" fontId="43" fillId="56" borderId="175" applyNumberFormat="0" applyAlignment="0" applyProtection="0"/>
    <xf numFmtId="0" fontId="32" fillId="34" borderId="181">
      <alignment horizontal="right" vertical="center"/>
    </xf>
    <xf numFmtId="0" fontId="36" fillId="32" borderId="179">
      <alignment horizontal="right" vertical="center"/>
    </xf>
    <xf numFmtId="4" fontId="32" fillId="32" borderId="179">
      <alignment horizontal="right" vertical="center"/>
    </xf>
    <xf numFmtId="4" fontId="32" fillId="34" borderId="179">
      <alignment horizontal="right" vertical="center"/>
    </xf>
    <xf numFmtId="49" fontId="34" fillId="0" borderId="180" applyNumberFormat="0" applyFont="0" applyFill="0" applyBorder="0" applyProtection="0">
      <alignment horizontal="left" vertical="center" indent="5"/>
    </xf>
    <xf numFmtId="4" fontId="34" fillId="0" borderId="179" applyFill="0" applyBorder="0" applyProtection="0">
      <alignment horizontal="right" vertical="center"/>
    </xf>
    <xf numFmtId="4" fontId="32" fillId="32" borderId="179">
      <alignment horizontal="right" vertical="center"/>
    </xf>
    <xf numFmtId="0" fontId="58" fillId="43" borderId="176" applyNumberFormat="0" applyAlignment="0" applyProtection="0"/>
    <xf numFmtId="0" fontId="49" fillId="43" borderId="176" applyNumberFormat="0" applyAlignment="0" applyProtection="0"/>
    <xf numFmtId="0" fontId="45" fillId="56" borderId="176" applyNumberFormat="0" applyAlignment="0" applyProtection="0"/>
    <xf numFmtId="0" fontId="34" fillId="34" borderId="182">
      <alignment horizontal="left" vertical="center" wrapText="1" indent="2"/>
    </xf>
    <xf numFmtId="0" fontId="34" fillId="0" borderId="182">
      <alignment horizontal="left" vertical="center" wrapText="1" indent="2"/>
    </xf>
    <xf numFmtId="0" fontId="34" fillId="34" borderId="182">
      <alignment horizontal="left" vertical="center" wrapText="1" indent="2"/>
    </xf>
    <xf numFmtId="4" fontId="34" fillId="33" borderId="187"/>
    <xf numFmtId="0" fontId="1" fillId="0" borderId="0" applyNumberFormat="0" applyFill="0" applyBorder="0" applyAlignment="0" applyProtection="0"/>
    <xf numFmtId="0" fontId="26" fillId="26" borderId="0" applyNumberFormat="0" applyBorder="0" applyAlignment="0" applyProtection="0"/>
    <xf numFmtId="0" fontId="62" fillId="56" borderId="196" applyNumberFormat="0" applyAlignment="0" applyProtection="0"/>
    <xf numFmtId="0" fontId="34" fillId="34" borderId="195">
      <alignment horizontal="left" vertical="center" wrapText="1" indent="2"/>
    </xf>
    <xf numFmtId="0" fontId="40" fillId="59" borderId="191" applyNumberFormat="0" applyFont="0" applyAlignment="0" applyProtection="0"/>
    <xf numFmtId="0" fontId="34" fillId="32" borderId="188">
      <alignment horizontal="left" vertical="center"/>
    </xf>
    <xf numFmtId="0" fontId="65" fillId="0" borderId="198" applyNumberFormat="0" applyFill="0" applyAlignment="0" applyProtection="0"/>
    <xf numFmtId="0" fontId="40" fillId="59" borderId="186" applyNumberFormat="0" applyFont="0" applyAlignment="0" applyProtection="0"/>
    <xf numFmtId="4" fontId="34" fillId="0" borderId="200">
      <alignment horizontal="right" vertical="center"/>
    </xf>
    <xf numFmtId="0" fontId="40" fillId="59" borderId="191" applyNumberFormat="0" applyFont="0" applyAlignment="0" applyProtection="0"/>
    <xf numFmtId="0" fontId="32" fillId="34" borderId="200">
      <alignment horizontal="right" vertical="center"/>
    </xf>
    <xf numFmtId="0" fontId="26" fillId="26" borderId="0" applyNumberFormat="0" applyBorder="0" applyAlignment="0" applyProtection="0"/>
    <xf numFmtId="0" fontId="26" fillId="17" borderId="0" applyNumberFormat="0" applyBorder="0" applyAlignment="0" applyProtection="0"/>
    <xf numFmtId="4" fontId="34" fillId="0" borderId="200" applyFill="0" applyBorder="0" applyProtection="0">
      <alignment horizontal="right" vertical="center"/>
    </xf>
    <xf numFmtId="0" fontId="34" fillId="0" borderId="192" applyNumberFormat="0" applyFill="0" applyAlignment="0" applyProtection="0"/>
    <xf numFmtId="0" fontId="26" fillId="29" borderId="0" applyNumberFormat="0" applyBorder="0" applyAlignment="0" applyProtection="0"/>
    <xf numFmtId="0" fontId="32" fillId="34" borderId="192">
      <alignment horizontal="right" vertical="center"/>
    </xf>
    <xf numFmtId="0" fontId="34" fillId="34" borderId="190">
      <alignment horizontal="left" vertical="center" wrapText="1" indent="2"/>
    </xf>
    <xf numFmtId="0" fontId="62" fillId="56" borderId="183" applyNumberFormat="0" applyAlignment="0" applyProtection="0"/>
    <xf numFmtId="4" fontId="34" fillId="33" borderId="187"/>
    <xf numFmtId="0" fontId="65" fillId="0" borderId="185" applyNumberFormat="0" applyFill="0" applyAlignment="0" applyProtection="0"/>
    <xf numFmtId="173" fontId="34" fillId="60" borderId="187" applyNumberFormat="0" applyFont="0" applyBorder="0" applyAlignment="0" applyProtection="0">
      <alignment horizontal="right" vertical="center"/>
    </xf>
    <xf numFmtId="0" fontId="34" fillId="0" borderId="187">
      <alignment horizontal="right" vertical="center"/>
    </xf>
    <xf numFmtId="4" fontId="34" fillId="0" borderId="187">
      <alignment horizontal="right" vertical="center"/>
    </xf>
    <xf numFmtId="0" fontId="62" fillId="56" borderId="196" applyNumberFormat="0" applyAlignment="0" applyProtection="0"/>
    <xf numFmtId="0" fontId="34" fillId="0" borderId="190">
      <alignment horizontal="left" vertical="center" wrapText="1" indent="2"/>
    </xf>
    <xf numFmtId="4" fontId="32" fillId="34" borderId="187">
      <alignment horizontal="right" vertical="center"/>
    </xf>
    <xf numFmtId="0" fontId="32" fillId="34" borderId="188">
      <alignment horizontal="right" vertical="center"/>
    </xf>
    <xf numFmtId="4" fontId="32" fillId="34" borderId="188">
      <alignment horizontal="right" vertical="center"/>
    </xf>
    <xf numFmtId="0" fontId="32" fillId="34" borderId="187">
      <alignment horizontal="right" vertical="center"/>
    </xf>
    <xf numFmtId="4" fontId="32" fillId="32" borderId="187">
      <alignment horizontal="right" vertical="center"/>
    </xf>
    <xf numFmtId="0" fontId="36" fillId="32" borderId="187">
      <alignment horizontal="right" vertical="center"/>
    </xf>
    <xf numFmtId="0" fontId="34" fillId="0" borderId="195">
      <alignment horizontal="left" vertical="center" wrapText="1" indent="2"/>
    </xf>
    <xf numFmtId="0" fontId="58" fillId="43" borderId="197" applyNumberFormat="0" applyAlignment="0" applyProtection="0"/>
    <xf numFmtId="0" fontId="46" fillId="56" borderId="197" applyNumberFormat="0" applyAlignment="0" applyProtection="0"/>
    <xf numFmtId="4" fontId="36" fillId="32" borderId="192">
      <alignment horizontal="right" vertical="center"/>
    </xf>
    <xf numFmtId="173" fontId="34" fillId="60" borderId="192" applyNumberFormat="0" applyFont="0" applyBorder="0" applyAlignment="0" applyProtection="0">
      <alignment horizontal="right" vertical="center"/>
    </xf>
    <xf numFmtId="49" fontId="33" fillId="0" borderId="200" applyNumberFormat="0" applyFill="0" applyBorder="0" applyProtection="0">
      <alignment horizontal="left" vertical="center"/>
    </xf>
    <xf numFmtId="4" fontId="34" fillId="0" borderId="200" applyFill="0" applyBorder="0" applyProtection="0">
      <alignment horizontal="right" vertical="center"/>
    </xf>
    <xf numFmtId="4" fontId="34" fillId="33" borderId="192"/>
    <xf numFmtId="0" fontId="65" fillId="0" borderId="185" applyNumberFormat="0" applyFill="0" applyAlignment="0" applyProtection="0"/>
    <xf numFmtId="0" fontId="26" fillId="15" borderId="0" applyNumberFormat="0" applyBorder="0" applyAlignment="0" applyProtection="0"/>
    <xf numFmtId="0" fontId="62" fillId="56" borderId="183" applyNumberFormat="0" applyAlignment="0" applyProtection="0"/>
    <xf numFmtId="0" fontId="26" fillId="17" borderId="0" applyNumberFormat="0" applyBorder="0" applyAlignment="0" applyProtection="0"/>
    <xf numFmtId="0" fontId="32" fillId="34" borderId="201">
      <alignment horizontal="right" vertical="center"/>
    </xf>
    <xf numFmtId="0" fontId="34" fillId="0" borderId="200" applyNumberFormat="0" applyFill="0" applyAlignment="0" applyProtection="0"/>
    <xf numFmtId="0" fontId="49" fillId="43" borderId="205" applyNumberFormat="0" applyAlignment="0" applyProtection="0"/>
    <xf numFmtId="0" fontId="32" fillId="34" borderId="200">
      <alignment horizontal="right" vertical="center"/>
    </xf>
    <xf numFmtId="4" fontId="32" fillId="34" borderId="192">
      <alignment horizontal="right" vertical="center"/>
    </xf>
    <xf numFmtId="4" fontId="34" fillId="0" borderId="192">
      <alignment horizontal="right" vertical="center"/>
    </xf>
    <xf numFmtId="0" fontId="32" fillId="34" borderId="193">
      <alignment horizontal="right" vertical="center"/>
    </xf>
    <xf numFmtId="0" fontId="65" fillId="0" borderId="209" applyNumberFormat="0" applyFill="0" applyAlignment="0" applyProtection="0"/>
    <xf numFmtId="0" fontId="32" fillId="34" borderId="202">
      <alignment horizontal="right" vertical="center"/>
    </xf>
    <xf numFmtId="4" fontId="32" fillId="34" borderId="192">
      <alignment horizontal="right" vertical="center"/>
    </xf>
    <xf numFmtId="0" fontId="26" fillId="21" borderId="0" applyNumberFormat="0" applyBorder="0" applyAlignment="0" applyProtection="0"/>
    <xf numFmtId="0" fontId="32" fillId="34" borderId="194">
      <alignment horizontal="right" vertical="center"/>
    </xf>
    <xf numFmtId="49" fontId="34" fillId="0" borderId="193" applyNumberFormat="0" applyFont="0" applyFill="0" applyBorder="0" applyProtection="0">
      <alignment horizontal="left" vertical="center" indent="5"/>
    </xf>
    <xf numFmtId="0" fontId="65" fillId="0" borderId="198" applyNumberFormat="0" applyFill="0" applyAlignment="0" applyProtection="0"/>
    <xf numFmtId="4" fontId="32" fillId="34" borderId="202">
      <alignment horizontal="right" vertical="center"/>
    </xf>
    <xf numFmtId="0" fontId="2" fillId="0" borderId="15" applyNumberFormat="0" applyFill="0" applyAlignment="0" applyProtection="0"/>
    <xf numFmtId="0" fontId="26" fillId="17" borderId="0" applyNumberFormat="0" applyBorder="0" applyAlignment="0" applyProtection="0"/>
    <xf numFmtId="4" fontId="32" fillId="32" borderId="200">
      <alignment horizontal="right" vertical="center"/>
    </xf>
    <xf numFmtId="0" fontId="45" fillId="56" borderId="205" applyNumberFormat="0" applyAlignment="0" applyProtection="0"/>
    <xf numFmtId="4" fontId="32" fillId="34" borderId="213">
      <alignment horizontal="right" vertical="center"/>
    </xf>
    <xf numFmtId="0" fontId="43" fillId="56" borderId="196" applyNumberFormat="0" applyAlignment="0" applyProtection="0"/>
    <xf numFmtId="4" fontId="32" fillId="34" borderId="194">
      <alignment horizontal="right" vertical="center"/>
    </xf>
    <xf numFmtId="0" fontId="40" fillId="59" borderId="210" applyNumberFormat="0" applyFont="0" applyAlignment="0" applyProtection="0"/>
    <xf numFmtId="0" fontId="26" fillId="15" borderId="0" applyNumberFormat="0" applyBorder="0" applyAlignment="0" applyProtection="0"/>
    <xf numFmtId="0" fontId="50" fillId="0" borderId="198" applyNumberFormat="0" applyFill="0" applyAlignment="0" applyProtection="0"/>
    <xf numFmtId="0" fontId="34" fillId="32" borderId="193">
      <alignment horizontal="left" vertical="center"/>
    </xf>
    <xf numFmtId="0" fontId="58" fillId="43" borderId="205" applyNumberFormat="0" applyAlignment="0" applyProtection="0"/>
    <xf numFmtId="0" fontId="65" fillId="0" borderId="185" applyNumberFormat="0" applyFill="0" applyAlignment="0" applyProtection="0"/>
    <xf numFmtId="0" fontId="40" fillId="59" borderId="186" applyNumberFormat="0" applyFont="0" applyAlignment="0" applyProtection="0"/>
    <xf numFmtId="4" fontId="32" fillId="34" borderId="192">
      <alignment horizontal="right" vertical="center"/>
    </xf>
    <xf numFmtId="0" fontId="26" fillId="18" borderId="0" applyNumberFormat="0" applyBorder="0" applyAlignment="0" applyProtection="0"/>
    <xf numFmtId="0" fontId="5" fillId="59" borderId="186" applyNumberFormat="0" applyFont="0" applyAlignment="0" applyProtection="0"/>
    <xf numFmtId="0" fontId="32" fillId="34" borderId="212">
      <alignment horizontal="right" vertical="center"/>
    </xf>
    <xf numFmtId="0" fontId="43" fillId="56" borderId="204" applyNumberFormat="0" applyAlignment="0" applyProtection="0"/>
    <xf numFmtId="0" fontId="2" fillId="0" borderId="15" applyNumberFormat="0" applyFill="0" applyAlignment="0" applyProtection="0"/>
    <xf numFmtId="0" fontId="26" fillId="18" borderId="0" applyNumberFormat="0" applyBorder="0" applyAlignment="0" applyProtection="0"/>
    <xf numFmtId="4" fontId="32" fillId="34" borderId="200">
      <alignment horizontal="right" vertical="center"/>
    </xf>
    <xf numFmtId="0" fontId="50" fillId="0" borderId="198" applyNumberFormat="0" applyFill="0" applyAlignment="0" applyProtection="0"/>
    <xf numFmtId="4" fontId="34" fillId="0" borderId="192">
      <alignment horizontal="right" vertical="center"/>
    </xf>
    <xf numFmtId="0" fontId="43" fillId="56" borderId="196" applyNumberFormat="0" applyAlignment="0" applyProtection="0"/>
    <xf numFmtId="0" fontId="26" fillId="24" borderId="0" applyNumberFormat="0" applyBorder="0" applyAlignment="0" applyProtection="0"/>
    <xf numFmtId="0" fontId="58" fillId="43" borderId="184" applyNumberFormat="0" applyAlignment="0" applyProtection="0"/>
    <xf numFmtId="0" fontId="34" fillId="34" borderId="190">
      <alignment horizontal="left" vertical="center" wrapText="1" indent="2"/>
    </xf>
    <xf numFmtId="4" fontId="36" fillId="32" borderId="187">
      <alignment horizontal="right" vertical="center"/>
    </xf>
    <xf numFmtId="49" fontId="34" fillId="0" borderId="192" applyNumberFormat="0" applyFont="0" applyFill="0" applyBorder="0" applyProtection="0">
      <alignment horizontal="left" vertical="center" indent="2"/>
    </xf>
    <xf numFmtId="0" fontId="62" fillId="56" borderId="204" applyNumberFormat="0" applyAlignment="0" applyProtection="0"/>
    <xf numFmtId="0" fontId="12" fillId="19" borderId="0" applyNumberFormat="0" applyBorder="0" applyAlignment="0" applyProtection="0"/>
    <xf numFmtId="0" fontId="26" fillId="21" borderId="0" applyNumberFormat="0" applyBorder="0" applyAlignment="0" applyProtection="0"/>
    <xf numFmtId="0" fontId="34" fillId="0" borderId="195">
      <alignment horizontal="left" vertical="center" wrapText="1" indent="2"/>
    </xf>
    <xf numFmtId="0" fontId="2" fillId="0" borderId="15" applyNumberFormat="0" applyFill="0" applyAlignment="0" applyProtection="0"/>
    <xf numFmtId="0" fontId="12" fillId="31" borderId="0" applyNumberFormat="0" applyBorder="0" applyAlignment="0" applyProtection="0"/>
    <xf numFmtId="0" fontId="49" fillId="43" borderId="197" applyNumberFormat="0" applyAlignment="0" applyProtection="0"/>
    <xf numFmtId="4" fontId="36" fillId="32" borderId="187">
      <alignment horizontal="right" vertical="center"/>
    </xf>
    <xf numFmtId="4" fontId="32" fillId="32" borderId="187">
      <alignment horizontal="right" vertical="center"/>
    </xf>
    <xf numFmtId="0" fontId="34" fillId="0" borderId="190">
      <alignment horizontal="left" vertical="center" wrapText="1" indent="2"/>
    </xf>
    <xf numFmtId="0" fontId="62" fillId="56" borderId="183" applyNumberFormat="0" applyAlignment="0" applyProtection="0"/>
    <xf numFmtId="0" fontId="34" fillId="0" borderId="187">
      <alignment horizontal="right" vertical="center"/>
    </xf>
    <xf numFmtId="0" fontId="65" fillId="0" borderId="185" applyNumberFormat="0" applyFill="0" applyAlignment="0" applyProtection="0"/>
    <xf numFmtId="49" fontId="33" fillId="0" borderId="187" applyNumberFormat="0" applyFill="0" applyBorder="0" applyProtection="0">
      <alignment horizontal="left" vertical="center"/>
    </xf>
    <xf numFmtId="4" fontId="34" fillId="33" borderId="187"/>
    <xf numFmtId="0" fontId="58" fillId="43" borderId="184" applyNumberFormat="0" applyAlignment="0" applyProtection="0"/>
    <xf numFmtId="49" fontId="34" fillId="0" borderId="192" applyNumberFormat="0" applyFont="0" applyFill="0" applyBorder="0" applyProtection="0">
      <alignment horizontal="left" vertical="center" indent="2"/>
    </xf>
    <xf numFmtId="0" fontId="34" fillId="34" borderId="195">
      <alignment horizontal="left" vertical="center" wrapText="1" indent="2"/>
    </xf>
    <xf numFmtId="173" fontId="34" fillId="60" borderId="187" applyNumberFormat="0" applyFont="0" applyBorder="0" applyAlignment="0" applyProtection="0">
      <alignment horizontal="right" vertical="center"/>
    </xf>
    <xf numFmtId="0" fontId="50" fillId="0" borderId="209" applyNumberFormat="0" applyFill="0" applyAlignment="0" applyProtection="0"/>
    <xf numFmtId="0" fontId="46" fillId="56" borderId="184" applyNumberFormat="0" applyAlignment="0" applyProtection="0"/>
    <xf numFmtId="0" fontId="49" fillId="43" borderId="205" applyNumberFormat="0" applyAlignment="0" applyProtection="0"/>
    <xf numFmtId="0" fontId="34" fillId="34" borderId="203">
      <alignment horizontal="left" vertical="center" wrapText="1" indent="2"/>
    </xf>
    <xf numFmtId="4" fontId="36" fillId="32" borderId="192">
      <alignment horizontal="right" vertical="center"/>
    </xf>
    <xf numFmtId="0" fontId="36" fillId="32" borderId="192">
      <alignment horizontal="right" vertical="center"/>
    </xf>
    <xf numFmtId="0" fontId="58" fillId="43" borderId="184" applyNumberFormat="0" applyAlignment="0" applyProtection="0"/>
    <xf numFmtId="0" fontId="43" fillId="56" borderId="183" applyNumberFormat="0" applyAlignment="0" applyProtection="0"/>
    <xf numFmtId="0" fontId="5" fillId="59" borderId="191" applyNumberFormat="0" applyFont="0" applyAlignment="0" applyProtection="0"/>
    <xf numFmtId="49" fontId="33" fillId="0" borderId="187" applyNumberFormat="0" applyFill="0" applyBorder="0" applyProtection="0">
      <alignment horizontal="left" vertical="center"/>
    </xf>
    <xf numFmtId="0" fontId="65" fillId="0" borderId="185" applyNumberFormat="0" applyFill="0" applyAlignment="0" applyProtection="0"/>
    <xf numFmtId="0" fontId="34" fillId="0" borderId="187">
      <alignment horizontal="right" vertical="center"/>
    </xf>
    <xf numFmtId="0" fontId="32" fillId="34" borderId="188">
      <alignment horizontal="right" vertical="center"/>
    </xf>
    <xf numFmtId="0" fontId="65" fillId="0" borderId="185" applyNumberFormat="0" applyFill="0" applyAlignment="0" applyProtection="0"/>
    <xf numFmtId="49" fontId="34" fillId="0" borderId="211" applyNumberFormat="0" applyFont="0" applyFill="0" applyBorder="0" applyProtection="0">
      <alignment horizontal="left" vertical="center" indent="2"/>
    </xf>
    <xf numFmtId="0" fontId="49" fillId="43" borderId="208" applyNumberFormat="0" applyAlignment="0" applyProtection="0"/>
    <xf numFmtId="4" fontId="32" fillId="34" borderId="202">
      <alignment horizontal="right" vertical="center"/>
    </xf>
    <xf numFmtId="0" fontId="26" fillId="21" borderId="0" applyNumberFormat="0" applyBorder="0" applyAlignment="0" applyProtection="0"/>
    <xf numFmtId="0" fontId="46" fillId="56" borderId="208" applyNumberFormat="0" applyAlignment="0" applyProtection="0"/>
    <xf numFmtId="0" fontId="58" fillId="43" borderId="205" applyNumberFormat="0" applyAlignment="0" applyProtection="0"/>
    <xf numFmtId="0" fontId="32" fillId="34" borderId="211">
      <alignment horizontal="right" vertical="center"/>
    </xf>
    <xf numFmtId="0" fontId="58" fillId="43" borderId="197" applyNumberFormat="0" applyAlignment="0" applyProtection="0"/>
    <xf numFmtId="4" fontId="34" fillId="0" borderId="187" applyFill="0" applyBorder="0" applyProtection="0">
      <alignment horizontal="right" vertical="center"/>
    </xf>
    <xf numFmtId="0" fontId="26" fillId="23" borderId="0" applyNumberFormat="0" applyBorder="0" applyAlignment="0" applyProtection="0"/>
    <xf numFmtId="0" fontId="32" fillId="34" borderId="194">
      <alignment horizontal="right" vertical="center"/>
    </xf>
    <xf numFmtId="0" fontId="26" fillId="26" borderId="0" applyNumberFormat="0" applyBorder="0" applyAlignment="0" applyProtection="0"/>
    <xf numFmtId="0" fontId="49" fillId="43" borderId="197" applyNumberFormat="0" applyAlignment="0" applyProtection="0"/>
    <xf numFmtId="0" fontId="34" fillId="0" borderId="190">
      <alignment horizontal="left" vertical="center" wrapText="1" indent="2"/>
    </xf>
    <xf numFmtId="49" fontId="33" fillId="0" borderId="192" applyNumberFormat="0" applyFill="0" applyBorder="0" applyProtection="0">
      <alignment horizontal="left" vertical="center"/>
    </xf>
    <xf numFmtId="0" fontId="65" fillId="0" borderId="185" applyNumberFormat="0" applyFill="0" applyAlignment="0" applyProtection="0"/>
    <xf numFmtId="0" fontId="43" fillId="56" borderId="183" applyNumberFormat="0" applyAlignment="0" applyProtection="0"/>
    <xf numFmtId="0" fontId="32" fillId="34" borderId="187">
      <alignment horizontal="right" vertical="center"/>
    </xf>
    <xf numFmtId="0" fontId="45" fillId="56" borderId="184" applyNumberFormat="0" applyAlignment="0" applyProtection="0"/>
    <xf numFmtId="0" fontId="32" fillId="34" borderId="192">
      <alignment horizontal="right" vertical="center"/>
    </xf>
    <xf numFmtId="0" fontId="34" fillId="32" borderId="188">
      <alignment horizontal="left" vertical="center"/>
    </xf>
    <xf numFmtId="0" fontId="34" fillId="0" borderId="195">
      <alignment horizontal="left" vertical="center" wrapText="1" indent="2"/>
    </xf>
    <xf numFmtId="4" fontId="34" fillId="33" borderId="192"/>
    <xf numFmtId="0" fontId="65" fillId="0" borderId="198" applyNumberFormat="0" applyFill="0" applyAlignment="0" applyProtection="0"/>
    <xf numFmtId="0" fontId="32" fillId="34" borderId="200">
      <alignment horizontal="right" vertical="center"/>
    </xf>
    <xf numFmtId="0" fontId="34" fillId="0" borderId="203">
      <alignment horizontal="left" vertical="center" wrapText="1" indent="2"/>
    </xf>
    <xf numFmtId="0" fontId="32" fillId="32" borderId="187">
      <alignment horizontal="right" vertical="center"/>
    </xf>
    <xf numFmtId="0" fontId="46" fillId="56" borderId="197" applyNumberFormat="0" applyAlignment="0" applyProtection="0"/>
    <xf numFmtId="4" fontId="34" fillId="0" borderId="192">
      <alignment horizontal="right" vertical="center"/>
    </xf>
    <xf numFmtId="0" fontId="50" fillId="0" borderId="185" applyNumberFormat="0" applyFill="0" applyAlignment="0" applyProtection="0"/>
    <xf numFmtId="0" fontId="34" fillId="32" borderId="201">
      <alignment horizontal="left" vertical="center"/>
    </xf>
    <xf numFmtId="0" fontId="34" fillId="0" borderId="187">
      <alignment horizontal="right" vertical="center"/>
    </xf>
    <xf numFmtId="0" fontId="5" fillId="59" borderId="186" applyNumberFormat="0" applyFont="0" applyAlignment="0" applyProtection="0"/>
    <xf numFmtId="0" fontId="12" fillId="16" borderId="0" applyNumberFormat="0" applyBorder="0" applyAlignment="0" applyProtection="0"/>
    <xf numFmtId="0" fontId="43" fillId="56" borderId="196" applyNumberFormat="0" applyAlignment="0" applyProtection="0"/>
    <xf numFmtId="0" fontId="12" fillId="31" borderId="0" applyNumberFormat="0" applyBorder="0" applyAlignment="0" applyProtection="0"/>
    <xf numFmtId="0" fontId="58" fillId="43" borderId="205" applyNumberFormat="0" applyAlignment="0" applyProtection="0"/>
    <xf numFmtId="0" fontId="58" fillId="43" borderId="184" applyNumberFormat="0" applyAlignment="0" applyProtection="0"/>
    <xf numFmtId="0" fontId="45" fillId="56" borderId="205" applyNumberFormat="0" applyAlignment="0" applyProtection="0"/>
    <xf numFmtId="49" fontId="34" fillId="0" borderId="188" applyNumberFormat="0" applyFont="0" applyFill="0" applyBorder="0" applyProtection="0">
      <alignment horizontal="left" vertical="center" indent="5"/>
    </xf>
    <xf numFmtId="4" fontId="32" fillId="34" borderId="194">
      <alignment horizontal="right" vertical="center"/>
    </xf>
    <xf numFmtId="0" fontId="34" fillId="0" borderId="187" applyNumberFormat="0" applyFill="0" applyAlignment="0" applyProtection="0"/>
    <xf numFmtId="0" fontId="50" fillId="0" borderId="185" applyNumberFormat="0" applyFill="0" applyAlignment="0" applyProtection="0"/>
    <xf numFmtId="0" fontId="62" fillId="56" borderId="183" applyNumberFormat="0" applyAlignment="0" applyProtection="0"/>
    <xf numFmtId="4" fontId="32" fillId="34" borderId="187">
      <alignment horizontal="right" vertical="center"/>
    </xf>
    <xf numFmtId="4" fontId="34" fillId="33" borderId="187"/>
    <xf numFmtId="0" fontId="65" fillId="0" borderId="185" applyNumberFormat="0" applyFill="0" applyAlignment="0" applyProtection="0"/>
    <xf numFmtId="0" fontId="32" fillId="34" borderId="194">
      <alignment horizontal="right" vertical="center"/>
    </xf>
    <xf numFmtId="0" fontId="43" fillId="56" borderId="183" applyNumberFormat="0" applyAlignment="0" applyProtection="0"/>
    <xf numFmtId="0" fontId="45" fillId="56" borderId="184" applyNumberFormat="0" applyAlignment="0" applyProtection="0"/>
    <xf numFmtId="0" fontId="46" fillId="56" borderId="184" applyNumberFormat="0" applyAlignment="0" applyProtection="0"/>
    <xf numFmtId="0" fontId="62" fillId="56" borderId="183" applyNumberFormat="0" applyAlignment="0" applyProtection="0"/>
    <xf numFmtId="0" fontId="32" fillId="34" borderId="189">
      <alignment horizontal="right" vertical="center"/>
    </xf>
    <xf numFmtId="0" fontId="34" fillId="0" borderId="187" applyNumberFormat="0" applyFill="0" applyAlignment="0" applyProtection="0"/>
    <xf numFmtId="49" fontId="34" fillId="0" borderId="188" applyNumberFormat="0" applyFont="0" applyFill="0" applyBorder="0" applyProtection="0">
      <alignment horizontal="left" vertical="center" indent="5"/>
    </xf>
    <xf numFmtId="0" fontId="65" fillId="0" borderId="185" applyNumberFormat="0" applyFill="0" applyAlignment="0" applyProtection="0"/>
    <xf numFmtId="0" fontId="34" fillId="0" borderId="187" applyNumberFormat="0" applyFill="0" applyAlignment="0" applyProtection="0"/>
    <xf numFmtId="0" fontId="36" fillId="32" borderId="192">
      <alignment horizontal="right" vertical="center"/>
    </xf>
    <xf numFmtId="4" fontId="32" fillId="34" borderId="194">
      <alignment horizontal="right" vertical="center"/>
    </xf>
    <xf numFmtId="4" fontId="34" fillId="0" borderId="200">
      <alignment horizontal="right" vertical="center"/>
    </xf>
    <xf numFmtId="0" fontId="36" fillId="32" borderId="192">
      <alignment horizontal="right" vertical="center"/>
    </xf>
    <xf numFmtId="0" fontId="26" fillId="21" borderId="0" applyNumberFormat="0" applyBorder="0" applyAlignment="0" applyProtection="0"/>
    <xf numFmtId="4" fontId="32" fillId="34" borderId="200">
      <alignment horizontal="right" vertical="center"/>
    </xf>
    <xf numFmtId="0" fontId="1" fillId="0" borderId="0" applyNumberFormat="0" applyFill="0" applyBorder="0" applyAlignment="0" applyProtection="0"/>
    <xf numFmtId="0" fontId="40" fillId="59" borderId="186" applyNumberFormat="0" applyFont="0" applyAlignment="0" applyProtection="0"/>
    <xf numFmtId="0" fontId="29" fillId="13" borderId="13" applyNumberFormat="0" applyAlignment="0" applyProtection="0"/>
    <xf numFmtId="0" fontId="28" fillId="13" borderId="14" applyNumberFormat="0" applyAlignment="0" applyProtection="0"/>
    <xf numFmtId="0" fontId="58" fillId="43" borderId="197" applyNumberFormat="0" applyAlignment="0" applyProtection="0"/>
    <xf numFmtId="4" fontId="36" fillId="32" borderId="211">
      <alignment horizontal="right" vertical="center"/>
    </xf>
    <xf numFmtId="0" fontId="5" fillId="59" borderId="210" applyNumberFormat="0" applyFont="0" applyAlignment="0" applyProtection="0"/>
    <xf numFmtId="0" fontId="34" fillId="0" borderId="203">
      <alignment horizontal="left" vertical="center" wrapText="1" indent="2"/>
    </xf>
    <xf numFmtId="4" fontId="32" fillId="34" borderId="202">
      <alignment horizontal="right" vertical="center"/>
    </xf>
    <xf numFmtId="0" fontId="5" fillId="59" borderId="191" applyNumberFormat="0" applyFont="0" applyAlignment="0" applyProtection="0"/>
    <xf numFmtId="0" fontId="34" fillId="0" borderId="190">
      <alignment horizontal="left" vertical="center" wrapText="1" indent="2"/>
    </xf>
    <xf numFmtId="0" fontId="34" fillId="33" borderId="200"/>
    <xf numFmtId="4" fontId="32" fillId="32" borderId="187">
      <alignment horizontal="right" vertical="center"/>
    </xf>
    <xf numFmtId="4" fontId="32" fillId="34" borderId="192">
      <alignment horizontal="right" vertical="center"/>
    </xf>
    <xf numFmtId="49" fontId="34" fillId="0" borderId="192" applyNumberFormat="0" applyFont="0" applyFill="0" applyBorder="0" applyProtection="0">
      <alignment horizontal="left" vertical="center" indent="2"/>
    </xf>
    <xf numFmtId="0" fontId="62" fillId="56" borderId="183" applyNumberFormat="0" applyAlignment="0" applyProtection="0"/>
    <xf numFmtId="49" fontId="34" fillId="0" borderId="188" applyNumberFormat="0" applyFont="0" applyFill="0" applyBorder="0" applyProtection="0">
      <alignment horizontal="left" vertical="center" indent="5"/>
    </xf>
    <xf numFmtId="4" fontId="34" fillId="0" borderId="187">
      <alignment horizontal="right" vertical="center"/>
    </xf>
    <xf numFmtId="0" fontId="32" fillId="34" borderId="192">
      <alignment horizontal="right" vertical="center"/>
    </xf>
    <xf numFmtId="0" fontId="32" fillId="34" borderId="194">
      <alignment horizontal="right" vertical="center"/>
    </xf>
    <xf numFmtId="4" fontId="32" fillId="34" borderId="200">
      <alignment horizontal="right" vertical="center"/>
    </xf>
    <xf numFmtId="0" fontId="26" fillId="29" borderId="0" applyNumberFormat="0" applyBorder="0" applyAlignment="0" applyProtection="0"/>
    <xf numFmtId="0" fontId="50" fillId="0" borderId="185" applyNumberFormat="0" applyFill="0" applyAlignment="0" applyProtection="0"/>
    <xf numFmtId="4" fontId="32" fillId="34" borderId="189">
      <alignment horizontal="right" vertical="center"/>
    </xf>
    <xf numFmtId="4" fontId="32" fillId="34" borderId="187">
      <alignment horizontal="right" vertical="center"/>
    </xf>
    <xf numFmtId="4" fontId="32" fillId="34" borderId="187">
      <alignment horizontal="right" vertical="center"/>
    </xf>
    <xf numFmtId="0" fontId="65" fillId="0" borderId="185" applyNumberFormat="0" applyFill="0" applyAlignment="0" applyProtection="0"/>
    <xf numFmtId="0" fontId="46" fillId="56" borderId="184" applyNumberFormat="0" applyAlignment="0" applyProtection="0"/>
    <xf numFmtId="0" fontId="49" fillId="43" borderId="184" applyNumberFormat="0" applyAlignment="0" applyProtection="0"/>
    <xf numFmtId="0" fontId="1" fillId="0" borderId="0" applyNumberFormat="0" applyFill="0" applyBorder="0" applyAlignment="0" applyProtection="0"/>
    <xf numFmtId="0" fontId="29" fillId="13" borderId="13" applyNumberFormat="0" applyAlignment="0" applyProtection="0"/>
    <xf numFmtId="49" fontId="33" fillId="0" borderId="187" applyNumberFormat="0" applyFill="0" applyBorder="0" applyProtection="0">
      <alignment horizontal="left" vertical="center"/>
    </xf>
    <xf numFmtId="0" fontId="5" fillId="59" borderId="186" applyNumberFormat="0" applyFont="0" applyAlignment="0" applyProtection="0"/>
    <xf numFmtId="0" fontId="46" fillId="56" borderId="205" applyNumberFormat="0" applyAlignment="0" applyProtection="0"/>
    <xf numFmtId="4" fontId="32" fillId="34" borderId="187">
      <alignment horizontal="right" vertical="center"/>
    </xf>
    <xf numFmtId="0" fontId="26" fillId="23" borderId="0" applyNumberFormat="0" applyBorder="0" applyAlignment="0" applyProtection="0"/>
    <xf numFmtId="4" fontId="36" fillId="32" borderId="192">
      <alignment horizontal="right" vertical="center"/>
    </xf>
    <xf numFmtId="0" fontId="43" fillId="56" borderId="196" applyNumberFormat="0" applyAlignment="0" applyProtection="0"/>
    <xf numFmtId="0" fontId="32" fillId="34" borderId="192">
      <alignment horizontal="right" vertical="center"/>
    </xf>
    <xf numFmtId="173" fontId="34" fillId="60" borderId="192" applyNumberFormat="0" applyFont="0" applyBorder="0" applyAlignment="0" applyProtection="0">
      <alignment horizontal="right" vertical="center"/>
    </xf>
    <xf numFmtId="49" fontId="34" fillId="0" borderId="187" applyNumberFormat="0" applyFont="0" applyFill="0" applyBorder="0" applyProtection="0">
      <alignment horizontal="left" vertical="center" indent="2"/>
    </xf>
    <xf numFmtId="0" fontId="65" fillId="0" borderId="185" applyNumberFormat="0" applyFill="0" applyAlignment="0" applyProtection="0"/>
    <xf numFmtId="4" fontId="34" fillId="0" borderId="187" applyFill="0" applyBorder="0" applyProtection="0">
      <alignment horizontal="right" vertical="center"/>
    </xf>
    <xf numFmtId="0" fontId="58" fillId="43" borderId="184" applyNumberFormat="0" applyAlignment="0" applyProtection="0"/>
    <xf numFmtId="49" fontId="33" fillId="0" borderId="187" applyNumberFormat="0" applyFill="0" applyBorder="0" applyProtection="0">
      <alignment horizontal="left" vertical="center"/>
    </xf>
    <xf numFmtId="49" fontId="34" fillId="0" borderId="187" applyNumberFormat="0" applyFont="0" applyFill="0" applyBorder="0" applyProtection="0">
      <alignment horizontal="left" vertical="center" indent="2"/>
    </xf>
    <xf numFmtId="4" fontId="34" fillId="0" borderId="187" applyFill="0" applyBorder="0" applyProtection="0">
      <alignment horizontal="right" vertical="center"/>
    </xf>
    <xf numFmtId="0" fontId="62" fillId="56" borderId="196" applyNumberFormat="0" applyAlignment="0" applyProtection="0"/>
    <xf numFmtId="173" fontId="34" fillId="60" borderId="187" applyNumberFormat="0" applyFont="0" applyBorder="0" applyAlignment="0" applyProtection="0">
      <alignment horizontal="right" vertical="center"/>
    </xf>
    <xf numFmtId="4" fontId="32" fillId="34" borderId="193">
      <alignment horizontal="right" vertical="center"/>
    </xf>
    <xf numFmtId="0" fontId="40" fillId="59" borderId="199" applyNumberFormat="0" applyFont="0" applyAlignment="0" applyProtection="0"/>
    <xf numFmtId="0" fontId="50" fillId="0" borderId="206" applyNumberFormat="0" applyFill="0" applyAlignment="0" applyProtection="0"/>
    <xf numFmtId="0" fontId="36" fillId="32" borderId="187">
      <alignment horizontal="right" vertical="center"/>
    </xf>
    <xf numFmtId="0" fontId="34" fillId="0" borderId="200" applyNumberFormat="0" applyFill="0" applyAlignment="0" applyProtection="0"/>
    <xf numFmtId="49" fontId="34" fillId="0" borderId="192" applyNumberFormat="0" applyFont="0" applyFill="0" applyBorder="0" applyProtection="0">
      <alignment horizontal="left" vertical="center" indent="2"/>
    </xf>
    <xf numFmtId="0" fontId="12" fillId="31" borderId="0" applyNumberFormat="0" applyBorder="0" applyAlignment="0" applyProtection="0"/>
    <xf numFmtId="0" fontId="46" fillId="56" borderId="197" applyNumberFormat="0" applyAlignment="0" applyProtection="0"/>
    <xf numFmtId="0" fontId="49" fillId="43" borderId="184" applyNumberFormat="0" applyAlignment="0" applyProtection="0"/>
    <xf numFmtId="4" fontId="32" fillId="34" borderId="187">
      <alignment horizontal="right" vertical="center"/>
    </xf>
    <xf numFmtId="0" fontId="34" fillId="32" borderId="188">
      <alignment horizontal="left" vertical="center"/>
    </xf>
    <xf numFmtId="0" fontId="34" fillId="34" borderId="203">
      <alignment horizontal="left" vertical="center" wrapText="1" indent="2"/>
    </xf>
    <xf numFmtId="4" fontId="34" fillId="33" borderId="192"/>
    <xf numFmtId="0" fontId="26" fillId="14" borderId="0" applyNumberFormat="0" applyBorder="0" applyAlignment="0" applyProtection="0"/>
    <xf numFmtId="0" fontId="34" fillId="0" borderId="192">
      <alignment horizontal="right" vertical="center"/>
    </xf>
    <xf numFmtId="4" fontId="34" fillId="33" borderId="192"/>
    <xf numFmtId="0" fontId="34" fillId="0" borderId="211" applyNumberFormat="0" applyFill="0" applyAlignment="0" applyProtection="0"/>
    <xf numFmtId="4" fontId="32" fillId="34" borderId="192">
      <alignment horizontal="right" vertical="center"/>
    </xf>
    <xf numFmtId="0" fontId="65" fillId="0" borderId="198" applyNumberFormat="0" applyFill="0" applyAlignment="0" applyProtection="0"/>
    <xf numFmtId="0" fontId="58" fillId="43" borderId="205" applyNumberFormat="0" applyAlignment="0" applyProtection="0"/>
    <xf numFmtId="0" fontId="12" fillId="28" borderId="0" applyNumberFormat="0" applyBorder="0" applyAlignment="0" applyProtection="0"/>
    <xf numFmtId="0" fontId="5" fillId="59" borderId="191" applyNumberFormat="0" applyFont="0" applyAlignment="0" applyProtection="0"/>
    <xf numFmtId="0" fontId="32" fillId="34" borderId="187">
      <alignment horizontal="right" vertical="center"/>
    </xf>
    <xf numFmtId="0" fontId="34" fillId="34" borderId="190">
      <alignment horizontal="left" vertical="center" wrapText="1" indent="2"/>
    </xf>
    <xf numFmtId="173" fontId="34" fillId="60" borderId="187" applyNumberFormat="0" applyFont="0" applyBorder="0" applyAlignment="0" applyProtection="0">
      <alignment horizontal="right" vertical="center"/>
    </xf>
    <xf numFmtId="0" fontId="40" fillId="59" borderId="186" applyNumberFormat="0" applyFont="0" applyAlignment="0" applyProtection="0"/>
    <xf numFmtId="49" fontId="34" fillId="0" borderId="187" applyNumberFormat="0" applyFont="0" applyFill="0" applyBorder="0" applyProtection="0">
      <alignment horizontal="left" vertical="center" indent="2"/>
    </xf>
    <xf numFmtId="0" fontId="50" fillId="0" borderId="198" applyNumberFormat="0" applyFill="0" applyAlignment="0" applyProtection="0"/>
    <xf numFmtId="0" fontId="1" fillId="0" borderId="0" applyNumberFormat="0" applyFill="0" applyBorder="0" applyAlignment="0" applyProtection="0"/>
    <xf numFmtId="0" fontId="26" fillId="17" borderId="0" applyNumberFormat="0" applyBorder="0" applyAlignment="0" applyProtection="0"/>
    <xf numFmtId="0" fontId="32" fillId="32" borderId="200">
      <alignment horizontal="right" vertical="center"/>
    </xf>
    <xf numFmtId="49" fontId="33" fillId="0" borderId="187" applyNumberFormat="0" applyFill="0" applyBorder="0" applyProtection="0">
      <alignment horizontal="left" vertical="center"/>
    </xf>
    <xf numFmtId="0" fontId="32" fillId="34" borderId="200">
      <alignment horizontal="right" vertical="center"/>
    </xf>
    <xf numFmtId="173" fontId="34" fillId="60" borderId="187" applyNumberFormat="0" applyFont="0" applyBorder="0" applyAlignment="0" applyProtection="0">
      <alignment horizontal="right" vertical="center"/>
    </xf>
    <xf numFmtId="0" fontId="62" fillId="56" borderId="183" applyNumberFormat="0" applyAlignment="0" applyProtection="0"/>
    <xf numFmtId="0" fontId="34" fillId="0" borderId="187">
      <alignment horizontal="right" vertical="center"/>
    </xf>
    <xf numFmtId="0" fontId="34" fillId="33" borderId="187"/>
    <xf numFmtId="4" fontId="32" fillId="34" borderId="187">
      <alignment horizontal="right" vertical="center"/>
    </xf>
    <xf numFmtId="0" fontId="34" fillId="33" borderId="187"/>
    <xf numFmtId="0" fontId="58" fillId="43" borderId="184" applyNumberFormat="0" applyAlignment="0" applyProtection="0"/>
    <xf numFmtId="0" fontId="50" fillId="0" borderId="198" applyNumberFormat="0" applyFill="0" applyAlignment="0" applyProtection="0"/>
    <xf numFmtId="0" fontId="36" fillId="32" borderId="187">
      <alignment horizontal="right" vertical="center"/>
    </xf>
    <xf numFmtId="0" fontId="34" fillId="0" borderId="190">
      <alignment horizontal="left" vertical="center" wrapText="1" indent="2"/>
    </xf>
    <xf numFmtId="0" fontId="32" fillId="32" borderId="187">
      <alignment horizontal="right" vertical="center"/>
    </xf>
    <xf numFmtId="0" fontId="49" fillId="43" borderId="184" applyNumberFormat="0" applyAlignment="0" applyProtection="0"/>
    <xf numFmtId="0" fontId="34" fillId="34" borderId="190">
      <alignment horizontal="left" vertical="center" wrapText="1" indent="2"/>
    </xf>
    <xf numFmtId="0" fontId="34" fillId="0" borderId="211">
      <alignment horizontal="right" vertical="center"/>
    </xf>
    <xf numFmtId="173" fontId="34" fillId="60" borderId="200" applyNumberFormat="0" applyFont="0" applyBorder="0" applyAlignment="0" applyProtection="0">
      <alignment horizontal="right" vertical="center"/>
    </xf>
    <xf numFmtId="0" fontId="49" fillId="43" borderId="197" applyNumberFormat="0" applyAlignment="0" applyProtection="0"/>
    <xf numFmtId="0" fontId="49" fillId="43" borderId="197" applyNumberFormat="0" applyAlignment="0" applyProtection="0"/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28" fillId="13" borderId="14" applyNumberFormat="0" applyAlignment="0" applyProtection="0"/>
    <xf numFmtId="0" fontId="5" fillId="59" borderId="210" applyNumberFormat="0" applyFont="0" applyAlignment="0" applyProtection="0"/>
    <xf numFmtId="0" fontId="12" fillId="19" borderId="0" applyNumberFormat="0" applyBorder="0" applyAlignment="0" applyProtection="0"/>
    <xf numFmtId="0" fontId="34" fillId="33" borderId="192"/>
    <xf numFmtId="0" fontId="45" fillId="56" borderId="184" applyNumberFormat="0" applyAlignment="0" applyProtection="0"/>
    <xf numFmtId="0" fontId="36" fillId="32" borderId="187">
      <alignment horizontal="right" vertical="center"/>
    </xf>
    <xf numFmtId="0" fontId="34" fillId="33" borderId="192"/>
    <xf numFmtId="0" fontId="1" fillId="0" borderId="0" applyNumberFormat="0" applyFill="0" applyBorder="0" applyAlignment="0" applyProtection="0"/>
    <xf numFmtId="0" fontId="32" fillId="34" borderId="202">
      <alignment horizontal="right" vertical="center"/>
    </xf>
    <xf numFmtId="0" fontId="28" fillId="13" borderId="14" applyNumberFormat="0" applyAlignment="0" applyProtection="0"/>
    <xf numFmtId="0" fontId="26" fillId="20" borderId="0" applyNumberFormat="0" applyBorder="0" applyAlignment="0" applyProtection="0"/>
    <xf numFmtId="0" fontId="46" fillId="56" borderId="197" applyNumberFormat="0" applyAlignment="0" applyProtection="0"/>
    <xf numFmtId="0" fontId="58" fillId="43" borderId="197" applyNumberFormat="0" applyAlignment="0" applyProtection="0"/>
    <xf numFmtId="0" fontId="30" fillId="0" borderId="0" applyNumberFormat="0" applyFill="0" applyBorder="0" applyAlignment="0" applyProtection="0"/>
    <xf numFmtId="0" fontId="43" fillId="56" borderId="196" applyNumberFormat="0" applyAlignment="0" applyProtection="0"/>
    <xf numFmtId="49" fontId="34" fillId="0" borderId="193" applyNumberFormat="0" applyFont="0" applyFill="0" applyBorder="0" applyProtection="0">
      <alignment horizontal="left" vertical="center" indent="5"/>
    </xf>
    <xf numFmtId="0" fontId="32" fillId="34" borderId="187">
      <alignment horizontal="right" vertical="center"/>
    </xf>
    <xf numFmtId="4" fontId="34" fillId="0" borderId="187" applyFill="0" applyBorder="0" applyProtection="0">
      <alignment horizontal="right" vertical="center"/>
    </xf>
    <xf numFmtId="0" fontId="34" fillId="34" borderId="190">
      <alignment horizontal="left" vertical="center" wrapText="1" indent="2"/>
    </xf>
    <xf numFmtId="0" fontId="40" fillId="59" borderId="186" applyNumberFormat="0" applyFont="0" applyAlignment="0" applyProtection="0"/>
    <xf numFmtId="0" fontId="49" fillId="43" borderId="184" applyNumberFormat="0" applyAlignment="0" applyProtection="0"/>
    <xf numFmtId="4" fontId="34" fillId="33" borderId="187"/>
    <xf numFmtId="4" fontId="34" fillId="0" borderId="187" applyFill="0" applyBorder="0" applyProtection="0">
      <alignment horizontal="right" vertical="center"/>
    </xf>
    <xf numFmtId="0" fontId="65" fillId="0" borderId="185" applyNumberFormat="0" applyFill="0" applyAlignment="0" applyProtection="0"/>
    <xf numFmtId="0" fontId="34" fillId="32" borderId="188">
      <alignment horizontal="left" vertical="center"/>
    </xf>
    <xf numFmtId="0" fontId="34" fillId="0" borderId="190">
      <alignment horizontal="left" vertical="center" wrapText="1" indent="2"/>
    </xf>
    <xf numFmtId="0" fontId="45" fillId="56" borderId="197" applyNumberFormat="0" applyAlignment="0" applyProtection="0"/>
    <xf numFmtId="0" fontId="58" fillId="43" borderId="184" applyNumberFormat="0" applyAlignment="0" applyProtection="0"/>
    <xf numFmtId="0" fontId="34" fillId="34" borderId="190">
      <alignment horizontal="left" vertical="center" wrapText="1" indent="2"/>
    </xf>
    <xf numFmtId="0" fontId="34" fillId="0" borderId="192" applyNumberFormat="0" applyFill="0" applyAlignment="0" applyProtection="0"/>
    <xf numFmtId="0" fontId="26" fillId="15" borderId="0" applyNumberFormat="0" applyBorder="0" applyAlignment="0" applyProtection="0"/>
    <xf numFmtId="49" fontId="33" fillId="0" borderId="192" applyNumberFormat="0" applyFill="0" applyBorder="0" applyProtection="0">
      <alignment horizontal="left" vertical="center"/>
    </xf>
    <xf numFmtId="0" fontId="34" fillId="0" borderId="211">
      <alignment horizontal="right" vertical="center"/>
    </xf>
    <xf numFmtId="0" fontId="40" fillId="59" borderId="186" applyNumberFormat="0" applyFont="0" applyAlignment="0" applyProtection="0"/>
    <xf numFmtId="0" fontId="58" fillId="43" borderId="184" applyNumberFormat="0" applyAlignment="0" applyProtection="0"/>
    <xf numFmtId="0" fontId="58" fillId="43" borderId="197" applyNumberFormat="0" applyAlignment="0" applyProtection="0"/>
    <xf numFmtId="4" fontId="34" fillId="33" borderId="187"/>
    <xf numFmtId="0" fontId="46" fillId="56" borderId="184" applyNumberFormat="0" applyAlignment="0" applyProtection="0"/>
    <xf numFmtId="0" fontId="58" fillId="43" borderId="184" applyNumberFormat="0" applyAlignment="0" applyProtection="0"/>
    <xf numFmtId="4" fontId="32" fillId="34" borderId="187">
      <alignment horizontal="right" vertical="center"/>
    </xf>
    <xf numFmtId="0" fontId="50" fillId="0" borderId="185" applyNumberFormat="0" applyFill="0" applyAlignment="0" applyProtection="0"/>
    <xf numFmtId="0" fontId="43" fillId="56" borderId="204" applyNumberFormat="0" applyAlignment="0" applyProtection="0"/>
    <xf numFmtId="0" fontId="12" fillId="16" borderId="0" applyNumberFormat="0" applyBorder="0" applyAlignment="0" applyProtection="0"/>
    <xf numFmtId="0" fontId="46" fillId="56" borderId="205" applyNumberFormat="0" applyAlignment="0" applyProtection="0"/>
    <xf numFmtId="0" fontId="58" fillId="43" borderId="205" applyNumberFormat="0" applyAlignment="0" applyProtection="0"/>
    <xf numFmtId="0" fontId="34" fillId="32" borderId="193">
      <alignment horizontal="left" vertical="center"/>
    </xf>
    <xf numFmtId="4" fontId="32" fillId="34" borderId="192">
      <alignment horizontal="right" vertical="center"/>
    </xf>
    <xf numFmtId="0" fontId="46" fillId="56" borderId="184" applyNumberFormat="0" applyAlignment="0" applyProtection="0"/>
    <xf numFmtId="0" fontId="46" fillId="56" borderId="197" applyNumberFormat="0" applyAlignment="0" applyProtection="0"/>
    <xf numFmtId="0" fontId="49" fillId="43" borderId="184" applyNumberFormat="0" applyAlignment="0" applyProtection="0"/>
    <xf numFmtId="0" fontId="50" fillId="0" borderId="198" applyNumberFormat="0" applyFill="0" applyAlignment="0" applyProtection="0"/>
    <xf numFmtId="0" fontId="46" fillId="56" borderId="205" applyNumberFormat="0" applyAlignment="0" applyProtection="0"/>
    <xf numFmtId="0" fontId="5" fillId="59" borderId="210" applyNumberFormat="0" applyFont="0" applyAlignment="0" applyProtection="0"/>
    <xf numFmtId="0" fontId="12" fillId="25" borderId="0" applyNumberFormat="0" applyBorder="0" applyAlignment="0" applyProtection="0"/>
    <xf numFmtId="0" fontId="40" fillId="59" borderId="199" applyNumberFormat="0" applyFont="0" applyAlignment="0" applyProtection="0"/>
    <xf numFmtId="0" fontId="34" fillId="34" borderId="190">
      <alignment horizontal="left" vertical="center" wrapText="1" indent="2"/>
    </xf>
    <xf numFmtId="0" fontId="36" fillId="32" borderId="192">
      <alignment horizontal="right" vertical="center"/>
    </xf>
    <xf numFmtId="0" fontId="62" fillId="56" borderId="183" applyNumberFormat="0" applyAlignment="0" applyProtection="0"/>
    <xf numFmtId="0" fontId="58" fillId="43" borderId="184" applyNumberFormat="0" applyAlignment="0" applyProtection="0"/>
    <xf numFmtId="4" fontId="32" fillId="34" borderId="187">
      <alignment horizontal="right" vertical="center"/>
    </xf>
    <xf numFmtId="0" fontId="34" fillId="33" borderId="187"/>
    <xf numFmtId="0" fontId="62" fillId="56" borderId="204" applyNumberFormat="0" applyAlignment="0" applyProtection="0"/>
    <xf numFmtId="0" fontId="34" fillId="0" borderId="190">
      <alignment horizontal="left" vertical="center" wrapText="1" indent="2"/>
    </xf>
    <xf numFmtId="49" fontId="34" fillId="0" borderId="192" applyNumberFormat="0" applyFont="0" applyFill="0" applyBorder="0" applyProtection="0">
      <alignment horizontal="left" vertical="center" indent="2"/>
    </xf>
    <xf numFmtId="4" fontId="32" fillId="34" borderId="202">
      <alignment horizontal="right" vertical="center"/>
    </xf>
    <xf numFmtId="0" fontId="12" fillId="25" borderId="0" applyNumberFormat="0" applyBorder="0" applyAlignment="0" applyProtection="0"/>
    <xf numFmtId="0" fontId="5" fillId="59" borderId="191" applyNumberFormat="0" applyFont="0" applyAlignment="0" applyProtection="0"/>
    <xf numFmtId="0" fontId="34" fillId="0" borderId="203">
      <alignment horizontal="left" vertical="center" wrapText="1" indent="2"/>
    </xf>
    <xf numFmtId="0" fontId="45" fillId="56" borderId="184" applyNumberFormat="0" applyAlignment="0" applyProtection="0"/>
    <xf numFmtId="4" fontId="36" fillId="32" borderId="192">
      <alignment horizontal="right" vertical="center"/>
    </xf>
    <xf numFmtId="4" fontId="32" fillId="32" borderId="187">
      <alignment horizontal="right" vertical="center"/>
    </xf>
    <xf numFmtId="4" fontId="32" fillId="34" borderId="201">
      <alignment horizontal="right" vertical="center"/>
    </xf>
    <xf numFmtId="0" fontId="32" fillId="32" borderId="187">
      <alignment horizontal="right" vertical="center"/>
    </xf>
    <xf numFmtId="0" fontId="32" fillId="34" borderId="187">
      <alignment horizontal="right" vertical="center"/>
    </xf>
    <xf numFmtId="0" fontId="58" fillId="43" borderId="197" applyNumberFormat="0" applyAlignment="0" applyProtection="0"/>
    <xf numFmtId="0" fontId="32" fillId="34" borderId="192">
      <alignment horizontal="right" vertical="center"/>
    </xf>
    <xf numFmtId="0" fontId="26" fillId="30" borderId="0" applyNumberFormat="0" applyBorder="0" applyAlignment="0" applyProtection="0"/>
    <xf numFmtId="0" fontId="36" fillId="32" borderId="192">
      <alignment horizontal="right" vertical="center"/>
    </xf>
    <xf numFmtId="0" fontId="62" fillId="56" borderId="183" applyNumberFormat="0" applyAlignment="0" applyProtection="0"/>
    <xf numFmtId="0" fontId="34" fillId="0" borderId="203">
      <alignment horizontal="left" vertical="center" wrapText="1" indent="2"/>
    </xf>
    <xf numFmtId="49" fontId="34" fillId="0" borderId="187" applyNumberFormat="0" applyFont="0" applyFill="0" applyBorder="0" applyProtection="0">
      <alignment horizontal="left" vertical="center" indent="2"/>
    </xf>
    <xf numFmtId="0" fontId="32" fillId="34" borderId="213">
      <alignment horizontal="right" vertical="center"/>
    </xf>
    <xf numFmtId="0" fontId="40" fillId="59" borderId="186" applyNumberFormat="0" applyFont="0" applyAlignment="0" applyProtection="0"/>
    <xf numFmtId="173" fontId="34" fillId="60" borderId="187" applyNumberFormat="0" applyFont="0" applyBorder="0" applyAlignment="0" applyProtection="0">
      <alignment horizontal="right" vertical="center"/>
    </xf>
    <xf numFmtId="0" fontId="58" fillId="43" borderId="184" applyNumberFormat="0" applyAlignment="0" applyProtection="0"/>
    <xf numFmtId="0" fontId="32" fillId="34" borderId="187">
      <alignment horizontal="right" vertical="center"/>
    </xf>
    <xf numFmtId="0" fontId="34" fillId="33" borderId="187"/>
    <xf numFmtId="0" fontId="62" fillId="56" borderId="183" applyNumberFormat="0" applyAlignment="0" applyProtection="0"/>
    <xf numFmtId="0" fontId="46" fillId="56" borderId="184" applyNumberFormat="0" applyAlignment="0" applyProtection="0"/>
    <xf numFmtId="0" fontId="45" fillId="56" borderId="184" applyNumberFormat="0" applyAlignment="0" applyProtection="0"/>
    <xf numFmtId="0" fontId="49" fillId="43" borderId="184" applyNumberFormat="0" applyAlignment="0" applyProtection="0"/>
    <xf numFmtId="0" fontId="49" fillId="43" borderId="184" applyNumberFormat="0" applyAlignment="0" applyProtection="0"/>
    <xf numFmtId="0" fontId="34" fillId="0" borderId="190">
      <alignment horizontal="left" vertical="center" wrapText="1" indent="2"/>
    </xf>
    <xf numFmtId="4" fontId="32" fillId="34" borderId="188">
      <alignment horizontal="right" vertical="center"/>
    </xf>
    <xf numFmtId="4" fontId="34" fillId="0" borderId="187">
      <alignment horizontal="right" vertical="center"/>
    </xf>
    <xf numFmtId="49" fontId="33" fillId="0" borderId="187" applyNumberFormat="0" applyFill="0" applyBorder="0" applyProtection="0">
      <alignment horizontal="left" vertical="center"/>
    </xf>
    <xf numFmtId="4" fontId="34" fillId="0" borderId="187">
      <alignment horizontal="right" vertical="center"/>
    </xf>
    <xf numFmtId="0" fontId="62" fillId="56" borderId="183" applyNumberFormat="0" applyAlignment="0" applyProtection="0"/>
    <xf numFmtId="0" fontId="32" fillId="34" borderId="192">
      <alignment horizontal="right" vertical="center"/>
    </xf>
    <xf numFmtId="0" fontId="12" fillId="25" borderId="0" applyNumberFormat="0" applyBorder="0" applyAlignment="0" applyProtection="0"/>
    <xf numFmtId="49" fontId="33" fillId="0" borderId="200" applyNumberFormat="0" applyFill="0" applyBorder="0" applyProtection="0">
      <alignment horizontal="left" vertical="center"/>
    </xf>
    <xf numFmtId="0" fontId="58" fillId="43" borderId="197" applyNumberFormat="0" applyAlignment="0" applyProtection="0"/>
    <xf numFmtId="4" fontId="32" fillId="34" borderId="194">
      <alignment horizontal="right" vertical="center"/>
    </xf>
    <xf numFmtId="49" fontId="33" fillId="0" borderId="200" applyNumberFormat="0" applyFill="0" applyBorder="0" applyProtection="0">
      <alignment horizontal="left" vertical="center"/>
    </xf>
    <xf numFmtId="0" fontId="34" fillId="0" borderId="190">
      <alignment horizontal="left" vertical="center" wrapText="1" indent="2"/>
    </xf>
    <xf numFmtId="0" fontId="12" fillId="22" borderId="0" applyNumberFormat="0" applyBorder="0" applyAlignment="0" applyProtection="0"/>
    <xf numFmtId="49" fontId="33" fillId="0" borderId="200" applyNumberFormat="0" applyFill="0" applyBorder="0" applyProtection="0">
      <alignment horizontal="left" vertical="center"/>
    </xf>
    <xf numFmtId="0" fontId="26" fillId="15" borderId="0" applyNumberFormat="0" applyBorder="0" applyAlignment="0" applyProtection="0"/>
    <xf numFmtId="0" fontId="26" fillId="23" borderId="0" applyNumberFormat="0" applyBorder="0" applyAlignment="0" applyProtection="0"/>
    <xf numFmtId="0" fontId="32" fillId="32" borderId="192">
      <alignment horizontal="right" vertical="center"/>
    </xf>
    <xf numFmtId="0" fontId="32" fillId="34" borderId="200">
      <alignment horizontal="right" vertical="center"/>
    </xf>
    <xf numFmtId="4" fontId="32" fillId="34" borderId="192">
      <alignment horizontal="right" vertical="center"/>
    </xf>
    <xf numFmtId="0" fontId="49" fillId="43" borderId="205" applyNumberFormat="0" applyAlignment="0" applyProtection="0"/>
    <xf numFmtId="0" fontId="40" fillId="59" borderId="210" applyNumberFormat="0" applyFont="0" applyAlignment="0" applyProtection="0"/>
    <xf numFmtId="0" fontId="32" fillId="34" borderId="193">
      <alignment horizontal="right" vertical="center"/>
    </xf>
    <xf numFmtId="0" fontId="40" fillId="59" borderId="186" applyNumberFormat="0" applyFont="0" applyAlignment="0" applyProtection="0"/>
    <xf numFmtId="0" fontId="50" fillId="0" borderId="206" applyNumberFormat="0" applyFill="0" applyAlignment="0" applyProtection="0"/>
    <xf numFmtId="0" fontId="32" fillId="32" borderId="187">
      <alignment horizontal="right" vertical="center"/>
    </xf>
    <xf numFmtId="0" fontId="12" fillId="19" borderId="0" applyNumberFormat="0" applyBorder="0" applyAlignment="0" applyProtection="0"/>
    <xf numFmtId="0" fontId="40" fillId="59" borderId="191" applyNumberFormat="0" applyFont="0" applyAlignment="0" applyProtection="0"/>
    <xf numFmtId="0" fontId="34" fillId="0" borderId="187" applyNumberFormat="0" applyFill="0" applyAlignment="0" applyProtection="0"/>
    <xf numFmtId="49" fontId="33" fillId="0" borderId="187" applyNumberFormat="0" applyFill="0" applyBorder="0" applyProtection="0">
      <alignment horizontal="left" vertical="center"/>
    </xf>
    <xf numFmtId="0" fontId="34" fillId="0" borderId="187">
      <alignment horizontal="right" vertical="center"/>
    </xf>
    <xf numFmtId="0" fontId="62" fillId="56" borderId="196" applyNumberFormat="0" applyAlignment="0" applyProtection="0"/>
    <xf numFmtId="0" fontId="34" fillId="32" borderId="193">
      <alignment horizontal="left" vertical="center"/>
    </xf>
    <xf numFmtId="4" fontId="32" fillId="34" borderId="202">
      <alignment horizontal="right" vertical="center"/>
    </xf>
    <xf numFmtId="4" fontId="36" fillId="32" borderId="200">
      <alignment horizontal="right" vertical="center"/>
    </xf>
    <xf numFmtId="4" fontId="32" fillId="32" borderId="187">
      <alignment horizontal="right" vertical="center"/>
    </xf>
    <xf numFmtId="49" fontId="33" fillId="0" borderId="192" applyNumberFormat="0" applyFill="0" applyBorder="0" applyProtection="0">
      <alignment horizontal="left" vertical="center"/>
    </xf>
    <xf numFmtId="0" fontId="46" fillId="56" borderId="184" applyNumberFormat="0" applyAlignment="0" applyProtection="0"/>
    <xf numFmtId="0" fontId="32" fillId="34" borderId="189">
      <alignment horizontal="right" vertical="center"/>
    </xf>
    <xf numFmtId="4" fontId="32" fillId="32" borderId="187">
      <alignment horizontal="right" vertical="center"/>
    </xf>
    <xf numFmtId="0" fontId="32" fillId="34" borderId="187">
      <alignment horizontal="right" vertical="center"/>
    </xf>
    <xf numFmtId="0" fontId="46" fillId="56" borderId="184" applyNumberFormat="0" applyAlignment="0" applyProtection="0"/>
    <xf numFmtId="0" fontId="32" fillId="34" borderId="193">
      <alignment horizontal="right" vertical="center"/>
    </xf>
    <xf numFmtId="0" fontId="45" fillId="56" borderId="205" applyNumberFormat="0" applyAlignment="0" applyProtection="0"/>
    <xf numFmtId="0" fontId="28" fillId="13" borderId="14" applyNumberFormat="0" applyAlignment="0" applyProtection="0"/>
    <xf numFmtId="4" fontId="34" fillId="0" borderId="187" applyFill="0" applyBorder="0" applyProtection="0">
      <alignment horizontal="right" vertical="center"/>
    </xf>
    <xf numFmtId="0" fontId="40" fillId="59" borderId="186" applyNumberFormat="0" applyFont="0" applyAlignment="0" applyProtection="0"/>
    <xf numFmtId="0" fontId="36" fillId="32" borderId="200">
      <alignment horizontal="right" vertical="center"/>
    </xf>
    <xf numFmtId="0" fontId="62" fillId="56" borderId="204" applyNumberFormat="0" applyAlignment="0" applyProtection="0"/>
    <xf numFmtId="4" fontId="34" fillId="0" borderId="192" applyFill="0" applyBorder="0" applyProtection="0">
      <alignment horizontal="right" vertical="center"/>
    </xf>
    <xf numFmtId="0" fontId="45" fillId="56" borderId="197" applyNumberFormat="0" applyAlignment="0" applyProtection="0"/>
    <xf numFmtId="0" fontId="34" fillId="33" borderId="192"/>
    <xf numFmtId="0" fontId="49" fillId="43" borderId="197" applyNumberFormat="0" applyAlignment="0" applyProtection="0"/>
    <xf numFmtId="0" fontId="32" fillId="32" borderId="187">
      <alignment horizontal="right" vertical="center"/>
    </xf>
    <xf numFmtId="0" fontId="50" fillId="0" borderId="185" applyNumberFormat="0" applyFill="0" applyAlignment="0" applyProtection="0"/>
    <xf numFmtId="0" fontId="34" fillId="0" borderId="187" applyNumberFormat="0" applyFill="0" applyAlignment="0" applyProtection="0"/>
    <xf numFmtId="0" fontId="50" fillId="0" borderId="185" applyNumberFormat="0" applyFill="0" applyAlignment="0" applyProtection="0"/>
    <xf numFmtId="4" fontId="34" fillId="0" borderId="187" applyFill="0" applyBorder="0" applyProtection="0">
      <alignment horizontal="right" vertical="center"/>
    </xf>
    <xf numFmtId="49" fontId="34" fillId="0" borderId="188" applyNumberFormat="0" applyFont="0" applyFill="0" applyBorder="0" applyProtection="0">
      <alignment horizontal="left" vertical="center" indent="5"/>
    </xf>
    <xf numFmtId="0" fontId="34" fillId="0" borderId="187" applyNumberFormat="0" applyFill="0" applyAlignment="0" applyProtection="0"/>
    <xf numFmtId="0" fontId="65" fillId="0" borderId="198" applyNumberFormat="0" applyFill="0" applyAlignment="0" applyProtection="0"/>
    <xf numFmtId="0" fontId="34" fillId="0" borderId="187" applyNumberFormat="0" applyFill="0" applyAlignment="0" applyProtection="0"/>
    <xf numFmtId="4" fontId="34" fillId="0" borderId="192">
      <alignment horizontal="right" vertical="center"/>
    </xf>
    <xf numFmtId="4" fontId="32" fillId="34" borderId="187">
      <alignment horizontal="right" vertical="center"/>
    </xf>
    <xf numFmtId="0" fontId="34" fillId="33" borderId="192"/>
    <xf numFmtId="0" fontId="65" fillId="0" borderId="198" applyNumberFormat="0" applyFill="0" applyAlignment="0" applyProtection="0"/>
    <xf numFmtId="0" fontId="12" fillId="19" borderId="0" applyNumberFormat="0" applyBorder="0" applyAlignment="0" applyProtection="0"/>
    <xf numFmtId="0" fontId="45" fillId="56" borderId="197" applyNumberFormat="0" applyAlignment="0" applyProtection="0"/>
    <xf numFmtId="0" fontId="49" fillId="43" borderId="184" applyNumberFormat="0" applyAlignment="0" applyProtection="0"/>
    <xf numFmtId="0" fontId="46" fillId="56" borderId="184" applyNumberFormat="0" applyAlignment="0" applyProtection="0"/>
    <xf numFmtId="4" fontId="34" fillId="0" borderId="187">
      <alignment horizontal="right" vertical="center"/>
    </xf>
    <xf numFmtId="0" fontId="34" fillId="34" borderId="190">
      <alignment horizontal="left" vertical="center" wrapText="1" indent="2"/>
    </xf>
    <xf numFmtId="0" fontId="34" fillId="0" borderId="190">
      <alignment horizontal="left" vertical="center" wrapText="1" indent="2"/>
    </xf>
    <xf numFmtId="0" fontId="62" fillId="56" borderId="183" applyNumberFormat="0" applyAlignment="0" applyProtection="0"/>
    <xf numFmtId="0" fontId="58" fillId="43" borderId="184" applyNumberFormat="0" applyAlignment="0" applyProtection="0"/>
    <xf numFmtId="0" fontId="45" fillId="56" borderId="184" applyNumberFormat="0" applyAlignment="0" applyProtection="0"/>
    <xf numFmtId="0" fontId="43" fillId="56" borderId="183" applyNumberFormat="0" applyAlignment="0" applyProtection="0"/>
    <xf numFmtId="0" fontId="32" fillId="34" borderId="189">
      <alignment horizontal="right" vertical="center"/>
    </xf>
    <xf numFmtId="0" fontId="36" fillId="32" borderId="187">
      <alignment horizontal="right" vertical="center"/>
    </xf>
    <xf numFmtId="4" fontId="32" fillId="32" borderId="187">
      <alignment horizontal="right" vertical="center"/>
    </xf>
    <xf numFmtId="4" fontId="32" fillId="34" borderId="187">
      <alignment horizontal="right" vertical="center"/>
    </xf>
    <xf numFmtId="49" fontId="34" fillId="0" borderId="188" applyNumberFormat="0" applyFont="0" applyFill="0" applyBorder="0" applyProtection="0">
      <alignment horizontal="left" vertical="center" indent="5"/>
    </xf>
    <xf numFmtId="4" fontId="34" fillId="0" borderId="187" applyFill="0" applyBorder="0" applyProtection="0">
      <alignment horizontal="right" vertical="center"/>
    </xf>
    <xf numFmtId="4" fontId="32" fillId="32" borderId="187">
      <alignment horizontal="right" vertical="center"/>
    </xf>
    <xf numFmtId="0" fontId="58" fillId="43" borderId="184" applyNumberFormat="0" applyAlignment="0" applyProtection="0"/>
    <xf numFmtId="0" fontId="49" fillId="43" borderId="184" applyNumberFormat="0" applyAlignment="0" applyProtection="0"/>
    <xf numFmtId="0" fontId="45" fillId="56" borderId="184" applyNumberFormat="0" applyAlignment="0" applyProtection="0"/>
    <xf numFmtId="0" fontId="34" fillId="34" borderId="190">
      <alignment horizontal="left" vertical="center" wrapText="1" indent="2"/>
    </xf>
    <xf numFmtId="0" fontId="34" fillId="0" borderId="190">
      <alignment horizontal="left" vertical="center" wrapText="1" indent="2"/>
    </xf>
    <xf numFmtId="0" fontId="34" fillId="34" borderId="190">
      <alignment horizontal="left" vertical="center" wrapText="1" indent="2"/>
    </xf>
    <xf numFmtId="0" fontId="32" fillId="34" borderId="192">
      <alignment horizontal="right" vertical="center"/>
    </xf>
    <xf numFmtId="4" fontId="32" fillId="34" borderId="192">
      <alignment horizontal="right" vertical="center"/>
    </xf>
    <xf numFmtId="0" fontId="32" fillId="34" borderId="193">
      <alignment horizontal="right" vertical="center"/>
    </xf>
    <xf numFmtId="4" fontId="32" fillId="34" borderId="193">
      <alignment horizontal="right" vertical="center"/>
    </xf>
    <xf numFmtId="0" fontId="32" fillId="34" borderId="192">
      <alignment horizontal="right" vertical="center"/>
    </xf>
    <xf numFmtId="4" fontId="32" fillId="32" borderId="192">
      <alignment horizontal="right" vertical="center"/>
    </xf>
    <xf numFmtId="0" fontId="36" fillId="32" borderId="192">
      <alignment horizontal="right" vertical="center"/>
    </xf>
    <xf numFmtId="49" fontId="33" fillId="0" borderId="211" applyNumberFormat="0" applyFill="0" applyBorder="0" applyProtection="0">
      <alignment horizontal="left" vertical="center"/>
    </xf>
    <xf numFmtId="0" fontId="32" fillId="34" borderId="200">
      <alignment horizontal="right" vertical="center"/>
    </xf>
    <xf numFmtId="4" fontId="34" fillId="33" borderId="200"/>
    <xf numFmtId="0" fontId="32" fillId="34" borderId="200">
      <alignment horizontal="right" vertical="center"/>
    </xf>
    <xf numFmtId="0" fontId="46" fillId="56" borderId="205" applyNumberFormat="0" applyAlignment="0" applyProtection="0"/>
    <xf numFmtId="0" fontId="34" fillId="34" borderId="214">
      <alignment horizontal="left" vertical="center" wrapText="1" indent="2"/>
    </xf>
    <xf numFmtId="4" fontId="32" fillId="34" borderId="200">
      <alignment horizontal="right" vertical="center"/>
    </xf>
    <xf numFmtId="0" fontId="30" fillId="0" borderId="0" applyNumberFormat="0" applyFill="0" applyBorder="0" applyAlignment="0" applyProtection="0"/>
    <xf numFmtId="0" fontId="26" fillId="20" borderId="0" applyNumberFormat="0" applyBorder="0" applyAlignment="0" applyProtection="0"/>
    <xf numFmtId="0" fontId="12" fillId="22" borderId="0" applyNumberFormat="0" applyBorder="0" applyAlignment="0" applyProtection="0"/>
    <xf numFmtId="0" fontId="28" fillId="13" borderId="14" applyNumberFormat="0" applyAlignment="0" applyProtection="0"/>
    <xf numFmtId="0" fontId="34" fillId="0" borderId="211" applyNumberFormat="0" applyFill="0" applyAlignment="0" applyProtection="0"/>
    <xf numFmtId="0" fontId="32" fillId="34" borderId="200">
      <alignment horizontal="right" vertical="center"/>
    </xf>
    <xf numFmtId="0" fontId="46" fillId="56" borderId="205" applyNumberFormat="0" applyAlignment="0" applyProtection="0"/>
    <xf numFmtId="0" fontId="32" fillId="34" borderId="200">
      <alignment horizontal="right" vertical="center"/>
    </xf>
    <xf numFmtId="0" fontId="46" fillId="56" borderId="205" applyNumberFormat="0" applyAlignment="0" applyProtection="0"/>
    <xf numFmtId="0" fontId="32" fillId="32" borderId="211">
      <alignment horizontal="right" vertical="center"/>
    </xf>
    <xf numFmtId="0" fontId="12" fillId="28" borderId="0" applyNumberFormat="0" applyBorder="0" applyAlignment="0" applyProtection="0"/>
    <xf numFmtId="0" fontId="26" fillId="14" borderId="0" applyNumberFormat="0" applyBorder="0" applyAlignment="0" applyProtection="0"/>
    <xf numFmtId="0" fontId="62" fillId="56" borderId="204" applyNumberFormat="0" applyAlignment="0" applyProtection="0"/>
    <xf numFmtId="0" fontId="34" fillId="32" borderId="201">
      <alignment horizontal="left" vertical="center"/>
    </xf>
    <xf numFmtId="173" fontId="34" fillId="60" borderId="200" applyNumberFormat="0" applyFont="0" applyBorder="0" applyAlignment="0" applyProtection="0">
      <alignment horizontal="right" vertical="center"/>
    </xf>
    <xf numFmtId="0" fontId="30" fillId="0" borderId="0" applyNumberFormat="0" applyFill="0" applyBorder="0" applyAlignment="0" applyProtection="0"/>
    <xf numFmtId="0" fontId="29" fillId="13" borderId="13" applyNumberFormat="0" applyAlignment="0" applyProtection="0"/>
    <xf numFmtId="0" fontId="26" fillId="14" borderId="0" applyNumberFormat="0" applyBorder="0" applyAlignment="0" applyProtection="0"/>
    <xf numFmtId="4" fontId="34" fillId="33" borderId="200"/>
    <xf numFmtId="0" fontId="28" fillId="13" borderId="14" applyNumberFormat="0" applyAlignment="0" applyProtection="0"/>
    <xf numFmtId="0" fontId="29" fillId="13" borderId="13" applyNumberFormat="0" applyAlignment="0" applyProtection="0"/>
    <xf numFmtId="0" fontId="45" fillId="56" borderId="205" applyNumberFormat="0" applyAlignment="0" applyProtection="0"/>
    <xf numFmtId="0" fontId="62" fillId="56" borderId="204" applyNumberFormat="0" applyAlignment="0" applyProtection="0"/>
    <xf numFmtId="0" fontId="58" fillId="43" borderId="205" applyNumberFormat="0" applyAlignment="0" applyProtection="0"/>
    <xf numFmtId="0" fontId="40" fillId="59" borderId="191" applyNumberFormat="0" applyFont="0" applyAlignment="0" applyProtection="0"/>
    <xf numFmtId="0" fontId="32" fillId="34" borderId="202">
      <alignment horizontal="right" vertical="center"/>
    </xf>
    <xf numFmtId="0" fontId="26" fillId="29" borderId="0" applyNumberFormat="0" applyBorder="0" applyAlignment="0" applyProtection="0"/>
    <xf numFmtId="0" fontId="5" fillId="59" borderId="191" applyNumberFormat="0" applyFont="0" applyAlignment="0" applyProtection="0"/>
    <xf numFmtId="4" fontId="32" fillId="34" borderId="201">
      <alignment horizontal="right" vertical="center"/>
    </xf>
    <xf numFmtId="4" fontId="36" fillId="32" borderId="211">
      <alignment horizontal="right" vertical="center"/>
    </xf>
    <xf numFmtId="0" fontId="34" fillId="33" borderId="211"/>
    <xf numFmtId="4" fontId="32" fillId="32" borderId="211">
      <alignment horizontal="right" vertical="center"/>
    </xf>
    <xf numFmtId="0" fontId="26" fillId="27" borderId="0" applyNumberFormat="0" applyBorder="0" applyAlignment="0" applyProtection="0"/>
    <xf numFmtId="0" fontId="58" fillId="43" borderId="197" applyNumberFormat="0" applyAlignment="0" applyProtection="0"/>
    <xf numFmtId="0" fontId="32" fillId="34" borderId="213">
      <alignment horizontal="right" vertical="center"/>
    </xf>
    <xf numFmtId="0" fontId="34" fillId="34" borderId="195">
      <alignment horizontal="left" vertical="center" wrapText="1" indent="2"/>
    </xf>
    <xf numFmtId="4" fontId="36" fillId="32" borderId="192">
      <alignment horizontal="right" vertical="center"/>
    </xf>
    <xf numFmtId="0" fontId="43" fillId="56" borderId="204" applyNumberFormat="0" applyAlignment="0" applyProtection="0"/>
    <xf numFmtId="0" fontId="46" fillId="56" borderId="205" applyNumberFormat="0" applyAlignment="0" applyProtection="0"/>
    <xf numFmtId="0" fontId="26" fillId="21" borderId="0" applyNumberFormat="0" applyBorder="0" applyAlignment="0" applyProtection="0"/>
    <xf numFmtId="0" fontId="65" fillId="0" borderId="209" applyNumberFormat="0" applyFill="0" applyAlignment="0" applyProtection="0"/>
    <xf numFmtId="0" fontId="34" fillId="34" borderId="214">
      <alignment horizontal="left" vertical="center" wrapText="1" indent="2"/>
    </xf>
    <xf numFmtId="0" fontId="2" fillId="0" borderId="15" applyNumberFormat="0" applyFill="0" applyAlignment="0" applyProtection="0"/>
    <xf numFmtId="0" fontId="34" fillId="0" borderId="200">
      <alignment horizontal="right" vertical="center"/>
    </xf>
    <xf numFmtId="0" fontId="26" fillId="18" borderId="0" applyNumberFormat="0" applyBorder="0" applyAlignment="0" applyProtection="0"/>
    <xf numFmtId="4" fontId="36" fillId="32" borderId="192">
      <alignment horizontal="right" vertical="center"/>
    </xf>
    <xf numFmtId="4" fontId="32" fillId="32" borderId="192">
      <alignment horizontal="right" vertical="center"/>
    </xf>
    <xf numFmtId="0" fontId="34" fillId="0" borderId="195">
      <alignment horizontal="left" vertical="center" wrapText="1" indent="2"/>
    </xf>
    <xf numFmtId="0" fontId="62" fillId="56" borderId="196" applyNumberFormat="0" applyAlignment="0" applyProtection="0"/>
    <xf numFmtId="0" fontId="34" fillId="0" borderId="192">
      <alignment horizontal="right" vertical="center"/>
    </xf>
    <xf numFmtId="0" fontId="65" fillId="0" borderId="198" applyNumberFormat="0" applyFill="0" applyAlignment="0" applyProtection="0"/>
    <xf numFmtId="49" fontId="33" fillId="0" borderId="192" applyNumberFormat="0" applyFill="0" applyBorder="0" applyProtection="0">
      <alignment horizontal="left" vertical="center"/>
    </xf>
    <xf numFmtId="4" fontId="34" fillId="33" borderId="192"/>
    <xf numFmtId="0" fontId="58" fillId="43" borderId="197" applyNumberFormat="0" applyAlignment="0" applyProtection="0"/>
    <xf numFmtId="0" fontId="40" fillId="59" borderId="199" applyNumberFormat="0" applyFont="0" applyAlignment="0" applyProtection="0"/>
    <xf numFmtId="4" fontId="34" fillId="33" borderId="200"/>
    <xf numFmtId="173" fontId="34" fillId="60" borderId="192" applyNumberFormat="0" applyFont="0" applyBorder="0" applyAlignment="0" applyProtection="0">
      <alignment horizontal="right" vertical="center"/>
    </xf>
    <xf numFmtId="0" fontId="65" fillId="0" borderId="206" applyNumberFormat="0" applyFill="0" applyAlignment="0" applyProtection="0"/>
    <xf numFmtId="0" fontId="46" fillId="56" borderId="197" applyNumberFormat="0" applyAlignment="0" applyProtection="0"/>
    <xf numFmtId="0" fontId="26" fillId="26" borderId="0" applyNumberFormat="0" applyBorder="0" applyAlignment="0" applyProtection="0"/>
    <xf numFmtId="0" fontId="32" fillId="34" borderId="202">
      <alignment horizontal="right" vertical="center"/>
    </xf>
    <xf numFmtId="0" fontId="34" fillId="0" borderId="214">
      <alignment horizontal="left" vertical="center" wrapText="1" indent="2"/>
    </xf>
    <xf numFmtId="0" fontId="40" fillId="59" borderId="199" applyNumberFormat="0" applyFont="0" applyAlignment="0" applyProtection="0"/>
    <xf numFmtId="0" fontId="58" fillId="43" borderId="197" applyNumberFormat="0" applyAlignment="0" applyProtection="0"/>
    <xf numFmtId="0" fontId="43" fillId="56" borderId="196" applyNumberFormat="0" applyAlignment="0" applyProtection="0"/>
    <xf numFmtId="49" fontId="33" fillId="0" borderId="192" applyNumberFormat="0" applyFill="0" applyBorder="0" applyProtection="0">
      <alignment horizontal="left" vertical="center"/>
    </xf>
    <xf numFmtId="0" fontId="65" fillId="0" borderId="198" applyNumberFormat="0" applyFill="0" applyAlignment="0" applyProtection="0"/>
    <xf numFmtId="0" fontId="34" fillId="0" borderId="192">
      <alignment horizontal="right" vertical="center"/>
    </xf>
    <xf numFmtId="0" fontId="32" fillId="34" borderId="193">
      <alignment horizontal="right" vertical="center"/>
    </xf>
    <xf numFmtId="0" fontId="65" fillId="0" borderId="198" applyNumberFormat="0" applyFill="0" applyAlignment="0" applyProtection="0"/>
    <xf numFmtId="49" fontId="34" fillId="0" borderId="211" applyNumberFormat="0" applyFont="0" applyFill="0" applyBorder="0" applyProtection="0">
      <alignment horizontal="left" vertical="center" indent="2"/>
    </xf>
    <xf numFmtId="0" fontId="32" fillId="34" borderId="201">
      <alignment horizontal="right" vertical="center"/>
    </xf>
    <xf numFmtId="0" fontId="12" fillId="16" borderId="0" applyNumberFormat="0" applyBorder="0" applyAlignment="0" applyProtection="0"/>
    <xf numFmtId="0" fontId="43" fillId="56" borderId="204" applyNumberFormat="0" applyAlignment="0" applyProtection="0"/>
    <xf numFmtId="49" fontId="34" fillId="0" borderId="212" applyNumberFormat="0" applyFont="0" applyFill="0" applyBorder="0" applyProtection="0">
      <alignment horizontal="left" vertical="center" indent="5"/>
    </xf>
    <xf numFmtId="4" fontId="34" fillId="0" borderId="192" applyFill="0" applyBorder="0" applyProtection="0">
      <alignment horizontal="right" vertical="center"/>
    </xf>
    <xf numFmtId="4" fontId="34" fillId="33" borderId="200"/>
    <xf numFmtId="4" fontId="32" fillId="34" borderId="201">
      <alignment horizontal="right" vertical="center"/>
    </xf>
    <xf numFmtId="4" fontId="34" fillId="0" borderId="200">
      <alignment horizontal="right" vertical="center"/>
    </xf>
    <xf numFmtId="0" fontId="46" fillId="56" borderId="208" applyNumberFormat="0" applyAlignment="0" applyProtection="0"/>
    <xf numFmtId="0" fontId="49" fillId="43" borderId="205" applyNumberFormat="0" applyAlignment="0" applyProtection="0"/>
    <xf numFmtId="4" fontId="34" fillId="0" borderId="200">
      <alignment horizontal="right" vertical="center"/>
    </xf>
    <xf numFmtId="0" fontId="34" fillId="0" borderId="195">
      <alignment horizontal="left" vertical="center" wrapText="1" indent="2"/>
    </xf>
    <xf numFmtId="0" fontId="65" fillId="0" borderId="198" applyNumberFormat="0" applyFill="0" applyAlignment="0" applyProtection="0"/>
    <xf numFmtId="0" fontId="43" fillId="56" borderId="196" applyNumberFormat="0" applyAlignment="0" applyProtection="0"/>
    <xf numFmtId="0" fontId="32" fillId="34" borderId="192">
      <alignment horizontal="right" vertical="center"/>
    </xf>
    <xf numFmtId="0" fontId="45" fillId="56" borderId="197" applyNumberFormat="0" applyAlignment="0" applyProtection="0"/>
    <xf numFmtId="0" fontId="34" fillId="33" borderId="200"/>
    <xf numFmtId="0" fontId="34" fillId="34" borderId="214">
      <alignment horizontal="left" vertical="center" wrapText="1" indent="2"/>
    </xf>
    <xf numFmtId="0" fontId="34" fillId="32" borderId="193">
      <alignment horizontal="left" vertical="center"/>
    </xf>
    <xf numFmtId="0" fontId="26" fillId="17" borderId="0" applyNumberFormat="0" applyBorder="0" applyAlignment="0" applyProtection="0"/>
    <xf numFmtId="0" fontId="1" fillId="0" borderId="0" applyNumberFormat="0" applyFill="0" applyBorder="0" applyAlignment="0" applyProtection="0"/>
    <xf numFmtId="0" fontId="49" fillId="43" borderId="205" applyNumberFormat="0" applyAlignment="0" applyProtection="0"/>
    <xf numFmtId="0" fontId="46" fillId="56" borderId="205" applyNumberFormat="0" applyAlignment="0" applyProtection="0"/>
    <xf numFmtId="0" fontId="32" fillId="32" borderId="192">
      <alignment horizontal="right" vertical="center"/>
    </xf>
    <xf numFmtId="173" fontId="34" fillId="60" borderId="200" applyNumberFormat="0" applyFont="0" applyBorder="0" applyAlignment="0" applyProtection="0">
      <alignment horizontal="right" vertical="center"/>
    </xf>
    <xf numFmtId="0" fontId="62" fillId="56" borderId="215" applyNumberFormat="0" applyAlignment="0" applyProtection="0"/>
    <xf numFmtId="0" fontId="50" fillId="0" borderId="198" applyNumberFormat="0" applyFill="0" applyAlignment="0" applyProtection="0"/>
    <xf numFmtId="0" fontId="34" fillId="0" borderId="192">
      <alignment horizontal="right" vertical="center"/>
    </xf>
    <xf numFmtId="0" fontId="5" fillId="59" borderId="191" applyNumberFormat="0" applyFont="0" applyAlignment="0" applyProtection="0"/>
    <xf numFmtId="0" fontId="12" fillId="16" borderId="0" applyNumberFormat="0" applyBorder="0" applyAlignment="0" applyProtection="0"/>
    <xf numFmtId="0" fontId="12" fillId="31" borderId="0" applyNumberFormat="0" applyBorder="0" applyAlignment="0" applyProtection="0"/>
    <xf numFmtId="0" fontId="29" fillId="13" borderId="13" applyNumberFormat="0" applyAlignment="0" applyProtection="0"/>
    <xf numFmtId="0" fontId="58" fillId="43" borderId="197" applyNumberFormat="0" applyAlignment="0" applyProtection="0"/>
    <xf numFmtId="49" fontId="34" fillId="0" borderId="193" applyNumberFormat="0" applyFont="0" applyFill="0" applyBorder="0" applyProtection="0">
      <alignment horizontal="left" vertical="center" indent="5"/>
    </xf>
    <xf numFmtId="0" fontId="32" fillId="34" borderId="213">
      <alignment horizontal="right" vertical="center"/>
    </xf>
    <xf numFmtId="0" fontId="34" fillId="0" borderId="192" applyNumberFormat="0" applyFill="0" applyAlignment="0" applyProtection="0"/>
    <xf numFmtId="0" fontId="50" fillId="0" borderId="198" applyNumberFormat="0" applyFill="0" applyAlignment="0" applyProtection="0"/>
    <xf numFmtId="0" fontId="62" fillId="56" borderId="196" applyNumberFormat="0" applyAlignment="0" applyProtection="0"/>
    <xf numFmtId="4" fontId="32" fillId="34" borderId="192">
      <alignment horizontal="right" vertical="center"/>
    </xf>
    <xf numFmtId="4" fontId="34" fillId="33" borderId="192"/>
    <xf numFmtId="0" fontId="65" fillId="0" borderId="198" applyNumberFormat="0" applyFill="0" applyAlignment="0" applyProtection="0"/>
    <xf numFmtId="0" fontId="12" fillId="16" borderId="0" applyNumberFormat="0" applyBorder="0" applyAlignment="0" applyProtection="0"/>
    <xf numFmtId="0" fontId="43" fillId="56" borderId="196" applyNumberFormat="0" applyAlignment="0" applyProtection="0"/>
    <xf numFmtId="0" fontId="45" fillId="56" borderId="197" applyNumberFormat="0" applyAlignment="0" applyProtection="0"/>
    <xf numFmtId="0" fontId="46" fillId="56" borderId="197" applyNumberFormat="0" applyAlignment="0" applyProtection="0"/>
    <xf numFmtId="0" fontId="62" fillId="56" borderId="196" applyNumberFormat="0" applyAlignment="0" applyProtection="0"/>
    <xf numFmtId="0" fontId="32" fillId="34" borderId="194">
      <alignment horizontal="right" vertical="center"/>
    </xf>
    <xf numFmtId="0" fontId="34" fillId="0" borderId="192" applyNumberFormat="0" applyFill="0" applyAlignment="0" applyProtection="0"/>
    <xf numFmtId="49" fontId="34" fillId="0" borderId="193" applyNumberFormat="0" applyFont="0" applyFill="0" applyBorder="0" applyProtection="0">
      <alignment horizontal="left" vertical="center" indent="5"/>
    </xf>
    <xf numFmtId="0" fontId="65" fillId="0" borderId="198" applyNumberFormat="0" applyFill="0" applyAlignment="0" applyProtection="0"/>
    <xf numFmtId="0" fontId="34" fillId="0" borderId="192" applyNumberFormat="0" applyFill="0" applyAlignment="0" applyProtection="0"/>
    <xf numFmtId="0" fontId="32" fillId="34" borderId="211">
      <alignment horizontal="right" vertical="center"/>
    </xf>
    <xf numFmtId="0" fontId="40" fillId="59" borderId="199" applyNumberFormat="0" applyFont="0" applyAlignment="0" applyProtection="0"/>
    <xf numFmtId="0" fontId="26" fillId="24" borderId="0" applyNumberFormat="0" applyBorder="0" applyAlignment="0" applyProtection="0"/>
    <xf numFmtId="0" fontId="32" fillId="34" borderId="211">
      <alignment horizontal="right" vertical="center"/>
    </xf>
    <xf numFmtId="0" fontId="49" fillId="43" borderId="208" applyNumberFormat="0" applyAlignment="0" applyProtection="0"/>
    <xf numFmtId="0" fontId="40" fillId="59" borderId="191" applyNumberFormat="0" applyFont="0" applyAlignment="0" applyProtection="0"/>
    <xf numFmtId="4" fontId="32" fillId="34" borderId="200">
      <alignment horizontal="right" vertical="center"/>
    </xf>
    <xf numFmtId="0" fontId="36" fillId="32" borderId="200">
      <alignment horizontal="right" vertical="center"/>
    </xf>
    <xf numFmtId="0" fontId="32" fillId="34" borderId="201">
      <alignment horizontal="right" vertical="center"/>
    </xf>
    <xf numFmtId="0" fontId="34" fillId="34" borderId="203">
      <alignment horizontal="left" vertical="center" wrapText="1" indent="2"/>
    </xf>
    <xf numFmtId="0" fontId="26" fillId="24" borderId="0" applyNumberFormat="0" applyBorder="0" applyAlignment="0" applyProtection="0"/>
    <xf numFmtId="0" fontId="50" fillId="0" borderId="206" applyNumberFormat="0" applyFill="0" applyAlignment="0" applyProtection="0"/>
    <xf numFmtId="0" fontId="32" fillId="34" borderId="202">
      <alignment horizontal="right" vertical="center"/>
    </xf>
    <xf numFmtId="0" fontId="34" fillId="0" borderId="195">
      <alignment horizontal="left" vertical="center" wrapText="1" indent="2"/>
    </xf>
    <xf numFmtId="4" fontId="32" fillId="32" borderId="192">
      <alignment horizontal="right" vertical="center"/>
    </xf>
    <xf numFmtId="0" fontId="30" fillId="0" borderId="0" applyNumberFormat="0" applyFill="0" applyBorder="0" applyAlignment="0" applyProtection="0"/>
    <xf numFmtId="0" fontId="62" fillId="56" borderId="196" applyNumberFormat="0" applyAlignment="0" applyProtection="0"/>
    <xf numFmtId="49" fontId="34" fillId="0" borderId="193" applyNumberFormat="0" applyFont="0" applyFill="0" applyBorder="0" applyProtection="0">
      <alignment horizontal="left" vertical="center" indent="5"/>
    </xf>
    <xf numFmtId="4" fontId="34" fillId="0" borderId="192">
      <alignment horizontal="right" vertical="center"/>
    </xf>
    <xf numFmtId="49" fontId="34" fillId="0" borderId="211" applyNumberFormat="0" applyFont="0" applyFill="0" applyBorder="0" applyProtection="0">
      <alignment horizontal="left" vertical="center" indent="2"/>
    </xf>
    <xf numFmtId="0" fontId="26" fillId="14" borderId="0" applyNumberFormat="0" applyBorder="0" applyAlignment="0" applyProtection="0"/>
    <xf numFmtId="0" fontId="32" fillId="34" borderId="202">
      <alignment horizontal="right" vertical="center"/>
    </xf>
    <xf numFmtId="0" fontId="26" fillId="29" borderId="0" applyNumberFormat="0" applyBorder="0" applyAlignment="0" applyProtection="0"/>
    <xf numFmtId="0" fontId="50" fillId="0" borderId="198" applyNumberFormat="0" applyFill="0" applyAlignment="0" applyProtection="0"/>
    <xf numFmtId="0" fontId="50" fillId="0" borderId="209" applyNumberFormat="0" applyFill="0" applyAlignment="0" applyProtection="0"/>
    <xf numFmtId="4" fontId="32" fillId="34" borderId="194">
      <alignment horizontal="right" vertical="center"/>
    </xf>
    <xf numFmtId="4" fontId="32" fillId="34" borderId="192">
      <alignment horizontal="right" vertical="center"/>
    </xf>
    <xf numFmtId="4" fontId="32" fillId="34" borderId="192">
      <alignment horizontal="right" vertical="center"/>
    </xf>
    <xf numFmtId="0" fontId="65" fillId="0" borderId="198" applyNumberFormat="0" applyFill="0" applyAlignment="0" applyProtection="0"/>
    <xf numFmtId="0" fontId="46" fillId="56" borderId="197" applyNumberFormat="0" applyAlignment="0" applyProtection="0"/>
    <xf numFmtId="0" fontId="26" fillId="20" borderId="0" applyNumberFormat="0" applyBorder="0" applyAlignment="0" applyProtection="0"/>
    <xf numFmtId="0" fontId="29" fillId="13" borderId="13" applyNumberFormat="0" applyAlignment="0" applyProtection="0"/>
    <xf numFmtId="49" fontId="33" fillId="0" borderId="192" applyNumberFormat="0" applyFill="0" applyBorder="0" applyProtection="0">
      <alignment horizontal="left" vertical="center"/>
    </xf>
    <xf numFmtId="0" fontId="5" fillId="59" borderId="191" applyNumberFormat="0" applyFont="0" applyAlignment="0" applyProtection="0"/>
    <xf numFmtId="0" fontId="26" fillId="24" borderId="0" applyNumberFormat="0" applyBorder="0" applyAlignment="0" applyProtection="0"/>
    <xf numFmtId="4" fontId="32" fillId="34" borderId="192">
      <alignment horizontal="right" vertical="center"/>
    </xf>
    <xf numFmtId="0" fontId="26" fillId="26" borderId="0" applyNumberFormat="0" applyBorder="0" applyAlignment="0" applyProtection="0"/>
    <xf numFmtId="0" fontId="32" fillId="32" borderId="200">
      <alignment horizontal="right" vertical="center"/>
    </xf>
    <xf numFmtId="0" fontId="43" fillId="56" borderId="204" applyNumberFormat="0" applyAlignment="0" applyProtection="0"/>
    <xf numFmtId="0" fontId="62" fillId="56" borderId="204" applyNumberFormat="0" applyAlignment="0" applyProtection="0"/>
    <xf numFmtId="49" fontId="34" fillId="0" borderId="200" applyNumberFormat="0" applyFont="0" applyFill="0" applyBorder="0" applyProtection="0">
      <alignment horizontal="left" vertical="center" indent="2"/>
    </xf>
    <xf numFmtId="49" fontId="34" fillId="0" borderId="192" applyNumberFormat="0" applyFont="0" applyFill="0" applyBorder="0" applyProtection="0">
      <alignment horizontal="left" vertical="center" indent="2"/>
    </xf>
    <xf numFmtId="0" fontId="65" fillId="0" borderId="198" applyNumberFormat="0" applyFill="0" applyAlignment="0" applyProtection="0"/>
    <xf numFmtId="4" fontId="34" fillId="0" borderId="192" applyFill="0" applyBorder="0" applyProtection="0">
      <alignment horizontal="right" vertical="center"/>
    </xf>
    <xf numFmtId="0" fontId="58" fillId="43" borderId="197" applyNumberFormat="0" applyAlignment="0" applyProtection="0"/>
    <xf numFmtId="49" fontId="33" fillId="0" borderId="192" applyNumberFormat="0" applyFill="0" applyBorder="0" applyProtection="0">
      <alignment horizontal="left" vertical="center"/>
    </xf>
    <xf numFmtId="49" fontId="34" fillId="0" borderId="192" applyNumberFormat="0" applyFont="0" applyFill="0" applyBorder="0" applyProtection="0">
      <alignment horizontal="left" vertical="center" indent="2"/>
    </xf>
    <xf numFmtId="4" fontId="34" fillId="0" borderId="192" applyFill="0" applyBorder="0" applyProtection="0">
      <alignment horizontal="right" vertical="center"/>
    </xf>
    <xf numFmtId="173" fontId="34" fillId="60" borderId="192" applyNumberFormat="0" applyFont="0" applyBorder="0" applyAlignment="0" applyProtection="0">
      <alignment horizontal="right" vertical="center"/>
    </xf>
    <xf numFmtId="0" fontId="65" fillId="0" borderId="206" applyNumberFormat="0" applyFill="0" applyAlignment="0" applyProtection="0"/>
    <xf numFmtId="4" fontId="36" fillId="32" borderId="200">
      <alignment horizontal="right" vertical="center"/>
    </xf>
    <xf numFmtId="0" fontId="36" fillId="32" borderId="192">
      <alignment horizontal="right" vertical="center"/>
    </xf>
    <xf numFmtId="0" fontId="62" fillId="56" borderId="204" applyNumberFormat="0" applyAlignment="0" applyProtection="0"/>
    <xf numFmtId="0" fontId="32" fillId="34" borderId="200">
      <alignment horizontal="right" vertical="center"/>
    </xf>
    <xf numFmtId="0" fontId="34" fillId="0" borderId="211" applyNumberFormat="0" applyFill="0" applyAlignment="0" applyProtection="0"/>
    <xf numFmtId="0" fontId="49" fillId="43" borderId="197" applyNumberFormat="0" applyAlignment="0" applyProtection="0"/>
    <xf numFmtId="4" fontId="32" fillId="34" borderId="192">
      <alignment horizontal="right" vertical="center"/>
    </xf>
    <xf numFmtId="0" fontId="34" fillId="32" borderId="193">
      <alignment horizontal="left" vertical="center"/>
    </xf>
    <xf numFmtId="4" fontId="32" fillId="34" borderId="200">
      <alignment horizontal="right" vertical="center"/>
    </xf>
    <xf numFmtId="0" fontId="46" fillId="56" borderId="208" applyNumberFormat="0" applyAlignment="0" applyProtection="0"/>
    <xf numFmtId="4" fontId="36" fillId="32" borderId="200">
      <alignment horizontal="right" vertical="center"/>
    </xf>
    <xf numFmtId="0" fontId="43" fillId="56" borderId="215" applyNumberFormat="0" applyAlignment="0" applyProtection="0"/>
    <xf numFmtId="0" fontId="58" fillId="43" borderId="205" applyNumberFormat="0" applyAlignment="0" applyProtection="0"/>
    <xf numFmtId="4" fontId="32" fillId="32" borderId="200">
      <alignment horizontal="right" vertical="center"/>
    </xf>
    <xf numFmtId="0" fontId="5" fillId="59" borderId="199" applyNumberFormat="0" applyFont="0" applyAlignment="0" applyProtection="0"/>
    <xf numFmtId="0" fontId="12" fillId="28" borderId="0" applyNumberFormat="0" applyBorder="0" applyAlignment="0" applyProtection="0"/>
    <xf numFmtId="0" fontId="50" fillId="0" borderId="206" applyNumberFormat="0" applyFill="0" applyAlignment="0" applyProtection="0"/>
    <xf numFmtId="0" fontId="32" fillId="34" borderId="192">
      <alignment horizontal="right" vertical="center"/>
    </xf>
    <xf numFmtId="0" fontId="34" fillId="34" borderId="195">
      <alignment horizontal="left" vertical="center" wrapText="1" indent="2"/>
    </xf>
    <xf numFmtId="173" fontId="34" fillId="60" borderId="192" applyNumberFormat="0" applyFont="0" applyBorder="0" applyAlignment="0" applyProtection="0">
      <alignment horizontal="right" vertical="center"/>
    </xf>
    <xf numFmtId="0" fontId="40" fillId="59" borderId="191" applyNumberFormat="0" applyFont="0" applyAlignment="0" applyProtection="0"/>
    <xf numFmtId="49" fontId="34" fillId="0" borderId="192" applyNumberFormat="0" applyFont="0" applyFill="0" applyBorder="0" applyProtection="0">
      <alignment horizontal="left" vertical="center" indent="2"/>
    </xf>
    <xf numFmtId="0" fontId="34" fillId="34" borderId="203">
      <alignment horizontal="left" vertical="center" wrapText="1" indent="2"/>
    </xf>
    <xf numFmtId="0" fontId="34" fillId="0" borderId="214">
      <alignment horizontal="left" vertical="center" wrapText="1" indent="2"/>
    </xf>
    <xf numFmtId="0" fontId="58" fillId="43" borderId="205" applyNumberFormat="0" applyAlignment="0" applyProtection="0"/>
    <xf numFmtId="0" fontId="26" fillId="14" borderId="0" applyNumberFormat="0" applyBorder="0" applyAlignment="0" applyProtection="0"/>
    <xf numFmtId="49" fontId="33" fillId="0" borderId="192" applyNumberFormat="0" applyFill="0" applyBorder="0" applyProtection="0">
      <alignment horizontal="left" vertical="center"/>
    </xf>
    <xf numFmtId="0" fontId="26" fillId="29" borderId="0" applyNumberFormat="0" applyBorder="0" applyAlignment="0" applyProtection="0"/>
    <xf numFmtId="173" fontId="34" fillId="60" borderId="192" applyNumberFormat="0" applyFont="0" applyBorder="0" applyAlignment="0" applyProtection="0">
      <alignment horizontal="right" vertical="center"/>
    </xf>
    <xf numFmtId="0" fontId="62" fillId="56" borderId="196" applyNumberFormat="0" applyAlignment="0" applyProtection="0"/>
    <xf numFmtId="0" fontId="34" fillId="0" borderId="192">
      <alignment horizontal="right" vertical="center"/>
    </xf>
    <xf numFmtId="0" fontId="34" fillId="0" borderId="200">
      <alignment horizontal="right" vertical="center"/>
    </xf>
    <xf numFmtId="0" fontId="34" fillId="33" borderId="192"/>
    <xf numFmtId="4" fontId="32" fillId="34" borderId="192">
      <alignment horizontal="right" vertical="center"/>
    </xf>
    <xf numFmtId="0" fontId="34" fillId="33" borderId="192"/>
    <xf numFmtId="0" fontId="58" fillId="43" borderId="197" applyNumberFormat="0" applyAlignment="0" applyProtection="0"/>
    <xf numFmtId="4" fontId="34" fillId="33" borderId="211"/>
    <xf numFmtId="0" fontId="36" fillId="32" borderId="192">
      <alignment horizontal="right" vertical="center"/>
    </xf>
    <xf numFmtId="0" fontId="34" fillId="0" borderId="195">
      <alignment horizontal="left" vertical="center" wrapText="1" indent="2"/>
    </xf>
    <xf numFmtId="0" fontId="32" fillId="32" borderId="192">
      <alignment horizontal="right" vertical="center"/>
    </xf>
    <xf numFmtId="0" fontId="49" fillId="43" borderId="197" applyNumberFormat="0" applyAlignment="0" applyProtection="0"/>
    <xf numFmtId="0" fontId="34" fillId="34" borderId="195">
      <alignment horizontal="left" vertical="center" wrapText="1" indent="2"/>
    </xf>
    <xf numFmtId="0" fontId="40" fillId="59" borderId="199" applyNumberFormat="0" applyFont="0" applyAlignment="0" applyProtection="0"/>
    <xf numFmtId="0" fontId="26" fillId="30" borderId="0" applyNumberFormat="0" applyBorder="0" applyAlignment="0" applyProtection="0"/>
    <xf numFmtId="0" fontId="34" fillId="33" borderId="200"/>
    <xf numFmtId="0" fontId="26" fillId="24" borderId="0" applyNumberFormat="0" applyBorder="0" applyAlignment="0" applyProtection="0"/>
    <xf numFmtId="4" fontId="36" fillId="32" borderId="211">
      <alignment horizontal="right" vertical="center"/>
    </xf>
    <xf numFmtId="0" fontId="45" fillId="56" borderId="197" applyNumberFormat="0" applyAlignment="0" applyProtection="0"/>
    <xf numFmtId="0" fontId="36" fillId="32" borderId="192">
      <alignment horizontal="right" vertical="center"/>
    </xf>
    <xf numFmtId="0" fontId="65" fillId="0" borderId="206" applyNumberFormat="0" applyFill="0" applyAlignment="0" applyProtection="0"/>
    <xf numFmtId="0" fontId="26" fillId="26" borderId="0" applyNumberFormat="0" applyBorder="0" applyAlignment="0" applyProtection="0"/>
    <xf numFmtId="4" fontId="32" fillId="34" borderId="201">
      <alignment horizontal="right" vertical="center"/>
    </xf>
    <xf numFmtId="0" fontId="1" fillId="0" borderId="0" applyNumberFormat="0" applyFill="0" applyBorder="0" applyAlignment="0" applyProtection="0"/>
    <xf numFmtId="0" fontId="26" fillId="20" borderId="0" applyNumberFormat="0" applyBorder="0" applyAlignment="0" applyProtection="0"/>
    <xf numFmtId="0" fontId="32" fillId="34" borderId="201">
      <alignment horizontal="right" vertical="center"/>
    </xf>
    <xf numFmtId="0" fontId="40" fillId="59" borderId="199" applyNumberFormat="0" applyFont="0" applyAlignment="0" applyProtection="0"/>
    <xf numFmtId="0" fontId="30" fillId="0" borderId="0" applyNumberFormat="0" applyFill="0" applyBorder="0" applyAlignment="0" applyProtection="0"/>
    <xf numFmtId="0" fontId="49" fillId="43" borderId="205" applyNumberFormat="0" applyAlignment="0" applyProtection="0"/>
    <xf numFmtId="0" fontId="32" fillId="34" borderId="192">
      <alignment horizontal="right" vertical="center"/>
    </xf>
    <xf numFmtId="4" fontId="34" fillId="0" borderId="192" applyFill="0" applyBorder="0" applyProtection="0">
      <alignment horizontal="right" vertical="center"/>
    </xf>
    <xf numFmtId="0" fontId="34" fillId="34" borderId="195">
      <alignment horizontal="left" vertical="center" wrapText="1" indent="2"/>
    </xf>
    <xf numFmtId="0" fontId="40" fillId="59" borderId="191" applyNumberFormat="0" applyFont="0" applyAlignment="0" applyProtection="0"/>
    <xf numFmtId="0" fontId="49" fillId="43" borderId="197" applyNumberFormat="0" applyAlignment="0" applyProtection="0"/>
    <xf numFmtId="4" fontId="34" fillId="33" borderId="192"/>
    <xf numFmtId="4" fontId="34" fillId="0" borderId="192" applyFill="0" applyBorder="0" applyProtection="0">
      <alignment horizontal="right" vertical="center"/>
    </xf>
    <xf numFmtId="0" fontId="65" fillId="0" borderId="198" applyNumberFormat="0" applyFill="0" applyAlignment="0" applyProtection="0"/>
    <xf numFmtId="0" fontId="34" fillId="32" borderId="193">
      <alignment horizontal="left" vertical="center"/>
    </xf>
    <xf numFmtId="0" fontId="34" fillId="0" borderId="195">
      <alignment horizontal="left" vertical="center" wrapText="1" indent="2"/>
    </xf>
    <xf numFmtId="49" fontId="33" fillId="0" borderId="200" applyNumberFormat="0" applyFill="0" applyBorder="0" applyProtection="0">
      <alignment horizontal="left" vertical="center"/>
    </xf>
    <xf numFmtId="0" fontId="58" fillId="43" borderId="197" applyNumberFormat="0" applyAlignment="0" applyProtection="0"/>
    <xf numFmtId="0" fontId="34" fillId="34" borderId="195">
      <alignment horizontal="left" vertical="center" wrapText="1" indent="2"/>
    </xf>
    <xf numFmtId="0" fontId="26" fillId="23" borderId="0" applyNumberFormat="0" applyBorder="0" applyAlignment="0" applyProtection="0"/>
    <xf numFmtId="0" fontId="26" fillId="18" borderId="0" applyNumberFormat="0" applyBorder="0" applyAlignment="0" applyProtection="0"/>
    <xf numFmtId="0" fontId="58" fillId="43" borderId="205" applyNumberFormat="0" applyAlignment="0" applyProtection="0"/>
    <xf numFmtId="0" fontId="50" fillId="0" borderId="206" applyNumberFormat="0" applyFill="0" applyAlignment="0" applyProtection="0"/>
    <xf numFmtId="0" fontId="40" fillId="59" borderId="191" applyNumberFormat="0" applyFont="0" applyAlignment="0" applyProtection="0"/>
    <xf numFmtId="0" fontId="58" fillId="43" borderId="197" applyNumberFormat="0" applyAlignment="0" applyProtection="0"/>
    <xf numFmtId="4" fontId="32" fillId="32" borderId="211">
      <alignment horizontal="right" vertical="center"/>
    </xf>
    <xf numFmtId="4" fontId="34" fillId="33" borderId="192"/>
    <xf numFmtId="0" fontId="46" fillId="56" borderId="197" applyNumberFormat="0" applyAlignment="0" applyProtection="0"/>
    <xf numFmtId="0" fontId="58" fillId="43" borderId="197" applyNumberFormat="0" applyAlignment="0" applyProtection="0"/>
    <xf numFmtId="4" fontId="32" fillId="34" borderId="192">
      <alignment horizontal="right" vertical="center"/>
    </xf>
    <xf numFmtId="0" fontId="50" fillId="0" borderId="198" applyNumberFormat="0" applyFill="0" applyAlignment="0" applyProtection="0"/>
    <xf numFmtId="0" fontId="12" fillId="19" borderId="0" applyNumberFormat="0" applyBorder="0" applyAlignment="0" applyProtection="0"/>
    <xf numFmtId="0" fontId="26" fillId="29" borderId="0" applyNumberFormat="0" applyBorder="0" applyAlignment="0" applyProtection="0"/>
    <xf numFmtId="4" fontId="34" fillId="0" borderId="200">
      <alignment horizontal="right" vertical="center"/>
    </xf>
    <xf numFmtId="0" fontId="26" fillId="14" borderId="0" applyNumberFormat="0" applyBorder="0" applyAlignment="0" applyProtection="0"/>
    <xf numFmtId="4" fontId="32" fillId="34" borderId="211">
      <alignment horizontal="right" vertical="center"/>
    </xf>
    <xf numFmtId="0" fontId="46" fillId="56" borderId="205" applyNumberFormat="0" applyAlignment="0" applyProtection="0"/>
    <xf numFmtId="0" fontId="49" fillId="43" borderId="197" applyNumberFormat="0" applyAlignment="0" applyProtection="0"/>
    <xf numFmtId="0" fontId="65" fillId="0" borderId="206" applyNumberFormat="0" applyFill="0" applyAlignment="0" applyProtection="0"/>
    <xf numFmtId="0" fontId="32" fillId="34" borderId="202">
      <alignment horizontal="right" vertical="center"/>
    </xf>
    <xf numFmtId="4" fontId="32" fillId="34" borderId="200">
      <alignment horizontal="right" vertical="center"/>
    </xf>
    <xf numFmtId="4" fontId="32" fillId="32" borderId="200">
      <alignment horizontal="right" vertical="center"/>
    </xf>
    <xf numFmtId="0" fontId="34" fillId="34" borderId="195">
      <alignment horizontal="left" vertical="center" wrapText="1" indent="2"/>
    </xf>
    <xf numFmtId="0" fontId="50" fillId="0" borderId="206" applyNumberFormat="0" applyFill="0" applyAlignment="0" applyProtection="0"/>
    <xf numFmtId="0" fontId="62" fillId="56" borderId="196" applyNumberFormat="0" applyAlignment="0" applyProtection="0"/>
    <xf numFmtId="0" fontId="58" fillId="43" borderId="197" applyNumberFormat="0" applyAlignment="0" applyProtection="0"/>
    <xf numFmtId="4" fontId="32" fillId="34" borderId="192">
      <alignment horizontal="right" vertical="center"/>
    </xf>
    <xf numFmtId="0" fontId="34" fillId="33" borderId="192"/>
    <xf numFmtId="0" fontId="34" fillId="0" borderId="203">
      <alignment horizontal="left" vertical="center" wrapText="1" indent="2"/>
    </xf>
    <xf numFmtId="0" fontId="34" fillId="0" borderId="195">
      <alignment horizontal="left" vertical="center" wrapText="1" indent="2"/>
    </xf>
    <xf numFmtId="0" fontId="50" fillId="0" borderId="209" applyNumberFormat="0" applyFill="0" applyAlignment="0" applyProtection="0"/>
    <xf numFmtId="0" fontId="12" fillId="25" borderId="0" applyNumberFormat="0" applyBorder="0" applyAlignment="0" applyProtection="0"/>
    <xf numFmtId="0" fontId="34" fillId="33" borderId="200"/>
    <xf numFmtId="0" fontId="34" fillId="0" borderId="200" applyNumberFormat="0" applyFill="0" applyAlignment="0" applyProtection="0"/>
    <xf numFmtId="0" fontId="45" fillId="56" borderId="197" applyNumberFormat="0" applyAlignment="0" applyProtection="0"/>
    <xf numFmtId="4" fontId="32" fillId="34" borderId="202">
      <alignment horizontal="right" vertical="center"/>
    </xf>
    <xf numFmtId="0" fontId="26" fillId="20" borderId="0" applyNumberFormat="0" applyBorder="0" applyAlignment="0" applyProtection="0"/>
    <xf numFmtId="4" fontId="32" fillId="32" borderId="192">
      <alignment horizontal="right" vertical="center"/>
    </xf>
    <xf numFmtId="0" fontId="32" fillId="32" borderId="192">
      <alignment horizontal="right" vertical="center"/>
    </xf>
    <xf numFmtId="0" fontId="32" fillId="34" borderId="192">
      <alignment horizontal="right" vertical="center"/>
    </xf>
    <xf numFmtId="4" fontId="34" fillId="0" borderId="211" applyFill="0" applyBorder="0" applyProtection="0">
      <alignment horizontal="right" vertical="center"/>
    </xf>
    <xf numFmtId="4" fontId="32" fillId="34" borderId="201">
      <alignment horizontal="right" vertical="center"/>
    </xf>
    <xf numFmtId="0" fontId="26" fillId="30" borderId="0" applyNumberFormat="0" applyBorder="0" applyAlignment="0" applyProtection="0"/>
    <xf numFmtId="0" fontId="62" fillId="56" borderId="196" applyNumberFormat="0" applyAlignment="0" applyProtection="0"/>
    <xf numFmtId="0" fontId="26" fillId="20" borderId="0" applyNumberFormat="0" applyBorder="0" applyAlignment="0" applyProtection="0"/>
    <xf numFmtId="49" fontId="34" fillId="0" borderId="192" applyNumberFormat="0" applyFont="0" applyFill="0" applyBorder="0" applyProtection="0">
      <alignment horizontal="left" vertical="center" indent="2"/>
    </xf>
    <xf numFmtId="0" fontId="40" fillId="59" borderId="191" applyNumberFormat="0" applyFont="0" applyAlignment="0" applyProtection="0"/>
    <xf numFmtId="173" fontId="34" fillId="60" borderId="192" applyNumberFormat="0" applyFont="0" applyBorder="0" applyAlignment="0" applyProtection="0">
      <alignment horizontal="right" vertical="center"/>
    </xf>
    <xf numFmtId="0" fontId="58" fillId="43" borderId="197" applyNumberFormat="0" applyAlignment="0" applyProtection="0"/>
    <xf numFmtId="0" fontId="32" fillId="34" borderId="192">
      <alignment horizontal="right" vertical="center"/>
    </xf>
    <xf numFmtId="0" fontId="34" fillId="33" borderId="192"/>
    <xf numFmtId="0" fontId="62" fillId="56" borderId="196" applyNumberFormat="0" applyAlignment="0" applyProtection="0"/>
    <xf numFmtId="0" fontId="46" fillId="56" borderId="197" applyNumberFormat="0" applyAlignment="0" applyProtection="0"/>
    <xf numFmtId="0" fontId="45" fillId="56" borderId="197" applyNumberFormat="0" applyAlignment="0" applyProtection="0"/>
    <xf numFmtId="0" fontId="49" fillId="43" borderId="197" applyNumberFormat="0" applyAlignment="0" applyProtection="0"/>
    <xf numFmtId="0" fontId="49" fillId="43" borderId="197" applyNumberFormat="0" applyAlignment="0" applyProtection="0"/>
    <xf numFmtId="0" fontId="34" fillId="0" borderId="195">
      <alignment horizontal="left" vertical="center" wrapText="1" indent="2"/>
    </xf>
    <xf numFmtId="4" fontId="32" fillId="34" borderId="193">
      <alignment horizontal="right" vertical="center"/>
    </xf>
    <xf numFmtId="4" fontId="34" fillId="0" borderId="192">
      <alignment horizontal="right" vertical="center"/>
    </xf>
    <xf numFmtId="49" fontId="33" fillId="0" borderId="192" applyNumberFormat="0" applyFill="0" applyBorder="0" applyProtection="0">
      <alignment horizontal="left" vertical="center"/>
    </xf>
    <xf numFmtId="4" fontId="34" fillId="0" borderId="192">
      <alignment horizontal="right" vertical="center"/>
    </xf>
    <xf numFmtId="0" fontId="62" fillId="56" borderId="196" applyNumberFormat="0" applyAlignment="0" applyProtection="0"/>
    <xf numFmtId="0" fontId="45" fillId="56" borderId="205" applyNumberFormat="0" applyAlignment="0" applyProtection="0"/>
    <xf numFmtId="0" fontId="32" fillId="34" borderId="212">
      <alignment horizontal="right" vertical="center"/>
    </xf>
    <xf numFmtId="0" fontId="34" fillId="32" borderId="201">
      <alignment horizontal="left" vertical="center"/>
    </xf>
    <xf numFmtId="0" fontId="26" fillId="15" borderId="0" applyNumberFormat="0" applyBorder="0" applyAlignment="0" applyProtection="0"/>
    <xf numFmtId="0" fontId="34" fillId="0" borderId="195">
      <alignment horizontal="left" vertical="center" wrapText="1" indent="2"/>
    </xf>
    <xf numFmtId="0" fontId="12" fillId="22" borderId="0" applyNumberFormat="0" applyBorder="0" applyAlignment="0" applyProtection="0"/>
    <xf numFmtId="4" fontId="32" fillId="34" borderId="200">
      <alignment horizontal="right" vertical="center"/>
    </xf>
    <xf numFmtId="0" fontId="34" fillId="34" borderId="203">
      <alignment horizontal="left" vertical="center" wrapText="1" indent="2"/>
    </xf>
    <xf numFmtId="49" fontId="34" fillId="0" borderId="200" applyNumberFormat="0" applyFont="0" applyFill="0" applyBorder="0" applyProtection="0">
      <alignment horizontal="left" vertical="center" indent="2"/>
    </xf>
    <xf numFmtId="0" fontId="65" fillId="0" borderId="209" applyNumberFormat="0" applyFill="0" applyAlignment="0" applyProtection="0"/>
    <xf numFmtId="0" fontId="34" fillId="34" borderId="214">
      <alignment horizontal="left" vertical="center" wrapText="1" indent="2"/>
    </xf>
    <xf numFmtId="0" fontId="36" fillId="32" borderId="200">
      <alignment horizontal="right" vertical="center"/>
    </xf>
    <xf numFmtId="0" fontId="40" fillId="59" borderId="191" applyNumberFormat="0" applyFont="0" applyAlignment="0" applyProtection="0"/>
    <xf numFmtId="0" fontId="32" fillId="32" borderId="192">
      <alignment horizontal="right" vertical="center"/>
    </xf>
    <xf numFmtId="0" fontId="12" fillId="19" borderId="0" applyNumberFormat="0" applyBorder="0" applyAlignment="0" applyProtection="0"/>
    <xf numFmtId="0" fontId="34" fillId="0" borderId="192" applyNumberFormat="0" applyFill="0" applyAlignment="0" applyProtection="0"/>
    <xf numFmtId="49" fontId="33" fillId="0" borderId="192" applyNumberFormat="0" applyFill="0" applyBorder="0" applyProtection="0">
      <alignment horizontal="left" vertical="center"/>
    </xf>
    <xf numFmtId="0" fontId="34" fillId="0" borderId="192">
      <alignment horizontal="right" vertical="center"/>
    </xf>
    <xf numFmtId="0" fontId="12" fillId="19" borderId="0" applyNumberFormat="0" applyBorder="0" applyAlignment="0" applyProtection="0"/>
    <xf numFmtId="4" fontId="32" fillId="34" borderId="200">
      <alignment horizontal="right" vertical="center"/>
    </xf>
    <xf numFmtId="0" fontId="32" fillId="34" borderId="200">
      <alignment horizontal="right" vertical="center"/>
    </xf>
    <xf numFmtId="4" fontId="32" fillId="32" borderId="192">
      <alignment horizontal="right" vertical="center"/>
    </xf>
    <xf numFmtId="0" fontId="46" fillId="56" borderId="197" applyNumberFormat="0" applyAlignment="0" applyProtection="0"/>
    <xf numFmtId="0" fontId="32" fillId="34" borderId="194">
      <alignment horizontal="right" vertical="center"/>
    </xf>
    <xf numFmtId="4" fontId="32" fillId="32" borderId="192">
      <alignment horizontal="right" vertical="center"/>
    </xf>
    <xf numFmtId="0" fontId="32" fillId="34" borderId="192">
      <alignment horizontal="right" vertical="center"/>
    </xf>
    <xf numFmtId="0" fontId="46" fillId="56" borderId="197" applyNumberFormat="0" applyAlignment="0" applyProtection="0"/>
    <xf numFmtId="0" fontId="65" fillId="0" borderId="206" applyNumberFormat="0" applyFill="0" applyAlignment="0" applyProtection="0"/>
    <xf numFmtId="0" fontId="28" fillId="13" borderId="14" applyNumberFormat="0" applyAlignment="0" applyProtection="0"/>
    <xf numFmtId="4" fontId="34" fillId="0" borderId="192" applyFill="0" applyBorder="0" applyProtection="0">
      <alignment horizontal="right" vertical="center"/>
    </xf>
    <xf numFmtId="0" fontId="40" fillId="59" borderId="191" applyNumberFormat="0" applyFont="0" applyAlignment="0" applyProtection="0"/>
    <xf numFmtId="49" fontId="34" fillId="0" borderId="200" applyNumberFormat="0" applyFont="0" applyFill="0" applyBorder="0" applyProtection="0">
      <alignment horizontal="left" vertical="center" indent="2"/>
    </xf>
    <xf numFmtId="49" fontId="34" fillId="0" borderId="200" applyNumberFormat="0" applyFont="0" applyFill="0" applyBorder="0" applyProtection="0">
      <alignment horizontal="left" vertical="center" indent="2"/>
    </xf>
    <xf numFmtId="0" fontId="26" fillId="21" borderId="0" applyNumberFormat="0" applyBorder="0" applyAlignment="0" applyProtection="0"/>
    <xf numFmtId="0" fontId="32" fillId="34" borderId="200">
      <alignment horizontal="right" vertical="center"/>
    </xf>
    <xf numFmtId="0" fontId="5" fillId="59" borderId="199" applyNumberFormat="0" applyFont="0" applyAlignment="0" applyProtection="0"/>
    <xf numFmtId="0" fontId="32" fillId="32" borderId="192">
      <alignment horizontal="right" vertical="center"/>
    </xf>
    <xf numFmtId="0" fontId="50" fillId="0" borderId="198" applyNumberFormat="0" applyFill="0" applyAlignment="0" applyProtection="0"/>
    <xf numFmtId="0" fontId="34" fillId="0" borderId="192" applyNumberFormat="0" applyFill="0" applyAlignment="0" applyProtection="0"/>
    <xf numFmtId="0" fontId="50" fillId="0" borderId="198" applyNumberFormat="0" applyFill="0" applyAlignment="0" applyProtection="0"/>
    <xf numFmtId="4" fontId="34" fillId="0" borderId="192" applyFill="0" applyBorder="0" applyProtection="0">
      <alignment horizontal="right" vertical="center"/>
    </xf>
    <xf numFmtId="49" fontId="34" fillId="0" borderId="193" applyNumberFormat="0" applyFont="0" applyFill="0" applyBorder="0" applyProtection="0">
      <alignment horizontal="left" vertical="center" indent="5"/>
    </xf>
    <xf numFmtId="0" fontId="34" fillId="0" borderId="192" applyNumberFormat="0" applyFill="0" applyAlignment="0" applyProtection="0"/>
    <xf numFmtId="0" fontId="32" fillId="34" borderId="200">
      <alignment horizontal="right" vertical="center"/>
    </xf>
    <xf numFmtId="0" fontId="34" fillId="0" borderId="192" applyNumberFormat="0" applyFill="0" applyAlignment="0" applyProtection="0"/>
    <xf numFmtId="0" fontId="43" fillId="56" borderId="215" applyNumberFormat="0" applyAlignment="0" applyProtection="0"/>
    <xf numFmtId="0" fontId="34" fillId="0" borderId="200" applyNumberFormat="0" applyFill="0" applyAlignment="0" applyProtection="0"/>
    <xf numFmtId="4" fontId="32" fillId="34" borderId="192">
      <alignment horizontal="right" vertical="center"/>
    </xf>
    <xf numFmtId="173" fontId="34" fillId="60" borderId="200" applyNumberFormat="0" applyFont="0" applyBorder="0" applyAlignment="0" applyProtection="0">
      <alignment horizontal="right" vertical="center"/>
    </xf>
    <xf numFmtId="0" fontId="32" fillId="34" borderId="211">
      <alignment horizontal="right" vertical="center"/>
    </xf>
    <xf numFmtId="0" fontId="12" fillId="22" borderId="0" applyNumberFormat="0" applyBorder="0" applyAlignment="0" applyProtection="0"/>
    <xf numFmtId="0" fontId="65" fillId="0" borderId="209" applyNumberFormat="0" applyFill="0" applyAlignment="0" applyProtection="0"/>
    <xf numFmtId="0" fontId="49" fillId="43" borderId="197" applyNumberFormat="0" applyAlignment="0" applyProtection="0"/>
    <xf numFmtId="0" fontId="46" fillId="56" borderId="197" applyNumberFormat="0" applyAlignment="0" applyProtection="0"/>
    <xf numFmtId="4" fontId="34" fillId="0" borderId="192">
      <alignment horizontal="right" vertical="center"/>
    </xf>
    <xf numFmtId="0" fontId="34" fillId="34" borderId="195">
      <alignment horizontal="left" vertical="center" wrapText="1" indent="2"/>
    </xf>
    <xf numFmtId="0" fontId="34" fillId="0" borderId="195">
      <alignment horizontal="left" vertical="center" wrapText="1" indent="2"/>
    </xf>
    <xf numFmtId="0" fontId="62" fillId="56" borderId="196" applyNumberFormat="0" applyAlignment="0" applyProtection="0"/>
    <xf numFmtId="0" fontId="58" fillId="43" borderId="197" applyNumberFormat="0" applyAlignment="0" applyProtection="0"/>
    <xf numFmtId="0" fontId="45" fillId="56" borderId="197" applyNumberFormat="0" applyAlignment="0" applyProtection="0"/>
    <xf numFmtId="0" fontId="43" fillId="56" borderId="196" applyNumberFormat="0" applyAlignment="0" applyProtection="0"/>
    <xf numFmtId="0" fontId="32" fillId="34" borderId="194">
      <alignment horizontal="right" vertical="center"/>
    </xf>
    <xf numFmtId="0" fontId="36" fillId="32" borderId="192">
      <alignment horizontal="right" vertical="center"/>
    </xf>
    <xf numFmtId="4" fontId="32" fillId="32" borderId="192">
      <alignment horizontal="right" vertical="center"/>
    </xf>
    <xf numFmtId="4" fontId="32" fillId="34" borderId="192">
      <alignment horizontal="right" vertical="center"/>
    </xf>
    <xf numFmtId="49" fontId="34" fillId="0" borderId="193" applyNumberFormat="0" applyFont="0" applyFill="0" applyBorder="0" applyProtection="0">
      <alignment horizontal="left" vertical="center" indent="5"/>
    </xf>
    <xf numFmtId="4" fontId="34" fillId="0" borderId="192" applyFill="0" applyBorder="0" applyProtection="0">
      <alignment horizontal="right" vertical="center"/>
    </xf>
    <xf numFmtId="4" fontId="32" fillId="32" borderId="192">
      <alignment horizontal="right" vertical="center"/>
    </xf>
    <xf numFmtId="0" fontId="58" fillId="43" borderId="197" applyNumberFormat="0" applyAlignment="0" applyProtection="0"/>
    <xf numFmtId="0" fontId="49" fillId="43" borderId="197" applyNumberFormat="0" applyAlignment="0" applyProtection="0"/>
    <xf numFmtId="0" fontId="45" fillId="56" borderId="197" applyNumberFormat="0" applyAlignment="0" applyProtection="0"/>
    <xf numFmtId="0" fontId="34" fillId="34" borderId="195">
      <alignment horizontal="left" vertical="center" wrapText="1" indent="2"/>
    </xf>
    <xf numFmtId="0" fontId="34" fillId="0" borderId="195">
      <alignment horizontal="left" vertical="center" wrapText="1" indent="2"/>
    </xf>
    <xf numFmtId="0" fontId="34" fillId="34" borderId="195">
      <alignment horizontal="left" vertical="center" wrapText="1" indent="2"/>
    </xf>
    <xf numFmtId="0" fontId="32" fillId="32" borderId="200">
      <alignment horizontal="right" vertical="center"/>
    </xf>
    <xf numFmtId="0" fontId="58" fillId="43" borderId="205" applyNumberFormat="0" applyAlignment="0" applyProtection="0"/>
    <xf numFmtId="0" fontId="62" fillId="56" borderId="204" applyNumberFormat="0" applyAlignment="0" applyProtection="0"/>
    <xf numFmtId="0" fontId="65" fillId="0" borderId="206" applyNumberFormat="0" applyFill="0" applyAlignment="0" applyProtection="0"/>
    <xf numFmtId="4" fontId="34" fillId="33" borderId="211"/>
    <xf numFmtId="4" fontId="34" fillId="0" borderId="200" applyFill="0" applyBorder="0" applyProtection="0">
      <alignment horizontal="right" vertical="center"/>
    </xf>
    <xf numFmtId="0" fontId="32" fillId="34" borderId="200">
      <alignment horizontal="right" vertical="center"/>
    </xf>
    <xf numFmtId="0" fontId="46" fillId="56" borderId="205" applyNumberFormat="0" applyAlignment="0" applyProtection="0"/>
    <xf numFmtId="0" fontId="65" fillId="0" borderId="206" applyNumberFormat="0" applyFill="0" applyAlignment="0" applyProtection="0"/>
    <xf numFmtId="4" fontId="36" fillId="32" borderId="200">
      <alignment horizontal="right" vertical="center"/>
    </xf>
    <xf numFmtId="0" fontId="32" fillId="34" borderId="200">
      <alignment horizontal="right" vertical="center"/>
    </xf>
    <xf numFmtId="0" fontId="62" fillId="56" borderId="204" applyNumberFormat="0" applyAlignment="0" applyProtection="0"/>
    <xf numFmtId="0" fontId="32" fillId="34" borderId="200">
      <alignment horizontal="right" vertical="center"/>
    </xf>
    <xf numFmtId="173" fontId="34" fillId="60" borderId="200" applyNumberFormat="0" applyFont="0" applyBorder="0" applyAlignment="0" applyProtection="0">
      <alignment horizontal="right" vertical="center"/>
    </xf>
    <xf numFmtId="4" fontId="36" fillId="32" borderId="200">
      <alignment horizontal="right" vertical="center"/>
    </xf>
    <xf numFmtId="49" fontId="34" fillId="0" borderId="200" applyNumberFormat="0" applyFont="0" applyFill="0" applyBorder="0" applyProtection="0">
      <alignment horizontal="left" vertical="center" indent="2"/>
    </xf>
    <xf numFmtId="0" fontId="40" fillId="59" borderId="210" applyNumberFormat="0" applyFont="0" applyAlignment="0" applyProtection="0"/>
    <xf numFmtId="0" fontId="58" fillId="43" borderId="208" applyNumberFormat="0" applyAlignment="0" applyProtection="0"/>
    <xf numFmtId="49" fontId="33" fillId="0" borderId="211" applyNumberFormat="0" applyFill="0" applyBorder="0" applyProtection="0">
      <alignment horizontal="left" vertical="center"/>
    </xf>
    <xf numFmtId="0" fontId="26" fillId="18" borderId="0" applyNumberFormat="0" applyBorder="0" applyAlignment="0" applyProtection="0"/>
    <xf numFmtId="0" fontId="26" fillId="30" borderId="0" applyNumberFormat="0" applyBorder="0" applyAlignment="0" applyProtection="0"/>
    <xf numFmtId="4" fontId="32" fillId="34" borderId="211">
      <alignment horizontal="right" vertical="center"/>
    </xf>
    <xf numFmtId="0" fontId="26" fillId="23" borderId="0" applyNumberFormat="0" applyBorder="0" applyAlignment="0" applyProtection="0"/>
    <xf numFmtId="0" fontId="12" fillId="28" borderId="0" applyNumberFormat="0" applyBorder="0" applyAlignment="0" applyProtection="0"/>
    <xf numFmtId="0" fontId="26" fillId="15" borderId="0" applyNumberFormat="0" applyBorder="0" applyAlignment="0" applyProtection="0"/>
    <xf numFmtId="0" fontId="12" fillId="16" borderId="0" applyNumberFormat="0" applyBorder="0" applyAlignment="0" applyProtection="0"/>
    <xf numFmtId="0" fontId="36" fillId="32" borderId="211">
      <alignment horizontal="right" vertical="center"/>
    </xf>
    <xf numFmtId="0" fontId="46" fillId="56" borderId="208" applyNumberFormat="0" applyAlignment="0" applyProtection="0"/>
    <xf numFmtId="0" fontId="65" fillId="0" borderId="209" applyNumberFormat="0" applyFill="0" applyAlignment="0" applyProtection="0"/>
    <xf numFmtId="0" fontId="45" fillId="56" borderId="208" applyNumberFormat="0" applyAlignment="0" applyProtection="0"/>
    <xf numFmtId="0" fontId="32" fillId="32" borderId="200">
      <alignment horizontal="right" vertical="center"/>
    </xf>
    <xf numFmtId="0" fontId="58" fillId="43" borderId="205" applyNumberFormat="0" applyAlignment="0" applyProtection="0"/>
    <xf numFmtId="4" fontId="32" fillId="34" borderId="211">
      <alignment horizontal="right" vertical="center"/>
    </xf>
    <xf numFmtId="4" fontId="34" fillId="0" borderId="200" applyFill="0" applyBorder="0" applyProtection="0">
      <alignment horizontal="right" vertical="center"/>
    </xf>
    <xf numFmtId="0" fontId="50" fillId="0" borderId="209" applyNumberFormat="0" applyFill="0" applyAlignment="0" applyProtection="0"/>
    <xf numFmtId="0" fontId="65" fillId="0" borderId="209" applyNumberFormat="0" applyFill="0" applyAlignment="0" applyProtection="0"/>
    <xf numFmtId="0" fontId="34" fillId="33" borderId="200"/>
    <xf numFmtId="0" fontId="40" fillId="59" borderId="210" applyNumberFormat="0" applyFont="0" applyAlignment="0" applyProtection="0"/>
    <xf numFmtId="0" fontId="34" fillId="33" borderId="200"/>
    <xf numFmtId="173" fontId="34" fillId="60" borderId="200" applyNumberFormat="0" applyFont="0" applyBorder="0" applyAlignment="0" applyProtection="0">
      <alignment horizontal="right" vertical="center"/>
    </xf>
    <xf numFmtId="0" fontId="26" fillId="18" borderId="0" applyNumberFormat="0" applyBorder="0" applyAlignment="0" applyProtection="0"/>
    <xf numFmtId="0" fontId="32" fillId="32" borderId="200">
      <alignment horizontal="right" vertical="center"/>
    </xf>
    <xf numFmtId="0" fontId="29" fillId="13" borderId="13" applyNumberFormat="0" applyAlignment="0" applyProtection="0"/>
    <xf numFmtId="0" fontId="26" fillId="24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49" fontId="34" fillId="0" borderId="201" applyNumberFormat="0" applyFont="0" applyFill="0" applyBorder="0" applyProtection="0">
      <alignment horizontal="left" vertical="center" indent="5"/>
    </xf>
    <xf numFmtId="49" fontId="33" fillId="0" borderId="200" applyNumberFormat="0" applyFill="0" applyBorder="0" applyProtection="0">
      <alignment horizontal="left" vertical="center"/>
    </xf>
    <xf numFmtId="0" fontId="36" fillId="32" borderId="200">
      <alignment horizontal="right" vertical="center"/>
    </xf>
    <xf numFmtId="0" fontId="34" fillId="0" borderId="203">
      <alignment horizontal="left" vertical="center" wrapText="1" indent="2"/>
    </xf>
    <xf numFmtId="0" fontId="34" fillId="0" borderId="203">
      <alignment horizontal="left" vertical="center" wrapText="1" indent="2"/>
    </xf>
    <xf numFmtId="0" fontId="62" fillId="56" borderId="204" applyNumberFormat="0" applyAlignment="0" applyProtection="0"/>
    <xf numFmtId="4" fontId="32" fillId="34" borderId="212">
      <alignment horizontal="right" vertical="center"/>
    </xf>
    <xf numFmtId="4" fontId="32" fillId="34" borderId="211">
      <alignment horizontal="right" vertical="center"/>
    </xf>
    <xf numFmtId="0" fontId="65" fillId="0" borderId="206" applyNumberFormat="0" applyFill="0" applyAlignment="0" applyProtection="0"/>
    <xf numFmtId="49" fontId="34" fillId="0" borderId="211" applyNumberFormat="0" applyFont="0" applyFill="0" applyBorder="0" applyProtection="0">
      <alignment horizontal="left" vertical="center" indent="2"/>
    </xf>
    <xf numFmtId="0" fontId="32" fillId="34" borderId="212">
      <alignment horizontal="right" vertical="center"/>
    </xf>
    <xf numFmtId="0" fontId="62" fillId="56" borderId="215" applyNumberFormat="0" applyAlignment="0" applyProtection="0"/>
    <xf numFmtId="0" fontId="26" fillId="15" borderId="0" applyNumberFormat="0" applyBorder="0" applyAlignment="0" applyProtection="0"/>
    <xf numFmtId="0" fontId="62" fillId="56" borderId="204" applyNumberFormat="0" applyAlignment="0" applyProtection="0"/>
    <xf numFmtId="0" fontId="58" fillId="43" borderId="208" applyNumberFormat="0" applyAlignment="0" applyProtection="0"/>
    <xf numFmtId="0" fontId="26" fillId="21" borderId="0" applyNumberFormat="0" applyBorder="0" applyAlignment="0" applyProtection="0"/>
    <xf numFmtId="0" fontId="58" fillId="43" borderId="205" applyNumberFormat="0" applyAlignment="0" applyProtection="0"/>
    <xf numFmtId="0" fontId="43" fillId="56" borderId="204" applyNumberFormat="0" applyAlignment="0" applyProtection="0"/>
    <xf numFmtId="0" fontId="12" fillId="22" borderId="0" applyNumberFormat="0" applyBorder="0" applyAlignment="0" applyProtection="0"/>
    <xf numFmtId="0" fontId="26" fillId="21" borderId="0" applyNumberFormat="0" applyBorder="0" applyAlignment="0" applyProtection="0"/>
    <xf numFmtId="0" fontId="32" fillId="32" borderId="200">
      <alignment horizontal="right" vertical="center"/>
    </xf>
    <xf numFmtId="0" fontId="45" fillId="56" borderId="205" applyNumberFormat="0" applyAlignment="0" applyProtection="0"/>
    <xf numFmtId="49" fontId="33" fillId="0" borderId="200" applyNumberFormat="0" applyFill="0" applyBorder="0" applyProtection="0">
      <alignment horizontal="left" vertical="center"/>
    </xf>
    <xf numFmtId="0" fontId="12" fillId="31" borderId="0" applyNumberFormat="0" applyBorder="0" applyAlignment="0" applyProtection="0"/>
    <xf numFmtId="0" fontId="65" fillId="0" borderId="206" applyNumberFormat="0" applyFill="0" applyAlignment="0" applyProtection="0"/>
    <xf numFmtId="4" fontId="36" fillId="32" borderId="200">
      <alignment horizontal="right" vertical="center"/>
    </xf>
    <xf numFmtId="0" fontId="5" fillId="59" borderId="199" applyNumberFormat="0" applyFont="0" applyAlignment="0" applyProtection="0"/>
    <xf numFmtId="4" fontId="34" fillId="0" borderId="200">
      <alignment horizontal="right" vertical="center"/>
    </xf>
    <xf numFmtId="0" fontId="32" fillId="34" borderId="213">
      <alignment horizontal="right" vertical="center"/>
    </xf>
    <xf numFmtId="0" fontId="26" fillId="20" borderId="0" applyNumberFormat="0" applyBorder="0" applyAlignment="0" applyProtection="0"/>
    <xf numFmtId="0" fontId="50" fillId="0" borderId="206" applyNumberFormat="0" applyFill="0" applyAlignment="0" applyProtection="0"/>
    <xf numFmtId="0" fontId="65" fillId="0" borderId="206" applyNumberFormat="0" applyFill="0" applyAlignment="0" applyProtection="0"/>
    <xf numFmtId="0" fontId="12" fillId="19" borderId="0" applyNumberFormat="0" applyBorder="0" applyAlignment="0" applyProtection="0"/>
    <xf numFmtId="0" fontId="46" fillId="56" borderId="205" applyNumberFormat="0" applyAlignment="0" applyProtection="0"/>
    <xf numFmtId="49" fontId="34" fillId="0" borderId="201" applyNumberFormat="0" applyFont="0" applyFill="0" applyBorder="0" applyProtection="0">
      <alignment horizontal="left" vertical="center" indent="5"/>
    </xf>
    <xf numFmtId="0" fontId="65" fillId="0" borderId="206" applyNumberFormat="0" applyFill="0" applyAlignment="0" applyProtection="0"/>
    <xf numFmtId="0" fontId="26" fillId="23" borderId="0" applyNumberFormat="0" applyBorder="0" applyAlignment="0" applyProtection="0"/>
    <xf numFmtId="0" fontId="34" fillId="0" borderId="214">
      <alignment horizontal="left" vertical="center" wrapText="1" indent="2"/>
    </xf>
    <xf numFmtId="4" fontId="36" fillId="32" borderId="211">
      <alignment horizontal="right" vertical="center"/>
    </xf>
    <xf numFmtId="0" fontId="40" fillId="59" borderId="199" applyNumberFormat="0" applyFont="0" applyAlignment="0" applyProtection="0"/>
    <xf numFmtId="4" fontId="34" fillId="33" borderId="211"/>
    <xf numFmtId="0" fontId="58" fillId="43" borderId="205" applyNumberFormat="0" applyAlignment="0" applyProtection="0"/>
    <xf numFmtId="4" fontId="32" fillId="34" borderId="202">
      <alignment horizontal="right" vertical="center"/>
    </xf>
    <xf numFmtId="0" fontId="12" fillId="25" borderId="0" applyNumberFormat="0" applyBorder="0" applyAlignment="0" applyProtection="0"/>
    <xf numFmtId="4" fontId="34" fillId="0" borderId="200">
      <alignment horizontal="right" vertical="center"/>
    </xf>
    <xf numFmtId="0" fontId="58" fillId="43" borderId="205" applyNumberFormat="0" applyAlignment="0" applyProtection="0"/>
    <xf numFmtId="0" fontId="26" fillId="17" borderId="0" applyNumberFormat="0" applyBorder="0" applyAlignment="0" applyProtection="0"/>
    <xf numFmtId="0" fontId="50" fillId="0" borderId="206" applyNumberFormat="0" applyFill="0" applyAlignment="0" applyProtection="0"/>
    <xf numFmtId="0" fontId="12" fillId="28" borderId="0" applyNumberFormat="0" applyBorder="0" applyAlignment="0" applyProtection="0"/>
    <xf numFmtId="0" fontId="65" fillId="0" borderId="206" applyNumberFormat="0" applyFill="0" applyAlignment="0" applyProtection="0"/>
    <xf numFmtId="0" fontId="26" fillId="26" borderId="0" applyNumberFormat="0" applyBorder="0" applyAlignment="0" applyProtection="0"/>
    <xf numFmtId="173" fontId="34" fillId="60" borderId="200" applyNumberFormat="0" applyFont="0" applyBorder="0" applyAlignment="0" applyProtection="0">
      <alignment horizontal="right" vertical="center"/>
    </xf>
    <xf numFmtId="0" fontId="43" fillId="56" borderId="215" applyNumberFormat="0" applyAlignment="0" applyProtection="0"/>
    <xf numFmtId="0" fontId="34" fillId="0" borderId="203">
      <alignment horizontal="left" vertical="center" wrapText="1" indent="2"/>
    </xf>
    <xf numFmtId="0" fontId="49" fillId="43" borderId="208" applyNumberFormat="0" applyAlignment="0" applyProtection="0"/>
    <xf numFmtId="0" fontId="34" fillId="33" borderId="200"/>
    <xf numFmtId="0" fontId="34" fillId="0" borderId="214">
      <alignment horizontal="left" vertical="center" wrapText="1" indent="2"/>
    </xf>
    <xf numFmtId="0" fontId="34" fillId="34" borderId="203">
      <alignment horizontal="left" vertical="center" wrapText="1" indent="2"/>
    </xf>
    <xf numFmtId="0" fontId="43" fillId="56" borderId="215" applyNumberFormat="0" applyAlignment="0" applyProtection="0"/>
    <xf numFmtId="173" fontId="34" fillId="60" borderId="200" applyNumberFormat="0" applyFont="0" applyBorder="0" applyAlignment="0" applyProtection="0">
      <alignment horizontal="right" vertical="center"/>
    </xf>
    <xf numFmtId="4" fontId="34" fillId="0" borderId="200">
      <alignment horizontal="right" vertical="center"/>
    </xf>
    <xf numFmtId="0" fontId="46" fillId="56" borderId="205" applyNumberFormat="0" applyAlignment="0" applyProtection="0"/>
    <xf numFmtId="0" fontId="12" fillId="25" borderId="0" applyNumberFormat="0" applyBorder="0" applyAlignment="0" applyProtection="0"/>
    <xf numFmtId="0" fontId="34" fillId="0" borderId="203">
      <alignment horizontal="left" vertical="center" wrapText="1" indent="2"/>
    </xf>
    <xf numFmtId="0" fontId="12" fillId="22" borderId="0" applyNumberFormat="0" applyBorder="0" applyAlignment="0" applyProtection="0"/>
    <xf numFmtId="0" fontId="62" fillId="56" borderId="215" applyNumberFormat="0" applyAlignment="0" applyProtection="0"/>
    <xf numFmtId="0" fontId="43" fillId="56" borderId="204" applyNumberFormat="0" applyAlignment="0" applyProtection="0"/>
    <xf numFmtId="173" fontId="34" fillId="60" borderId="211" applyNumberFormat="0" applyFont="0" applyBorder="0" applyAlignment="0" applyProtection="0">
      <alignment horizontal="right" vertical="center"/>
    </xf>
    <xf numFmtId="4" fontId="32" fillId="34" borderId="211">
      <alignment horizontal="right" vertical="center"/>
    </xf>
    <xf numFmtId="0" fontId="65" fillId="0" borderId="209" applyNumberFormat="0" applyFill="0" applyAlignment="0" applyProtection="0"/>
    <xf numFmtId="49" fontId="34" fillId="0" borderId="201" applyNumberFormat="0" applyFont="0" applyFill="0" applyBorder="0" applyProtection="0">
      <alignment horizontal="left" vertical="center" indent="5"/>
    </xf>
    <xf numFmtId="0" fontId="34" fillId="0" borderId="211" applyNumberFormat="0" applyFill="0" applyAlignment="0" applyProtection="0"/>
    <xf numFmtId="0" fontId="65" fillId="0" borderId="206" applyNumberFormat="0" applyFill="0" applyAlignment="0" applyProtection="0"/>
    <xf numFmtId="0" fontId="34" fillId="0" borderId="203">
      <alignment horizontal="left" vertical="center" wrapText="1" indent="2"/>
    </xf>
    <xf numFmtId="0" fontId="62" fillId="56" borderId="215" applyNumberFormat="0" applyAlignment="0" applyProtection="0"/>
    <xf numFmtId="0" fontId="32" fillId="34" borderId="213">
      <alignment horizontal="right" vertical="center"/>
    </xf>
    <xf numFmtId="0" fontId="34" fillId="0" borderId="214">
      <alignment horizontal="left" vertical="center" wrapText="1" indent="2"/>
    </xf>
    <xf numFmtId="0" fontId="34" fillId="0" borderId="200">
      <alignment horizontal="right" vertical="center"/>
    </xf>
    <xf numFmtId="0" fontId="26" fillId="14" borderId="0" applyNumberFormat="0" applyBorder="0" applyAlignment="0" applyProtection="0"/>
    <xf numFmtId="0" fontId="49" fillId="43" borderId="208" applyNumberFormat="0" applyAlignment="0" applyProtection="0"/>
    <xf numFmtId="173" fontId="34" fillId="60" borderId="211" applyNumberFormat="0" applyFont="0" applyBorder="0" applyAlignment="0" applyProtection="0">
      <alignment horizontal="right" vertical="center"/>
    </xf>
    <xf numFmtId="0" fontId="32" fillId="32" borderId="211">
      <alignment horizontal="right" vertical="center"/>
    </xf>
    <xf numFmtId="0" fontId="65" fillId="0" borderId="209" applyNumberFormat="0" applyFill="0" applyAlignment="0" applyProtection="0"/>
    <xf numFmtId="0" fontId="26" fillId="26" borderId="0" applyNumberFormat="0" applyBorder="0" applyAlignment="0" applyProtection="0"/>
    <xf numFmtId="0" fontId="45" fillId="56" borderId="208" applyNumberFormat="0" applyAlignment="0" applyProtection="0"/>
    <xf numFmtId="0" fontId="26" fillId="29" borderId="0" applyNumberFormat="0" applyBorder="0" applyAlignment="0" applyProtection="0"/>
    <xf numFmtId="0" fontId="65" fillId="0" borderId="206" applyNumberFormat="0" applyFill="0" applyAlignment="0" applyProtection="0"/>
    <xf numFmtId="0" fontId="58" fillId="43" borderId="205" applyNumberFormat="0" applyAlignment="0" applyProtection="0"/>
    <xf numFmtId="0" fontId="36" fillId="32" borderId="200">
      <alignment horizontal="right" vertical="center"/>
    </xf>
    <xf numFmtId="0" fontId="2" fillId="0" borderId="15" applyNumberFormat="0" applyFill="0" applyAlignment="0" applyProtection="0"/>
    <xf numFmtId="0" fontId="62" fillId="56" borderId="204" applyNumberFormat="0" applyAlignment="0" applyProtection="0"/>
    <xf numFmtId="4" fontId="32" fillId="34" borderId="212">
      <alignment horizontal="right" vertical="center"/>
    </xf>
    <xf numFmtId="0" fontId="26" fillId="24" borderId="0" applyNumberFormat="0" applyBorder="0" applyAlignment="0" applyProtection="0"/>
    <xf numFmtId="0" fontId="45" fillId="56" borderId="208" applyNumberFormat="0" applyAlignment="0" applyProtection="0"/>
    <xf numFmtId="0" fontId="46" fillId="56" borderId="208" applyNumberFormat="0" applyAlignment="0" applyProtection="0"/>
    <xf numFmtId="0" fontId="26" fillId="20" borderId="0" applyNumberFormat="0" applyBorder="0" applyAlignment="0" applyProtection="0"/>
    <xf numFmtId="0" fontId="12" fillId="31" borderId="0" applyNumberFormat="0" applyBorder="0" applyAlignment="0" applyProtection="0"/>
    <xf numFmtId="0" fontId="65" fillId="0" borderId="209" applyNumberFormat="0" applyFill="0" applyAlignment="0" applyProtection="0"/>
    <xf numFmtId="4" fontId="32" fillId="32" borderId="200">
      <alignment horizontal="right" vertical="center"/>
    </xf>
    <xf numFmtId="0" fontId="65" fillId="0" borderId="206" applyNumberFormat="0" applyFill="0" applyAlignment="0" applyProtection="0"/>
    <xf numFmtId="4" fontId="32" fillId="34" borderId="200">
      <alignment horizontal="right" vertical="center"/>
    </xf>
    <xf numFmtId="0" fontId="34" fillId="34" borderId="203">
      <alignment horizontal="left" vertical="center" wrapText="1" indent="2"/>
    </xf>
    <xf numFmtId="0" fontId="26" fillId="21" borderId="0" applyNumberFormat="0" applyBorder="0" applyAlignment="0" applyProtection="0"/>
    <xf numFmtId="0" fontId="46" fillId="56" borderId="208" applyNumberFormat="0" applyAlignment="0" applyProtection="0"/>
    <xf numFmtId="49" fontId="34" fillId="0" borderId="211" applyNumberFormat="0" applyFont="0" applyFill="0" applyBorder="0" applyProtection="0">
      <alignment horizontal="left" vertical="center" indent="2"/>
    </xf>
    <xf numFmtId="4" fontId="32" fillId="32" borderId="211">
      <alignment horizontal="right" vertical="center"/>
    </xf>
    <xf numFmtId="0" fontId="34" fillId="0" borderId="211">
      <alignment horizontal="right" vertical="center"/>
    </xf>
    <xf numFmtId="0" fontId="34" fillId="0" borderId="214">
      <alignment horizontal="left" vertical="center" wrapText="1" indent="2"/>
    </xf>
    <xf numFmtId="4" fontId="32" fillId="34" borderId="213">
      <alignment horizontal="right" vertical="center"/>
    </xf>
    <xf numFmtId="0" fontId="26" fillId="30" borderId="0" applyNumberFormat="0" applyBorder="0" applyAlignment="0" applyProtection="0"/>
    <xf numFmtId="0" fontId="34" fillId="0" borderId="200">
      <alignment horizontal="right" vertical="center"/>
    </xf>
    <xf numFmtId="0" fontId="2" fillId="0" borderId="15" applyNumberFormat="0" applyFill="0" applyAlignment="0" applyProtection="0"/>
    <xf numFmtId="0" fontId="34" fillId="34" borderId="203">
      <alignment horizontal="left" vertical="center" wrapText="1" indent="2"/>
    </xf>
    <xf numFmtId="0" fontId="26" fillId="29" borderId="0" applyNumberFormat="0" applyBorder="0" applyAlignment="0" applyProtection="0"/>
    <xf numFmtId="0" fontId="32" fillId="34" borderId="201">
      <alignment horizontal="right" vertical="center"/>
    </xf>
    <xf numFmtId="0" fontId="40" fillId="59" borderId="199" applyNumberFormat="0" applyFont="0" applyAlignment="0" applyProtection="0"/>
    <xf numFmtId="0" fontId="32" fillId="34" borderId="211">
      <alignment horizontal="right" vertical="center"/>
    </xf>
    <xf numFmtId="0" fontId="26" fillId="29" borderId="0" applyNumberFormat="0" applyBorder="0" applyAlignment="0" applyProtection="0"/>
    <xf numFmtId="4" fontId="34" fillId="33" borderId="200"/>
    <xf numFmtId="0" fontId="49" fillId="43" borderId="205" applyNumberFormat="0" applyAlignment="0" applyProtection="0"/>
    <xf numFmtId="0" fontId="34" fillId="0" borderId="203">
      <alignment horizontal="left" vertical="center" wrapText="1" indent="2"/>
    </xf>
    <xf numFmtId="0" fontId="12" fillId="25" borderId="0" applyNumberFormat="0" applyBorder="0" applyAlignment="0" applyProtection="0"/>
    <xf numFmtId="0" fontId="50" fillId="0" borderId="206" applyNumberFormat="0" applyFill="0" applyAlignment="0" applyProtection="0"/>
    <xf numFmtId="4" fontId="32" fillId="34" borderId="200">
      <alignment horizontal="right" vertical="center"/>
    </xf>
    <xf numFmtId="0" fontId="34" fillId="0" borderId="200" applyNumberFormat="0" applyFill="0" applyAlignment="0" applyProtection="0"/>
    <xf numFmtId="0" fontId="32" fillId="32" borderId="211">
      <alignment horizontal="right" vertical="center"/>
    </xf>
    <xf numFmtId="0" fontId="34" fillId="0" borderId="200">
      <alignment horizontal="right" vertical="center"/>
    </xf>
    <xf numFmtId="0" fontId="34" fillId="0" borderId="200">
      <alignment horizontal="right" vertical="center"/>
    </xf>
    <xf numFmtId="4" fontId="32" fillId="32" borderId="200">
      <alignment horizontal="right" vertical="center"/>
    </xf>
    <xf numFmtId="4" fontId="34" fillId="33" borderId="200"/>
    <xf numFmtId="0" fontId="40" fillId="59" borderId="199" applyNumberFormat="0" applyFont="0" applyAlignment="0" applyProtection="0"/>
    <xf numFmtId="0" fontId="5" fillId="59" borderId="199" applyNumberFormat="0" applyFont="0" applyAlignment="0" applyProtection="0"/>
    <xf numFmtId="4" fontId="34" fillId="0" borderId="200" applyFill="0" applyBorder="0" applyProtection="0">
      <alignment horizontal="right" vertical="center"/>
    </xf>
    <xf numFmtId="49" fontId="34" fillId="0" borderId="200" applyNumberFormat="0" applyFont="0" applyFill="0" applyBorder="0" applyProtection="0">
      <alignment horizontal="left" vertical="center" indent="2"/>
    </xf>
    <xf numFmtId="0" fontId="26" fillId="24" borderId="0" applyNumberFormat="0" applyBorder="0" applyAlignment="0" applyProtection="0"/>
    <xf numFmtId="0" fontId="46" fillId="56" borderId="208" applyNumberFormat="0" applyAlignment="0" applyProtection="0"/>
    <xf numFmtId="0" fontId="40" fillId="59" borderId="199" applyNumberFormat="0" applyFont="0" applyAlignment="0" applyProtection="0"/>
    <xf numFmtId="0" fontId="46" fillId="56" borderId="208" applyNumberFormat="0" applyAlignment="0" applyProtection="0"/>
    <xf numFmtId="0" fontId="26" fillId="26" borderId="0" applyNumberFormat="0" applyBorder="0" applyAlignment="0" applyProtection="0"/>
    <xf numFmtId="0" fontId="26" fillId="23" borderId="0" applyNumberFormat="0" applyBorder="0" applyAlignment="0" applyProtection="0"/>
    <xf numFmtId="4" fontId="32" fillId="32" borderId="200">
      <alignment horizontal="right" vertical="center"/>
    </xf>
    <xf numFmtId="0" fontId="26" fillId="21" borderId="0" applyNumberFormat="0" applyBorder="0" applyAlignment="0" applyProtection="0"/>
    <xf numFmtId="0" fontId="49" fillId="43" borderId="208" applyNumberFormat="0" applyAlignment="0" applyProtection="0"/>
    <xf numFmtId="0" fontId="29" fillId="13" borderId="13" applyNumberFormat="0" applyAlignment="0" applyProtection="0"/>
    <xf numFmtId="49" fontId="34" fillId="0" borderId="200" applyNumberFormat="0" applyFont="0" applyFill="0" applyBorder="0" applyProtection="0">
      <alignment horizontal="left" vertical="center" indent="2"/>
    </xf>
    <xf numFmtId="0" fontId="36" fillId="32" borderId="211">
      <alignment horizontal="right" vertical="center"/>
    </xf>
    <xf numFmtId="0" fontId="32" fillId="34" borderId="213">
      <alignment horizontal="right" vertical="center"/>
    </xf>
    <xf numFmtId="0" fontId="58" fillId="43" borderId="208" applyNumberFormat="0" applyAlignment="0" applyProtection="0"/>
    <xf numFmtId="0" fontId="26" fillId="17" borderId="0" applyNumberFormat="0" applyBorder="0" applyAlignment="0" applyProtection="0"/>
    <xf numFmtId="0" fontId="36" fillId="32" borderId="200">
      <alignment horizontal="right" vertical="center"/>
    </xf>
    <xf numFmtId="0" fontId="1" fillId="0" borderId="0" applyNumberFormat="0" applyFill="0" applyBorder="0" applyAlignment="0" applyProtection="0"/>
    <xf numFmtId="0" fontId="12" fillId="25" borderId="0" applyNumberFormat="0" applyBorder="0" applyAlignment="0" applyProtection="0"/>
    <xf numFmtId="49" fontId="33" fillId="0" borderId="211" applyNumberFormat="0" applyFill="0" applyBorder="0" applyProtection="0">
      <alignment horizontal="left" vertical="center"/>
    </xf>
    <xf numFmtId="0" fontId="58" fillId="43" borderId="205" applyNumberFormat="0" applyAlignment="0" applyProtection="0"/>
    <xf numFmtId="0" fontId="34" fillId="0" borderId="211">
      <alignment horizontal="right" vertical="center"/>
    </xf>
    <xf numFmtId="0" fontId="36" fillId="32" borderId="200">
      <alignment horizontal="right" vertical="center"/>
    </xf>
    <xf numFmtId="0" fontId="65" fillId="0" borderId="209" applyNumberFormat="0" applyFill="0" applyAlignment="0" applyProtection="0"/>
    <xf numFmtId="4" fontId="34" fillId="0" borderId="200">
      <alignment horizontal="right" vertical="center"/>
    </xf>
    <xf numFmtId="0" fontId="26" fillId="17" borderId="0" applyNumberFormat="0" applyBorder="0" applyAlignment="0" applyProtection="0"/>
    <xf numFmtId="4" fontId="34" fillId="33" borderId="211"/>
    <xf numFmtId="4" fontId="36" fillId="32" borderId="200">
      <alignment horizontal="right" vertical="center"/>
    </xf>
    <xf numFmtId="0" fontId="34" fillId="0" borderId="200">
      <alignment horizontal="right" vertical="center"/>
    </xf>
    <xf numFmtId="0" fontId="49" fillId="43" borderId="208" applyNumberFormat="0" applyAlignment="0" applyProtection="0"/>
    <xf numFmtId="0" fontId="65" fillId="0" borderId="206" applyNumberFormat="0" applyFill="0" applyAlignment="0" applyProtection="0"/>
    <xf numFmtId="0" fontId="46" fillId="56" borderId="208" applyNumberFormat="0" applyAlignment="0" applyProtection="0"/>
    <xf numFmtId="0" fontId="28" fillId="13" borderId="14" applyNumberFormat="0" applyAlignment="0" applyProtection="0"/>
    <xf numFmtId="0" fontId="34" fillId="0" borderId="203">
      <alignment horizontal="left" vertical="center" wrapText="1" indent="2"/>
    </xf>
    <xf numFmtId="0" fontId="34" fillId="33" borderId="211"/>
    <xf numFmtId="4" fontId="34" fillId="33" borderId="200"/>
    <xf numFmtId="0" fontId="34" fillId="0" borderId="200" applyNumberFormat="0" applyFill="0" applyAlignment="0" applyProtection="0"/>
    <xf numFmtId="0" fontId="12" fillId="28" borderId="0" applyNumberFormat="0" applyBorder="0" applyAlignment="0" applyProtection="0"/>
    <xf numFmtId="0" fontId="34" fillId="32" borderId="201">
      <alignment horizontal="left" vertical="center"/>
    </xf>
    <xf numFmtId="0" fontId="50" fillId="0" borderId="206" applyNumberFormat="0" applyFill="0" applyAlignment="0" applyProtection="0"/>
    <xf numFmtId="0" fontId="32" fillId="34" borderId="201">
      <alignment horizontal="right" vertical="center"/>
    </xf>
    <xf numFmtId="0" fontId="34" fillId="0" borderId="214">
      <alignment horizontal="left" vertical="center" wrapText="1" indent="2"/>
    </xf>
    <xf numFmtId="0" fontId="65" fillId="0" borderId="206" applyNumberFormat="0" applyFill="0" applyAlignment="0" applyProtection="0"/>
    <xf numFmtId="0" fontId="36" fillId="32" borderId="200">
      <alignment horizontal="right" vertical="center"/>
    </xf>
    <xf numFmtId="0" fontId="5" fillId="59" borderId="199" applyNumberFormat="0" applyFont="0" applyAlignment="0" applyProtection="0"/>
    <xf numFmtId="49" fontId="34" fillId="0" borderId="200" applyNumberFormat="0" applyFont="0" applyFill="0" applyBorder="0" applyProtection="0">
      <alignment horizontal="left" vertical="center" indent="2"/>
    </xf>
    <xf numFmtId="0" fontId="46" fillId="56" borderId="205" applyNumberFormat="0" applyAlignment="0" applyProtection="0"/>
    <xf numFmtId="0" fontId="34" fillId="32" borderId="212">
      <alignment horizontal="left" vertical="center"/>
    </xf>
    <xf numFmtId="0" fontId="5" fillId="59" borderId="199" applyNumberFormat="0" applyFont="0" applyAlignment="0" applyProtection="0"/>
    <xf numFmtId="0" fontId="36" fillId="32" borderId="200">
      <alignment horizontal="right" vertical="center"/>
    </xf>
    <xf numFmtId="0" fontId="5" fillId="59" borderId="199" applyNumberFormat="0" applyFont="0" applyAlignment="0" applyProtection="0"/>
    <xf numFmtId="0" fontId="46" fillId="56" borderId="205" applyNumberFormat="0" applyAlignment="0" applyProtection="0"/>
    <xf numFmtId="4" fontId="34" fillId="33" borderId="200"/>
    <xf numFmtId="0" fontId="32" fillId="34" borderId="200">
      <alignment horizontal="right" vertical="center"/>
    </xf>
    <xf numFmtId="4" fontId="34" fillId="0" borderId="200" applyFill="0" applyBorder="0" applyProtection="0">
      <alignment horizontal="right" vertical="center"/>
    </xf>
    <xf numFmtId="49" fontId="34" fillId="0" borderId="201" applyNumberFormat="0" applyFont="0" applyFill="0" applyBorder="0" applyProtection="0">
      <alignment horizontal="left" vertical="center" indent="5"/>
    </xf>
    <xf numFmtId="49" fontId="33" fillId="0" borderId="211" applyNumberFormat="0" applyFill="0" applyBorder="0" applyProtection="0">
      <alignment horizontal="left" vertical="center"/>
    </xf>
    <xf numFmtId="0" fontId="58" fillId="43" borderId="205" applyNumberFormat="0" applyAlignment="0" applyProtection="0"/>
    <xf numFmtId="0" fontId="12" fillId="22" borderId="0" applyNumberFormat="0" applyBorder="0" applyAlignment="0" applyProtection="0"/>
    <xf numFmtId="4" fontId="32" fillId="34" borderId="201">
      <alignment horizontal="right" vertical="center"/>
    </xf>
    <xf numFmtId="0" fontId="58" fillId="43" borderId="208" applyNumberFormat="0" applyAlignment="0" applyProtection="0"/>
    <xf numFmtId="173" fontId="34" fillId="60" borderId="200" applyNumberFormat="0" applyFont="0" applyBorder="0" applyAlignment="0" applyProtection="0">
      <alignment horizontal="right" vertical="center"/>
    </xf>
    <xf numFmtId="4" fontId="36" fillId="32" borderId="200">
      <alignment horizontal="right" vertical="center"/>
    </xf>
    <xf numFmtId="0" fontId="34" fillId="34" borderId="214">
      <alignment horizontal="left" vertical="center" wrapText="1" indent="2"/>
    </xf>
    <xf numFmtId="0" fontId="34" fillId="0" borderId="200">
      <alignment horizontal="right" vertical="center"/>
    </xf>
    <xf numFmtId="0" fontId="26" fillId="27" borderId="0" applyNumberFormat="0" applyBorder="0" applyAlignment="0" applyProtection="0"/>
    <xf numFmtId="0" fontId="45" fillId="56" borderId="208" applyNumberFormat="0" applyAlignment="0" applyProtection="0"/>
    <xf numFmtId="4" fontId="32" fillId="34" borderId="213">
      <alignment horizontal="right" vertical="center"/>
    </xf>
    <xf numFmtId="0" fontId="34" fillId="0" borderId="214">
      <alignment horizontal="left" vertical="center" wrapText="1" indent="2"/>
    </xf>
    <xf numFmtId="0" fontId="46" fillId="56" borderId="205" applyNumberFormat="0" applyAlignment="0" applyProtection="0"/>
    <xf numFmtId="0" fontId="26" fillId="27" borderId="0" applyNumberFormat="0" applyBorder="0" applyAlignment="0" applyProtection="0"/>
    <xf numFmtId="49" fontId="34" fillId="0" borderId="211" applyNumberFormat="0" applyFont="0" applyFill="0" applyBorder="0" applyProtection="0">
      <alignment horizontal="left" vertical="center" indent="2"/>
    </xf>
    <xf numFmtId="4" fontId="32" fillId="34" borderId="200">
      <alignment horizontal="right" vertical="center"/>
    </xf>
    <xf numFmtId="0" fontId="34" fillId="33" borderId="200"/>
    <xf numFmtId="49" fontId="33" fillId="0" borderId="200" applyNumberFormat="0" applyFill="0" applyBorder="0" applyProtection="0">
      <alignment horizontal="left" vertical="center"/>
    </xf>
    <xf numFmtId="0" fontId="12" fillId="31" borderId="0" applyNumberFormat="0" applyBorder="0" applyAlignment="0" applyProtection="0"/>
    <xf numFmtId="49" fontId="34" fillId="0" borderId="200" applyNumberFormat="0" applyFont="0" applyFill="0" applyBorder="0" applyProtection="0">
      <alignment horizontal="left" vertical="center" indent="2"/>
    </xf>
    <xf numFmtId="4" fontId="32" fillId="34" borderId="200">
      <alignment horizontal="right" vertical="center"/>
    </xf>
    <xf numFmtId="0" fontId="26" fillId="23" borderId="0" applyNumberFormat="0" applyBorder="0" applyAlignment="0" applyProtection="0"/>
    <xf numFmtId="0" fontId="32" fillId="34" borderId="200">
      <alignment horizontal="right" vertical="center"/>
    </xf>
    <xf numFmtId="49" fontId="34" fillId="0" borderId="201" applyNumberFormat="0" applyFont="0" applyFill="0" applyBorder="0" applyProtection="0">
      <alignment horizontal="left" vertical="center" indent="5"/>
    </xf>
    <xf numFmtId="0" fontId="45" fillId="56" borderId="205" applyNumberFormat="0" applyAlignment="0" applyProtection="0"/>
    <xf numFmtId="0" fontId="29" fillId="13" borderId="13" applyNumberFormat="0" applyAlignment="0" applyProtection="0"/>
    <xf numFmtId="0" fontId="12" fillId="31" borderId="0" applyNumberFormat="0" applyBorder="0" applyAlignment="0" applyProtection="0"/>
    <xf numFmtId="4" fontId="34" fillId="0" borderId="211">
      <alignment horizontal="right" vertical="center"/>
    </xf>
    <xf numFmtId="4" fontId="34" fillId="33" borderId="211"/>
    <xf numFmtId="0" fontId="36" fillId="32" borderId="211">
      <alignment horizontal="right" vertical="center"/>
    </xf>
    <xf numFmtId="0" fontId="45" fillId="56" borderId="205" applyNumberFormat="0" applyAlignment="0" applyProtection="0"/>
    <xf numFmtId="0" fontId="12" fillId="19" borderId="0" applyNumberFormat="0" applyBorder="0" applyAlignment="0" applyProtection="0"/>
    <xf numFmtId="0" fontId="58" fillId="43" borderId="208" applyNumberFormat="0" applyAlignment="0" applyProtection="0"/>
    <xf numFmtId="0" fontId="12" fillId="16" borderId="0" applyNumberFormat="0" applyBorder="0" applyAlignment="0" applyProtection="0"/>
    <xf numFmtId="0" fontId="65" fillId="0" borderId="206" applyNumberFormat="0" applyFill="0" applyAlignment="0" applyProtection="0"/>
    <xf numFmtId="0" fontId="49" fillId="43" borderId="205" applyNumberFormat="0" applyAlignment="0" applyProtection="0"/>
    <xf numFmtId="0" fontId="32" fillId="34" borderId="200">
      <alignment horizontal="right" vertical="center"/>
    </xf>
    <xf numFmtId="4" fontId="32" fillId="34" borderId="202">
      <alignment horizontal="right" vertical="center"/>
    </xf>
    <xf numFmtId="4" fontId="34" fillId="33" borderId="200"/>
    <xf numFmtId="0" fontId="45" fillId="56" borderId="208" applyNumberFormat="0" applyAlignment="0" applyProtection="0"/>
    <xf numFmtId="0" fontId="65" fillId="0" borderId="209" applyNumberFormat="0" applyFill="0" applyAlignment="0" applyProtection="0"/>
    <xf numFmtId="173" fontId="34" fillId="60" borderId="211" applyNumberFormat="0" applyFont="0" applyBorder="0" applyAlignment="0" applyProtection="0">
      <alignment horizontal="right" vertical="center"/>
    </xf>
    <xf numFmtId="0" fontId="62" fillId="56" borderId="204" applyNumberFormat="0" applyAlignment="0" applyProtection="0"/>
    <xf numFmtId="0" fontId="12" fillId="16" borderId="0" applyNumberFormat="0" applyBorder="0" applyAlignment="0" applyProtection="0"/>
    <xf numFmtId="0" fontId="26" fillId="20" borderId="0" applyNumberFormat="0" applyBorder="0" applyAlignment="0" applyProtection="0"/>
    <xf numFmtId="0" fontId="12" fillId="31" borderId="0" applyNumberFormat="0" applyBorder="0" applyAlignment="0" applyProtection="0"/>
    <xf numFmtId="0" fontId="34" fillId="0" borderId="200">
      <alignment horizontal="right" vertical="center"/>
    </xf>
    <xf numFmtId="49" fontId="33" fillId="0" borderId="211" applyNumberFormat="0" applyFill="0" applyBorder="0" applyProtection="0">
      <alignment horizontal="left" vertical="center"/>
    </xf>
    <xf numFmtId="0" fontId="32" fillId="34" borderId="211">
      <alignment horizontal="right" vertical="center"/>
    </xf>
    <xf numFmtId="0" fontId="26" fillId="21" borderId="0" applyNumberFormat="0" applyBorder="0" applyAlignment="0" applyProtection="0"/>
    <xf numFmtId="0" fontId="62" fillId="56" borderId="215" applyNumberFormat="0" applyAlignment="0" applyProtection="0"/>
    <xf numFmtId="49" fontId="34" fillId="0" borderId="200" applyNumberFormat="0" applyFont="0" applyFill="0" applyBorder="0" applyProtection="0">
      <alignment horizontal="left" vertical="center" indent="2"/>
    </xf>
    <xf numFmtId="0" fontId="26" fillId="29" borderId="0" applyNumberFormat="0" applyBorder="0" applyAlignment="0" applyProtection="0"/>
    <xf numFmtId="0" fontId="32" fillId="32" borderId="200">
      <alignment horizontal="right" vertical="center"/>
    </xf>
    <xf numFmtId="0" fontId="49" fillId="43" borderId="208" applyNumberFormat="0" applyAlignment="0" applyProtection="0"/>
    <xf numFmtId="0" fontId="12" fillId="16" borderId="0" applyNumberFormat="0" applyBorder="0" applyAlignment="0" applyProtection="0"/>
    <xf numFmtId="0" fontId="34" fillId="32" borderId="201">
      <alignment horizontal="left" vertical="center"/>
    </xf>
    <xf numFmtId="0" fontId="30" fillId="0" borderId="0" applyNumberFormat="0" applyFill="0" applyBorder="0" applyAlignment="0" applyProtection="0"/>
    <xf numFmtId="0" fontId="26" fillId="30" borderId="0" applyNumberFormat="0" applyBorder="0" applyAlignment="0" applyProtection="0"/>
    <xf numFmtId="0" fontId="1" fillId="0" borderId="0" applyNumberFormat="0" applyFill="0" applyBorder="0" applyAlignment="0" applyProtection="0"/>
    <xf numFmtId="4" fontId="36" fillId="32" borderId="200">
      <alignment horizontal="right" vertical="center"/>
    </xf>
    <xf numFmtId="0" fontId="32" fillId="34" borderId="201">
      <alignment horizontal="right" vertical="center"/>
    </xf>
    <xf numFmtId="0" fontId="34" fillId="32" borderId="201">
      <alignment horizontal="left" vertical="center"/>
    </xf>
    <xf numFmtId="0" fontId="49" fillId="43" borderId="205" applyNumberFormat="0" applyAlignment="0" applyProtection="0"/>
    <xf numFmtId="0" fontId="49" fillId="43" borderId="205" applyNumberFormat="0" applyAlignment="0" applyProtection="0"/>
    <xf numFmtId="4" fontId="32" fillId="32" borderId="200">
      <alignment horizontal="right" vertical="center"/>
    </xf>
    <xf numFmtId="0" fontId="34" fillId="0" borderId="203">
      <alignment horizontal="left" vertical="center" wrapText="1" indent="2"/>
    </xf>
    <xf numFmtId="173" fontId="34" fillId="60" borderId="211" applyNumberFormat="0" applyFont="0" applyBorder="0" applyAlignment="0" applyProtection="0">
      <alignment horizontal="right" vertical="center"/>
    </xf>
    <xf numFmtId="0" fontId="2" fillId="0" borderId="15" applyNumberFormat="0" applyFill="0" applyAlignment="0" applyProtection="0"/>
    <xf numFmtId="0" fontId="2" fillId="0" borderId="15" applyNumberFormat="0" applyFill="0" applyAlignment="0" applyProtection="0"/>
    <xf numFmtId="0" fontId="32" fillId="34" borderId="211">
      <alignment horizontal="right" vertical="center"/>
    </xf>
    <xf numFmtId="0" fontId="2" fillId="0" borderId="15" applyNumberFormat="0" applyFill="0" applyAlignment="0" applyProtection="0"/>
    <xf numFmtId="4" fontId="32" fillId="34" borderId="212">
      <alignment horizontal="right" vertical="center"/>
    </xf>
    <xf numFmtId="0" fontId="28" fillId="13" borderId="14" applyNumberFormat="0" applyAlignment="0" applyProtection="0"/>
    <xf numFmtId="4" fontId="34" fillId="0" borderId="200" applyFill="0" applyBorder="0" applyProtection="0">
      <alignment horizontal="right" vertical="center"/>
    </xf>
    <xf numFmtId="0" fontId="40" fillId="59" borderId="199" applyNumberFormat="0" applyFont="0" applyAlignment="0" applyProtection="0"/>
    <xf numFmtId="0" fontId="46" fillId="56" borderId="208" applyNumberFormat="0" applyAlignment="0" applyProtection="0"/>
    <xf numFmtId="0" fontId="32" fillId="34" borderId="212">
      <alignment horizontal="right" vertical="center"/>
    </xf>
    <xf numFmtId="0" fontId="26" fillId="24" borderId="0" applyNumberFormat="0" applyBorder="0" applyAlignment="0" applyProtection="0"/>
    <xf numFmtId="0" fontId="32" fillId="32" borderId="200">
      <alignment horizontal="right" vertical="center"/>
    </xf>
    <xf numFmtId="0" fontId="50" fillId="0" borderId="206" applyNumberFormat="0" applyFill="0" applyAlignment="0" applyProtection="0"/>
    <xf numFmtId="0" fontId="34" fillId="0" borderId="200" applyNumberFormat="0" applyFill="0" applyAlignment="0" applyProtection="0"/>
    <xf numFmtId="0" fontId="50" fillId="0" borderId="206" applyNumberFormat="0" applyFill="0" applyAlignment="0" applyProtection="0"/>
    <xf numFmtId="4" fontId="34" fillId="0" borderId="200" applyFill="0" applyBorder="0" applyProtection="0">
      <alignment horizontal="right" vertical="center"/>
    </xf>
    <xf numFmtId="49" fontId="34" fillId="0" borderId="201" applyNumberFormat="0" applyFont="0" applyFill="0" applyBorder="0" applyProtection="0">
      <alignment horizontal="left" vertical="center" indent="5"/>
    </xf>
    <xf numFmtId="0" fontId="34" fillId="0" borderId="200" applyNumberFormat="0" applyFill="0" applyAlignment="0" applyProtection="0"/>
    <xf numFmtId="0" fontId="34" fillId="0" borderId="200" applyNumberFormat="0" applyFill="0" applyAlignment="0" applyProtection="0"/>
    <xf numFmtId="0" fontId="58" fillId="43" borderId="208" applyNumberFormat="0" applyAlignment="0" applyProtection="0"/>
    <xf numFmtId="4" fontId="32" fillId="34" borderId="200">
      <alignment horizontal="right" vertical="center"/>
    </xf>
    <xf numFmtId="0" fontId="12" fillId="28" borderId="0" applyNumberFormat="0" applyBorder="0" applyAlignment="0" applyProtection="0"/>
    <xf numFmtId="0" fontId="12" fillId="22" borderId="0" applyNumberFormat="0" applyBorder="0" applyAlignment="0" applyProtection="0"/>
    <xf numFmtId="0" fontId="49" fillId="43" borderId="205" applyNumberFormat="0" applyAlignment="0" applyProtection="0"/>
    <xf numFmtId="0" fontId="46" fillId="56" borderId="205" applyNumberFormat="0" applyAlignment="0" applyProtection="0"/>
    <xf numFmtId="4" fontId="34" fillId="0" borderId="200">
      <alignment horizontal="right" vertical="center"/>
    </xf>
    <xf numFmtId="0" fontId="34" fillId="34" borderId="203">
      <alignment horizontal="left" vertical="center" wrapText="1" indent="2"/>
    </xf>
    <xf numFmtId="0" fontId="34" fillId="0" borderId="203">
      <alignment horizontal="left" vertical="center" wrapText="1" indent="2"/>
    </xf>
    <xf numFmtId="0" fontId="62" fillId="56" borderId="204" applyNumberFormat="0" applyAlignment="0" applyProtection="0"/>
    <xf numFmtId="0" fontId="58" fillId="43" borderId="205" applyNumberFormat="0" applyAlignment="0" applyProtection="0"/>
    <xf numFmtId="0" fontId="45" fillId="56" borderId="205" applyNumberFormat="0" applyAlignment="0" applyProtection="0"/>
    <xf numFmtId="0" fontId="43" fillId="56" borderId="204" applyNumberFormat="0" applyAlignment="0" applyProtection="0"/>
    <xf numFmtId="0" fontId="32" fillId="34" borderId="202">
      <alignment horizontal="right" vertical="center"/>
    </xf>
    <xf numFmtId="0" fontId="36" fillId="32" borderId="200">
      <alignment horizontal="right" vertical="center"/>
    </xf>
    <xf numFmtId="4" fontId="32" fillId="32" borderId="200">
      <alignment horizontal="right" vertical="center"/>
    </xf>
    <xf numFmtId="4" fontId="32" fillId="34" borderId="200">
      <alignment horizontal="right" vertical="center"/>
    </xf>
    <xf numFmtId="49" fontId="34" fillId="0" borderId="201" applyNumberFormat="0" applyFont="0" applyFill="0" applyBorder="0" applyProtection="0">
      <alignment horizontal="left" vertical="center" indent="5"/>
    </xf>
    <xf numFmtId="4" fontId="34" fillId="0" borderId="200" applyFill="0" applyBorder="0" applyProtection="0">
      <alignment horizontal="right" vertical="center"/>
    </xf>
    <xf numFmtId="4" fontId="32" fillId="32" borderId="200">
      <alignment horizontal="right" vertical="center"/>
    </xf>
    <xf numFmtId="0" fontId="58" fillId="43" borderId="205" applyNumberFormat="0" applyAlignment="0" applyProtection="0"/>
    <xf numFmtId="0" fontId="49" fillId="43" borderId="205" applyNumberFormat="0" applyAlignment="0" applyProtection="0"/>
    <xf numFmtId="0" fontId="45" fillId="56" borderId="205" applyNumberFormat="0" applyAlignment="0" applyProtection="0"/>
    <xf numFmtId="0" fontId="34" fillId="34" borderId="203">
      <alignment horizontal="left" vertical="center" wrapText="1" indent="2"/>
    </xf>
    <xf numFmtId="0" fontId="34" fillId="0" borderId="203">
      <alignment horizontal="left" vertical="center" wrapText="1" indent="2"/>
    </xf>
    <xf numFmtId="0" fontId="34" fillId="34" borderId="203">
      <alignment horizontal="left" vertical="center" wrapText="1" indent="2"/>
    </xf>
    <xf numFmtId="0" fontId="50" fillId="0" borderId="209" applyNumberFormat="0" applyFill="0" applyAlignment="0" applyProtection="0"/>
    <xf numFmtId="4" fontId="34" fillId="0" borderId="211" applyFill="0" applyBorder="0" applyProtection="0">
      <alignment horizontal="right" vertical="center"/>
    </xf>
    <xf numFmtId="0" fontId="45" fillId="56" borderId="208" applyNumberFormat="0" applyAlignment="0" applyProtection="0"/>
    <xf numFmtId="4" fontId="32" fillId="34" borderId="213">
      <alignment horizontal="right" vertical="center"/>
    </xf>
    <xf numFmtId="0" fontId="58" fillId="43" borderId="208" applyNumberFormat="0" applyAlignment="0" applyProtection="0"/>
    <xf numFmtId="0" fontId="32" fillId="32" borderId="211">
      <alignment horizontal="right" vertical="center"/>
    </xf>
    <xf numFmtId="4" fontId="34" fillId="0" borderId="211">
      <alignment horizontal="right" vertical="center"/>
    </xf>
    <xf numFmtId="0" fontId="12" fillId="28" borderId="0" applyNumberFormat="0" applyBorder="0" applyAlignment="0" applyProtection="0"/>
    <xf numFmtId="0" fontId="12" fillId="25" borderId="0" applyNumberFormat="0" applyBorder="0" applyAlignment="0" applyProtection="0"/>
    <xf numFmtId="0" fontId="32" fillId="34" borderId="211">
      <alignment horizontal="right" vertical="center"/>
    </xf>
    <xf numFmtId="0" fontId="62" fillId="56" borderId="215" applyNumberFormat="0" applyAlignment="0" applyProtection="0"/>
    <xf numFmtId="4" fontId="32" fillId="34" borderId="213">
      <alignment horizontal="right" vertical="center"/>
    </xf>
    <xf numFmtId="0" fontId="58" fillId="43" borderId="208" applyNumberFormat="0" applyAlignment="0" applyProtection="0"/>
    <xf numFmtId="0" fontId="30" fillId="0" borderId="0" applyNumberFormat="0" applyFill="0" applyBorder="0" applyAlignment="0" applyProtection="0"/>
    <xf numFmtId="0" fontId="26" fillId="30" borderId="0" applyNumberFormat="0" applyBorder="0" applyAlignment="0" applyProtection="0"/>
    <xf numFmtId="0" fontId="34" fillId="34" borderId="214">
      <alignment horizontal="left" vertical="center" wrapText="1" indent="2"/>
    </xf>
    <xf numFmtId="4" fontId="36" fillId="32" borderId="211">
      <alignment horizontal="right" vertical="center"/>
    </xf>
    <xf numFmtId="49" fontId="34" fillId="0" borderId="211" applyNumberFormat="0" applyFont="0" applyFill="0" applyBorder="0" applyProtection="0">
      <alignment horizontal="left" vertical="center" indent="2"/>
    </xf>
    <xf numFmtId="0" fontId="26" fillId="17" borderId="0" applyNumberFormat="0" applyBorder="0" applyAlignment="0" applyProtection="0"/>
    <xf numFmtId="4" fontId="36" fillId="32" borderId="211">
      <alignment horizontal="right" vertical="center"/>
    </xf>
    <xf numFmtId="0" fontId="34" fillId="0" borderId="211">
      <alignment horizontal="right" vertical="center"/>
    </xf>
    <xf numFmtId="0" fontId="26" fillId="14" borderId="0" applyNumberFormat="0" applyBorder="0" applyAlignment="0" applyProtection="0"/>
    <xf numFmtId="0" fontId="62" fillId="56" borderId="215" applyNumberFormat="0" applyAlignment="0" applyProtection="0"/>
    <xf numFmtId="49" fontId="34" fillId="0" borderId="211" applyNumberFormat="0" applyFont="0" applyFill="0" applyBorder="0" applyProtection="0">
      <alignment horizontal="left" vertical="center" indent="2"/>
    </xf>
    <xf numFmtId="4" fontId="32" fillId="34" borderId="212">
      <alignment horizontal="right" vertical="center"/>
    </xf>
    <xf numFmtId="4" fontId="32" fillId="34" borderId="211">
      <alignment horizontal="right" vertical="center"/>
    </xf>
    <xf numFmtId="4" fontId="32" fillId="34" borderId="211">
      <alignment horizontal="right" vertical="center"/>
    </xf>
    <xf numFmtId="0" fontId="34" fillId="32" borderId="212">
      <alignment horizontal="left" vertical="center"/>
    </xf>
    <xf numFmtId="0" fontId="26" fillId="14" borderId="0" applyNumberFormat="0" applyBorder="0" applyAlignment="0" applyProtection="0"/>
    <xf numFmtId="0" fontId="40" fillId="59" borderId="210" applyNumberFormat="0" applyFont="0" applyAlignment="0" applyProtection="0"/>
    <xf numFmtId="4" fontId="34" fillId="0" borderId="211">
      <alignment horizontal="right" vertical="center"/>
    </xf>
    <xf numFmtId="49" fontId="34" fillId="0" borderId="212" applyNumberFormat="0" applyFont="0" applyFill="0" applyBorder="0" applyProtection="0">
      <alignment horizontal="left" vertical="center" indent="5"/>
    </xf>
    <xf numFmtId="0" fontId="36" fillId="32" borderId="211">
      <alignment horizontal="right" vertical="center"/>
    </xf>
    <xf numFmtId="0" fontId="58" fillId="43" borderId="208" applyNumberFormat="0" applyAlignment="0" applyProtection="0"/>
    <xf numFmtId="0" fontId="36" fillId="32" borderId="211">
      <alignment horizontal="right" vertical="center"/>
    </xf>
    <xf numFmtId="0" fontId="45" fillId="56" borderId="208" applyNumberFormat="0" applyAlignment="0" applyProtection="0"/>
    <xf numFmtId="173" fontId="34" fillId="60" borderId="211" applyNumberFormat="0" applyFont="0" applyBorder="0" applyAlignment="0" applyProtection="0">
      <alignment horizontal="right" vertical="center"/>
    </xf>
    <xf numFmtId="4" fontId="34" fillId="0" borderId="211">
      <alignment horizontal="right" vertical="center"/>
    </xf>
    <xf numFmtId="0" fontId="62" fillId="56" borderId="215" applyNumberFormat="0" applyAlignment="0" applyProtection="0"/>
    <xf numFmtId="0" fontId="12" fillId="19" borderId="0" applyNumberFormat="0" applyBorder="0" applyAlignment="0" applyProtection="0"/>
    <xf numFmtId="0" fontId="46" fillId="56" borderId="208" applyNumberFormat="0" applyAlignment="0" applyProtection="0"/>
    <xf numFmtId="4" fontId="36" fillId="32" borderId="211">
      <alignment horizontal="right" vertical="center"/>
    </xf>
    <xf numFmtId="49" fontId="33" fillId="0" borderId="211" applyNumberFormat="0" applyFill="0" applyBorder="0" applyProtection="0">
      <alignment horizontal="left" vertical="center"/>
    </xf>
    <xf numFmtId="173" fontId="34" fillId="60" borderId="211" applyNumberFormat="0" applyFont="0" applyBorder="0" applyAlignment="0" applyProtection="0">
      <alignment horizontal="right" vertical="center"/>
    </xf>
    <xf numFmtId="0" fontId="49" fillId="43" borderId="208" applyNumberFormat="0" applyAlignment="0" applyProtection="0"/>
    <xf numFmtId="0" fontId="26" fillId="20" borderId="0" applyNumberFormat="0" applyBorder="0" applyAlignment="0" applyProtection="0"/>
    <xf numFmtId="0" fontId="49" fillId="43" borderId="208" applyNumberFormat="0" applyAlignment="0" applyProtection="0"/>
    <xf numFmtId="0" fontId="1" fillId="0" borderId="0" applyNumberFormat="0" applyFill="0" applyBorder="0" applyAlignment="0" applyProtection="0"/>
    <xf numFmtId="0" fontId="36" fillId="32" borderId="211">
      <alignment horizontal="right" vertical="center"/>
    </xf>
    <xf numFmtId="0" fontId="32" fillId="34" borderId="211">
      <alignment horizontal="right" vertical="center"/>
    </xf>
    <xf numFmtId="0" fontId="34" fillId="33" borderId="211"/>
    <xf numFmtId="0" fontId="34" fillId="32" borderId="212">
      <alignment horizontal="left" vertical="center"/>
    </xf>
    <xf numFmtId="0" fontId="32" fillId="34" borderId="211">
      <alignment horizontal="right" vertical="center"/>
    </xf>
    <xf numFmtId="0" fontId="32" fillId="34" borderId="213">
      <alignment horizontal="right" vertical="center"/>
    </xf>
    <xf numFmtId="0" fontId="34" fillId="33" borderId="211"/>
    <xf numFmtId="0" fontId="58" fillId="43" borderId="208" applyNumberFormat="0" applyAlignment="0" applyProtection="0"/>
    <xf numFmtId="4" fontId="32" fillId="34" borderId="211">
      <alignment horizontal="right" vertical="center"/>
    </xf>
    <xf numFmtId="4" fontId="34" fillId="0" borderId="211" applyFill="0" applyBorder="0" applyProtection="0">
      <alignment horizontal="right" vertical="center"/>
    </xf>
    <xf numFmtId="0" fontId="40" fillId="59" borderId="210" applyNumberFormat="0" applyFont="0" applyAlignment="0" applyProtection="0"/>
    <xf numFmtId="0" fontId="12" fillId="19" borderId="0" applyNumberFormat="0" applyBorder="0" applyAlignment="0" applyProtection="0"/>
    <xf numFmtId="4" fontId="32" fillId="34" borderId="211">
      <alignment horizontal="right" vertical="center"/>
    </xf>
    <xf numFmtId="0" fontId="12" fillId="16" borderId="0" applyNumberFormat="0" applyBorder="0" applyAlignment="0" applyProtection="0"/>
    <xf numFmtId="0" fontId="32" fillId="34" borderId="213">
      <alignment horizontal="right" vertical="center"/>
    </xf>
    <xf numFmtId="4" fontId="34" fillId="33" borderId="211"/>
    <xf numFmtId="0" fontId="26" fillId="24" borderId="0" applyNumberFormat="0" applyBorder="0" applyAlignment="0" applyProtection="0"/>
    <xf numFmtId="0" fontId="46" fillId="56" borderId="208" applyNumberFormat="0" applyAlignment="0" applyProtection="0"/>
    <xf numFmtId="0" fontId="32" fillId="34" borderId="212">
      <alignment horizontal="right" vertical="center"/>
    </xf>
    <xf numFmtId="0" fontId="65" fillId="0" borderId="209" applyNumberFormat="0" applyFill="0" applyAlignment="0" applyProtection="0"/>
    <xf numFmtId="0" fontId="43" fillId="56" borderId="215" applyNumberFormat="0" applyAlignment="0" applyProtection="0"/>
    <xf numFmtId="0" fontId="65" fillId="0" borderId="209" applyNumberFormat="0" applyFill="0" applyAlignment="0" applyProtection="0"/>
    <xf numFmtId="0" fontId="46" fillId="56" borderId="208" applyNumberFormat="0" applyAlignment="0" applyProtection="0"/>
    <xf numFmtId="0" fontId="58" fillId="43" borderId="208" applyNumberFormat="0" applyAlignment="0" applyProtection="0"/>
    <xf numFmtId="0" fontId="65" fillId="0" borderId="209" applyNumberFormat="0" applyFill="0" applyAlignment="0" applyProtection="0"/>
    <xf numFmtId="0" fontId="36" fillId="32" borderId="211">
      <alignment horizontal="right" vertical="center"/>
    </xf>
    <xf numFmtId="0" fontId="26" fillId="23" borderId="0" applyNumberFormat="0" applyBorder="0" applyAlignment="0" applyProtection="0"/>
    <xf numFmtId="4" fontId="34" fillId="0" borderId="211" applyFill="0" applyBorder="0" applyProtection="0">
      <alignment horizontal="right" vertical="center"/>
    </xf>
    <xf numFmtId="0" fontId="26" fillId="30" borderId="0" applyNumberFormat="0" applyBorder="0" applyAlignment="0" applyProtection="0"/>
    <xf numFmtId="0" fontId="32" fillId="32" borderId="211">
      <alignment horizontal="right" vertical="center"/>
    </xf>
    <xf numFmtId="0" fontId="12" fillId="16" borderId="0" applyNumberFormat="0" applyBorder="0" applyAlignment="0" applyProtection="0"/>
    <xf numFmtId="0" fontId="29" fillId="13" borderId="13" applyNumberFormat="0" applyAlignment="0" applyProtection="0"/>
    <xf numFmtId="0" fontId="12" fillId="19" borderId="0" applyNumberFormat="0" applyBorder="0" applyAlignment="0" applyProtection="0"/>
    <xf numFmtId="49" fontId="34" fillId="0" borderId="211" applyNumberFormat="0" applyFont="0" applyFill="0" applyBorder="0" applyProtection="0">
      <alignment horizontal="left" vertical="center" indent="2"/>
    </xf>
    <xf numFmtId="4" fontId="32" fillId="34" borderId="213">
      <alignment horizontal="right" vertical="center"/>
    </xf>
    <xf numFmtId="0" fontId="40" fillId="59" borderId="210" applyNumberFormat="0" applyFont="0" applyAlignment="0" applyProtection="0"/>
    <xf numFmtId="0" fontId="28" fillId="13" borderId="14" applyNumberFormat="0" applyAlignment="0" applyProtection="0"/>
    <xf numFmtId="0" fontId="12" fillId="31" borderId="0" applyNumberFormat="0" applyBorder="0" applyAlignment="0" applyProtection="0"/>
    <xf numFmtId="0" fontId="34" fillId="0" borderId="211" applyNumberFormat="0" applyFill="0" applyAlignment="0" applyProtection="0"/>
    <xf numFmtId="0" fontId="2" fillId="0" borderId="15" applyNumberFormat="0" applyFill="0" applyAlignment="0" applyProtection="0"/>
    <xf numFmtId="0" fontId="62" fillId="56" borderId="215" applyNumberFormat="0" applyAlignment="0" applyProtection="0"/>
    <xf numFmtId="0" fontId="46" fillId="56" borderId="208" applyNumberFormat="0" applyAlignment="0" applyProtection="0"/>
    <xf numFmtId="0" fontId="50" fillId="0" borderId="209" applyNumberFormat="0" applyFill="0" applyAlignment="0" applyProtection="0"/>
    <xf numFmtId="0" fontId="32" fillId="34" borderId="211">
      <alignment horizontal="right" vertical="center"/>
    </xf>
    <xf numFmtId="49" fontId="34" fillId="0" borderId="212" applyNumberFormat="0" applyFont="0" applyFill="0" applyBorder="0" applyProtection="0">
      <alignment horizontal="left" vertical="center" indent="5"/>
    </xf>
    <xf numFmtId="0" fontId="46" fillId="56" borderId="208" applyNumberFormat="0" applyAlignment="0" applyProtection="0"/>
    <xf numFmtId="4" fontId="32" fillId="34" borderId="212">
      <alignment horizontal="right" vertical="center"/>
    </xf>
    <xf numFmtId="4" fontId="36" fillId="32" borderId="211">
      <alignment horizontal="right" vertical="center"/>
    </xf>
    <xf numFmtId="0" fontId="26" fillId="24" borderId="0" applyNumberFormat="0" applyBorder="0" applyAlignment="0" applyProtection="0"/>
    <xf numFmtId="0" fontId="40" fillId="59" borderId="210" applyNumberFormat="0" applyFont="0" applyAlignment="0" applyProtection="0"/>
    <xf numFmtId="0" fontId="26" fillId="27" borderId="0" applyNumberFormat="0" applyBorder="0" applyAlignment="0" applyProtection="0"/>
    <xf numFmtId="0" fontId="1" fillId="0" borderId="0" applyNumberFormat="0" applyFill="0" applyBorder="0" applyAlignment="0" applyProtection="0"/>
    <xf numFmtId="4" fontId="32" fillId="34" borderId="213">
      <alignment horizontal="right" vertical="center"/>
    </xf>
    <xf numFmtId="0" fontId="34" fillId="32" borderId="212">
      <alignment horizontal="left" vertical="center"/>
    </xf>
    <xf numFmtId="4" fontId="32" fillId="34" borderId="211">
      <alignment horizontal="right" vertical="center"/>
    </xf>
    <xf numFmtId="0" fontId="34" fillId="33" borderId="211"/>
    <xf numFmtId="0" fontId="36" fillId="32" borderId="211">
      <alignment horizontal="right" vertical="center"/>
    </xf>
    <xf numFmtId="0" fontId="26" fillId="15" borderId="0" applyNumberFormat="0" applyBorder="0" applyAlignment="0" applyProtection="0"/>
    <xf numFmtId="0" fontId="34" fillId="0" borderId="211">
      <alignment horizontal="right" vertical="center"/>
    </xf>
    <xf numFmtId="0" fontId="32" fillId="32" borderId="211">
      <alignment horizontal="right" vertical="center"/>
    </xf>
    <xf numFmtId="0" fontId="5" fillId="59" borderId="210" applyNumberFormat="0" applyFont="0" applyAlignment="0" applyProtection="0"/>
    <xf numFmtId="0" fontId="34" fillId="0" borderId="214">
      <alignment horizontal="left" vertical="center" wrapText="1" indent="2"/>
    </xf>
    <xf numFmtId="0" fontId="26" fillId="26" borderId="0" applyNumberFormat="0" applyBorder="0" applyAlignment="0" applyProtection="0"/>
    <xf numFmtId="173" fontId="34" fillId="60" borderId="211" applyNumberFormat="0" applyFont="0" applyBorder="0" applyAlignment="0" applyProtection="0">
      <alignment horizontal="right" vertical="center"/>
    </xf>
    <xf numFmtId="0" fontId="12" fillId="19" borderId="0" applyNumberFormat="0" applyBorder="0" applyAlignment="0" applyProtection="0"/>
    <xf numFmtId="0" fontId="26" fillId="30" borderId="0" applyNumberFormat="0" applyBorder="0" applyAlignment="0" applyProtection="0"/>
    <xf numFmtId="0" fontId="65" fillId="0" borderId="209" applyNumberFormat="0" applyFill="0" applyAlignment="0" applyProtection="0"/>
    <xf numFmtId="4" fontId="32" fillId="34" borderId="211">
      <alignment horizontal="right" vertical="center"/>
    </xf>
    <xf numFmtId="0" fontId="12" fillId="22" borderId="0" applyNumberFormat="0" applyBorder="0" applyAlignment="0" applyProtection="0"/>
    <xf numFmtId="0" fontId="26" fillId="21" borderId="0" applyNumberFormat="0" applyBorder="0" applyAlignment="0" applyProtection="0"/>
    <xf numFmtId="0" fontId="65" fillId="0" borderId="209" applyNumberFormat="0" applyFill="0" applyAlignment="0" applyProtection="0"/>
    <xf numFmtId="0" fontId="40" fillId="59" borderId="210" applyNumberFormat="0" applyFont="0" applyAlignment="0" applyProtection="0"/>
    <xf numFmtId="0" fontId="32" fillId="34" borderId="211">
      <alignment horizontal="right" vertical="center"/>
    </xf>
    <xf numFmtId="0" fontId="46" fillId="56" borderId="208" applyNumberFormat="0" applyAlignment="0" applyProtection="0"/>
    <xf numFmtId="0" fontId="26" fillId="21" borderId="0" applyNumberFormat="0" applyBorder="0" applyAlignment="0" applyProtection="0"/>
    <xf numFmtId="0" fontId="34" fillId="32" borderId="212">
      <alignment horizontal="left" vertical="center"/>
    </xf>
    <xf numFmtId="0" fontId="40" fillId="59" borderId="210" applyNumberFormat="0" applyFont="0" applyAlignment="0" applyProtection="0"/>
    <xf numFmtId="173" fontId="34" fillId="60" borderId="211" applyNumberFormat="0" applyFont="0" applyBorder="0" applyAlignment="0" applyProtection="0">
      <alignment horizontal="right" vertical="center"/>
    </xf>
    <xf numFmtId="0" fontId="34" fillId="34" borderId="214">
      <alignment horizontal="left" vertical="center" wrapText="1" indent="2"/>
    </xf>
    <xf numFmtId="0" fontId="12" fillId="22" borderId="0" applyNumberFormat="0" applyBorder="0" applyAlignment="0" applyProtection="0"/>
    <xf numFmtId="0" fontId="65" fillId="0" borderId="209" applyNumberFormat="0" applyFill="0" applyAlignment="0" applyProtection="0"/>
    <xf numFmtId="0" fontId="58" fillId="43" borderId="208" applyNumberFormat="0" applyAlignment="0" applyProtection="0"/>
    <xf numFmtId="0" fontId="34" fillId="33" borderId="211"/>
    <xf numFmtId="4" fontId="34" fillId="0" borderId="211" applyFill="0" applyBorder="0" applyProtection="0">
      <alignment horizontal="right" vertical="center"/>
    </xf>
    <xf numFmtId="0" fontId="26" fillId="18" borderId="0" applyNumberFormat="0" applyBorder="0" applyAlignment="0" applyProtection="0"/>
    <xf numFmtId="0" fontId="26" fillId="17" borderId="0" applyNumberFormat="0" applyBorder="0" applyAlignment="0" applyProtection="0"/>
    <xf numFmtId="0" fontId="50" fillId="0" borderId="209" applyNumberFormat="0" applyFill="0" applyAlignment="0" applyProtection="0"/>
    <xf numFmtId="0" fontId="32" fillId="34" borderId="211">
      <alignment horizontal="right" vertical="center"/>
    </xf>
    <xf numFmtId="0" fontId="50" fillId="0" borderId="209" applyNumberFormat="0" applyFill="0" applyAlignment="0" applyProtection="0"/>
    <xf numFmtId="4" fontId="32" fillId="34" borderId="211">
      <alignment horizontal="right" vertical="center"/>
    </xf>
    <xf numFmtId="49" fontId="33" fillId="0" borderId="211" applyNumberFormat="0" applyFill="0" applyBorder="0" applyProtection="0">
      <alignment horizontal="left" vertical="center"/>
    </xf>
    <xf numFmtId="0" fontId="5" fillId="59" borderId="210" applyNumberFormat="0" applyFont="0" applyAlignment="0" applyProtection="0"/>
    <xf numFmtId="4" fontId="34" fillId="0" borderId="211">
      <alignment horizontal="right" vertical="center"/>
    </xf>
    <xf numFmtId="0" fontId="12" fillId="28" borderId="0" applyNumberFormat="0" applyBorder="0" applyAlignment="0" applyProtection="0"/>
    <xf numFmtId="0" fontId="46" fillId="56" borderId="208" applyNumberFormat="0" applyAlignment="0" applyProtection="0"/>
    <xf numFmtId="0" fontId="34" fillId="34" borderId="214">
      <alignment horizontal="left" vertical="center" wrapText="1" indent="2"/>
    </xf>
    <xf numFmtId="4" fontId="32" fillId="32" borderId="211">
      <alignment horizontal="right" vertical="center"/>
    </xf>
    <xf numFmtId="4" fontId="32" fillId="34" borderId="211">
      <alignment horizontal="right" vertical="center"/>
    </xf>
    <xf numFmtId="0" fontId="65" fillId="0" borderId="209" applyNumberFormat="0" applyFill="0" applyAlignment="0" applyProtection="0"/>
    <xf numFmtId="0" fontId="62" fillId="56" borderId="215" applyNumberFormat="0" applyAlignment="0" applyProtection="0"/>
    <xf numFmtId="4" fontId="32" fillId="32" borderId="211">
      <alignment horizontal="right" vertical="center"/>
    </xf>
    <xf numFmtId="0" fontId="26" fillId="15" borderId="0" applyNumberFormat="0" applyBorder="0" applyAlignment="0" applyProtection="0"/>
    <xf numFmtId="0" fontId="34" fillId="0" borderId="214">
      <alignment horizontal="left" vertical="center" wrapText="1" indent="2"/>
    </xf>
    <xf numFmtId="0" fontId="26" fillId="18" borderId="0" applyNumberFormat="0" applyBorder="0" applyAlignment="0" applyProtection="0"/>
    <xf numFmtId="4" fontId="32" fillId="32" borderId="211">
      <alignment horizontal="right" vertical="center"/>
    </xf>
    <xf numFmtId="0" fontId="32" fillId="34" borderId="211">
      <alignment horizontal="right" vertical="center"/>
    </xf>
    <xf numFmtId="0" fontId="26" fillId="26" borderId="0" applyNumberFormat="0" applyBorder="0" applyAlignment="0" applyProtection="0"/>
    <xf numFmtId="0" fontId="34" fillId="33" borderId="211"/>
    <xf numFmtId="0" fontId="45" fillId="56" borderId="208" applyNumberFormat="0" applyAlignment="0" applyProtection="0"/>
    <xf numFmtId="0" fontId="32" fillId="34" borderId="211">
      <alignment horizontal="right" vertical="center"/>
    </xf>
    <xf numFmtId="0" fontId="5" fillId="59" borderId="210" applyNumberFormat="0" applyFont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8" borderId="0" applyNumberFormat="0" applyBorder="0" applyAlignment="0" applyProtection="0"/>
    <xf numFmtId="0" fontId="34" fillId="0" borderId="211">
      <alignment horizontal="right" vertical="center"/>
    </xf>
    <xf numFmtId="0" fontId="34" fillId="34" borderId="214">
      <alignment horizontal="left" vertical="center" wrapText="1" indent="2"/>
    </xf>
    <xf numFmtId="4" fontId="32" fillId="34" borderId="212">
      <alignment horizontal="right" vertical="center"/>
    </xf>
    <xf numFmtId="0" fontId="34" fillId="0" borderId="211" applyNumberFormat="0" applyFill="0" applyAlignment="0" applyProtection="0"/>
    <xf numFmtId="4" fontId="32" fillId="34" borderId="211">
      <alignment horizontal="right" vertical="center"/>
    </xf>
    <xf numFmtId="0" fontId="58" fillId="43" borderId="208" applyNumberFormat="0" applyAlignment="0" applyProtection="0"/>
    <xf numFmtId="0" fontId="43" fillId="56" borderId="215" applyNumberFormat="0" applyAlignment="0" applyProtection="0"/>
    <xf numFmtId="0" fontId="26" fillId="18" borderId="0" applyNumberFormat="0" applyBorder="0" applyAlignment="0" applyProtection="0"/>
    <xf numFmtId="49" fontId="33" fillId="0" borderId="211" applyNumberFormat="0" applyFill="0" applyBorder="0" applyProtection="0">
      <alignment horizontal="left" vertical="center"/>
    </xf>
    <xf numFmtId="0" fontId="46" fillId="56" borderId="208" applyNumberFormat="0" applyAlignment="0" applyProtection="0"/>
    <xf numFmtId="0" fontId="12" fillId="28" borderId="0" applyNumberFormat="0" applyBorder="0" applyAlignment="0" applyProtection="0"/>
    <xf numFmtId="0" fontId="32" fillId="34" borderId="212">
      <alignment horizontal="right" vertical="center"/>
    </xf>
    <xf numFmtId="0" fontId="45" fillId="56" borderId="208" applyNumberFormat="0" applyAlignment="0" applyProtection="0"/>
    <xf numFmtId="0" fontId="26" fillId="17" borderId="0" applyNumberFormat="0" applyBorder="0" applyAlignment="0" applyProtection="0"/>
    <xf numFmtId="4" fontId="34" fillId="0" borderId="211" applyFill="0" applyBorder="0" applyProtection="0">
      <alignment horizontal="right" vertical="center"/>
    </xf>
    <xf numFmtId="0" fontId="26" fillId="23" borderId="0" applyNumberFormat="0" applyBorder="0" applyAlignment="0" applyProtection="0"/>
    <xf numFmtId="0" fontId="12" fillId="31" borderId="0" applyNumberFormat="0" applyBorder="0" applyAlignment="0" applyProtection="0"/>
    <xf numFmtId="0" fontId="50" fillId="0" borderId="209" applyNumberFormat="0" applyFill="0" applyAlignment="0" applyProtection="0"/>
    <xf numFmtId="49" fontId="34" fillId="0" borderId="211" applyNumberFormat="0" applyFont="0" applyFill="0" applyBorder="0" applyProtection="0">
      <alignment horizontal="left" vertical="center" indent="2"/>
    </xf>
    <xf numFmtId="0" fontId="34" fillId="0" borderId="214">
      <alignment horizontal="left" vertical="center" wrapText="1" indent="2"/>
    </xf>
    <xf numFmtId="0" fontId="26" fillId="20" borderId="0" applyNumberFormat="0" applyBorder="0" applyAlignment="0" applyProtection="0"/>
    <xf numFmtId="4" fontId="32" fillId="34" borderId="211">
      <alignment horizontal="right" vertical="center"/>
    </xf>
    <xf numFmtId="0" fontId="62" fillId="56" borderId="215" applyNumberFormat="0" applyAlignment="0" applyProtection="0"/>
    <xf numFmtId="173" fontId="34" fillId="60" borderId="211" applyNumberFormat="0" applyFont="0" applyBorder="0" applyAlignment="0" applyProtection="0">
      <alignment horizontal="right" vertical="center"/>
    </xf>
    <xf numFmtId="0" fontId="5" fillId="59" borderId="210" applyNumberFormat="0" applyFont="0" applyAlignment="0" applyProtection="0"/>
    <xf numFmtId="0" fontId="26" fillId="26" borderId="0" applyNumberFormat="0" applyBorder="0" applyAlignment="0" applyProtection="0"/>
    <xf numFmtId="0" fontId="58" fillId="43" borderId="208" applyNumberFormat="0" applyAlignment="0" applyProtection="0"/>
    <xf numFmtId="0" fontId="58" fillId="43" borderId="208" applyNumberFormat="0" applyAlignment="0" applyProtection="0"/>
    <xf numFmtId="0" fontId="40" fillId="59" borderId="210" applyNumberFormat="0" applyFont="0" applyAlignment="0" applyProtection="0"/>
    <xf numFmtId="4" fontId="34" fillId="33" borderId="211"/>
    <xf numFmtId="0" fontId="58" fillId="43" borderId="208" applyNumberFormat="0" applyAlignment="0" applyProtection="0"/>
    <xf numFmtId="0" fontId="28" fillId="13" borderId="14" applyNumberFormat="0" applyAlignment="0" applyProtection="0"/>
    <xf numFmtId="0" fontId="40" fillId="59" borderId="210" applyNumberFormat="0" applyFont="0" applyAlignment="0" applyProtection="0"/>
    <xf numFmtId="0" fontId="30" fillId="0" borderId="0" applyNumberFormat="0" applyFill="0" applyBorder="0" applyAlignment="0" applyProtection="0"/>
    <xf numFmtId="0" fontId="32" fillId="34" borderId="211">
      <alignment horizontal="right" vertical="center"/>
    </xf>
    <xf numFmtId="0" fontId="62" fillId="56" borderId="215" applyNumberFormat="0" applyAlignment="0" applyProtection="0"/>
    <xf numFmtId="0" fontId="26" fillId="15" borderId="0" applyNumberFormat="0" applyBorder="0" applyAlignment="0" applyProtection="0"/>
    <xf numFmtId="0" fontId="40" fillId="59" borderId="210" applyNumberFormat="0" applyFont="0" applyAlignment="0" applyProtection="0"/>
    <xf numFmtId="4" fontId="32" fillId="34" borderId="213">
      <alignment horizontal="right" vertical="center"/>
    </xf>
    <xf numFmtId="4" fontId="34" fillId="33" borderId="211"/>
    <xf numFmtId="4" fontId="34" fillId="0" borderId="211">
      <alignment horizontal="right" vertical="center"/>
    </xf>
    <xf numFmtId="0" fontId="26" fillId="23" borderId="0" applyNumberFormat="0" applyBorder="0" applyAlignment="0" applyProtection="0"/>
    <xf numFmtId="0" fontId="49" fillId="43" borderId="208" applyNumberFormat="0" applyAlignment="0" applyProtection="0"/>
    <xf numFmtId="0" fontId="58" fillId="43" borderId="208" applyNumberFormat="0" applyAlignment="0" applyProtection="0"/>
    <xf numFmtId="0" fontId="30" fillId="0" borderId="0" applyNumberFormat="0" applyFill="0" applyBorder="0" applyAlignment="0" applyProtection="0"/>
    <xf numFmtId="0" fontId="34" fillId="34" borderId="214">
      <alignment horizontal="left" vertical="center" wrapText="1" indent="2"/>
    </xf>
    <xf numFmtId="4" fontId="34" fillId="0" borderId="211" applyFill="0" applyBorder="0" applyProtection="0">
      <alignment horizontal="right" vertical="center"/>
    </xf>
    <xf numFmtId="0" fontId="26" fillId="29" borderId="0" applyNumberFormat="0" applyBorder="0" applyAlignment="0" applyProtection="0"/>
    <xf numFmtId="0" fontId="12" fillId="22" borderId="0" applyNumberFormat="0" applyBorder="0" applyAlignment="0" applyProtection="0"/>
    <xf numFmtId="0" fontId="29" fillId="13" borderId="13" applyNumberFormat="0" applyAlignment="0" applyProtection="0"/>
    <xf numFmtId="0" fontId="40" fillId="59" borderId="210" applyNumberFormat="0" applyFont="0" applyAlignment="0" applyProtection="0"/>
    <xf numFmtId="4" fontId="36" fillId="32" borderId="211">
      <alignment horizontal="right" vertical="center"/>
    </xf>
    <xf numFmtId="0" fontId="34" fillId="34" borderId="214">
      <alignment horizontal="left" vertical="center" wrapText="1" indent="2"/>
    </xf>
    <xf numFmtId="0" fontId="49" fillId="43" borderId="208" applyNumberFormat="0" applyAlignment="0" applyProtection="0"/>
    <xf numFmtId="0" fontId="26" fillId="20" borderId="0" applyNumberFormat="0" applyBorder="0" applyAlignment="0" applyProtection="0"/>
    <xf numFmtId="0" fontId="58" fillId="43" borderId="208" applyNumberFormat="0" applyAlignment="0" applyProtection="0"/>
    <xf numFmtId="0" fontId="58" fillId="43" borderId="208" applyNumberFormat="0" applyAlignment="0" applyProtection="0"/>
    <xf numFmtId="0" fontId="26" fillId="26" borderId="0" applyNumberFormat="0" applyBorder="0" applyAlignment="0" applyProtection="0"/>
    <xf numFmtId="0" fontId="34" fillId="32" borderId="212">
      <alignment horizontal="left" vertical="center"/>
    </xf>
    <xf numFmtId="4" fontId="34" fillId="33" borderId="211"/>
    <xf numFmtId="0" fontId="5" fillId="59" borderId="210" applyNumberFormat="0" applyFont="0" applyAlignment="0" applyProtection="0"/>
    <xf numFmtId="0" fontId="40" fillId="59" borderId="210" applyNumberFormat="0" applyFont="0" applyAlignment="0" applyProtection="0"/>
    <xf numFmtId="0" fontId="32" fillId="34" borderId="211">
      <alignment horizontal="right" vertical="center"/>
    </xf>
    <xf numFmtId="0" fontId="34" fillId="0" borderId="211" applyNumberFormat="0" applyFill="0" applyAlignment="0" applyProtection="0"/>
    <xf numFmtId="0" fontId="49" fillId="43" borderId="208" applyNumberFormat="0" applyAlignment="0" applyProtection="0"/>
    <xf numFmtId="0" fontId="46" fillId="56" borderId="208" applyNumberFormat="0" applyAlignment="0" applyProtection="0"/>
    <xf numFmtId="0" fontId="45" fillId="56" borderId="208" applyNumberFormat="0" applyAlignment="0" applyProtection="0"/>
    <xf numFmtId="0" fontId="43" fillId="56" borderId="215" applyNumberFormat="0" applyAlignment="0" applyProtection="0"/>
    <xf numFmtId="0" fontId="34" fillId="33" borderId="211"/>
    <xf numFmtId="4" fontId="34" fillId="0" borderId="211">
      <alignment horizontal="right" vertical="center"/>
    </xf>
    <xf numFmtId="0" fontId="65" fillId="0" borderId="209" applyNumberFormat="0" applyFill="0" applyAlignment="0" applyProtection="0"/>
    <xf numFmtId="0" fontId="65" fillId="0" borderId="209" applyNumberFormat="0" applyFill="0" applyAlignment="0" applyProtection="0"/>
    <xf numFmtId="4" fontId="34" fillId="33" borderId="211"/>
    <xf numFmtId="0" fontId="32" fillId="34" borderId="211">
      <alignment horizontal="right" vertical="center"/>
    </xf>
    <xf numFmtId="0" fontId="26" fillId="27" borderId="0" applyNumberFormat="0" applyBorder="0" applyAlignment="0" applyProtection="0"/>
    <xf numFmtId="0" fontId="50" fillId="0" borderId="209" applyNumberFormat="0" applyFill="0" applyAlignment="0" applyProtection="0"/>
    <xf numFmtId="0" fontId="62" fillId="56" borderId="215" applyNumberFormat="0" applyAlignment="0" applyProtection="0"/>
    <xf numFmtId="4" fontId="32" fillId="34" borderId="211">
      <alignment horizontal="right" vertical="center"/>
    </xf>
    <xf numFmtId="0" fontId="34" fillId="0" borderId="211">
      <alignment horizontal="right" vertical="center"/>
    </xf>
    <xf numFmtId="0" fontId="62" fillId="56" borderId="215" applyNumberFormat="0" applyAlignment="0" applyProtection="0"/>
    <xf numFmtId="0" fontId="26" fillId="15" borderId="0" applyNumberFormat="0" applyBorder="0" applyAlignment="0" applyProtection="0"/>
    <xf numFmtId="0" fontId="45" fillId="56" borderId="208" applyNumberFormat="0" applyAlignment="0" applyProtection="0"/>
    <xf numFmtId="4" fontId="32" fillId="34" borderId="211">
      <alignment horizontal="right" vertical="center"/>
    </xf>
    <xf numFmtId="0" fontId="36" fillId="32" borderId="211">
      <alignment horizontal="right" vertical="center"/>
    </xf>
    <xf numFmtId="0" fontId="32" fillId="32" borderId="211">
      <alignment horizontal="right" vertical="center"/>
    </xf>
    <xf numFmtId="0" fontId="65" fillId="0" borderId="209" applyNumberFormat="0" applyFill="0" applyAlignment="0" applyProtection="0"/>
    <xf numFmtId="0" fontId="30" fillId="0" borderId="0" applyNumberFormat="0" applyFill="0" applyBorder="0" applyAlignment="0" applyProtection="0"/>
    <xf numFmtId="4" fontId="32" fillId="34" borderId="213">
      <alignment horizontal="right" vertical="center"/>
    </xf>
    <xf numFmtId="0" fontId="26" fillId="27" borderId="0" applyNumberFormat="0" applyBorder="0" applyAlignment="0" applyProtection="0"/>
    <xf numFmtId="0" fontId="32" fillId="34" borderId="211">
      <alignment horizontal="right" vertical="center"/>
    </xf>
    <xf numFmtId="173" fontId="34" fillId="60" borderId="211" applyNumberFormat="0" applyFont="0" applyBorder="0" applyAlignment="0" applyProtection="0">
      <alignment horizontal="right" vertical="center"/>
    </xf>
    <xf numFmtId="0" fontId="45" fillId="56" borderId="208" applyNumberFormat="0" applyAlignment="0" applyProtection="0"/>
    <xf numFmtId="0" fontId="45" fillId="56" borderId="208" applyNumberFormat="0" applyAlignment="0" applyProtection="0"/>
    <xf numFmtId="4" fontId="36" fillId="32" borderId="211">
      <alignment horizontal="right" vertical="center"/>
    </xf>
    <xf numFmtId="0" fontId="65" fillId="0" borderId="209" applyNumberFormat="0" applyFill="0" applyAlignment="0" applyProtection="0"/>
    <xf numFmtId="0" fontId="50" fillId="0" borderId="209" applyNumberFormat="0" applyFill="0" applyAlignment="0" applyProtection="0"/>
    <xf numFmtId="4" fontId="34" fillId="0" borderId="211">
      <alignment horizontal="right" vertical="center"/>
    </xf>
    <xf numFmtId="0" fontId="30" fillId="0" borderId="0" applyNumberFormat="0" applyFill="0" applyBorder="0" applyAlignment="0" applyProtection="0"/>
    <xf numFmtId="0" fontId="34" fillId="33" borderId="211"/>
    <xf numFmtId="0" fontId="26" fillId="27" borderId="0" applyNumberFormat="0" applyBorder="0" applyAlignment="0" applyProtection="0"/>
    <xf numFmtId="0" fontId="49" fillId="43" borderId="208" applyNumberFormat="0" applyAlignment="0" applyProtection="0"/>
    <xf numFmtId="0" fontId="34" fillId="0" borderId="211">
      <alignment horizontal="right" vertical="center"/>
    </xf>
    <xf numFmtId="0" fontId="32" fillId="34" borderId="212">
      <alignment horizontal="right" vertical="center"/>
    </xf>
    <xf numFmtId="4" fontId="32" fillId="32" borderId="211">
      <alignment horizontal="right" vertical="center"/>
    </xf>
    <xf numFmtId="0" fontId="46" fillId="56" borderId="208" applyNumberFormat="0" applyAlignment="0" applyProtection="0"/>
    <xf numFmtId="0" fontId="34" fillId="33" borderId="211"/>
    <xf numFmtId="0" fontId="50" fillId="0" borderId="209" applyNumberFormat="0" applyFill="0" applyAlignment="0" applyProtection="0"/>
    <xf numFmtId="0" fontId="32" fillId="34" borderId="211">
      <alignment horizontal="right" vertical="center"/>
    </xf>
    <xf numFmtId="0" fontId="46" fillId="56" borderId="208" applyNumberFormat="0" applyAlignment="0" applyProtection="0"/>
    <xf numFmtId="0" fontId="26" fillId="27" borderId="0" applyNumberFormat="0" applyBorder="0" applyAlignment="0" applyProtection="0"/>
    <xf numFmtId="0" fontId="34" fillId="0" borderId="211">
      <alignment horizontal="right" vertical="center"/>
    </xf>
    <xf numFmtId="49" fontId="34" fillId="0" borderId="212" applyNumberFormat="0" applyFont="0" applyFill="0" applyBorder="0" applyProtection="0">
      <alignment horizontal="left" vertical="center" indent="5"/>
    </xf>
    <xf numFmtId="0" fontId="34" fillId="0" borderId="214">
      <alignment horizontal="left" vertical="center" wrapText="1" indent="2"/>
    </xf>
    <xf numFmtId="0" fontId="34" fillId="0" borderId="214">
      <alignment horizontal="left" vertical="center" wrapText="1" indent="2"/>
    </xf>
    <xf numFmtId="0" fontId="40" fillId="59" borderId="210" applyNumberFormat="0" applyFont="0" applyAlignment="0" applyProtection="0"/>
    <xf numFmtId="0" fontId="26" fillId="27" borderId="0" applyNumberFormat="0" applyBorder="0" applyAlignment="0" applyProtection="0"/>
    <xf numFmtId="0" fontId="32" fillId="32" borderId="211">
      <alignment horizontal="right" vertical="center"/>
    </xf>
    <xf numFmtId="0" fontId="50" fillId="0" borderId="209" applyNumberFormat="0" applyFill="0" applyAlignment="0" applyProtection="0"/>
    <xf numFmtId="0" fontId="34" fillId="0" borderId="211" applyNumberFormat="0" applyFill="0" applyAlignment="0" applyProtection="0"/>
    <xf numFmtId="0" fontId="50" fillId="0" borderId="209" applyNumberFormat="0" applyFill="0" applyAlignment="0" applyProtection="0"/>
    <xf numFmtId="4" fontId="34" fillId="0" borderId="211" applyFill="0" applyBorder="0" applyProtection="0">
      <alignment horizontal="right" vertical="center"/>
    </xf>
    <xf numFmtId="49" fontId="34" fillId="0" borderId="212" applyNumberFormat="0" applyFont="0" applyFill="0" applyBorder="0" applyProtection="0">
      <alignment horizontal="left" vertical="center" indent="5"/>
    </xf>
    <xf numFmtId="0" fontId="34" fillId="0" borderId="211" applyNumberFormat="0" applyFill="0" applyAlignment="0" applyProtection="0"/>
    <xf numFmtId="0" fontId="58" fillId="43" borderId="208" applyNumberFormat="0" applyAlignment="0" applyProtection="0"/>
    <xf numFmtId="0" fontId="34" fillId="0" borderId="211" applyNumberFormat="0" applyFill="0" applyAlignment="0" applyProtection="0"/>
    <xf numFmtId="4" fontId="32" fillId="34" borderId="211">
      <alignment horizontal="right" vertical="center"/>
    </xf>
    <xf numFmtId="0" fontId="49" fillId="43" borderId="208" applyNumberFormat="0" applyAlignment="0" applyProtection="0"/>
    <xf numFmtId="0" fontId="46" fillId="56" borderId="208" applyNumberFormat="0" applyAlignment="0" applyProtection="0"/>
    <xf numFmtId="4" fontId="34" fillId="0" borderId="211">
      <alignment horizontal="right" vertical="center"/>
    </xf>
    <xf numFmtId="0" fontId="34" fillId="34" borderId="214">
      <alignment horizontal="left" vertical="center" wrapText="1" indent="2"/>
    </xf>
    <xf numFmtId="0" fontId="34" fillId="0" borderId="214">
      <alignment horizontal="left" vertical="center" wrapText="1" indent="2"/>
    </xf>
    <xf numFmtId="0" fontId="62" fillId="56" borderId="215" applyNumberFormat="0" applyAlignment="0" applyProtection="0"/>
    <xf numFmtId="0" fontId="58" fillId="43" borderId="208" applyNumberFormat="0" applyAlignment="0" applyProtection="0"/>
    <xf numFmtId="0" fontId="45" fillId="56" borderId="208" applyNumberFormat="0" applyAlignment="0" applyProtection="0"/>
    <xf numFmtId="0" fontId="43" fillId="56" borderId="215" applyNumberFormat="0" applyAlignment="0" applyProtection="0"/>
    <xf numFmtId="0" fontId="32" fillId="34" borderId="213">
      <alignment horizontal="right" vertical="center"/>
    </xf>
    <xf numFmtId="0" fontId="36" fillId="32" borderId="211">
      <alignment horizontal="right" vertical="center"/>
    </xf>
    <xf numFmtId="4" fontId="32" fillId="32" borderId="211">
      <alignment horizontal="right" vertical="center"/>
    </xf>
    <xf numFmtId="4" fontId="32" fillId="34" borderId="211">
      <alignment horizontal="right" vertical="center"/>
    </xf>
    <xf numFmtId="49" fontId="34" fillId="0" borderId="212" applyNumberFormat="0" applyFont="0" applyFill="0" applyBorder="0" applyProtection="0">
      <alignment horizontal="left" vertical="center" indent="5"/>
    </xf>
    <xf numFmtId="4" fontId="34" fillId="0" borderId="211" applyFill="0" applyBorder="0" applyProtection="0">
      <alignment horizontal="right" vertical="center"/>
    </xf>
    <xf numFmtId="4" fontId="32" fillId="32" borderId="211">
      <alignment horizontal="right" vertical="center"/>
    </xf>
    <xf numFmtId="0" fontId="58" fillId="43" borderId="208" applyNumberFormat="0" applyAlignment="0" applyProtection="0"/>
    <xf numFmtId="0" fontId="49" fillId="43" borderId="208" applyNumberFormat="0" applyAlignment="0" applyProtection="0"/>
    <xf numFmtId="0" fontId="45" fillId="56" borderId="208" applyNumberFormat="0" applyAlignment="0" applyProtection="0"/>
    <xf numFmtId="0" fontId="34" fillId="34" borderId="214">
      <alignment horizontal="left" vertical="center" wrapText="1" indent="2"/>
    </xf>
    <xf numFmtId="0" fontId="34" fillId="0" borderId="214">
      <alignment horizontal="left" vertical="center" wrapText="1" indent="2"/>
    </xf>
    <xf numFmtId="0" fontId="34" fillId="34" borderId="214">
      <alignment horizontal="left" vertical="center" wrapText="1" indent="2"/>
    </xf>
    <xf numFmtId="0" fontId="34" fillId="0" borderId="253" applyNumberFormat="0" applyFill="0" applyAlignment="0" applyProtection="0"/>
    <xf numFmtId="0" fontId="12" fillId="19" borderId="0" applyNumberFormat="0" applyBorder="0" applyAlignment="0" applyProtection="0"/>
    <xf numFmtId="0" fontId="32" fillId="34" borderId="259">
      <alignment horizontal="right" vertical="center"/>
    </xf>
    <xf numFmtId="0" fontId="49" fillId="43" borderId="234" applyNumberFormat="0" applyAlignment="0" applyProtection="0"/>
    <xf numFmtId="0" fontId="34" fillId="32" borderId="254">
      <alignment horizontal="left" vertical="center"/>
    </xf>
    <xf numFmtId="4" fontId="36" fillId="32" borderId="258">
      <alignment horizontal="right" vertical="center"/>
    </xf>
    <xf numFmtId="0" fontId="28" fillId="13" borderId="14" applyNumberFormat="0" applyAlignment="0" applyProtection="0"/>
    <xf numFmtId="0" fontId="26" fillId="14" borderId="0" applyNumberFormat="0" applyBorder="0" applyAlignment="0" applyProtection="0"/>
    <xf numFmtId="0" fontId="45" fillId="56" borderId="225" applyNumberFormat="0" applyAlignment="0" applyProtection="0"/>
    <xf numFmtId="0" fontId="34" fillId="34" borderId="256">
      <alignment horizontal="left" vertical="center" wrapText="1" indent="2"/>
    </xf>
    <xf numFmtId="0" fontId="40" fillId="59" borderId="273" applyNumberFormat="0" applyFont="0" applyAlignment="0" applyProtection="0"/>
    <xf numFmtId="0" fontId="32" fillId="32" borderId="258">
      <alignment horizontal="right" vertical="center"/>
    </xf>
    <xf numFmtId="0" fontId="62" fillId="56" borderId="249" applyNumberFormat="0" applyAlignment="0" applyProtection="0"/>
    <xf numFmtId="0" fontId="40" fillId="59" borderId="227" applyNumberFormat="0" applyFont="0" applyAlignment="0" applyProtection="0"/>
    <xf numFmtId="4" fontId="32" fillId="32" borderId="258">
      <alignment horizontal="right" vertical="center"/>
    </xf>
    <xf numFmtId="173" fontId="34" fillId="60" borderId="244" applyNumberFormat="0" applyFont="0" applyBorder="0" applyAlignment="0" applyProtection="0">
      <alignment horizontal="right" vertical="center"/>
    </xf>
    <xf numFmtId="0" fontId="40" fillId="59" borderId="243" applyNumberFormat="0" applyFont="0" applyAlignment="0" applyProtection="0"/>
    <xf numFmtId="0" fontId="34" fillId="32" borderId="229">
      <alignment horizontal="left" vertical="center"/>
    </xf>
    <xf numFmtId="0" fontId="28" fillId="13" borderId="14" applyNumberFormat="0" applyAlignment="0" applyProtection="0"/>
    <xf numFmtId="0" fontId="1" fillId="0" borderId="0" applyNumberFormat="0" applyFill="0" applyBorder="0" applyAlignment="0" applyProtection="0"/>
    <xf numFmtId="0" fontId="32" fillId="34" borderId="268">
      <alignment horizontal="right" vertical="center"/>
    </xf>
    <xf numFmtId="4" fontId="32" fillId="32" borderId="274">
      <alignment horizontal="right" vertical="center"/>
    </xf>
    <xf numFmtId="0" fontId="40" fillId="59" borderId="236" applyNumberFormat="0" applyFont="0" applyAlignment="0" applyProtection="0"/>
    <xf numFmtId="0" fontId="40" fillId="59" borderId="252" applyNumberFormat="0" applyFont="0" applyAlignment="0" applyProtection="0"/>
    <xf numFmtId="0" fontId="34" fillId="0" borderId="240">
      <alignment horizontal="left" vertical="center" wrapText="1" indent="2"/>
    </xf>
    <xf numFmtId="49" fontId="34" fillId="0" borderId="237" applyNumberFormat="0" applyFont="0" applyFill="0" applyBorder="0" applyProtection="0">
      <alignment horizontal="left" vertical="center" indent="2"/>
    </xf>
    <xf numFmtId="173" fontId="34" fillId="60" borderId="228" applyNumberFormat="0" applyFont="0" applyBorder="0" applyAlignment="0" applyProtection="0">
      <alignment horizontal="right" vertical="center"/>
    </xf>
    <xf numFmtId="0" fontId="32" fillId="32" borderId="258">
      <alignment horizontal="right" vertical="center"/>
    </xf>
    <xf numFmtId="173" fontId="34" fillId="60" borderId="237" applyNumberFormat="0" applyFont="0" applyBorder="0" applyAlignment="0" applyProtection="0">
      <alignment horizontal="right" vertical="center"/>
    </xf>
    <xf numFmtId="4" fontId="32" fillId="34" borderId="228">
      <alignment horizontal="right" vertical="center"/>
    </xf>
    <xf numFmtId="0" fontId="26" fillId="26" borderId="0" applyNumberFormat="0" applyBorder="0" applyAlignment="0" applyProtection="0"/>
    <xf numFmtId="0" fontId="40" fillId="59" borderId="252" applyNumberFormat="0" applyFont="0" applyAlignment="0" applyProtection="0"/>
    <xf numFmtId="0" fontId="12" fillId="28" borderId="0" applyNumberFormat="0" applyBorder="0" applyAlignment="0" applyProtection="0"/>
    <xf numFmtId="0" fontId="12" fillId="25" borderId="0" applyNumberFormat="0" applyBorder="0" applyAlignment="0" applyProtection="0"/>
    <xf numFmtId="4" fontId="32" fillId="34" borderId="253">
      <alignment horizontal="right" vertical="center"/>
    </xf>
    <xf numFmtId="0" fontId="32" fillId="34" borderId="254">
      <alignment horizontal="right" vertical="center"/>
    </xf>
    <xf numFmtId="0" fontId="26" fillId="23" borderId="0" applyNumberFormat="0" applyBorder="0" applyAlignment="0" applyProtection="0"/>
    <xf numFmtId="0" fontId="46" fillId="56" borderId="263" applyNumberFormat="0" applyAlignment="0" applyProtection="0"/>
    <xf numFmtId="0" fontId="43" fillId="56" borderId="249" applyNumberFormat="0" applyAlignment="0" applyProtection="0"/>
    <xf numFmtId="0" fontId="62" fillId="56" borderId="249" applyNumberFormat="0" applyAlignment="0" applyProtection="0"/>
    <xf numFmtId="0" fontId="45" fillId="56" borderId="250" applyNumberFormat="0" applyAlignment="0" applyProtection="0"/>
    <xf numFmtId="0" fontId="32" fillId="34" borderId="230">
      <alignment horizontal="right" vertical="center"/>
    </xf>
    <xf numFmtId="0" fontId="29" fillId="13" borderId="13" applyNumberFormat="0" applyAlignment="0" applyProtection="0"/>
    <xf numFmtId="0" fontId="50" fillId="0" borderId="242" applyNumberFormat="0" applyFill="0" applyAlignment="0" applyProtection="0"/>
    <xf numFmtId="0" fontId="43" fillId="56" borderId="262" applyNumberFormat="0" applyAlignment="0" applyProtection="0"/>
    <xf numFmtId="0" fontId="28" fillId="13" borderId="14" applyNumberFormat="0" applyAlignment="0" applyProtection="0"/>
    <xf numFmtId="4" fontId="36" fillId="32" borderId="244">
      <alignment horizontal="right" vertical="center"/>
    </xf>
    <xf numFmtId="0" fontId="34" fillId="32" borderId="259">
      <alignment horizontal="left" vertical="center"/>
    </xf>
    <xf numFmtId="0" fontId="26" fillId="23" borderId="0" applyNumberFormat="0" applyBorder="0" applyAlignment="0" applyProtection="0"/>
    <xf numFmtId="0" fontId="65" fillId="0" borderId="251" applyNumberFormat="0" applyFill="0" applyAlignment="0" applyProtection="0"/>
    <xf numFmtId="0" fontId="28" fillId="13" borderId="14" applyNumberFormat="0" applyAlignment="0" applyProtection="0"/>
    <xf numFmtId="0" fontId="29" fillId="13" borderId="13" applyNumberFormat="0" applyAlignment="0" applyProtection="0"/>
    <xf numFmtId="0" fontId="32" fillId="34" borderId="253">
      <alignment horizontal="right" vertical="center"/>
    </xf>
    <xf numFmtId="0" fontId="32" fillId="34" borderId="292">
      <alignment horizontal="right" vertical="center"/>
    </xf>
    <xf numFmtId="0" fontId="1" fillId="0" borderId="0" applyNumberFormat="0" applyFill="0" applyBorder="0" applyAlignment="0" applyProtection="0"/>
    <xf numFmtId="0" fontId="12" fillId="22" borderId="0" applyNumberFormat="0" applyBorder="0" applyAlignment="0" applyProtection="0"/>
    <xf numFmtId="0" fontId="30" fillId="0" borderId="0" applyNumberFormat="0" applyFill="0" applyBorder="0" applyAlignment="0" applyProtection="0"/>
    <xf numFmtId="0" fontId="2" fillId="0" borderId="15" applyNumberFormat="0" applyFill="0" applyAlignment="0" applyProtection="0"/>
    <xf numFmtId="4" fontId="34" fillId="0" borderId="253">
      <alignment horizontal="right" vertical="center"/>
    </xf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12" fillId="16" borderId="0" applyNumberFormat="0" applyBorder="0" applyAlignment="0" applyProtection="0"/>
    <xf numFmtId="0" fontId="34" fillId="34" borderId="256">
      <alignment horizontal="left" vertical="center" wrapText="1" indent="2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12" fillId="19" borderId="0" applyNumberFormat="0" applyBorder="0" applyAlignment="0" applyProtection="0"/>
    <xf numFmtId="4" fontId="32" fillId="34" borderId="239">
      <alignment horizontal="right" vertical="center"/>
    </xf>
    <xf numFmtId="0" fontId="26" fillId="20" borderId="0" applyNumberFormat="0" applyBorder="0" applyAlignment="0" applyProtection="0"/>
    <xf numFmtId="0" fontId="26" fillId="21" borderId="0" applyNumberFormat="0" applyBorder="0" applyAlignment="0" applyProtection="0"/>
    <xf numFmtId="0" fontId="12" fillId="22" borderId="0" applyNumberFormat="0" applyBorder="0" applyAlignment="0" applyProtection="0"/>
    <xf numFmtId="0" fontId="26" fillId="30" borderId="0" applyNumberFormat="0" applyBorder="0" applyAlignment="0" applyProtection="0"/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12" fillId="25" borderId="0" applyNumberFormat="0" applyBorder="0" applyAlignment="0" applyProtection="0"/>
    <xf numFmtId="4" fontId="32" fillId="34" borderId="260">
      <alignment horizontal="right" vertical="center"/>
    </xf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12" fillId="28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12" fillId="31" borderId="0" applyNumberFormat="0" applyBorder="0" applyAlignment="0" applyProtection="0"/>
    <xf numFmtId="0" fontId="34" fillId="0" borderId="211" applyNumberFormat="0" applyFill="0" applyAlignment="0" applyProtection="0"/>
    <xf numFmtId="0" fontId="32" fillId="34" borderId="211">
      <alignment horizontal="right" vertical="center"/>
    </xf>
    <xf numFmtId="0" fontId="32" fillId="34" borderId="211">
      <alignment horizontal="right" vertical="center"/>
    </xf>
    <xf numFmtId="4" fontId="32" fillId="34" borderId="253">
      <alignment horizontal="right" vertical="center"/>
    </xf>
    <xf numFmtId="0" fontId="32" fillId="34" borderId="229">
      <alignment horizontal="right" vertical="center"/>
    </xf>
    <xf numFmtId="0" fontId="34" fillId="0" borderId="211">
      <alignment horizontal="right" vertical="center"/>
    </xf>
    <xf numFmtId="0" fontId="36" fillId="32" borderId="211">
      <alignment horizontal="right" vertical="center"/>
    </xf>
    <xf numFmtId="0" fontId="34" fillId="33" borderId="211"/>
    <xf numFmtId="0" fontId="32" fillId="32" borderId="211">
      <alignment horizontal="right" vertical="center"/>
    </xf>
    <xf numFmtId="0" fontId="49" fillId="43" borderId="241" applyNumberFormat="0" applyAlignment="0" applyProtection="0"/>
    <xf numFmtId="4" fontId="34" fillId="0" borderId="253" applyFill="0" applyBorder="0" applyProtection="0">
      <alignment horizontal="right" vertical="center"/>
    </xf>
    <xf numFmtId="4" fontId="32" fillId="34" borderId="259">
      <alignment horizontal="right" vertical="center"/>
    </xf>
    <xf numFmtId="0" fontId="50" fillId="0" borderId="266" applyNumberFormat="0" applyFill="0" applyAlignment="0" applyProtection="0"/>
    <xf numFmtId="0" fontId="1" fillId="0" borderId="0" applyNumberFormat="0" applyFill="0" applyBorder="0" applyAlignment="0" applyProtection="0"/>
    <xf numFmtId="0" fontId="32" fillId="34" borderId="259">
      <alignment horizontal="right" vertical="center"/>
    </xf>
    <xf numFmtId="0" fontId="32" fillId="32" borderId="253">
      <alignment horizontal="right" vertical="center"/>
    </xf>
    <xf numFmtId="0" fontId="32" fillId="32" borderId="274">
      <alignment horizontal="right" vertical="center"/>
    </xf>
    <xf numFmtId="0" fontId="34" fillId="33" borderId="237"/>
    <xf numFmtId="0" fontId="32" fillId="34" borderId="253">
      <alignment horizontal="right" vertical="center"/>
    </xf>
    <xf numFmtId="0" fontId="34" fillId="33" borderId="253"/>
    <xf numFmtId="0" fontId="40" fillId="59" borderId="257" applyNumberFormat="0" applyFont="0" applyAlignment="0" applyProtection="0"/>
    <xf numFmtId="0" fontId="50" fillId="0" borderId="251" applyNumberFormat="0" applyFill="0" applyAlignment="0" applyProtection="0"/>
    <xf numFmtId="0" fontId="26" fillId="23" borderId="0" applyNumberFormat="0" applyBorder="0" applyAlignment="0" applyProtection="0"/>
    <xf numFmtId="4" fontId="32" fillId="34" borderId="255">
      <alignment horizontal="right" vertical="center"/>
    </xf>
    <xf numFmtId="173" fontId="34" fillId="60" borderId="282" applyNumberFormat="0" applyFont="0" applyBorder="0" applyAlignment="0" applyProtection="0">
      <alignment horizontal="right" vertical="center"/>
    </xf>
    <xf numFmtId="0" fontId="62" fillId="56" borderId="233" applyNumberFormat="0" applyAlignment="0" applyProtection="0"/>
    <xf numFmtId="0" fontId="34" fillId="32" borderId="254">
      <alignment horizontal="left" vertical="center"/>
    </xf>
    <xf numFmtId="49" fontId="33" fillId="0" borderId="228" applyNumberFormat="0" applyFill="0" applyBorder="0" applyProtection="0">
      <alignment horizontal="left" vertical="center"/>
    </xf>
    <xf numFmtId="4" fontId="34" fillId="0" borderId="228" applyFill="0" applyBorder="0" applyProtection="0">
      <alignment horizontal="right" vertical="center"/>
    </xf>
    <xf numFmtId="0" fontId="26" fillId="15" borderId="0" applyNumberFormat="0" applyBorder="0" applyAlignment="0" applyProtection="0"/>
    <xf numFmtId="4" fontId="34" fillId="0" borderId="258" applyFill="0" applyBorder="0" applyProtection="0">
      <alignment horizontal="right" vertical="center"/>
    </xf>
    <xf numFmtId="0" fontId="26" fillId="30" borderId="0" applyNumberFormat="0" applyBorder="0" applyAlignment="0" applyProtection="0"/>
    <xf numFmtId="4" fontId="32" fillId="34" borderId="253">
      <alignment horizontal="right" vertical="center"/>
    </xf>
    <xf numFmtId="4" fontId="32" fillId="34" borderId="254">
      <alignment horizontal="right" vertical="center"/>
    </xf>
    <xf numFmtId="0" fontId="12" fillId="16" borderId="0" applyNumberFormat="0" applyBorder="0" applyAlignment="0" applyProtection="0"/>
    <xf numFmtId="4" fontId="34" fillId="0" borderId="244" applyFill="0" applyBorder="0" applyProtection="0">
      <alignment horizontal="right" vertical="center"/>
    </xf>
    <xf numFmtId="0" fontId="65" fillId="0" borderId="242" applyNumberFormat="0" applyFill="0" applyAlignment="0" applyProtection="0"/>
    <xf numFmtId="0" fontId="46" fillId="56" borderId="241" applyNumberFormat="0" applyAlignment="0" applyProtection="0"/>
    <xf numFmtId="0" fontId="46" fillId="56" borderId="234" applyNumberFormat="0" applyAlignment="0" applyProtection="0"/>
    <xf numFmtId="0" fontId="34" fillId="0" borderId="268">
      <alignment horizontal="right" vertical="center"/>
    </xf>
    <xf numFmtId="0" fontId="40" fillId="59" borderId="252" applyNumberFormat="0" applyFont="0" applyAlignment="0" applyProtection="0"/>
    <xf numFmtId="0" fontId="26" fillId="30" borderId="0" applyNumberFormat="0" applyBorder="0" applyAlignment="0" applyProtection="0"/>
    <xf numFmtId="0" fontId="12" fillId="31" borderId="0" applyNumberFormat="0" applyBorder="0" applyAlignment="0" applyProtection="0"/>
    <xf numFmtId="0" fontId="62" fillId="56" borderId="272" applyNumberFormat="0" applyAlignment="0" applyProtection="0"/>
    <xf numFmtId="0" fontId="65" fillId="0" borderId="266" applyNumberFormat="0" applyFill="0" applyAlignment="0" applyProtection="0"/>
    <xf numFmtId="0" fontId="32" fillId="34" borderId="246">
      <alignment horizontal="right" vertical="center"/>
    </xf>
    <xf numFmtId="0" fontId="65" fillId="0" borderId="264" applyNumberFormat="0" applyFill="0" applyAlignment="0" applyProtection="0"/>
    <xf numFmtId="4" fontId="34" fillId="0" borderId="258">
      <alignment horizontal="right" vertical="center"/>
    </xf>
    <xf numFmtId="0" fontId="32" fillId="34" borderId="258">
      <alignment horizontal="right" vertical="center"/>
    </xf>
    <xf numFmtId="0" fontId="65" fillId="0" borderId="226" applyNumberFormat="0" applyFill="0" applyAlignment="0" applyProtection="0"/>
    <xf numFmtId="0" fontId="34" fillId="0" borderId="228" applyNumberFormat="0" applyFill="0" applyAlignment="0" applyProtection="0"/>
    <xf numFmtId="0" fontId="34" fillId="0" borderId="231">
      <alignment horizontal="left" vertical="center" wrapText="1" indent="2"/>
    </xf>
    <xf numFmtId="0" fontId="32" fillId="34" borderId="228">
      <alignment horizontal="right" vertical="center"/>
    </xf>
    <xf numFmtId="4" fontId="32" fillId="34" borderId="228">
      <alignment horizontal="right" vertical="center"/>
    </xf>
    <xf numFmtId="0" fontId="32" fillId="34" borderId="228">
      <alignment horizontal="right" vertical="center"/>
    </xf>
    <xf numFmtId="4" fontId="36" fillId="32" borderId="228">
      <alignment horizontal="right" vertical="center"/>
    </xf>
    <xf numFmtId="0" fontId="36" fillId="32" borderId="228">
      <alignment horizontal="right" vertical="center"/>
    </xf>
    <xf numFmtId="4" fontId="32" fillId="32" borderId="228">
      <alignment horizontal="right" vertical="center"/>
    </xf>
    <xf numFmtId="0" fontId="32" fillId="32" borderId="228">
      <alignment horizontal="right" vertical="center"/>
    </xf>
    <xf numFmtId="0" fontId="65" fillId="0" borderId="251" applyNumberFormat="0" applyFill="0" applyAlignment="0" applyProtection="0"/>
    <xf numFmtId="0" fontId="46" fillId="56" borderId="218" applyNumberFormat="0" applyAlignment="0" applyProtection="0"/>
    <xf numFmtId="4" fontId="34" fillId="33" borderId="253"/>
    <xf numFmtId="43" fontId="37" fillId="0" borderId="0" applyFont="0" applyFill="0" applyBorder="0" applyAlignment="0" applyProtection="0"/>
    <xf numFmtId="4" fontId="32" fillId="34" borderId="246">
      <alignment horizontal="right" vertical="center"/>
    </xf>
    <xf numFmtId="43" fontId="37" fillId="0" borderId="0" applyFont="0" applyFill="0" applyBorder="0" applyAlignment="0" applyProtection="0"/>
    <xf numFmtId="0" fontId="34" fillId="34" borderId="271">
      <alignment horizontal="left" vertical="center" wrapText="1" indent="2"/>
    </xf>
    <xf numFmtId="0" fontId="65" fillId="0" borderId="226" applyNumberFormat="0" applyFill="0" applyAlignment="0" applyProtection="0"/>
    <xf numFmtId="0" fontId="26" fillId="17" borderId="0" applyNumberFormat="0" applyBorder="0" applyAlignment="0" applyProtection="0"/>
    <xf numFmtId="0" fontId="32" fillId="34" borderId="245">
      <alignment horizontal="right" vertical="center"/>
    </xf>
    <xf numFmtId="0" fontId="58" fillId="43" borderId="234" applyNumberFormat="0" applyAlignment="0" applyProtection="0"/>
    <xf numFmtId="0" fontId="46" fillId="56" borderId="225" applyNumberFormat="0" applyAlignment="0" applyProtection="0"/>
    <xf numFmtId="49" fontId="33" fillId="0" borderId="253" applyNumberFormat="0" applyFill="0" applyBorder="0" applyProtection="0">
      <alignment horizontal="left" vertical="center"/>
    </xf>
    <xf numFmtId="0" fontId="58" fillId="43" borderId="241" applyNumberFormat="0" applyAlignment="0" applyProtection="0"/>
    <xf numFmtId="0" fontId="34" fillId="0" borderId="256">
      <alignment horizontal="left" vertical="center" wrapText="1" indent="2"/>
    </xf>
    <xf numFmtId="0" fontId="58" fillId="43" borderId="218" applyNumberFormat="0" applyAlignment="0" applyProtection="0"/>
    <xf numFmtId="0" fontId="12" fillId="16" borderId="0" applyNumberFormat="0" applyBorder="0" applyAlignment="0" applyProtection="0"/>
    <xf numFmtId="4" fontId="34" fillId="0" borderId="258">
      <alignment horizontal="right" vertical="center"/>
    </xf>
    <xf numFmtId="0" fontId="34" fillId="33" borderId="282"/>
    <xf numFmtId="4" fontId="36" fillId="32" borderId="253">
      <alignment horizontal="right" vertical="center"/>
    </xf>
    <xf numFmtId="0" fontId="49" fillId="43" borderId="250" applyNumberFormat="0" applyAlignment="0" applyProtection="0"/>
    <xf numFmtId="0" fontId="26" fillId="26" borderId="0" applyNumberFormat="0" applyBorder="0" applyAlignment="0" applyProtection="0"/>
    <xf numFmtId="0" fontId="5" fillId="59" borderId="257" applyNumberFormat="0" applyFont="0" applyAlignment="0" applyProtection="0"/>
    <xf numFmtId="0" fontId="65" fillId="0" borderId="251" applyNumberFormat="0" applyFill="0" applyAlignment="0" applyProtection="0"/>
    <xf numFmtId="0" fontId="32" fillId="34" borderId="268">
      <alignment horizontal="right" vertical="center"/>
    </xf>
    <xf numFmtId="0" fontId="45" fillId="56" borderId="263" applyNumberFormat="0" applyAlignment="0" applyProtection="0"/>
    <xf numFmtId="0" fontId="2" fillId="0" borderId="15" applyNumberFormat="0" applyFill="0" applyAlignment="0" applyProtection="0"/>
    <xf numFmtId="4" fontId="32" fillId="32" borderId="253">
      <alignment horizontal="right" vertical="center"/>
    </xf>
    <xf numFmtId="0" fontId="5" fillId="59" borderId="227" applyNumberFormat="0" applyFont="0" applyAlignment="0" applyProtection="0"/>
    <xf numFmtId="0" fontId="40" fillId="59" borderId="227" applyNumberFormat="0" applyFont="0" applyAlignment="0" applyProtection="0"/>
    <xf numFmtId="0" fontId="34" fillId="0" borderId="240">
      <alignment horizontal="left" vertical="center" wrapText="1" indent="2"/>
    </xf>
    <xf numFmtId="4" fontId="34" fillId="0" borderId="258">
      <alignment horizontal="right" vertical="center"/>
    </xf>
    <xf numFmtId="0" fontId="32" fillId="34" borderId="260">
      <alignment horizontal="right" vertical="center"/>
    </xf>
    <xf numFmtId="4" fontId="34" fillId="0" borderId="211" applyFill="0" applyBorder="0" applyProtection="0">
      <alignment horizontal="right" vertical="center"/>
    </xf>
    <xf numFmtId="0" fontId="32" fillId="34" borderId="254">
      <alignment horizontal="right" vertical="center"/>
    </xf>
    <xf numFmtId="0" fontId="34" fillId="33" borderId="258"/>
    <xf numFmtId="0" fontId="12" fillId="31" borderId="0" applyNumberFormat="0" applyBorder="0" applyAlignment="0" applyProtection="0"/>
    <xf numFmtId="0" fontId="34" fillId="0" borderId="256">
      <alignment horizontal="left" vertical="center" wrapText="1" indent="2"/>
    </xf>
    <xf numFmtId="0" fontId="26" fillId="27" borderId="0" applyNumberFormat="0" applyBorder="0" applyAlignment="0" applyProtection="0"/>
    <xf numFmtId="0" fontId="26" fillId="15" borderId="0" applyNumberFormat="0" applyBorder="0" applyAlignment="0" applyProtection="0"/>
    <xf numFmtId="0" fontId="30" fillId="0" borderId="0" applyNumberFormat="0" applyFill="0" applyBorder="0" applyAlignment="0" applyProtection="0"/>
    <xf numFmtId="0" fontId="34" fillId="0" borderId="253">
      <alignment horizontal="right" vertical="center"/>
    </xf>
    <xf numFmtId="0" fontId="40" fillId="59" borderId="220" applyNumberFormat="0" applyFont="0" applyAlignment="0" applyProtection="0"/>
    <xf numFmtId="0" fontId="5" fillId="59" borderId="220" applyNumberFormat="0" applyFont="0" applyAlignment="0" applyProtection="0"/>
    <xf numFmtId="0" fontId="62" fillId="56" borderId="217" applyNumberFormat="0" applyAlignment="0" applyProtection="0"/>
    <xf numFmtId="0" fontId="12" fillId="31" borderId="0" applyNumberFormat="0" applyBorder="0" applyAlignment="0" applyProtection="0"/>
    <xf numFmtId="0" fontId="34" fillId="33" borderId="268"/>
    <xf numFmtId="4" fontId="32" fillId="34" borderId="255">
      <alignment horizontal="right" vertical="center"/>
    </xf>
    <xf numFmtId="49" fontId="34" fillId="0" borderId="253" applyNumberFormat="0" applyFont="0" applyFill="0" applyBorder="0" applyProtection="0">
      <alignment horizontal="left" vertical="center" indent="2"/>
    </xf>
    <xf numFmtId="4" fontId="34" fillId="0" borderId="258">
      <alignment horizontal="right" vertical="center"/>
    </xf>
    <xf numFmtId="0" fontId="32" fillId="34" borderId="253">
      <alignment horizontal="right" vertical="center"/>
    </xf>
    <xf numFmtId="0" fontId="65" fillId="0" borderId="219" applyNumberFormat="0" applyFill="0" applyAlignment="0" applyProtection="0"/>
    <xf numFmtId="0" fontId="36" fillId="32" borderId="253">
      <alignment horizontal="right" vertical="center"/>
    </xf>
    <xf numFmtId="0" fontId="12" fillId="22" borderId="0" applyNumberFormat="0" applyBorder="0" applyAlignment="0" applyProtection="0"/>
    <xf numFmtId="0" fontId="5" fillId="59" borderId="243" applyNumberFormat="0" applyFont="0" applyAlignment="0" applyProtection="0"/>
    <xf numFmtId="0" fontId="34" fillId="32" borderId="254">
      <alignment horizontal="left" vertical="center"/>
    </xf>
    <xf numFmtId="0" fontId="50" fillId="0" borderId="251" applyNumberFormat="0" applyFill="0" applyAlignment="0" applyProtection="0"/>
    <xf numFmtId="0" fontId="46" fillId="56" borderId="250" applyNumberFormat="0" applyAlignment="0" applyProtection="0"/>
    <xf numFmtId="0" fontId="32" fillId="34" borderId="255">
      <alignment horizontal="right" vertical="center"/>
    </xf>
    <xf numFmtId="0" fontId="62" fillId="56" borderId="286" applyNumberFormat="0" applyAlignment="0" applyProtection="0"/>
    <xf numFmtId="4" fontId="32" fillId="34" borderId="237">
      <alignment horizontal="right" vertical="center"/>
    </xf>
    <xf numFmtId="0" fontId="43" fillId="56" borderId="249" applyNumberFormat="0" applyAlignment="0" applyProtection="0"/>
    <xf numFmtId="4" fontId="34" fillId="33" borderId="244"/>
    <xf numFmtId="4" fontId="32" fillId="34" borderId="270">
      <alignment horizontal="right" vertical="center"/>
    </xf>
    <xf numFmtId="0" fontId="34" fillId="34" borderId="271">
      <alignment horizontal="left" vertical="center" wrapText="1" indent="2"/>
    </xf>
    <xf numFmtId="0" fontId="32" fillId="34" borderId="254">
      <alignment horizontal="right" vertical="center"/>
    </xf>
    <xf numFmtId="0" fontId="40" fillId="59" borderId="273" applyNumberFormat="0" applyFont="0" applyAlignment="0" applyProtection="0"/>
    <xf numFmtId="0" fontId="65" fillId="0" borderId="251" applyNumberFormat="0" applyFill="0" applyAlignment="0" applyProtection="0"/>
    <xf numFmtId="0" fontId="26" fillId="21" borderId="0" applyNumberFormat="0" applyBorder="0" applyAlignment="0" applyProtection="0"/>
    <xf numFmtId="4" fontId="34" fillId="33" borderId="253"/>
    <xf numFmtId="0" fontId="29" fillId="13" borderId="13" applyNumberFormat="0" applyAlignment="0" applyProtection="0"/>
    <xf numFmtId="0" fontId="26" fillId="14" borderId="0" applyNumberFormat="0" applyBorder="0" applyAlignment="0" applyProtection="0"/>
    <xf numFmtId="4" fontId="34" fillId="0" borderId="253">
      <alignment horizontal="right" vertical="center"/>
    </xf>
    <xf numFmtId="0" fontId="50" fillId="0" borderId="226" applyNumberFormat="0" applyFill="0" applyAlignment="0" applyProtection="0"/>
    <xf numFmtId="0" fontId="49" fillId="43" borderId="250" applyNumberFormat="0" applyAlignment="0" applyProtection="0"/>
    <xf numFmtId="0" fontId="50" fillId="0" borderId="288" applyNumberFormat="0" applyFill="0" applyAlignment="0" applyProtection="0"/>
    <xf numFmtId="0" fontId="5" fillId="59" borderId="281" applyNumberFormat="0" applyFont="0" applyAlignment="0" applyProtection="0"/>
    <xf numFmtId="0" fontId="62" fillId="56" borderId="249" applyNumberFormat="0" applyAlignment="0" applyProtection="0"/>
    <xf numFmtId="4" fontId="32" fillId="34" borderId="253">
      <alignment horizontal="right" vertical="center"/>
    </xf>
    <xf numFmtId="0" fontId="50" fillId="0" borderId="251" applyNumberFormat="0" applyFill="0" applyAlignment="0" applyProtection="0"/>
    <xf numFmtId="0" fontId="65" fillId="0" borderId="242" applyNumberFormat="0" applyFill="0" applyAlignment="0" applyProtection="0"/>
    <xf numFmtId="0" fontId="12" fillId="25" borderId="0" applyNumberFormat="0" applyBorder="0" applyAlignment="0" applyProtection="0"/>
    <xf numFmtId="0" fontId="12" fillId="28" borderId="0" applyNumberFormat="0" applyBorder="0" applyAlignment="0" applyProtection="0"/>
    <xf numFmtId="0" fontId="30" fillId="0" borderId="0" applyNumberFormat="0" applyFill="0" applyBorder="0" applyAlignment="0" applyProtection="0"/>
    <xf numFmtId="0" fontId="49" fillId="43" borderId="250" applyNumberFormat="0" applyAlignment="0" applyProtection="0"/>
    <xf numFmtId="0" fontId="26" fillId="23" borderId="0" applyNumberFormat="0" applyBorder="0" applyAlignment="0" applyProtection="0"/>
    <xf numFmtId="0" fontId="62" fillId="56" borderId="249" applyNumberFormat="0" applyAlignment="0" applyProtection="0"/>
    <xf numFmtId="4" fontId="32" fillId="34" borderId="258">
      <alignment horizontal="right" vertical="center"/>
    </xf>
    <xf numFmtId="0" fontId="62" fillId="56" borderId="249" applyNumberFormat="0" applyAlignment="0" applyProtection="0"/>
    <xf numFmtId="173" fontId="34" fillId="60" borderId="253" applyNumberFormat="0" applyFont="0" applyBorder="0" applyAlignment="0" applyProtection="0">
      <alignment horizontal="right" vertical="center"/>
    </xf>
    <xf numFmtId="0" fontId="50" fillId="0" borderId="280" applyNumberFormat="0" applyFill="0" applyAlignment="0" applyProtection="0"/>
    <xf numFmtId="0" fontId="26" fillId="20" borderId="0" applyNumberFormat="0" applyBorder="0" applyAlignment="0" applyProtection="0"/>
    <xf numFmtId="0" fontId="32" fillId="32" borderId="268">
      <alignment horizontal="right" vertical="center"/>
    </xf>
    <xf numFmtId="0" fontId="46" fillId="56" borderId="218" applyNumberFormat="0" applyAlignment="0" applyProtection="0"/>
    <xf numFmtId="0" fontId="43" fillId="56" borderId="233" applyNumberFormat="0" applyAlignment="0" applyProtection="0"/>
    <xf numFmtId="49" fontId="33" fillId="0" borderId="258" applyNumberFormat="0" applyFill="0" applyBorder="0" applyProtection="0">
      <alignment horizontal="left" vertical="center"/>
    </xf>
    <xf numFmtId="4" fontId="36" fillId="32" borderId="258">
      <alignment horizontal="right" vertical="center"/>
    </xf>
    <xf numFmtId="0" fontId="34" fillId="0" borderId="237" applyNumberFormat="0" applyFill="0" applyAlignment="0" applyProtection="0"/>
    <xf numFmtId="4" fontId="34" fillId="0" borderId="237" applyFill="0" applyBorder="0" applyProtection="0">
      <alignment horizontal="right" vertical="center"/>
    </xf>
    <xf numFmtId="0" fontId="34" fillId="0" borderId="247">
      <alignment horizontal="left" vertical="center" wrapText="1" indent="2"/>
    </xf>
    <xf numFmtId="0" fontId="26" fillId="18" borderId="0" applyNumberFormat="0" applyBorder="0" applyAlignment="0" applyProtection="0"/>
    <xf numFmtId="0" fontId="58" fillId="43" borderId="218" applyNumberFormat="0" applyAlignment="0" applyProtection="0"/>
    <xf numFmtId="0" fontId="34" fillId="0" borderId="258">
      <alignment horizontal="right" vertical="center"/>
    </xf>
    <xf numFmtId="0" fontId="34" fillId="32" borderId="245">
      <alignment horizontal="left" vertical="center"/>
    </xf>
    <xf numFmtId="0" fontId="29" fillId="13" borderId="13" applyNumberFormat="0" applyAlignment="0" applyProtection="0"/>
    <xf numFmtId="0" fontId="40" fillId="59" borderId="220" applyNumberFormat="0" applyFont="0" applyAlignment="0" applyProtection="0"/>
    <xf numFmtId="0" fontId="62" fillId="56" borderId="217" applyNumberFormat="0" applyAlignment="0" applyProtection="0"/>
    <xf numFmtId="0" fontId="46" fillId="56" borderId="250" applyNumberFormat="0" applyAlignment="0" applyProtection="0"/>
    <xf numFmtId="0" fontId="65" fillId="0" borderId="219" applyNumberFormat="0" applyFill="0" applyAlignment="0" applyProtection="0"/>
    <xf numFmtId="0" fontId="32" fillId="34" borderId="255">
      <alignment horizontal="right" vertical="center"/>
    </xf>
    <xf numFmtId="0" fontId="32" fillId="34" borderId="253">
      <alignment horizontal="right" vertical="center"/>
    </xf>
    <xf numFmtId="0" fontId="32" fillId="34" borderId="238">
      <alignment horizontal="right" vertical="center"/>
    </xf>
    <xf numFmtId="0" fontId="34" fillId="0" borderId="295">
      <alignment horizontal="left" vertical="center" wrapText="1" indent="2"/>
    </xf>
    <xf numFmtId="49" fontId="33" fillId="0" borderId="253" applyNumberFormat="0" applyFill="0" applyBorder="0" applyProtection="0">
      <alignment horizontal="left" vertical="center"/>
    </xf>
    <xf numFmtId="0" fontId="26" fillId="24" borderId="0" applyNumberFormat="0" applyBorder="0" applyAlignment="0" applyProtection="0"/>
    <xf numFmtId="0" fontId="50" fillId="0" borderId="266" applyNumberFormat="0" applyFill="0" applyAlignment="0" applyProtection="0"/>
    <xf numFmtId="4" fontId="32" fillId="34" borderId="258">
      <alignment horizontal="right" vertical="center"/>
    </xf>
    <xf numFmtId="0" fontId="45" fillId="56" borderId="234" applyNumberFormat="0" applyAlignment="0" applyProtection="0"/>
    <xf numFmtId="0" fontId="32" fillId="34" borderId="244">
      <alignment horizontal="right" vertical="center"/>
    </xf>
    <xf numFmtId="0" fontId="32" fillId="34" borderId="255">
      <alignment horizontal="right" vertical="center"/>
    </xf>
    <xf numFmtId="0" fontId="65" fillId="0" borderId="242" applyNumberFormat="0" applyFill="0" applyAlignment="0" applyProtection="0"/>
    <xf numFmtId="0" fontId="45" fillId="56" borderId="250" applyNumberFormat="0" applyAlignment="0" applyProtection="0"/>
    <xf numFmtId="0" fontId="50" fillId="0" borderId="280" applyNumberFormat="0" applyFill="0" applyAlignment="0" applyProtection="0"/>
    <xf numFmtId="0" fontId="40" fillId="59" borderId="252" applyNumberFormat="0" applyFont="0" applyAlignment="0" applyProtection="0"/>
    <xf numFmtId="4" fontId="34" fillId="0" borderId="253" applyFill="0" applyBorder="0" applyProtection="0">
      <alignment horizontal="right" vertical="center"/>
    </xf>
    <xf numFmtId="0" fontId="26" fillId="18" borderId="0" applyNumberFormat="0" applyBorder="0" applyAlignment="0" applyProtection="0"/>
    <xf numFmtId="49" fontId="34" fillId="0" borderId="229" applyNumberFormat="0" applyFont="0" applyFill="0" applyBorder="0" applyProtection="0">
      <alignment horizontal="left" vertical="center" indent="5"/>
    </xf>
    <xf numFmtId="0" fontId="26" fillId="21" borderId="0" applyNumberFormat="0" applyBorder="0" applyAlignment="0" applyProtection="0"/>
    <xf numFmtId="4" fontId="32" fillId="34" borderId="253">
      <alignment horizontal="right" vertical="center"/>
    </xf>
    <xf numFmtId="0" fontId="32" fillId="32" borderId="221">
      <alignment horizontal="right" vertical="center"/>
    </xf>
    <xf numFmtId="4" fontId="32" fillId="32" borderId="221">
      <alignment horizontal="right" vertical="center"/>
    </xf>
    <xf numFmtId="0" fontId="36" fillId="32" borderId="221">
      <alignment horizontal="right" vertical="center"/>
    </xf>
    <xf numFmtId="4" fontId="36" fillId="32" borderId="221">
      <alignment horizontal="right" vertical="center"/>
    </xf>
    <xf numFmtId="0" fontId="32" fillId="34" borderId="221">
      <alignment horizontal="right" vertical="center"/>
    </xf>
    <xf numFmtId="4" fontId="32" fillId="34" borderId="221">
      <alignment horizontal="right" vertical="center"/>
    </xf>
    <xf numFmtId="0" fontId="32" fillId="34" borderId="221">
      <alignment horizontal="right" vertical="center"/>
    </xf>
    <xf numFmtId="4" fontId="32" fillId="34" borderId="221">
      <alignment horizontal="right" vertical="center"/>
    </xf>
    <xf numFmtId="0" fontId="32" fillId="34" borderId="222">
      <alignment horizontal="right" vertical="center"/>
    </xf>
    <xf numFmtId="4" fontId="32" fillId="34" borderId="222">
      <alignment horizontal="right" vertical="center"/>
    </xf>
    <xf numFmtId="0" fontId="32" fillId="34" borderId="223">
      <alignment horizontal="right" vertical="center"/>
    </xf>
    <xf numFmtId="4" fontId="32" fillId="34" borderId="223">
      <alignment horizontal="right" vertical="center"/>
    </xf>
    <xf numFmtId="0" fontId="46" fillId="56" borderId="218" applyNumberFormat="0" applyAlignment="0" applyProtection="0"/>
    <xf numFmtId="0" fontId="34" fillId="34" borderId="224">
      <alignment horizontal="left" vertical="center" wrapText="1" indent="2"/>
    </xf>
    <xf numFmtId="0" fontId="34" fillId="0" borderId="224">
      <alignment horizontal="left" vertical="center" wrapText="1" indent="2"/>
    </xf>
    <xf numFmtId="0" fontId="34" fillId="32" borderId="222">
      <alignment horizontal="left" vertical="center"/>
    </xf>
    <xf numFmtId="0" fontId="58" fillId="43" borderId="234" applyNumberFormat="0" applyAlignment="0" applyProtection="0"/>
    <xf numFmtId="0" fontId="58" fillId="43" borderId="218" applyNumberFormat="0" applyAlignment="0" applyProtection="0"/>
    <xf numFmtId="0" fontId="34" fillId="0" borderId="221">
      <alignment horizontal="right" vertical="center"/>
    </xf>
    <xf numFmtId="4" fontId="34" fillId="0" borderId="221">
      <alignment horizontal="right" vertical="center"/>
    </xf>
    <xf numFmtId="0" fontId="46" fillId="56" borderId="234" applyNumberFormat="0" applyAlignment="0" applyProtection="0"/>
    <xf numFmtId="0" fontId="34" fillId="0" borderId="221" applyNumberFormat="0" applyFill="0" applyAlignment="0" applyProtection="0"/>
    <xf numFmtId="0" fontId="62" fillId="56" borderId="217" applyNumberFormat="0" applyAlignment="0" applyProtection="0"/>
    <xf numFmtId="173" fontId="34" fillId="60" borderId="221" applyNumberFormat="0" applyFont="0" applyBorder="0" applyAlignment="0" applyProtection="0">
      <alignment horizontal="right" vertical="center"/>
    </xf>
    <xf numFmtId="0" fontId="34" fillId="33" borderId="221"/>
    <xf numFmtId="4" fontId="34" fillId="33" borderId="221"/>
    <xf numFmtId="0" fontId="65" fillId="0" borderId="219" applyNumberFormat="0" applyFill="0" applyAlignment="0" applyProtection="0"/>
    <xf numFmtId="4" fontId="34" fillId="0" borderId="253" applyFill="0" applyBorder="0" applyProtection="0">
      <alignment horizontal="right" vertical="center"/>
    </xf>
    <xf numFmtId="0" fontId="32" fillId="32" borderId="258">
      <alignment horizontal="right" vertical="center"/>
    </xf>
    <xf numFmtId="4" fontId="34" fillId="0" borderId="237">
      <alignment horizontal="right" vertical="center"/>
    </xf>
    <xf numFmtId="0" fontId="58" fillId="43" borderId="250" applyNumberFormat="0" applyAlignment="0" applyProtection="0"/>
    <xf numFmtId="173" fontId="34" fillId="60" borderId="258" applyNumberFormat="0" applyFont="0" applyBorder="0" applyAlignment="0" applyProtection="0">
      <alignment horizontal="right" vertical="center"/>
    </xf>
    <xf numFmtId="4" fontId="32" fillId="34" borderId="254">
      <alignment horizontal="right" vertical="center"/>
    </xf>
    <xf numFmtId="0" fontId="32" fillId="34" borderId="253">
      <alignment horizontal="right" vertical="center"/>
    </xf>
    <xf numFmtId="0" fontId="26" fillId="21" borderId="0" applyNumberFormat="0" applyBorder="0" applyAlignment="0" applyProtection="0"/>
    <xf numFmtId="0" fontId="1" fillId="0" borderId="0" applyNumberFormat="0" applyFill="0" applyBorder="0" applyAlignment="0" applyProtection="0"/>
    <xf numFmtId="0" fontId="62" fillId="56" borderId="233" applyNumberFormat="0" applyAlignment="0" applyProtection="0"/>
    <xf numFmtId="0" fontId="32" fillId="32" borderId="237">
      <alignment horizontal="right" vertical="center"/>
    </xf>
    <xf numFmtId="49" fontId="34" fillId="0" borderId="245" applyNumberFormat="0" applyFont="0" applyFill="0" applyBorder="0" applyProtection="0">
      <alignment horizontal="left" vertical="center" indent="5"/>
    </xf>
    <xf numFmtId="0" fontId="40" fillId="59" borderId="236" applyNumberFormat="0" applyFont="0" applyAlignment="0" applyProtection="0"/>
    <xf numFmtId="0" fontId="34" fillId="0" borderId="258" applyNumberFormat="0" applyFill="0" applyAlignment="0" applyProtection="0"/>
    <xf numFmtId="0" fontId="43" fillId="56" borderId="249" applyNumberFormat="0" applyAlignment="0" applyProtection="0"/>
    <xf numFmtId="0" fontId="40" fillId="59" borderId="257" applyNumberFormat="0" applyFont="0" applyAlignment="0" applyProtection="0"/>
    <xf numFmtId="0" fontId="49" fillId="43" borderId="287" applyNumberFormat="0" applyAlignment="0" applyProtection="0"/>
    <xf numFmtId="0" fontId="40" fillId="59" borderId="267" applyNumberFormat="0" applyFont="0" applyAlignment="0" applyProtection="0"/>
    <xf numFmtId="4" fontId="34" fillId="33" borderId="237"/>
    <xf numFmtId="0" fontId="40" fillId="59" borderId="252" applyNumberFormat="0" applyFont="0" applyAlignment="0" applyProtection="0"/>
    <xf numFmtId="0" fontId="40" fillId="59" borderId="257" applyNumberFormat="0" applyFont="0" applyAlignment="0" applyProtection="0"/>
    <xf numFmtId="4" fontId="36" fillId="32" borderId="253">
      <alignment horizontal="right" vertical="center"/>
    </xf>
    <xf numFmtId="0" fontId="26" fillId="15" borderId="0" applyNumberFormat="0" applyBorder="0" applyAlignment="0" applyProtection="0"/>
    <xf numFmtId="0" fontId="12" fillId="28" borderId="0" applyNumberFormat="0" applyBorder="0" applyAlignment="0" applyProtection="0"/>
    <xf numFmtId="0" fontId="58" fillId="43" borderId="250" applyNumberFormat="0" applyAlignment="0" applyProtection="0"/>
    <xf numFmtId="0" fontId="26" fillId="20" borderId="0" applyNumberFormat="0" applyBorder="0" applyAlignment="0" applyProtection="0"/>
    <xf numFmtId="0" fontId="34" fillId="0" borderId="253">
      <alignment horizontal="right" vertical="center"/>
    </xf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1" fillId="0" borderId="0" applyNumberFormat="0" applyFill="0" applyBorder="0" applyAlignment="0" applyProtection="0"/>
    <xf numFmtId="0" fontId="45" fillId="56" borderId="265" applyNumberFormat="0" applyAlignment="0" applyProtection="0"/>
    <xf numFmtId="0" fontId="32" fillId="34" borderId="274">
      <alignment horizontal="right" vertical="center"/>
    </xf>
    <xf numFmtId="4" fontId="32" fillId="32" borderId="253">
      <alignment horizontal="right" vertical="center"/>
    </xf>
    <xf numFmtId="0" fontId="65" fillId="0" borderId="235" applyNumberFormat="0" applyFill="0" applyAlignment="0" applyProtection="0"/>
    <xf numFmtId="0" fontId="34" fillId="34" borderId="240">
      <alignment horizontal="left" vertical="center" wrapText="1" indent="2"/>
    </xf>
    <xf numFmtId="0" fontId="2" fillId="0" borderId="15" applyNumberFormat="0" applyFill="0" applyAlignment="0" applyProtection="0"/>
    <xf numFmtId="4" fontId="36" fillId="32" borderId="253">
      <alignment horizontal="right" vertical="center"/>
    </xf>
    <xf numFmtId="0" fontId="65" fillId="0" borderId="235" applyNumberFormat="0" applyFill="0" applyAlignment="0" applyProtection="0"/>
    <xf numFmtId="0" fontId="34" fillId="0" borderId="268" applyNumberFormat="0" applyFill="0" applyAlignment="0" applyProtection="0"/>
    <xf numFmtId="0" fontId="46" fillId="56" borderId="263" applyNumberFormat="0" applyAlignment="0" applyProtection="0"/>
    <xf numFmtId="173" fontId="34" fillId="60" borderId="258" applyNumberFormat="0" applyFont="0" applyBorder="0" applyAlignment="0" applyProtection="0">
      <alignment horizontal="right" vertical="center"/>
    </xf>
    <xf numFmtId="49" fontId="33" fillId="0" borderId="237" applyNumberFormat="0" applyFill="0" applyBorder="0" applyProtection="0">
      <alignment horizontal="left" vertical="center"/>
    </xf>
    <xf numFmtId="0" fontId="12" fillId="19" borderId="0" applyNumberFormat="0" applyBorder="0" applyAlignment="0" applyProtection="0"/>
    <xf numFmtId="0" fontId="32" fillId="32" borderId="268">
      <alignment horizontal="right" vertical="center"/>
    </xf>
    <xf numFmtId="0" fontId="34" fillId="0" borderId="253" applyNumberFormat="0" applyFill="0" applyAlignment="0" applyProtection="0"/>
    <xf numFmtId="4" fontId="32" fillId="34" borderId="259">
      <alignment horizontal="right" vertical="center"/>
    </xf>
    <xf numFmtId="0" fontId="30" fillId="0" borderId="0" applyNumberFormat="0" applyFill="0" applyBorder="0" applyAlignment="0" applyProtection="0"/>
    <xf numFmtId="0" fontId="12" fillId="25" borderId="0" applyNumberFormat="0" applyBorder="0" applyAlignment="0" applyProtection="0"/>
    <xf numFmtId="0" fontId="26" fillId="30" borderId="0" applyNumberFormat="0" applyBorder="0" applyAlignment="0" applyProtection="0"/>
    <xf numFmtId="4" fontId="32" fillId="34" borderId="254">
      <alignment horizontal="right" vertical="center"/>
    </xf>
    <xf numFmtId="0" fontId="26" fillId="27" borderId="0" applyNumberFormat="0" applyBorder="0" applyAlignment="0" applyProtection="0"/>
    <xf numFmtId="0" fontId="26" fillId="17" borderId="0" applyNumberFormat="0" applyBorder="0" applyAlignment="0" applyProtection="0"/>
    <xf numFmtId="0" fontId="43" fillId="56" borderId="272" applyNumberFormat="0" applyAlignment="0" applyProtection="0"/>
    <xf numFmtId="0" fontId="26" fillId="14" borderId="0" applyNumberFormat="0" applyBorder="0" applyAlignment="0" applyProtection="0"/>
    <xf numFmtId="4" fontId="32" fillId="34" borderId="260">
      <alignment horizontal="right" vertical="center"/>
    </xf>
    <xf numFmtId="4" fontId="34" fillId="33" borderId="253"/>
    <xf numFmtId="0" fontId="32" fillId="32" borderId="258">
      <alignment horizontal="right" vertical="center"/>
    </xf>
    <xf numFmtId="0" fontId="2" fillId="0" borderId="15" applyNumberFormat="0" applyFill="0" applyAlignment="0" applyProtection="0"/>
    <xf numFmtId="0" fontId="40" fillId="59" borderId="252" applyNumberFormat="0" applyFont="0" applyAlignment="0" applyProtection="0"/>
    <xf numFmtId="0" fontId="1" fillId="0" borderId="0" applyNumberFormat="0" applyFill="0" applyBorder="0" applyAlignment="0" applyProtection="0"/>
    <xf numFmtId="49" fontId="34" fillId="0" borderId="221" applyNumberFormat="0" applyFont="0" applyFill="0" applyBorder="0" applyProtection="0">
      <alignment horizontal="left" vertical="center" indent="2"/>
    </xf>
    <xf numFmtId="49" fontId="34" fillId="0" borderId="222" applyNumberFormat="0" applyFont="0" applyFill="0" applyBorder="0" applyProtection="0">
      <alignment horizontal="left" vertical="center" indent="5"/>
    </xf>
    <xf numFmtId="0" fontId="26" fillId="27" borderId="0" applyNumberFormat="0" applyBorder="0" applyAlignment="0" applyProtection="0"/>
    <xf numFmtId="0" fontId="26" fillId="20" borderId="0" applyNumberFormat="0" applyBorder="0" applyAlignment="0" applyProtection="0"/>
    <xf numFmtId="0" fontId="5" fillId="59" borderId="252" applyNumberFormat="0" applyFont="0" applyAlignment="0" applyProtection="0"/>
    <xf numFmtId="4" fontId="36" fillId="32" borderId="282">
      <alignment horizontal="right" vertical="center"/>
    </xf>
    <xf numFmtId="0" fontId="28" fillId="13" borderId="14" applyNumberFormat="0" applyAlignment="0" applyProtection="0"/>
    <xf numFmtId="0" fontId="34" fillId="0" borderId="247">
      <alignment horizontal="left" vertical="center" wrapText="1" indent="2"/>
    </xf>
    <xf numFmtId="0" fontId="12" fillId="16" borderId="0" applyNumberFormat="0" applyBorder="0" applyAlignment="0" applyProtection="0"/>
    <xf numFmtId="0" fontId="26" fillId="23" borderId="0" applyNumberFormat="0" applyBorder="0" applyAlignment="0" applyProtection="0"/>
    <xf numFmtId="0" fontId="58" fillId="43" borderId="263" applyNumberFormat="0" applyAlignment="0" applyProtection="0"/>
    <xf numFmtId="4" fontId="34" fillId="0" borderId="221" applyFill="0" applyBorder="0" applyProtection="0">
      <alignment horizontal="right" vertical="center"/>
    </xf>
    <xf numFmtId="49" fontId="33" fillId="0" borderId="221" applyNumberFormat="0" applyFill="0" applyBorder="0" applyProtection="0">
      <alignment horizontal="left" vertical="center"/>
    </xf>
    <xf numFmtId="49" fontId="34" fillId="0" borderId="269" applyNumberFormat="0" applyFont="0" applyFill="0" applyBorder="0" applyProtection="0">
      <alignment horizontal="left" vertical="center" indent="5"/>
    </xf>
    <xf numFmtId="0" fontId="49" fillId="43" borderId="250" applyNumberFormat="0" applyAlignment="0" applyProtection="0"/>
    <xf numFmtId="0" fontId="50" fillId="0" borderId="266" applyNumberFormat="0" applyFill="0" applyAlignment="0" applyProtection="0"/>
    <xf numFmtId="0" fontId="34" fillId="0" borderId="244">
      <alignment horizontal="right" vertical="center"/>
    </xf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12" fillId="16" borderId="0" applyNumberFormat="0" applyBorder="0" applyAlignment="0" applyProtection="0"/>
    <xf numFmtId="0" fontId="50" fillId="0" borderId="235" applyNumberFormat="0" applyFill="0" applyAlignment="0" applyProtection="0"/>
    <xf numFmtId="0" fontId="26" fillId="17" borderId="0" applyNumberFormat="0" applyBorder="0" applyAlignment="0" applyProtection="0"/>
    <xf numFmtId="0" fontId="34" fillId="0" borderId="268" applyNumberFormat="0" applyFill="0" applyAlignment="0" applyProtection="0"/>
    <xf numFmtId="0" fontId="65" fillId="0" borderId="251" applyNumberFormat="0" applyFill="0" applyAlignment="0" applyProtection="0"/>
    <xf numFmtId="0" fontId="32" fillId="34" borderId="237">
      <alignment horizontal="right" vertical="center"/>
    </xf>
    <xf numFmtId="0" fontId="34" fillId="34" borderId="240">
      <alignment horizontal="left" vertical="center" wrapText="1" indent="2"/>
    </xf>
    <xf numFmtId="0" fontId="26" fillId="30" borderId="0" applyNumberFormat="0" applyBorder="0" applyAlignment="0" applyProtection="0"/>
    <xf numFmtId="0" fontId="40" fillId="59" borderId="257" applyNumberFormat="0" applyFont="0" applyAlignment="0" applyProtection="0"/>
    <xf numFmtId="0" fontId="46" fillId="56" borderId="250" applyNumberFormat="0" applyAlignment="0" applyProtection="0"/>
    <xf numFmtId="0" fontId="46" fillId="56" borderId="250" applyNumberFormat="0" applyAlignment="0" applyProtection="0"/>
    <xf numFmtId="0" fontId="43" fillId="56" borderId="286" applyNumberFormat="0" applyAlignment="0" applyProtection="0"/>
    <xf numFmtId="173" fontId="34" fillId="60" borderId="258" applyNumberFormat="0" applyFont="0" applyBorder="0" applyAlignment="0" applyProtection="0">
      <alignment horizontal="right" vertical="center"/>
    </xf>
    <xf numFmtId="0" fontId="58" fillId="43" borderId="250" applyNumberFormat="0" applyAlignment="0" applyProtection="0"/>
    <xf numFmtId="0" fontId="58" fillId="43" borderId="263" applyNumberFormat="0" applyAlignment="0" applyProtection="0"/>
    <xf numFmtId="0" fontId="58" fillId="43" borderId="241" applyNumberFormat="0" applyAlignment="0" applyProtection="0"/>
    <xf numFmtId="0" fontId="40" fillId="59" borderId="252" applyNumberFormat="0" applyFont="0" applyAlignment="0" applyProtection="0"/>
    <xf numFmtId="0" fontId="26" fillId="27" borderId="0" applyNumberFormat="0" applyBorder="0" applyAlignment="0" applyProtection="0"/>
    <xf numFmtId="0" fontId="34" fillId="34" borderId="256">
      <alignment horizontal="left" vertical="center" wrapText="1" indent="2"/>
    </xf>
    <xf numFmtId="4" fontId="34" fillId="0" borderId="253">
      <alignment horizontal="right" vertical="center"/>
    </xf>
    <xf numFmtId="49" fontId="34" fillId="0" borderId="268" applyNumberFormat="0" applyFont="0" applyFill="0" applyBorder="0" applyProtection="0">
      <alignment horizontal="left" vertical="center" indent="2"/>
    </xf>
    <xf numFmtId="49" fontId="34" fillId="0" borderId="228" applyNumberFormat="0" applyFont="0" applyFill="0" applyBorder="0" applyProtection="0">
      <alignment horizontal="left" vertical="center" indent="2"/>
    </xf>
    <xf numFmtId="0" fontId="46" fillId="56" borderId="234" applyNumberFormat="0" applyAlignment="0" applyProtection="0"/>
    <xf numFmtId="0" fontId="43" fillId="56" borderId="217" applyNumberFormat="0" applyAlignment="0" applyProtection="0"/>
    <xf numFmtId="0" fontId="45" fillId="56" borderId="218" applyNumberFormat="0" applyAlignment="0" applyProtection="0"/>
    <xf numFmtId="0" fontId="50" fillId="0" borderId="219" applyNumberFormat="0" applyFill="0" applyAlignment="0" applyProtection="0"/>
    <xf numFmtId="0" fontId="58" fillId="43" borderId="225" applyNumberFormat="0" applyAlignment="0" applyProtection="0"/>
    <xf numFmtId="0" fontId="58" fillId="43" borderId="250" applyNumberFormat="0" applyAlignment="0" applyProtection="0"/>
    <xf numFmtId="0" fontId="32" fillId="34" borderId="253">
      <alignment horizontal="right" vertical="center"/>
    </xf>
    <xf numFmtId="4" fontId="32" fillId="34" borderId="255">
      <alignment horizontal="right" vertical="center"/>
    </xf>
    <xf numFmtId="0" fontId="34" fillId="33" borderId="253"/>
    <xf numFmtId="0" fontId="65" fillId="0" borderId="251" applyNumberFormat="0" applyFill="0" applyAlignment="0" applyProtection="0"/>
    <xf numFmtId="0" fontId="34" fillId="0" borderId="253" applyNumberFormat="0" applyFill="0" applyAlignment="0" applyProtection="0"/>
    <xf numFmtId="0" fontId="32" fillId="34" borderId="258">
      <alignment horizontal="right" vertical="center"/>
    </xf>
    <xf numFmtId="0" fontId="34" fillId="33" borderId="244"/>
    <xf numFmtId="0" fontId="1" fillId="0" borderId="0" applyNumberFormat="0" applyFill="0" applyBorder="0" applyAlignment="0" applyProtection="0"/>
    <xf numFmtId="0" fontId="34" fillId="0" borderId="256">
      <alignment horizontal="left" vertical="center" wrapText="1" indent="2"/>
    </xf>
    <xf numFmtId="0" fontId="65" fillId="0" borderId="235" applyNumberFormat="0" applyFill="0" applyAlignment="0" applyProtection="0"/>
    <xf numFmtId="0" fontId="32" fillId="34" borderId="255">
      <alignment horizontal="right" vertical="center"/>
    </xf>
    <xf numFmtId="0" fontId="34" fillId="33" borderId="228"/>
    <xf numFmtId="4" fontId="34" fillId="33" borderId="228"/>
    <xf numFmtId="0" fontId="34" fillId="0" borderId="228">
      <alignment horizontal="right" vertical="center"/>
    </xf>
    <xf numFmtId="4" fontId="32" fillId="32" borderId="253">
      <alignment horizontal="right" vertical="center"/>
    </xf>
    <xf numFmtId="4" fontId="32" fillId="34" borderId="230">
      <alignment horizontal="right" vertical="center"/>
    </xf>
    <xf numFmtId="0" fontId="34" fillId="34" borderId="231">
      <alignment horizontal="left" vertical="center" wrapText="1" indent="2"/>
    </xf>
    <xf numFmtId="0" fontId="36" fillId="32" borderId="244">
      <alignment horizontal="right" vertical="center"/>
    </xf>
    <xf numFmtId="4" fontId="34" fillId="33" borderId="253"/>
    <xf numFmtId="0" fontId="65" fillId="0" borderId="251" applyNumberFormat="0" applyFill="0" applyAlignment="0" applyProtection="0"/>
    <xf numFmtId="0" fontId="62" fillId="56" borderId="249" applyNumberFormat="0" applyAlignment="0" applyProtection="0"/>
    <xf numFmtId="0" fontId="49" fillId="43" borderId="218" applyNumberFormat="0" applyAlignment="0" applyProtection="0"/>
    <xf numFmtId="0" fontId="45" fillId="56" borderId="263" applyNumberFormat="0" applyAlignment="0" applyProtection="0"/>
    <xf numFmtId="0" fontId="26" fillId="15" borderId="0" applyNumberFormat="0" applyBorder="0" applyAlignment="0" applyProtection="0"/>
    <xf numFmtId="0" fontId="65" fillId="0" borderId="226" applyNumberFormat="0" applyFill="0" applyAlignment="0" applyProtection="0"/>
    <xf numFmtId="0" fontId="32" fillId="34" borderId="253">
      <alignment horizontal="right" vertical="center"/>
    </xf>
    <xf numFmtId="0" fontId="34" fillId="0" borderId="258" applyNumberFormat="0" applyFill="0" applyAlignment="0" applyProtection="0"/>
    <xf numFmtId="4" fontId="34" fillId="0" borderId="253" applyFill="0" applyBorder="0" applyProtection="0">
      <alignment horizontal="right" vertical="center"/>
    </xf>
    <xf numFmtId="0" fontId="34" fillId="32" borderId="238">
      <alignment horizontal="left" vertical="center"/>
    </xf>
    <xf numFmtId="0" fontId="36" fillId="32" borderId="253">
      <alignment horizontal="right" vertical="center"/>
    </xf>
    <xf numFmtId="0" fontId="26" fillId="23" borderId="0" applyNumberFormat="0" applyBorder="0" applyAlignment="0" applyProtection="0"/>
    <xf numFmtId="0" fontId="43" fillId="56" borderId="249" applyNumberFormat="0" applyAlignment="0" applyProtection="0"/>
    <xf numFmtId="0" fontId="28" fillId="13" borderId="14" applyNumberFormat="0" applyAlignment="0" applyProtection="0"/>
    <xf numFmtId="0" fontId="62" fillId="56" borderId="249" applyNumberFormat="0" applyAlignment="0" applyProtection="0"/>
    <xf numFmtId="0" fontId="40" fillId="59" borderId="243" applyNumberFormat="0" applyFont="0" applyAlignment="0" applyProtection="0"/>
    <xf numFmtId="0" fontId="36" fillId="32" borderId="258">
      <alignment horizontal="right" vertical="center"/>
    </xf>
    <xf numFmtId="4" fontId="34" fillId="33" borderId="253"/>
    <xf numFmtId="0" fontId="58" fillId="43" borderId="263" applyNumberFormat="0" applyAlignment="0" applyProtection="0"/>
    <xf numFmtId="0" fontId="26" fillId="29" borderId="0" applyNumberFormat="0" applyBorder="0" applyAlignment="0" applyProtection="0"/>
    <xf numFmtId="0" fontId="28" fillId="13" borderId="14" applyNumberFormat="0" applyAlignment="0" applyProtection="0"/>
    <xf numFmtId="49" fontId="34" fillId="0" borderId="258" applyNumberFormat="0" applyFont="0" applyFill="0" applyBorder="0" applyProtection="0">
      <alignment horizontal="left" vertical="center" indent="2"/>
    </xf>
    <xf numFmtId="0" fontId="34" fillId="34" borderId="224">
      <alignment horizontal="left" vertical="center" wrapText="1" indent="2"/>
    </xf>
    <xf numFmtId="0" fontId="34" fillId="0" borderId="224">
      <alignment horizontal="left" vertical="center" wrapText="1" indent="2"/>
    </xf>
    <xf numFmtId="0" fontId="36" fillId="32" borderId="253">
      <alignment horizontal="right" vertical="center"/>
    </xf>
    <xf numFmtId="0" fontId="49" fillId="43" borderId="279" applyNumberFormat="0" applyAlignment="0" applyProtection="0"/>
    <xf numFmtId="4" fontId="32" fillId="34" borderId="238">
      <alignment horizontal="right" vertical="center"/>
    </xf>
    <xf numFmtId="0" fontId="34" fillId="34" borderId="256">
      <alignment horizontal="left" vertical="center" wrapText="1" indent="2"/>
    </xf>
    <xf numFmtId="0" fontId="26" fillId="18" borderId="0" applyNumberFormat="0" applyBorder="0" applyAlignment="0" applyProtection="0"/>
    <xf numFmtId="0" fontId="26" fillId="14" borderId="0" applyNumberFormat="0" applyBorder="0" applyAlignment="0" applyProtection="0"/>
    <xf numFmtId="0" fontId="30" fillId="0" borderId="0" applyNumberFormat="0" applyFill="0" applyBorder="0" applyAlignment="0" applyProtection="0"/>
    <xf numFmtId="49" fontId="34" fillId="0" borderId="253" applyNumberFormat="0" applyFont="0" applyFill="0" applyBorder="0" applyProtection="0">
      <alignment horizontal="left" vertical="center" indent="2"/>
    </xf>
    <xf numFmtId="0" fontId="26" fillId="23" borderId="0" applyNumberFormat="0" applyBorder="0" applyAlignment="0" applyProtection="0"/>
    <xf numFmtId="0" fontId="46" fillId="56" borderId="250" applyNumberFormat="0" applyAlignment="0" applyProtection="0"/>
    <xf numFmtId="0" fontId="40" fillId="59" borderId="252" applyNumberFormat="0" applyFont="0" applyAlignment="0" applyProtection="0"/>
    <xf numFmtId="0" fontId="34" fillId="32" borderId="254">
      <alignment horizontal="left" vertical="center"/>
    </xf>
    <xf numFmtId="4" fontId="32" fillId="34" borderId="258">
      <alignment horizontal="right" vertical="center"/>
    </xf>
    <xf numFmtId="4" fontId="34" fillId="0" borderId="244">
      <alignment horizontal="right" vertical="center"/>
    </xf>
    <xf numFmtId="0" fontId="32" fillId="34" borderId="253">
      <alignment horizontal="right" vertical="center"/>
    </xf>
    <xf numFmtId="0" fontId="58" fillId="43" borderId="225" applyNumberFormat="0" applyAlignment="0" applyProtection="0"/>
    <xf numFmtId="0" fontId="50" fillId="0" borderId="251" applyNumberFormat="0" applyFill="0" applyAlignment="0" applyProtection="0"/>
    <xf numFmtId="0" fontId="46" fillId="56" borderId="250" applyNumberFormat="0" applyAlignment="0" applyProtection="0"/>
    <xf numFmtId="0" fontId="58" fillId="43" borderId="250" applyNumberFormat="0" applyAlignment="0" applyProtection="0"/>
    <xf numFmtId="0" fontId="46" fillId="56" borderId="225" applyNumberFormat="0" applyAlignment="0" applyProtection="0"/>
    <xf numFmtId="0" fontId="34" fillId="0" borderId="237">
      <alignment horizontal="right" vertical="center"/>
    </xf>
    <xf numFmtId="49" fontId="33" fillId="0" borderId="244" applyNumberFormat="0" applyFill="0" applyBorder="0" applyProtection="0">
      <alignment horizontal="left" vertical="center"/>
    </xf>
    <xf numFmtId="0" fontId="34" fillId="34" borderId="256">
      <alignment horizontal="left" vertical="center" wrapText="1" indent="2"/>
    </xf>
    <xf numFmtId="0" fontId="26" fillId="18" borderId="0" applyNumberFormat="0" applyBorder="0" applyAlignment="0" applyProtection="0"/>
    <xf numFmtId="0" fontId="34" fillId="0" borderId="253">
      <alignment horizontal="right" vertical="center"/>
    </xf>
    <xf numFmtId="0" fontId="46" fillId="56" borderId="263" applyNumberFormat="0" applyAlignment="0" applyProtection="0"/>
    <xf numFmtId="0" fontId="34" fillId="0" borderId="253">
      <alignment horizontal="right" vertical="center"/>
    </xf>
    <xf numFmtId="0" fontId="50" fillId="0" borderId="251" applyNumberFormat="0" applyFill="0" applyAlignment="0" applyProtection="0"/>
    <xf numFmtId="0" fontId="40" fillId="59" borderId="273" applyNumberFormat="0" applyFont="0" applyAlignment="0" applyProtection="0"/>
    <xf numFmtId="49" fontId="34" fillId="0" borderId="238" applyNumberFormat="0" applyFont="0" applyFill="0" applyBorder="0" applyProtection="0">
      <alignment horizontal="left" vertical="center" indent="5"/>
    </xf>
    <xf numFmtId="0" fontId="34" fillId="0" borderId="261">
      <alignment horizontal="left" vertical="center" wrapText="1" indent="2"/>
    </xf>
    <xf numFmtId="49" fontId="34" fillId="0" borderId="253" applyNumberFormat="0" applyFont="0" applyFill="0" applyBorder="0" applyProtection="0">
      <alignment horizontal="left" vertical="center" indent="2"/>
    </xf>
    <xf numFmtId="0" fontId="30" fillId="0" borderId="0" applyNumberFormat="0" applyFill="0" applyBorder="0" applyAlignment="0" applyProtection="0"/>
    <xf numFmtId="49" fontId="33" fillId="0" borderId="253" applyNumberFormat="0" applyFill="0" applyBorder="0" applyProtection="0">
      <alignment horizontal="left" vertical="center"/>
    </xf>
    <xf numFmtId="0" fontId="40" fillId="59" borderId="252" applyNumberFormat="0" applyFont="0" applyAlignment="0" applyProtection="0"/>
    <xf numFmtId="0" fontId="50" fillId="0" borderId="251" applyNumberFormat="0" applyFill="0" applyAlignment="0" applyProtection="0"/>
    <xf numFmtId="0" fontId="46" fillId="56" borderId="250" applyNumberFormat="0" applyAlignment="0" applyProtection="0"/>
    <xf numFmtId="0" fontId="65" fillId="0" borderId="251" applyNumberFormat="0" applyFill="0" applyAlignment="0" applyProtection="0"/>
    <xf numFmtId="0" fontId="12" fillId="16" borderId="0" applyNumberFormat="0" applyBorder="0" applyAlignment="0" applyProtection="0"/>
    <xf numFmtId="0" fontId="32" fillId="34" borderId="258">
      <alignment horizontal="right" vertical="center"/>
    </xf>
    <xf numFmtId="0" fontId="45" fillId="56" borderId="250" applyNumberFormat="0" applyAlignment="0" applyProtection="0"/>
    <xf numFmtId="0" fontId="65" fillId="0" borderId="251" applyNumberFormat="0" applyFill="0" applyAlignment="0" applyProtection="0"/>
    <xf numFmtId="0" fontId="65" fillId="0" borderId="280" applyNumberFormat="0" applyFill="0" applyAlignment="0" applyProtection="0"/>
    <xf numFmtId="0" fontId="65" fillId="0" borderId="251" applyNumberFormat="0" applyFill="0" applyAlignment="0" applyProtection="0"/>
    <xf numFmtId="173" fontId="34" fillId="60" borderId="268" applyNumberFormat="0" applyFont="0" applyBorder="0" applyAlignment="0" applyProtection="0">
      <alignment horizontal="right" vertical="center"/>
    </xf>
    <xf numFmtId="4" fontId="34" fillId="33" borderId="258"/>
    <xf numFmtId="0" fontId="58" fillId="43" borderId="265" applyNumberFormat="0" applyAlignment="0" applyProtection="0"/>
    <xf numFmtId="0" fontId="32" fillId="34" borderId="255">
      <alignment horizontal="right" vertical="center"/>
    </xf>
    <xf numFmtId="49" fontId="34" fillId="0" borderId="268" applyNumberFormat="0" applyFont="0" applyFill="0" applyBorder="0" applyProtection="0">
      <alignment horizontal="left" vertical="center" indent="2"/>
    </xf>
    <xf numFmtId="0" fontId="12" fillId="22" borderId="0" applyNumberFormat="0" applyBorder="0" applyAlignment="0" applyProtection="0"/>
    <xf numFmtId="0" fontId="26" fillId="24" borderId="0" applyNumberFormat="0" applyBorder="0" applyAlignment="0" applyProtection="0"/>
    <xf numFmtId="0" fontId="12" fillId="31" borderId="0" applyNumberFormat="0" applyBorder="0" applyAlignment="0" applyProtection="0"/>
    <xf numFmtId="0" fontId="32" fillId="34" borderId="253">
      <alignment horizontal="right" vertical="center"/>
    </xf>
    <xf numFmtId="0" fontId="26" fillId="29" borderId="0" applyNumberFormat="0" applyBorder="0" applyAlignment="0" applyProtection="0"/>
    <xf numFmtId="0" fontId="32" fillId="32" borderId="268">
      <alignment horizontal="right" vertical="center"/>
    </xf>
    <xf numFmtId="0" fontId="26" fillId="26" borderId="0" applyNumberFormat="0" applyBorder="0" applyAlignment="0" applyProtection="0"/>
    <xf numFmtId="0" fontId="26" fillId="24" borderId="0" applyNumberFormat="0" applyBorder="0" applyAlignment="0" applyProtection="0"/>
    <xf numFmtId="0" fontId="65" fillId="0" borderId="266" applyNumberFormat="0" applyFill="0" applyAlignment="0" applyProtection="0"/>
    <xf numFmtId="0" fontId="12" fillId="16" borderId="0" applyNumberFormat="0" applyBorder="0" applyAlignment="0" applyProtection="0"/>
    <xf numFmtId="0" fontId="26" fillId="18" borderId="0" applyNumberFormat="0" applyBorder="0" applyAlignment="0" applyProtection="0"/>
    <xf numFmtId="0" fontId="12" fillId="19" borderId="0" applyNumberFormat="0" applyBorder="0" applyAlignment="0" applyProtection="0"/>
    <xf numFmtId="4" fontId="32" fillId="34" borderId="245">
      <alignment horizontal="right" vertical="center"/>
    </xf>
    <xf numFmtId="0" fontId="2" fillId="0" borderId="15" applyNumberFormat="0" applyFill="0" applyAlignment="0" applyProtection="0"/>
    <xf numFmtId="0" fontId="26" fillId="15" borderId="0" applyNumberFormat="0" applyBorder="0" applyAlignment="0" applyProtection="0"/>
    <xf numFmtId="4" fontId="32" fillId="34" borderId="253">
      <alignment horizontal="right" vertical="center"/>
    </xf>
    <xf numFmtId="4" fontId="36" fillId="32" borderId="253">
      <alignment horizontal="right" vertical="center"/>
    </xf>
    <xf numFmtId="0" fontId="50" fillId="0" borderId="266" applyNumberFormat="0" applyFill="0" applyAlignment="0" applyProtection="0"/>
    <xf numFmtId="0" fontId="30" fillId="0" borderId="0" applyNumberFormat="0" applyFill="0" applyBorder="0" applyAlignment="0" applyProtection="0"/>
    <xf numFmtId="0" fontId="34" fillId="33" borderId="258"/>
    <xf numFmtId="0" fontId="58" fillId="43" borderId="250" applyNumberFormat="0" applyAlignment="0" applyProtection="0"/>
    <xf numFmtId="0" fontId="1" fillId="0" borderId="0" applyNumberFormat="0" applyFill="0" applyBorder="0" applyAlignment="0" applyProtection="0"/>
    <xf numFmtId="4" fontId="32" fillId="34" borderId="221">
      <alignment horizontal="right" vertical="center"/>
    </xf>
    <xf numFmtId="0" fontId="34" fillId="33" borderId="221"/>
    <xf numFmtId="0" fontId="45" fillId="56" borderId="218" applyNumberFormat="0" applyAlignment="0" applyProtection="0"/>
    <xf numFmtId="0" fontId="32" fillId="32" borderId="221">
      <alignment horizontal="right" vertical="center"/>
    </xf>
    <xf numFmtId="0" fontId="34" fillId="0" borderId="221">
      <alignment horizontal="right" vertical="center"/>
    </xf>
    <xf numFmtId="0" fontId="65" fillId="0" borderId="219" applyNumberFormat="0" applyFill="0" applyAlignment="0" applyProtection="0"/>
    <xf numFmtId="0" fontId="34" fillId="32" borderId="222">
      <alignment horizontal="left" vertical="center"/>
    </xf>
    <xf numFmtId="0" fontId="58" fillId="43" borderId="218" applyNumberFormat="0" applyAlignment="0" applyProtection="0"/>
    <xf numFmtId="173" fontId="34" fillId="60" borderId="221" applyNumberFormat="0" applyFont="0" applyBorder="0" applyAlignment="0" applyProtection="0">
      <alignment horizontal="right" vertical="center"/>
    </xf>
    <xf numFmtId="0" fontId="40" fillId="59" borderId="220" applyNumberFormat="0" applyFont="0" applyAlignment="0" applyProtection="0"/>
    <xf numFmtId="0" fontId="34" fillId="0" borderId="224">
      <alignment horizontal="left" vertical="center" wrapText="1" indent="2"/>
    </xf>
    <xf numFmtId="4" fontId="34" fillId="33" borderId="221"/>
    <xf numFmtId="49" fontId="33" fillId="0" borderId="221" applyNumberFormat="0" applyFill="0" applyBorder="0" applyProtection="0">
      <alignment horizontal="left" vertical="center"/>
    </xf>
    <xf numFmtId="0" fontId="34" fillId="0" borderId="221">
      <alignment horizontal="right" vertical="center"/>
    </xf>
    <xf numFmtId="4" fontId="32" fillId="34" borderId="223">
      <alignment horizontal="right" vertical="center"/>
    </xf>
    <xf numFmtId="4" fontId="32" fillId="34" borderId="221">
      <alignment horizontal="right" vertical="center"/>
    </xf>
    <xf numFmtId="4" fontId="32" fillId="34" borderId="221">
      <alignment horizontal="right" vertical="center"/>
    </xf>
    <xf numFmtId="0" fontId="36" fillId="32" borderId="221">
      <alignment horizontal="right" vertical="center"/>
    </xf>
    <xf numFmtId="0" fontId="32" fillId="32" borderId="221">
      <alignment horizontal="right" vertical="center"/>
    </xf>
    <xf numFmtId="49" fontId="34" fillId="0" borderId="221" applyNumberFormat="0" applyFont="0" applyFill="0" applyBorder="0" applyProtection="0">
      <alignment horizontal="left" vertical="center" indent="2"/>
    </xf>
    <xf numFmtId="0" fontId="58" fillId="43" borderId="218" applyNumberFormat="0" applyAlignment="0" applyProtection="0"/>
    <xf numFmtId="0" fontId="43" fillId="56" borderId="217" applyNumberFormat="0" applyAlignment="0" applyProtection="0"/>
    <xf numFmtId="49" fontId="34" fillId="0" borderId="221" applyNumberFormat="0" applyFont="0" applyFill="0" applyBorder="0" applyProtection="0">
      <alignment horizontal="left" vertical="center" indent="2"/>
    </xf>
    <xf numFmtId="0" fontId="49" fillId="43" borderId="218" applyNumberFormat="0" applyAlignment="0" applyProtection="0"/>
    <xf numFmtId="4" fontId="34" fillId="0" borderId="221" applyFill="0" applyBorder="0" applyProtection="0">
      <alignment horizontal="right" vertical="center"/>
    </xf>
    <xf numFmtId="0" fontId="46" fillId="56" borderId="218" applyNumberFormat="0" applyAlignment="0" applyProtection="0"/>
    <xf numFmtId="0" fontId="65" fillId="0" borderId="219" applyNumberFormat="0" applyFill="0" applyAlignment="0" applyProtection="0"/>
    <xf numFmtId="0" fontId="62" fillId="56" borderId="217" applyNumberFormat="0" applyAlignment="0" applyProtection="0"/>
    <xf numFmtId="0" fontId="34" fillId="0" borderId="221" applyNumberFormat="0" applyFill="0" applyAlignment="0" applyProtection="0"/>
    <xf numFmtId="4" fontId="34" fillId="0" borderId="221">
      <alignment horizontal="right" vertical="center"/>
    </xf>
    <xf numFmtId="0" fontId="34" fillId="0" borderId="221">
      <alignment horizontal="right" vertical="center"/>
    </xf>
    <xf numFmtId="0" fontId="58" fillId="43" borderId="218" applyNumberFormat="0" applyAlignment="0" applyProtection="0"/>
    <xf numFmtId="0" fontId="43" fillId="56" borderId="217" applyNumberFormat="0" applyAlignment="0" applyProtection="0"/>
    <xf numFmtId="0" fontId="45" fillId="56" borderId="218" applyNumberFormat="0" applyAlignment="0" applyProtection="0"/>
    <xf numFmtId="0" fontId="34" fillId="34" borderId="224">
      <alignment horizontal="left" vertical="center" wrapText="1" indent="2"/>
    </xf>
    <xf numFmtId="0" fontId="46" fillId="56" borderId="218" applyNumberFormat="0" applyAlignment="0" applyProtection="0"/>
    <xf numFmtId="0" fontId="46" fillId="56" borderId="218" applyNumberFormat="0" applyAlignment="0" applyProtection="0"/>
    <xf numFmtId="4" fontId="32" fillId="34" borderId="222">
      <alignment horizontal="right" vertical="center"/>
    </xf>
    <xf numFmtId="0" fontId="32" fillId="34" borderId="222">
      <alignment horizontal="right" vertical="center"/>
    </xf>
    <xf numFmtId="0" fontId="32" fillId="34" borderId="221">
      <alignment horizontal="right" vertical="center"/>
    </xf>
    <xf numFmtId="4" fontId="36" fillId="32" borderId="221">
      <alignment horizontal="right" vertical="center"/>
    </xf>
    <xf numFmtId="0" fontId="49" fillId="43" borderId="218" applyNumberFormat="0" applyAlignment="0" applyProtection="0"/>
    <xf numFmtId="0" fontId="50" fillId="0" borderId="219" applyNumberFormat="0" applyFill="0" applyAlignment="0" applyProtection="0"/>
    <xf numFmtId="0" fontId="65" fillId="0" borderId="219" applyNumberFormat="0" applyFill="0" applyAlignment="0" applyProtection="0"/>
    <xf numFmtId="0" fontId="40" fillId="59" borderId="220" applyNumberFormat="0" applyFont="0" applyAlignment="0" applyProtection="0"/>
    <xf numFmtId="0" fontId="58" fillId="43" borderId="218" applyNumberFormat="0" applyAlignment="0" applyProtection="0"/>
    <xf numFmtId="49" fontId="33" fillId="0" borderId="221" applyNumberFormat="0" applyFill="0" applyBorder="0" applyProtection="0">
      <alignment horizontal="left" vertical="center"/>
    </xf>
    <xf numFmtId="0" fontId="34" fillId="34" borderId="224">
      <alignment horizontal="left" vertical="center" wrapText="1" indent="2"/>
    </xf>
    <xf numFmtId="0" fontId="46" fillId="56" borderId="218" applyNumberFormat="0" applyAlignment="0" applyProtection="0"/>
    <xf numFmtId="0" fontId="34" fillId="0" borderId="224">
      <alignment horizontal="left" vertical="center" wrapText="1" indent="2"/>
    </xf>
    <xf numFmtId="0" fontId="40" fillId="59" borderId="220" applyNumberFormat="0" applyFont="0" applyAlignment="0" applyProtection="0"/>
    <xf numFmtId="0" fontId="5" fillId="59" borderId="220" applyNumberFormat="0" applyFont="0" applyAlignment="0" applyProtection="0"/>
    <xf numFmtId="0" fontId="62" fillId="56" borderId="217" applyNumberFormat="0" applyAlignment="0" applyProtection="0"/>
    <xf numFmtId="0" fontId="65" fillId="0" borderId="219" applyNumberFormat="0" applyFill="0" applyAlignment="0" applyProtection="0"/>
    <xf numFmtId="4" fontId="34" fillId="33" borderId="221"/>
    <xf numFmtId="0" fontId="32" fillId="34" borderId="221">
      <alignment horizontal="right" vertical="center"/>
    </xf>
    <xf numFmtId="0" fontId="65" fillId="0" borderId="219" applyNumberFormat="0" applyFill="0" applyAlignment="0" applyProtection="0"/>
    <xf numFmtId="4" fontId="32" fillId="34" borderId="223">
      <alignment horizontal="right" vertical="center"/>
    </xf>
    <xf numFmtId="0" fontId="45" fillId="56" borderId="218" applyNumberFormat="0" applyAlignment="0" applyProtection="0"/>
    <xf numFmtId="0" fontId="32" fillId="34" borderId="222">
      <alignment horizontal="right" vertical="center"/>
    </xf>
    <xf numFmtId="0" fontId="46" fillId="56" borderId="218" applyNumberFormat="0" applyAlignment="0" applyProtection="0"/>
    <xf numFmtId="0" fontId="50" fillId="0" borderId="219" applyNumberFormat="0" applyFill="0" applyAlignment="0" applyProtection="0"/>
    <xf numFmtId="0" fontId="40" fillId="59" borderId="220" applyNumberFormat="0" applyFont="0" applyAlignment="0" applyProtection="0"/>
    <xf numFmtId="4" fontId="32" fillId="34" borderId="222">
      <alignment horizontal="right" vertical="center"/>
    </xf>
    <xf numFmtId="0" fontId="34" fillId="34" borderId="224">
      <alignment horizontal="left" vertical="center" wrapText="1" indent="2"/>
    </xf>
    <xf numFmtId="0" fontId="34" fillId="33" borderId="221"/>
    <xf numFmtId="173" fontId="34" fillId="60" borderId="221" applyNumberFormat="0" applyFont="0" applyBorder="0" applyAlignment="0" applyProtection="0">
      <alignment horizontal="right" vertical="center"/>
    </xf>
    <xf numFmtId="0" fontId="34" fillId="0" borderId="221" applyNumberFormat="0" applyFill="0" applyAlignment="0" applyProtection="0"/>
    <xf numFmtId="4" fontId="34" fillId="0" borderId="221" applyFill="0" applyBorder="0" applyProtection="0">
      <alignment horizontal="right" vertical="center"/>
    </xf>
    <xf numFmtId="4" fontId="32" fillId="32" borderId="221">
      <alignment horizontal="right" vertical="center"/>
    </xf>
    <xf numFmtId="0" fontId="50" fillId="0" borderId="219" applyNumberFormat="0" applyFill="0" applyAlignment="0" applyProtection="0"/>
    <xf numFmtId="49" fontId="33" fillId="0" borderId="221" applyNumberFormat="0" applyFill="0" applyBorder="0" applyProtection="0">
      <alignment horizontal="left" vertical="center"/>
    </xf>
    <xf numFmtId="49" fontId="34" fillId="0" borderId="222" applyNumberFormat="0" applyFont="0" applyFill="0" applyBorder="0" applyProtection="0">
      <alignment horizontal="left" vertical="center" indent="5"/>
    </xf>
    <xf numFmtId="0" fontId="34" fillId="32" borderId="222">
      <alignment horizontal="left" vertical="center"/>
    </xf>
    <xf numFmtId="0" fontId="46" fillId="56" borderId="218" applyNumberFormat="0" applyAlignment="0" applyProtection="0"/>
    <xf numFmtId="4" fontId="32" fillId="34" borderId="223">
      <alignment horizontal="right" vertical="center"/>
    </xf>
    <xf numFmtId="0" fontId="58" fillId="43" borderId="218" applyNumberFormat="0" applyAlignment="0" applyProtection="0"/>
    <xf numFmtId="0" fontId="58" fillId="43" borderId="218" applyNumberFormat="0" applyAlignment="0" applyProtection="0"/>
    <xf numFmtId="0" fontId="40" fillId="59" borderId="220" applyNumberFormat="0" applyFont="0" applyAlignment="0" applyProtection="0"/>
    <xf numFmtId="0" fontId="62" fillId="56" borderId="217" applyNumberFormat="0" applyAlignment="0" applyProtection="0"/>
    <xf numFmtId="0" fontId="65" fillId="0" borderId="219" applyNumberFormat="0" applyFill="0" applyAlignment="0" applyProtection="0"/>
    <xf numFmtId="0" fontId="32" fillId="34" borderId="221">
      <alignment horizontal="right" vertical="center"/>
    </xf>
    <xf numFmtId="0" fontId="5" fillId="59" borderId="220" applyNumberFormat="0" applyFont="0" applyAlignment="0" applyProtection="0"/>
    <xf numFmtId="4" fontId="34" fillId="0" borderId="221">
      <alignment horizontal="right" vertical="center"/>
    </xf>
    <xf numFmtId="0" fontId="65" fillId="0" borderId="219" applyNumberFormat="0" applyFill="0" applyAlignment="0" applyProtection="0"/>
    <xf numFmtId="0" fontId="32" fillId="34" borderId="221">
      <alignment horizontal="right" vertical="center"/>
    </xf>
    <xf numFmtId="0" fontId="32" fillId="34" borderId="221">
      <alignment horizontal="right" vertical="center"/>
    </xf>
    <xf numFmtId="4" fontId="36" fillId="32" borderId="221">
      <alignment horizontal="right" vertical="center"/>
    </xf>
    <xf numFmtId="0" fontId="32" fillId="32" borderId="221">
      <alignment horizontal="right" vertical="center"/>
    </xf>
    <xf numFmtId="4" fontId="32" fillId="32" borderId="221">
      <alignment horizontal="right" vertical="center"/>
    </xf>
    <xf numFmtId="0" fontId="36" fillId="32" borderId="221">
      <alignment horizontal="right" vertical="center"/>
    </xf>
    <xf numFmtId="4" fontId="36" fillId="32" borderId="221">
      <alignment horizontal="right" vertical="center"/>
    </xf>
    <xf numFmtId="0" fontId="32" fillId="34" borderId="221">
      <alignment horizontal="right" vertical="center"/>
    </xf>
    <xf numFmtId="4" fontId="32" fillId="34" borderId="221">
      <alignment horizontal="right" vertical="center"/>
    </xf>
    <xf numFmtId="0" fontId="32" fillId="34" borderId="221">
      <alignment horizontal="right" vertical="center"/>
    </xf>
    <xf numFmtId="4" fontId="32" fillId="34" borderId="221">
      <alignment horizontal="right" vertical="center"/>
    </xf>
    <xf numFmtId="0" fontId="32" fillId="34" borderId="222">
      <alignment horizontal="right" vertical="center"/>
    </xf>
    <xf numFmtId="4" fontId="32" fillId="34" borderId="222">
      <alignment horizontal="right" vertical="center"/>
    </xf>
    <xf numFmtId="0" fontId="32" fillId="34" borderId="223">
      <alignment horizontal="right" vertical="center"/>
    </xf>
    <xf numFmtId="4" fontId="32" fillId="34" borderId="223">
      <alignment horizontal="right" vertical="center"/>
    </xf>
    <xf numFmtId="0" fontId="46" fillId="56" borderId="218" applyNumberFormat="0" applyAlignment="0" applyProtection="0"/>
    <xf numFmtId="0" fontId="34" fillId="34" borderId="224">
      <alignment horizontal="left" vertical="center" wrapText="1" indent="2"/>
    </xf>
    <xf numFmtId="0" fontId="34" fillId="0" borderId="224">
      <alignment horizontal="left" vertical="center" wrapText="1" indent="2"/>
    </xf>
    <xf numFmtId="0" fontId="34" fillId="32" borderId="222">
      <alignment horizontal="left" vertical="center"/>
    </xf>
    <xf numFmtId="0" fontId="58" fillId="43" borderId="218" applyNumberFormat="0" applyAlignment="0" applyProtection="0"/>
    <xf numFmtId="0" fontId="34" fillId="0" borderId="221">
      <alignment horizontal="right" vertical="center"/>
    </xf>
    <xf numFmtId="4" fontId="34" fillId="0" borderId="221">
      <alignment horizontal="right" vertical="center"/>
    </xf>
    <xf numFmtId="0" fontId="34" fillId="0" borderId="221" applyNumberFormat="0" applyFill="0" applyAlignment="0" applyProtection="0"/>
    <xf numFmtId="0" fontId="62" fillId="56" borderId="217" applyNumberFormat="0" applyAlignment="0" applyProtection="0"/>
    <xf numFmtId="173" fontId="34" fillId="60" borderId="221" applyNumberFormat="0" applyFont="0" applyBorder="0" applyAlignment="0" applyProtection="0">
      <alignment horizontal="right" vertical="center"/>
    </xf>
    <xf numFmtId="0" fontId="34" fillId="33" borderId="221"/>
    <xf numFmtId="4" fontId="34" fillId="33" borderId="221"/>
    <xf numFmtId="0" fontId="65" fillId="0" borderId="219" applyNumberFormat="0" applyFill="0" applyAlignment="0" applyProtection="0"/>
    <xf numFmtId="0" fontId="5" fillId="59" borderId="220" applyNumberFormat="0" applyFont="0" applyAlignment="0" applyProtection="0"/>
    <xf numFmtId="0" fontId="40" fillId="59" borderId="220" applyNumberFormat="0" applyFont="0" applyAlignment="0" applyProtection="0"/>
    <xf numFmtId="0" fontId="34" fillId="0" borderId="221" applyNumberFormat="0" applyFill="0" applyAlignment="0" applyProtection="0"/>
    <xf numFmtId="0" fontId="50" fillId="0" borderId="219" applyNumberFormat="0" applyFill="0" applyAlignment="0" applyProtection="0"/>
    <xf numFmtId="0" fontId="65" fillId="0" borderId="219" applyNumberFormat="0" applyFill="0" applyAlignment="0" applyProtection="0"/>
    <xf numFmtId="0" fontId="49" fillId="43" borderId="218" applyNumberFormat="0" applyAlignment="0" applyProtection="0"/>
    <xf numFmtId="0" fontId="46" fillId="56" borderId="218" applyNumberFormat="0" applyAlignment="0" applyProtection="0"/>
    <xf numFmtId="4" fontId="36" fillId="32" borderId="221">
      <alignment horizontal="right" vertical="center"/>
    </xf>
    <xf numFmtId="0" fontId="32" fillId="32" borderId="221">
      <alignment horizontal="right" vertical="center"/>
    </xf>
    <xf numFmtId="173" fontId="34" fillId="60" borderId="221" applyNumberFormat="0" applyFont="0" applyBorder="0" applyAlignment="0" applyProtection="0">
      <alignment horizontal="right" vertical="center"/>
    </xf>
    <xf numFmtId="0" fontId="50" fillId="0" borderId="219" applyNumberFormat="0" applyFill="0" applyAlignment="0" applyProtection="0"/>
    <xf numFmtId="49" fontId="34" fillId="0" borderId="221" applyNumberFormat="0" applyFont="0" applyFill="0" applyBorder="0" applyProtection="0">
      <alignment horizontal="left" vertical="center" indent="2"/>
    </xf>
    <xf numFmtId="49" fontId="34" fillId="0" borderId="222" applyNumberFormat="0" applyFont="0" applyFill="0" applyBorder="0" applyProtection="0">
      <alignment horizontal="left" vertical="center" indent="5"/>
    </xf>
    <xf numFmtId="49" fontId="34" fillId="0" borderId="221" applyNumberFormat="0" applyFont="0" applyFill="0" applyBorder="0" applyProtection="0">
      <alignment horizontal="left" vertical="center" indent="2"/>
    </xf>
    <xf numFmtId="4" fontId="34" fillId="0" borderId="221" applyFill="0" applyBorder="0" applyProtection="0">
      <alignment horizontal="right" vertical="center"/>
    </xf>
    <xf numFmtId="49" fontId="33" fillId="0" borderId="221" applyNumberFormat="0" applyFill="0" applyBorder="0" applyProtection="0">
      <alignment horizontal="left" vertical="center"/>
    </xf>
    <xf numFmtId="0" fontId="34" fillId="0" borderId="224">
      <alignment horizontal="left" vertical="center" wrapText="1" indent="2"/>
    </xf>
    <xf numFmtId="0" fontId="62" fillId="56" borderId="217" applyNumberFormat="0" applyAlignment="0" applyProtection="0"/>
    <xf numFmtId="0" fontId="32" fillId="34" borderId="223">
      <alignment horizontal="right" vertical="center"/>
    </xf>
    <xf numFmtId="0" fontId="49" fillId="43" borderId="218" applyNumberFormat="0" applyAlignment="0" applyProtection="0"/>
    <xf numFmtId="0" fontId="32" fillId="34" borderId="223">
      <alignment horizontal="right" vertical="center"/>
    </xf>
    <xf numFmtId="4" fontId="32" fillId="34" borderId="221">
      <alignment horizontal="right" vertical="center"/>
    </xf>
    <xf numFmtId="0" fontId="32" fillId="34" borderId="221">
      <alignment horizontal="right" vertical="center"/>
    </xf>
    <xf numFmtId="0" fontId="43" fillId="56" borderId="217" applyNumberFormat="0" applyAlignment="0" applyProtection="0"/>
    <xf numFmtId="0" fontId="45" fillId="56" borderId="218" applyNumberFormat="0" applyAlignment="0" applyProtection="0"/>
    <xf numFmtId="0" fontId="50" fillId="0" borderId="219" applyNumberFormat="0" applyFill="0" applyAlignment="0" applyProtection="0"/>
    <xf numFmtId="0" fontId="34" fillId="33" borderId="221"/>
    <xf numFmtId="4" fontId="34" fillId="33" borderId="221"/>
    <xf numFmtId="4" fontId="32" fillId="34" borderId="221">
      <alignment horizontal="right" vertical="center"/>
    </xf>
    <xf numFmtId="0" fontId="36" fillId="32" borderId="221">
      <alignment horizontal="right" vertical="center"/>
    </xf>
    <xf numFmtId="0" fontId="49" fillId="43" borderId="218" applyNumberFormat="0" applyAlignment="0" applyProtection="0"/>
    <xf numFmtId="0" fontId="46" fillId="56" borderId="218" applyNumberFormat="0" applyAlignment="0" applyProtection="0"/>
    <xf numFmtId="4" fontId="34" fillId="0" borderId="221">
      <alignment horizontal="right" vertical="center"/>
    </xf>
    <xf numFmtId="0" fontId="34" fillId="34" borderId="224">
      <alignment horizontal="left" vertical="center" wrapText="1" indent="2"/>
    </xf>
    <xf numFmtId="0" fontId="34" fillId="0" borderId="224">
      <alignment horizontal="left" vertical="center" wrapText="1" indent="2"/>
    </xf>
    <xf numFmtId="0" fontId="62" fillId="56" borderId="217" applyNumberFormat="0" applyAlignment="0" applyProtection="0"/>
    <xf numFmtId="0" fontId="58" fillId="43" borderId="218" applyNumberFormat="0" applyAlignment="0" applyProtection="0"/>
    <xf numFmtId="0" fontId="45" fillId="56" borderId="218" applyNumberFormat="0" applyAlignment="0" applyProtection="0"/>
    <xf numFmtId="0" fontId="43" fillId="56" borderId="217" applyNumberFormat="0" applyAlignment="0" applyProtection="0"/>
    <xf numFmtId="0" fontId="32" fillId="34" borderId="223">
      <alignment horizontal="right" vertical="center"/>
    </xf>
    <xf numFmtId="0" fontId="36" fillId="32" borderId="221">
      <alignment horizontal="right" vertical="center"/>
    </xf>
    <xf numFmtId="4" fontId="32" fillId="32" borderId="221">
      <alignment horizontal="right" vertical="center"/>
    </xf>
    <xf numFmtId="4" fontId="32" fillId="34" borderId="221">
      <alignment horizontal="right" vertical="center"/>
    </xf>
    <xf numFmtId="49" fontId="34" fillId="0" borderId="222" applyNumberFormat="0" applyFont="0" applyFill="0" applyBorder="0" applyProtection="0">
      <alignment horizontal="left" vertical="center" indent="5"/>
    </xf>
    <xf numFmtId="4" fontId="34" fillId="0" borderId="221" applyFill="0" applyBorder="0" applyProtection="0">
      <alignment horizontal="right" vertical="center"/>
    </xf>
    <xf numFmtId="4" fontId="32" fillId="32" borderId="221">
      <alignment horizontal="right" vertical="center"/>
    </xf>
    <xf numFmtId="0" fontId="58" fillId="43" borderId="250" applyNumberFormat="0" applyAlignment="0" applyProtection="0"/>
    <xf numFmtId="0" fontId="58" fillId="43" borderId="218" applyNumberFormat="0" applyAlignment="0" applyProtection="0"/>
    <xf numFmtId="0" fontId="49" fillId="43" borderId="218" applyNumberFormat="0" applyAlignment="0" applyProtection="0"/>
    <xf numFmtId="0" fontId="45" fillId="56" borderId="218" applyNumberFormat="0" applyAlignment="0" applyProtection="0"/>
    <xf numFmtId="0" fontId="34" fillId="34" borderId="224">
      <alignment horizontal="left" vertical="center" wrapText="1" indent="2"/>
    </xf>
    <xf numFmtId="0" fontId="34" fillId="0" borderId="224">
      <alignment horizontal="left" vertical="center" wrapText="1" indent="2"/>
    </xf>
    <xf numFmtId="0" fontId="34" fillId="34" borderId="224">
      <alignment horizontal="left" vertical="center" wrapText="1" indent="2"/>
    </xf>
    <xf numFmtId="0" fontId="34" fillId="0" borderId="224">
      <alignment horizontal="left" vertical="center" wrapText="1" indent="2"/>
    </xf>
    <xf numFmtId="0" fontId="43" fillId="56" borderId="217" applyNumberFormat="0" applyAlignment="0" applyProtection="0"/>
    <xf numFmtId="0" fontId="45" fillId="56" borderId="218" applyNumberFormat="0" applyAlignment="0" applyProtection="0"/>
    <xf numFmtId="0" fontId="46" fillId="56" borderId="218" applyNumberFormat="0" applyAlignment="0" applyProtection="0"/>
    <xf numFmtId="0" fontId="49" fillId="43" borderId="218" applyNumberFormat="0" applyAlignment="0" applyProtection="0"/>
    <xf numFmtId="0" fontId="50" fillId="0" borderId="219" applyNumberFormat="0" applyFill="0" applyAlignment="0" applyProtection="0"/>
    <xf numFmtId="0" fontId="58" fillId="43" borderId="218" applyNumberFormat="0" applyAlignment="0" applyProtection="0"/>
    <xf numFmtId="0" fontId="40" fillId="59" borderId="220" applyNumberFormat="0" applyFont="0" applyAlignment="0" applyProtection="0"/>
    <xf numFmtId="0" fontId="5" fillId="59" borderId="220" applyNumberFormat="0" applyFont="0" applyAlignment="0" applyProtection="0"/>
    <xf numFmtId="0" fontId="62" fillId="56" borderId="217" applyNumberFormat="0" applyAlignment="0" applyProtection="0"/>
    <xf numFmtId="0" fontId="65" fillId="0" borderId="219" applyNumberFormat="0" applyFill="0" applyAlignment="0" applyProtection="0"/>
    <xf numFmtId="0" fontId="46" fillId="56" borderId="218" applyNumberFormat="0" applyAlignment="0" applyProtection="0"/>
    <xf numFmtId="0" fontId="58" fillId="43" borderId="218" applyNumberFormat="0" applyAlignment="0" applyProtection="0"/>
    <xf numFmtId="0" fontId="40" fillId="59" borderId="220" applyNumberFormat="0" applyFont="0" applyAlignment="0" applyProtection="0"/>
    <xf numFmtId="0" fontId="62" fillId="56" borderId="217" applyNumberFormat="0" applyAlignment="0" applyProtection="0"/>
    <xf numFmtId="0" fontId="65" fillId="0" borderId="219" applyNumberFormat="0" applyFill="0" applyAlignment="0" applyProtection="0"/>
    <xf numFmtId="0" fontId="58" fillId="43" borderId="225" applyNumberFormat="0" applyAlignment="0" applyProtection="0"/>
    <xf numFmtId="4" fontId="34" fillId="0" borderId="228">
      <alignment horizontal="right" vertical="center"/>
    </xf>
    <xf numFmtId="4" fontId="32" fillId="34" borderId="229">
      <alignment horizontal="right" vertical="center"/>
    </xf>
    <xf numFmtId="0" fontId="46" fillId="56" borderId="225" applyNumberFormat="0" applyAlignment="0" applyProtection="0"/>
    <xf numFmtId="0" fontId="46" fillId="56" borderId="218" applyNumberFormat="0" applyAlignment="0" applyProtection="0"/>
    <xf numFmtId="173" fontId="34" fillId="60" borderId="282" applyNumberFormat="0" applyFont="0" applyBorder="0" applyAlignment="0" applyProtection="0">
      <alignment horizontal="right" vertical="center"/>
    </xf>
    <xf numFmtId="0" fontId="32" fillId="34" borderId="239">
      <alignment horizontal="right" vertical="center"/>
    </xf>
    <xf numFmtId="0" fontId="58" fillId="43" borderId="263" applyNumberFormat="0" applyAlignment="0" applyProtection="0"/>
    <xf numFmtId="0" fontId="58" fillId="43" borderId="218" applyNumberFormat="0" applyAlignment="0" applyProtection="0"/>
    <xf numFmtId="0" fontId="62" fillId="56" borderId="217" applyNumberFormat="0" applyAlignment="0" applyProtection="0"/>
    <xf numFmtId="0" fontId="65" fillId="0" borderId="219" applyNumberFormat="0" applyFill="0" applyAlignment="0" applyProtection="0"/>
    <xf numFmtId="0" fontId="49" fillId="43" borderId="250" applyNumberFormat="0" applyAlignment="0" applyProtection="0"/>
    <xf numFmtId="0" fontId="43" fillId="56" borderId="217" applyNumberFormat="0" applyAlignment="0" applyProtection="0"/>
    <xf numFmtId="0" fontId="45" fillId="56" borderId="218" applyNumberFormat="0" applyAlignment="0" applyProtection="0"/>
    <xf numFmtId="0" fontId="50" fillId="0" borderId="219" applyNumberFormat="0" applyFill="0" applyAlignment="0" applyProtection="0"/>
    <xf numFmtId="49" fontId="34" fillId="0" borderId="221" applyNumberFormat="0" applyFont="0" applyFill="0" applyBorder="0" applyProtection="0">
      <alignment horizontal="left" vertical="center" indent="2"/>
    </xf>
    <xf numFmtId="0" fontId="32" fillId="32" borderId="221">
      <alignment horizontal="right" vertical="center"/>
    </xf>
    <xf numFmtId="4" fontId="32" fillId="32" borderId="221">
      <alignment horizontal="right" vertical="center"/>
    </xf>
    <xf numFmtId="0" fontId="36" fillId="32" borderId="221">
      <alignment horizontal="right" vertical="center"/>
    </xf>
    <xf numFmtId="4" fontId="36" fillId="32" borderId="221">
      <alignment horizontal="right" vertical="center"/>
    </xf>
    <xf numFmtId="0" fontId="32" fillId="34" borderId="221">
      <alignment horizontal="right" vertical="center"/>
    </xf>
    <xf numFmtId="4" fontId="32" fillId="34" borderId="221">
      <alignment horizontal="right" vertical="center"/>
    </xf>
    <xf numFmtId="0" fontId="32" fillId="34" borderId="221">
      <alignment horizontal="right" vertical="center"/>
    </xf>
    <xf numFmtId="4" fontId="32" fillId="34" borderId="221">
      <alignment horizontal="right" vertical="center"/>
    </xf>
    <xf numFmtId="0" fontId="49" fillId="43" borderId="218" applyNumberFormat="0" applyAlignment="0" applyProtection="0"/>
    <xf numFmtId="0" fontId="34" fillId="0" borderId="221">
      <alignment horizontal="right" vertical="center"/>
    </xf>
    <xf numFmtId="4" fontId="34" fillId="0" borderId="221">
      <alignment horizontal="right" vertical="center"/>
    </xf>
    <xf numFmtId="4" fontId="34" fillId="0" borderId="221" applyFill="0" applyBorder="0" applyProtection="0">
      <alignment horizontal="right" vertical="center"/>
    </xf>
    <xf numFmtId="49" fontId="33" fillId="0" borderId="221" applyNumberFormat="0" applyFill="0" applyBorder="0" applyProtection="0">
      <alignment horizontal="left" vertical="center"/>
    </xf>
    <xf numFmtId="0" fontId="34" fillId="0" borderId="221" applyNumberFormat="0" applyFill="0" applyAlignment="0" applyProtection="0"/>
    <xf numFmtId="173" fontId="34" fillId="60" borderId="221" applyNumberFormat="0" applyFont="0" applyBorder="0" applyAlignment="0" applyProtection="0">
      <alignment horizontal="right" vertical="center"/>
    </xf>
    <xf numFmtId="0" fontId="34" fillId="33" borderId="221"/>
    <xf numFmtId="4" fontId="34" fillId="33" borderId="221"/>
    <xf numFmtId="4" fontId="32" fillId="34" borderId="221">
      <alignment horizontal="right" vertical="center"/>
    </xf>
    <xf numFmtId="0" fontId="34" fillId="33" borderId="221"/>
    <xf numFmtId="0" fontId="45" fillId="56" borderId="218" applyNumberFormat="0" applyAlignment="0" applyProtection="0"/>
    <xf numFmtId="0" fontId="32" fillId="32" borderId="221">
      <alignment horizontal="right" vertical="center"/>
    </xf>
    <xf numFmtId="0" fontId="34" fillId="0" borderId="221">
      <alignment horizontal="right" vertical="center"/>
    </xf>
    <xf numFmtId="0" fontId="65" fillId="0" borderId="219" applyNumberFormat="0" applyFill="0" applyAlignment="0" applyProtection="0"/>
    <xf numFmtId="0" fontId="34" fillId="32" borderId="222">
      <alignment horizontal="left" vertical="center"/>
    </xf>
    <xf numFmtId="0" fontId="58" fillId="43" borderId="218" applyNumberFormat="0" applyAlignment="0" applyProtection="0"/>
    <xf numFmtId="173" fontId="34" fillId="60" borderId="221" applyNumberFormat="0" applyFont="0" applyBorder="0" applyAlignment="0" applyProtection="0">
      <alignment horizontal="right" vertical="center"/>
    </xf>
    <xf numFmtId="0" fontId="40" fillId="59" borderId="220" applyNumberFormat="0" applyFont="0" applyAlignment="0" applyProtection="0"/>
    <xf numFmtId="0" fontId="34" fillId="0" borderId="224">
      <alignment horizontal="left" vertical="center" wrapText="1" indent="2"/>
    </xf>
    <xf numFmtId="4" fontId="34" fillId="33" borderId="221"/>
    <xf numFmtId="49" fontId="33" fillId="0" borderId="221" applyNumberFormat="0" applyFill="0" applyBorder="0" applyProtection="0">
      <alignment horizontal="left" vertical="center"/>
    </xf>
    <xf numFmtId="0" fontId="34" fillId="0" borderId="221">
      <alignment horizontal="right" vertical="center"/>
    </xf>
    <xf numFmtId="4" fontId="32" fillId="34" borderId="223">
      <alignment horizontal="right" vertical="center"/>
    </xf>
    <xf numFmtId="4" fontId="32" fillId="34" borderId="221">
      <alignment horizontal="right" vertical="center"/>
    </xf>
    <xf numFmtId="4" fontId="32" fillId="34" borderId="221">
      <alignment horizontal="right" vertical="center"/>
    </xf>
    <xf numFmtId="0" fontId="36" fillId="32" borderId="221">
      <alignment horizontal="right" vertical="center"/>
    </xf>
    <xf numFmtId="0" fontId="32" fillId="32" borderId="221">
      <alignment horizontal="right" vertical="center"/>
    </xf>
    <xf numFmtId="49" fontId="34" fillId="0" borderId="221" applyNumberFormat="0" applyFont="0" applyFill="0" applyBorder="0" applyProtection="0">
      <alignment horizontal="left" vertical="center" indent="2"/>
    </xf>
    <xf numFmtId="0" fontId="58" fillId="43" borderId="218" applyNumberFormat="0" applyAlignment="0" applyProtection="0"/>
    <xf numFmtId="0" fontId="43" fillId="56" borderId="217" applyNumberFormat="0" applyAlignment="0" applyProtection="0"/>
    <xf numFmtId="49" fontId="34" fillId="0" borderId="221" applyNumberFormat="0" applyFont="0" applyFill="0" applyBorder="0" applyProtection="0">
      <alignment horizontal="left" vertical="center" indent="2"/>
    </xf>
    <xf numFmtId="0" fontId="49" fillId="43" borderId="218" applyNumberFormat="0" applyAlignment="0" applyProtection="0"/>
    <xf numFmtId="4" fontId="34" fillId="0" borderId="221" applyFill="0" applyBorder="0" applyProtection="0">
      <alignment horizontal="right" vertical="center"/>
    </xf>
    <xf numFmtId="0" fontId="46" fillId="56" borderId="218" applyNumberFormat="0" applyAlignment="0" applyProtection="0"/>
    <xf numFmtId="0" fontId="65" fillId="0" borderId="219" applyNumberFormat="0" applyFill="0" applyAlignment="0" applyProtection="0"/>
    <xf numFmtId="0" fontId="62" fillId="56" borderId="217" applyNumberFormat="0" applyAlignment="0" applyProtection="0"/>
    <xf numFmtId="0" fontId="34" fillId="0" borderId="221" applyNumberFormat="0" applyFill="0" applyAlignment="0" applyProtection="0"/>
    <xf numFmtId="4" fontId="34" fillId="0" borderId="221">
      <alignment horizontal="right" vertical="center"/>
    </xf>
    <xf numFmtId="0" fontId="34" fillId="0" borderId="221">
      <alignment horizontal="right" vertical="center"/>
    </xf>
    <xf numFmtId="0" fontId="58" fillId="43" borderId="218" applyNumberFormat="0" applyAlignment="0" applyProtection="0"/>
    <xf numFmtId="0" fontId="43" fillId="56" borderId="217" applyNumberFormat="0" applyAlignment="0" applyProtection="0"/>
    <xf numFmtId="0" fontId="45" fillId="56" borderId="218" applyNumberFormat="0" applyAlignment="0" applyProtection="0"/>
    <xf numFmtId="0" fontId="34" fillId="34" borderId="224">
      <alignment horizontal="left" vertical="center" wrapText="1" indent="2"/>
    </xf>
    <xf numFmtId="0" fontId="46" fillId="56" borderId="218" applyNumberFormat="0" applyAlignment="0" applyProtection="0"/>
    <xf numFmtId="0" fontId="46" fillId="56" borderId="218" applyNumberFormat="0" applyAlignment="0" applyProtection="0"/>
    <xf numFmtId="4" fontId="32" fillId="34" borderId="222">
      <alignment horizontal="right" vertical="center"/>
    </xf>
    <xf numFmtId="0" fontId="32" fillId="34" borderId="222">
      <alignment horizontal="right" vertical="center"/>
    </xf>
    <xf numFmtId="0" fontId="32" fillId="34" borderId="221">
      <alignment horizontal="right" vertical="center"/>
    </xf>
    <xf numFmtId="4" fontId="36" fillId="32" borderId="221">
      <alignment horizontal="right" vertical="center"/>
    </xf>
    <xf numFmtId="0" fontId="49" fillId="43" borderId="218" applyNumberFormat="0" applyAlignment="0" applyProtection="0"/>
    <xf numFmtId="0" fontId="50" fillId="0" borderId="219" applyNumberFormat="0" applyFill="0" applyAlignment="0" applyProtection="0"/>
    <xf numFmtId="0" fontId="65" fillId="0" borderId="219" applyNumberFormat="0" applyFill="0" applyAlignment="0" applyProtection="0"/>
    <xf numFmtId="0" fontId="40" fillId="59" borderId="220" applyNumberFormat="0" applyFont="0" applyAlignment="0" applyProtection="0"/>
    <xf numFmtId="0" fontId="58" fillId="43" borderId="218" applyNumberFormat="0" applyAlignment="0" applyProtection="0"/>
    <xf numFmtId="49" fontId="33" fillId="0" borderId="221" applyNumberFormat="0" applyFill="0" applyBorder="0" applyProtection="0">
      <alignment horizontal="left" vertical="center"/>
    </xf>
    <xf numFmtId="0" fontId="34" fillId="34" borderId="224">
      <alignment horizontal="left" vertical="center" wrapText="1" indent="2"/>
    </xf>
    <xf numFmtId="0" fontId="46" fillId="56" borderId="218" applyNumberFormat="0" applyAlignment="0" applyProtection="0"/>
    <xf numFmtId="0" fontId="34" fillId="0" borderId="224">
      <alignment horizontal="left" vertical="center" wrapText="1" indent="2"/>
    </xf>
    <xf numFmtId="0" fontId="40" fillId="59" borderId="220" applyNumberFormat="0" applyFont="0" applyAlignment="0" applyProtection="0"/>
    <xf numFmtId="0" fontId="5" fillId="59" borderId="220" applyNumberFormat="0" applyFont="0" applyAlignment="0" applyProtection="0"/>
    <xf numFmtId="0" fontId="62" fillId="56" borderId="217" applyNumberFormat="0" applyAlignment="0" applyProtection="0"/>
    <xf numFmtId="0" fontId="65" fillId="0" borderId="219" applyNumberFormat="0" applyFill="0" applyAlignment="0" applyProtection="0"/>
    <xf numFmtId="4" fontId="34" fillId="33" borderId="221"/>
    <xf numFmtId="0" fontId="32" fillId="34" borderId="221">
      <alignment horizontal="right" vertical="center"/>
    </xf>
    <xf numFmtId="0" fontId="65" fillId="0" borderId="219" applyNumberFormat="0" applyFill="0" applyAlignment="0" applyProtection="0"/>
    <xf numFmtId="4" fontId="32" fillId="34" borderId="223">
      <alignment horizontal="right" vertical="center"/>
    </xf>
    <xf numFmtId="0" fontId="45" fillId="56" borderId="218" applyNumberFormat="0" applyAlignment="0" applyProtection="0"/>
    <xf numFmtId="0" fontId="32" fillId="34" borderId="222">
      <alignment horizontal="right" vertical="center"/>
    </xf>
    <xf numFmtId="0" fontId="46" fillId="56" borderId="218" applyNumberFormat="0" applyAlignment="0" applyProtection="0"/>
    <xf numFmtId="0" fontId="50" fillId="0" borderId="219" applyNumberFormat="0" applyFill="0" applyAlignment="0" applyProtection="0"/>
    <xf numFmtId="0" fontId="40" fillId="59" borderId="220" applyNumberFormat="0" applyFont="0" applyAlignment="0" applyProtection="0"/>
    <xf numFmtId="4" fontId="32" fillId="34" borderId="222">
      <alignment horizontal="right" vertical="center"/>
    </xf>
    <xf numFmtId="0" fontId="34" fillId="34" borderId="224">
      <alignment horizontal="left" vertical="center" wrapText="1" indent="2"/>
    </xf>
    <xf numFmtId="0" fontId="34" fillId="33" borderId="221"/>
    <xf numFmtId="173" fontId="34" fillId="60" borderId="221" applyNumberFormat="0" applyFont="0" applyBorder="0" applyAlignment="0" applyProtection="0">
      <alignment horizontal="right" vertical="center"/>
    </xf>
    <xf numFmtId="0" fontId="34" fillId="0" borderId="221" applyNumberFormat="0" applyFill="0" applyAlignment="0" applyProtection="0"/>
    <xf numFmtId="4" fontId="34" fillId="0" borderId="221" applyFill="0" applyBorder="0" applyProtection="0">
      <alignment horizontal="right" vertical="center"/>
    </xf>
    <xf numFmtId="4" fontId="32" fillId="32" borderId="221">
      <alignment horizontal="right" vertical="center"/>
    </xf>
    <xf numFmtId="0" fontId="50" fillId="0" borderId="219" applyNumberFormat="0" applyFill="0" applyAlignment="0" applyProtection="0"/>
    <xf numFmtId="49" fontId="33" fillId="0" borderId="221" applyNumberFormat="0" applyFill="0" applyBorder="0" applyProtection="0">
      <alignment horizontal="left" vertical="center"/>
    </xf>
    <xf numFmtId="49" fontId="34" fillId="0" borderId="222" applyNumberFormat="0" applyFont="0" applyFill="0" applyBorder="0" applyProtection="0">
      <alignment horizontal="left" vertical="center" indent="5"/>
    </xf>
    <xf numFmtId="0" fontId="34" fillId="32" borderId="222">
      <alignment horizontal="left" vertical="center"/>
    </xf>
    <xf numFmtId="0" fontId="46" fillId="56" borderId="218" applyNumberFormat="0" applyAlignment="0" applyProtection="0"/>
    <xf numFmtId="4" fontId="32" fillId="34" borderId="223">
      <alignment horizontal="right" vertical="center"/>
    </xf>
    <xf numFmtId="0" fontId="58" fillId="43" borderId="218" applyNumberFormat="0" applyAlignment="0" applyProtection="0"/>
    <xf numFmtId="0" fontId="58" fillId="43" borderId="218" applyNumberFormat="0" applyAlignment="0" applyProtection="0"/>
    <xf numFmtId="0" fontId="40" fillId="59" borderId="220" applyNumberFormat="0" applyFont="0" applyAlignment="0" applyProtection="0"/>
    <xf numFmtId="0" fontId="62" fillId="56" borderId="217" applyNumberFormat="0" applyAlignment="0" applyProtection="0"/>
    <xf numFmtId="0" fontId="65" fillId="0" borderId="219" applyNumberFormat="0" applyFill="0" applyAlignment="0" applyProtection="0"/>
    <xf numFmtId="0" fontId="32" fillId="34" borderId="221">
      <alignment horizontal="right" vertical="center"/>
    </xf>
    <xf numFmtId="0" fontId="5" fillId="59" borderId="220" applyNumberFormat="0" applyFont="0" applyAlignment="0" applyProtection="0"/>
    <xf numFmtId="4" fontId="34" fillId="0" borderId="221">
      <alignment horizontal="right" vertical="center"/>
    </xf>
    <xf numFmtId="0" fontId="65" fillId="0" borderId="219" applyNumberFormat="0" applyFill="0" applyAlignment="0" applyProtection="0"/>
    <xf numFmtId="0" fontId="32" fillId="34" borderId="221">
      <alignment horizontal="right" vertical="center"/>
    </xf>
    <xf numFmtId="0" fontId="32" fillId="34" borderId="221">
      <alignment horizontal="right" vertical="center"/>
    </xf>
    <xf numFmtId="4" fontId="36" fillId="32" borderId="221">
      <alignment horizontal="right" vertical="center"/>
    </xf>
    <xf numFmtId="0" fontId="32" fillId="32" borderId="221">
      <alignment horizontal="right" vertical="center"/>
    </xf>
    <xf numFmtId="4" fontId="32" fillId="32" borderId="221">
      <alignment horizontal="right" vertical="center"/>
    </xf>
    <xf numFmtId="0" fontId="36" fillId="32" borderId="221">
      <alignment horizontal="right" vertical="center"/>
    </xf>
    <xf numFmtId="4" fontId="36" fillId="32" borderId="221">
      <alignment horizontal="right" vertical="center"/>
    </xf>
    <xf numFmtId="0" fontId="32" fillId="34" borderId="221">
      <alignment horizontal="right" vertical="center"/>
    </xf>
    <xf numFmtId="4" fontId="32" fillId="34" borderId="221">
      <alignment horizontal="right" vertical="center"/>
    </xf>
    <xf numFmtId="0" fontId="32" fillId="34" borderId="221">
      <alignment horizontal="right" vertical="center"/>
    </xf>
    <xf numFmtId="4" fontId="32" fillId="34" borderId="221">
      <alignment horizontal="right" vertical="center"/>
    </xf>
    <xf numFmtId="0" fontId="32" fillId="34" borderId="222">
      <alignment horizontal="right" vertical="center"/>
    </xf>
    <xf numFmtId="4" fontId="32" fillId="34" borderId="222">
      <alignment horizontal="right" vertical="center"/>
    </xf>
    <xf numFmtId="0" fontId="32" fillId="34" borderId="223">
      <alignment horizontal="right" vertical="center"/>
    </xf>
    <xf numFmtId="4" fontId="32" fillId="34" borderId="223">
      <alignment horizontal="right" vertical="center"/>
    </xf>
    <xf numFmtId="0" fontId="46" fillId="56" borderId="218" applyNumberFormat="0" applyAlignment="0" applyProtection="0"/>
    <xf numFmtId="0" fontId="34" fillId="34" borderId="224">
      <alignment horizontal="left" vertical="center" wrapText="1" indent="2"/>
    </xf>
    <xf numFmtId="0" fontId="34" fillId="0" borderId="224">
      <alignment horizontal="left" vertical="center" wrapText="1" indent="2"/>
    </xf>
    <xf numFmtId="0" fontId="34" fillId="32" borderId="222">
      <alignment horizontal="left" vertical="center"/>
    </xf>
    <xf numFmtId="0" fontId="58" fillId="43" borderId="218" applyNumberFormat="0" applyAlignment="0" applyProtection="0"/>
    <xf numFmtId="0" fontId="34" fillId="0" borderId="221">
      <alignment horizontal="right" vertical="center"/>
    </xf>
    <xf numFmtId="4" fontId="34" fillId="0" borderId="221">
      <alignment horizontal="right" vertical="center"/>
    </xf>
    <xf numFmtId="0" fontId="34" fillId="0" borderId="221" applyNumberFormat="0" applyFill="0" applyAlignment="0" applyProtection="0"/>
    <xf numFmtId="0" fontId="62" fillId="56" borderId="217" applyNumberFormat="0" applyAlignment="0" applyProtection="0"/>
    <xf numFmtId="173" fontId="34" fillId="60" borderId="221" applyNumberFormat="0" applyFont="0" applyBorder="0" applyAlignment="0" applyProtection="0">
      <alignment horizontal="right" vertical="center"/>
    </xf>
    <xf numFmtId="0" fontId="34" fillId="33" borderId="221"/>
    <xf numFmtId="4" fontId="34" fillId="33" borderId="221"/>
    <xf numFmtId="0" fontId="65" fillId="0" borderId="219" applyNumberFormat="0" applyFill="0" applyAlignment="0" applyProtection="0"/>
    <xf numFmtId="0" fontId="5" fillId="59" borderId="220" applyNumberFormat="0" applyFont="0" applyAlignment="0" applyProtection="0"/>
    <xf numFmtId="0" fontId="40" fillId="59" borderId="220" applyNumberFormat="0" applyFont="0" applyAlignment="0" applyProtection="0"/>
    <xf numFmtId="0" fontId="34" fillId="0" borderId="221" applyNumberFormat="0" applyFill="0" applyAlignment="0" applyProtection="0"/>
    <xf numFmtId="0" fontId="50" fillId="0" borderId="219" applyNumberFormat="0" applyFill="0" applyAlignment="0" applyProtection="0"/>
    <xf numFmtId="0" fontId="65" fillId="0" borderId="219" applyNumberFormat="0" applyFill="0" applyAlignment="0" applyProtection="0"/>
    <xf numFmtId="0" fontId="49" fillId="43" borderId="218" applyNumberFormat="0" applyAlignment="0" applyProtection="0"/>
    <xf numFmtId="0" fontId="46" fillId="56" borderId="218" applyNumberFormat="0" applyAlignment="0" applyProtection="0"/>
    <xf numFmtId="4" fontId="36" fillId="32" borderId="221">
      <alignment horizontal="right" vertical="center"/>
    </xf>
    <xf numFmtId="0" fontId="32" fillId="32" borderId="221">
      <alignment horizontal="right" vertical="center"/>
    </xf>
    <xf numFmtId="173" fontId="34" fillId="60" borderId="221" applyNumberFormat="0" applyFont="0" applyBorder="0" applyAlignment="0" applyProtection="0">
      <alignment horizontal="right" vertical="center"/>
    </xf>
    <xf numFmtId="0" fontId="50" fillId="0" borderId="219" applyNumberFormat="0" applyFill="0" applyAlignment="0" applyProtection="0"/>
    <xf numFmtId="49" fontId="34" fillId="0" borderId="221" applyNumberFormat="0" applyFont="0" applyFill="0" applyBorder="0" applyProtection="0">
      <alignment horizontal="left" vertical="center" indent="2"/>
    </xf>
    <xf numFmtId="49" fontId="34" fillId="0" borderId="222" applyNumberFormat="0" applyFont="0" applyFill="0" applyBorder="0" applyProtection="0">
      <alignment horizontal="left" vertical="center" indent="5"/>
    </xf>
    <xf numFmtId="49" fontId="34" fillId="0" borderId="221" applyNumberFormat="0" applyFont="0" applyFill="0" applyBorder="0" applyProtection="0">
      <alignment horizontal="left" vertical="center" indent="2"/>
    </xf>
    <xf numFmtId="4" fontId="34" fillId="0" borderId="221" applyFill="0" applyBorder="0" applyProtection="0">
      <alignment horizontal="right" vertical="center"/>
    </xf>
    <xf numFmtId="49" fontId="33" fillId="0" borderId="221" applyNumberFormat="0" applyFill="0" applyBorder="0" applyProtection="0">
      <alignment horizontal="left" vertical="center"/>
    </xf>
    <xf numFmtId="0" fontId="34" fillId="0" borderId="224">
      <alignment horizontal="left" vertical="center" wrapText="1" indent="2"/>
    </xf>
    <xf numFmtId="0" fontId="62" fillId="56" borderId="217" applyNumberFormat="0" applyAlignment="0" applyProtection="0"/>
    <xf numFmtId="0" fontId="32" fillId="34" borderId="223">
      <alignment horizontal="right" vertical="center"/>
    </xf>
    <xf numFmtId="0" fontId="49" fillId="43" borderId="218" applyNumberFormat="0" applyAlignment="0" applyProtection="0"/>
    <xf numFmtId="0" fontId="32" fillId="34" borderId="223">
      <alignment horizontal="right" vertical="center"/>
    </xf>
    <xf numFmtId="4" fontId="32" fillId="34" borderId="221">
      <alignment horizontal="right" vertical="center"/>
    </xf>
    <xf numFmtId="0" fontId="32" fillId="34" borderId="221">
      <alignment horizontal="right" vertical="center"/>
    </xf>
    <xf numFmtId="0" fontId="43" fillId="56" borderId="217" applyNumberFormat="0" applyAlignment="0" applyProtection="0"/>
    <xf numFmtId="0" fontId="45" fillId="56" borderId="218" applyNumberFormat="0" applyAlignment="0" applyProtection="0"/>
    <xf numFmtId="0" fontId="50" fillId="0" borderId="219" applyNumberFormat="0" applyFill="0" applyAlignment="0" applyProtection="0"/>
    <xf numFmtId="0" fontId="34" fillId="33" borderId="221"/>
    <xf numFmtId="4" fontId="34" fillId="33" borderId="221"/>
    <xf numFmtId="4" fontId="32" fillId="34" borderId="221">
      <alignment horizontal="right" vertical="center"/>
    </xf>
    <xf numFmtId="0" fontId="36" fillId="32" borderId="221">
      <alignment horizontal="right" vertical="center"/>
    </xf>
    <xf numFmtId="0" fontId="49" fillId="43" borderId="218" applyNumberFormat="0" applyAlignment="0" applyProtection="0"/>
    <xf numFmtId="0" fontId="46" fillId="56" borderId="218" applyNumberFormat="0" applyAlignment="0" applyProtection="0"/>
    <xf numFmtId="4" fontId="34" fillId="0" borderId="221">
      <alignment horizontal="right" vertical="center"/>
    </xf>
    <xf numFmtId="0" fontId="34" fillId="34" borderId="224">
      <alignment horizontal="left" vertical="center" wrapText="1" indent="2"/>
    </xf>
    <xf numFmtId="0" fontId="34" fillId="0" borderId="224">
      <alignment horizontal="left" vertical="center" wrapText="1" indent="2"/>
    </xf>
    <xf numFmtId="0" fontId="62" fillId="56" borderId="217" applyNumberFormat="0" applyAlignment="0" applyProtection="0"/>
    <xf numFmtId="0" fontId="58" fillId="43" borderId="218" applyNumberFormat="0" applyAlignment="0" applyProtection="0"/>
    <xf numFmtId="0" fontId="45" fillId="56" borderId="218" applyNumberFormat="0" applyAlignment="0" applyProtection="0"/>
    <xf numFmtId="0" fontId="43" fillId="56" borderId="217" applyNumberFormat="0" applyAlignment="0" applyProtection="0"/>
    <xf numFmtId="0" fontId="32" fillId="34" borderId="223">
      <alignment horizontal="right" vertical="center"/>
    </xf>
    <xf numFmtId="0" fontId="36" fillId="32" borderId="221">
      <alignment horizontal="right" vertical="center"/>
    </xf>
    <xf numFmtId="4" fontId="32" fillId="32" borderId="221">
      <alignment horizontal="right" vertical="center"/>
    </xf>
    <xf numFmtId="4" fontId="32" fillId="34" borderId="221">
      <alignment horizontal="right" vertical="center"/>
    </xf>
    <xf numFmtId="49" fontId="34" fillId="0" borderId="222" applyNumberFormat="0" applyFont="0" applyFill="0" applyBorder="0" applyProtection="0">
      <alignment horizontal="left" vertical="center" indent="5"/>
    </xf>
    <xf numFmtId="4" fontId="34" fillId="0" borderId="221" applyFill="0" applyBorder="0" applyProtection="0">
      <alignment horizontal="right" vertical="center"/>
    </xf>
    <xf numFmtId="4" fontId="32" fillId="32" borderId="221">
      <alignment horizontal="right" vertical="center"/>
    </xf>
    <xf numFmtId="0" fontId="58" fillId="43" borderId="218" applyNumberFormat="0" applyAlignment="0" applyProtection="0"/>
    <xf numFmtId="0" fontId="49" fillId="43" borderId="218" applyNumberFormat="0" applyAlignment="0" applyProtection="0"/>
    <xf numFmtId="0" fontId="45" fillId="56" borderId="218" applyNumberFormat="0" applyAlignment="0" applyProtection="0"/>
    <xf numFmtId="0" fontId="34" fillId="34" borderId="224">
      <alignment horizontal="left" vertical="center" wrapText="1" indent="2"/>
    </xf>
    <xf numFmtId="0" fontId="34" fillId="0" borderId="224">
      <alignment horizontal="left" vertical="center" wrapText="1" indent="2"/>
    </xf>
    <xf numFmtId="0" fontId="34" fillId="34" borderId="224">
      <alignment horizontal="left" vertical="center" wrapText="1" indent="2"/>
    </xf>
    <xf numFmtId="0" fontId="34" fillId="32" borderId="254">
      <alignment horizontal="left" vertical="center"/>
    </xf>
    <xf numFmtId="0" fontId="49" fillId="43" borderId="225" applyNumberFormat="0" applyAlignment="0" applyProtection="0"/>
    <xf numFmtId="0" fontId="32" fillId="34" borderId="270">
      <alignment horizontal="right" vertical="center"/>
    </xf>
    <xf numFmtId="0" fontId="40" fillId="59" borderId="257" applyNumberFormat="0" applyFont="0" applyAlignment="0" applyProtection="0"/>
    <xf numFmtId="0" fontId="32" fillId="34" borderId="254">
      <alignment horizontal="right" vertical="center"/>
    </xf>
    <xf numFmtId="0" fontId="32" fillId="34" borderId="253">
      <alignment horizontal="right" vertical="center"/>
    </xf>
    <xf numFmtId="0" fontId="34" fillId="0" borderId="268">
      <alignment horizontal="right" vertical="center"/>
    </xf>
    <xf numFmtId="0" fontId="5" fillId="59" borderId="252" applyNumberFormat="0" applyFont="0" applyAlignment="0" applyProtection="0"/>
    <xf numFmtId="4" fontId="34" fillId="33" borderId="253"/>
    <xf numFmtId="0" fontId="46" fillId="56" borderId="250" applyNumberFormat="0" applyAlignment="0" applyProtection="0"/>
    <xf numFmtId="0" fontId="45" fillId="56" borderId="250" applyNumberFormat="0" applyAlignment="0" applyProtection="0"/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" fillId="0" borderId="15" applyNumberFormat="0" applyFill="0" applyAlignment="0" applyProtection="0"/>
    <xf numFmtId="0" fontId="34" fillId="0" borderId="256">
      <alignment horizontal="left" vertical="center" wrapText="1" indent="2"/>
    </xf>
    <xf numFmtId="0" fontId="28" fillId="13" borderId="14" applyNumberFormat="0" applyAlignment="0" applyProtection="0"/>
    <xf numFmtId="0" fontId="32" fillId="34" borderId="253">
      <alignment horizontal="right" vertical="center"/>
    </xf>
    <xf numFmtId="4" fontId="32" fillId="34" borderId="255">
      <alignment horizontal="right" vertical="center"/>
    </xf>
    <xf numFmtId="0" fontId="65" fillId="0" borderId="251" applyNumberFormat="0" applyFill="0" applyAlignment="0" applyProtection="0"/>
    <xf numFmtId="0" fontId="26" fillId="30" borderId="0" applyNumberFormat="0" applyBorder="0" applyAlignment="0" applyProtection="0"/>
    <xf numFmtId="0" fontId="50" fillId="0" borderId="264" applyNumberFormat="0" applyFill="0" applyAlignment="0" applyProtection="0"/>
    <xf numFmtId="0" fontId="34" fillId="34" borderId="231">
      <alignment horizontal="left" vertical="center" wrapText="1" indent="2"/>
    </xf>
    <xf numFmtId="0" fontId="34" fillId="0" borderId="231">
      <alignment horizontal="left" vertical="center" wrapText="1" indent="2"/>
    </xf>
    <xf numFmtId="0" fontId="26" fillId="17" borderId="0" applyNumberFormat="0" applyBorder="0" applyAlignment="0" applyProtection="0"/>
    <xf numFmtId="0" fontId="34" fillId="0" borderId="282">
      <alignment horizontal="right" vertical="center"/>
    </xf>
    <xf numFmtId="0" fontId="32" fillId="32" borderId="253">
      <alignment horizontal="right" vertical="center"/>
    </xf>
    <xf numFmtId="0" fontId="32" fillId="34" borderId="253">
      <alignment horizontal="right" vertical="center"/>
    </xf>
    <xf numFmtId="0" fontId="5" fillId="59" borderId="236" applyNumberFormat="0" applyFont="0" applyAlignment="0" applyProtection="0"/>
    <xf numFmtId="4" fontId="32" fillId="34" borderId="255">
      <alignment horizontal="right" vertical="center"/>
    </xf>
    <xf numFmtId="49" fontId="34" fillId="0" borderId="258" applyNumberFormat="0" applyFont="0" applyFill="0" applyBorder="0" applyProtection="0">
      <alignment horizontal="left" vertical="center" indent="2"/>
    </xf>
    <xf numFmtId="0" fontId="62" fillId="56" borderId="233" applyNumberFormat="0" applyAlignment="0" applyProtection="0"/>
    <xf numFmtId="0" fontId="29" fillId="13" borderId="13" applyNumberFormat="0" applyAlignment="0" applyProtection="0"/>
    <xf numFmtId="0" fontId="46" fillId="56" borderId="250" applyNumberFormat="0" applyAlignment="0" applyProtection="0"/>
    <xf numFmtId="173" fontId="34" fillId="60" borderId="253" applyNumberFormat="0" applyFont="0" applyBorder="0" applyAlignment="0" applyProtection="0">
      <alignment horizontal="right" vertical="center"/>
    </xf>
    <xf numFmtId="0" fontId="29" fillId="13" borderId="13" applyNumberFormat="0" applyAlignment="0" applyProtection="0"/>
    <xf numFmtId="0" fontId="34" fillId="0" borderId="253">
      <alignment horizontal="right" vertical="center"/>
    </xf>
    <xf numFmtId="49" fontId="34" fillId="0" borderId="268" applyNumberFormat="0" applyFont="0" applyFill="0" applyBorder="0" applyProtection="0">
      <alignment horizontal="left" vertical="center" indent="2"/>
    </xf>
    <xf numFmtId="0" fontId="34" fillId="34" borderId="261">
      <alignment horizontal="left" vertical="center" wrapText="1" indent="2"/>
    </xf>
    <xf numFmtId="0" fontId="43" fillId="56" borderId="249" applyNumberFormat="0" applyAlignment="0" applyProtection="0"/>
    <xf numFmtId="0" fontId="29" fillId="13" borderId="13" applyNumberFormat="0" applyAlignment="0" applyProtection="0"/>
    <xf numFmtId="0" fontId="28" fillId="13" borderId="14" applyNumberFormat="0" applyAlignment="0" applyProtection="0"/>
    <xf numFmtId="0" fontId="58" fillId="43" borderId="234" applyNumberFormat="0" applyAlignment="0" applyProtection="0"/>
    <xf numFmtId="0" fontId="46" fillId="56" borderId="241" applyNumberFormat="0" applyAlignment="0" applyProtection="0"/>
    <xf numFmtId="0" fontId="26" fillId="15" borderId="0" applyNumberFormat="0" applyBorder="0" applyAlignment="0" applyProtection="0"/>
    <xf numFmtId="4" fontId="32" fillId="34" borderId="244">
      <alignment horizontal="right" vertical="center"/>
    </xf>
    <xf numFmtId="0" fontId="62" fillId="56" borderId="278" applyNumberFormat="0" applyAlignment="0" applyProtection="0"/>
    <xf numFmtId="0" fontId="40" fillId="59" borderId="252" applyNumberFormat="0" applyFont="0" applyAlignment="0" applyProtection="0"/>
    <xf numFmtId="0" fontId="5" fillId="59" borderId="267" applyNumberFormat="0" applyFont="0" applyAlignment="0" applyProtection="0"/>
    <xf numFmtId="49" fontId="33" fillId="0" borderId="258" applyNumberFormat="0" applyFill="0" applyBorder="0" applyProtection="0">
      <alignment horizontal="left" vertical="center"/>
    </xf>
    <xf numFmtId="0" fontId="34" fillId="34" borderId="247">
      <alignment horizontal="left" vertical="center" wrapText="1" indent="2"/>
    </xf>
    <xf numFmtId="0" fontId="58" fillId="43" borderId="241" applyNumberFormat="0" applyAlignment="0" applyProtection="0"/>
    <xf numFmtId="0" fontId="34" fillId="0" borderId="244" applyNumberFormat="0" applyFill="0" applyAlignment="0" applyProtection="0"/>
    <xf numFmtId="0" fontId="40" fillId="59" borderId="252" applyNumberFormat="0" applyFont="0" applyAlignment="0" applyProtection="0"/>
    <xf numFmtId="4" fontId="36" fillId="32" borderId="258">
      <alignment horizontal="right" vertical="center"/>
    </xf>
    <xf numFmtId="0" fontId="58" fillId="43" borderId="250" applyNumberFormat="0" applyAlignment="0" applyProtection="0"/>
    <xf numFmtId="4" fontId="34" fillId="33" borderId="258"/>
    <xf numFmtId="173" fontId="34" fillId="60" borderId="268" applyNumberFormat="0" applyFont="0" applyBorder="0" applyAlignment="0" applyProtection="0">
      <alignment horizontal="right" vertical="center"/>
    </xf>
    <xf numFmtId="0" fontId="40" fillId="59" borderId="252" applyNumberFormat="0" applyFont="0" applyAlignment="0" applyProtection="0"/>
    <xf numFmtId="0" fontId="26" fillId="29" borderId="0" applyNumberFormat="0" applyBorder="0" applyAlignment="0" applyProtection="0"/>
    <xf numFmtId="49" fontId="34" fillId="0" borderId="244" applyNumberFormat="0" applyFont="0" applyFill="0" applyBorder="0" applyProtection="0">
      <alignment horizontal="left" vertical="center" indent="2"/>
    </xf>
    <xf numFmtId="0" fontId="46" fillId="56" borderId="250" applyNumberFormat="0" applyAlignment="0" applyProtection="0"/>
    <xf numFmtId="4" fontId="36" fillId="32" borderId="253">
      <alignment horizontal="right" vertical="center"/>
    </xf>
    <xf numFmtId="0" fontId="36" fillId="32" borderId="258">
      <alignment horizontal="right" vertical="center"/>
    </xf>
    <xf numFmtId="0" fontId="65" fillId="0" borderId="251" applyNumberFormat="0" applyFill="0" applyAlignment="0" applyProtection="0"/>
    <xf numFmtId="4" fontId="34" fillId="0" borderId="253">
      <alignment horizontal="right" vertical="center"/>
    </xf>
    <xf numFmtId="0" fontId="46" fillId="56" borderId="263" applyNumberFormat="0" applyAlignment="0" applyProtection="0"/>
    <xf numFmtId="0" fontId="45" fillId="56" borderId="250" applyNumberFormat="0" applyAlignment="0" applyProtection="0"/>
    <xf numFmtId="4" fontId="32" fillId="34" borderId="253">
      <alignment horizontal="right" vertical="center"/>
    </xf>
    <xf numFmtId="0" fontId="12" fillId="28" borderId="0" applyNumberFormat="0" applyBorder="0" applyAlignment="0" applyProtection="0"/>
    <xf numFmtId="0" fontId="49" fillId="43" borderId="250" applyNumberFormat="0" applyAlignment="0" applyProtection="0"/>
    <xf numFmtId="0" fontId="26" fillId="20" borderId="0" applyNumberFormat="0" applyBorder="0" applyAlignment="0" applyProtection="0"/>
    <xf numFmtId="4" fontId="34" fillId="0" borderId="282" applyFill="0" applyBorder="0" applyProtection="0">
      <alignment horizontal="right" vertical="center"/>
    </xf>
    <xf numFmtId="0" fontId="26" fillId="20" borderId="0" applyNumberFormat="0" applyBorder="0" applyAlignment="0" applyProtection="0"/>
    <xf numFmtId="0" fontId="46" fillId="56" borderId="265" applyNumberFormat="0" applyAlignment="0" applyProtection="0"/>
    <xf numFmtId="4" fontId="32" fillId="34" borderId="253">
      <alignment horizontal="right" vertical="center"/>
    </xf>
    <xf numFmtId="0" fontId="34" fillId="34" borderId="247">
      <alignment horizontal="left" vertical="center" wrapText="1" indent="2"/>
    </xf>
    <xf numFmtId="0" fontId="30" fillId="0" borderId="0" applyNumberFormat="0" applyFill="0" applyBorder="0" applyAlignment="0" applyProtection="0"/>
    <xf numFmtId="0" fontId="32" fillId="34" borderId="253">
      <alignment horizontal="right" vertical="center"/>
    </xf>
    <xf numFmtId="0" fontId="12" fillId="19" borderId="0" applyNumberFormat="0" applyBorder="0" applyAlignment="0" applyProtection="0"/>
    <xf numFmtId="0" fontId="49" fillId="43" borderId="250" applyNumberFormat="0" applyAlignment="0" applyProtection="0"/>
    <xf numFmtId="0" fontId="26" fillId="26" borderId="0" applyNumberFormat="0" applyBorder="0" applyAlignment="0" applyProtection="0"/>
    <xf numFmtId="0" fontId="40" fillId="59" borderId="257" applyNumberFormat="0" applyFont="0" applyAlignment="0" applyProtection="0"/>
    <xf numFmtId="0" fontId="26" fillId="29" borderId="0" applyNumberFormat="0" applyBorder="0" applyAlignment="0" applyProtection="0"/>
    <xf numFmtId="0" fontId="26" fillId="27" borderId="0" applyNumberFormat="0" applyBorder="0" applyAlignment="0" applyProtection="0"/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12" fillId="22" borderId="0" applyNumberFormat="0" applyBorder="0" applyAlignment="0" applyProtection="0"/>
    <xf numFmtId="0" fontId="12" fillId="16" borderId="0" applyNumberFormat="0" applyBorder="0" applyAlignment="0" applyProtection="0"/>
    <xf numFmtId="0" fontId="26" fillId="17" borderId="0" applyNumberFormat="0" applyBorder="0" applyAlignment="0" applyProtection="0"/>
    <xf numFmtId="4" fontId="32" fillId="34" borderId="255">
      <alignment horizontal="right" vertical="center"/>
    </xf>
    <xf numFmtId="4" fontId="32" fillId="34" borderId="237">
      <alignment horizontal="right" vertical="center"/>
    </xf>
    <xf numFmtId="4" fontId="36" fillId="32" borderId="237">
      <alignment horizontal="right" vertical="center"/>
    </xf>
    <xf numFmtId="0" fontId="49" fillId="43" borderId="250" applyNumberFormat="0" applyAlignment="0" applyProtection="0"/>
    <xf numFmtId="4" fontId="32" fillId="34" borderId="228">
      <alignment horizontal="right" vertical="center"/>
    </xf>
    <xf numFmtId="0" fontId="34" fillId="33" borderId="228"/>
    <xf numFmtId="0" fontId="45" fillId="56" borderId="225" applyNumberFormat="0" applyAlignment="0" applyProtection="0"/>
    <xf numFmtId="0" fontId="32" fillId="32" borderId="228">
      <alignment horizontal="right" vertical="center"/>
    </xf>
    <xf numFmtId="0" fontId="34" fillId="0" borderId="228">
      <alignment horizontal="right" vertical="center"/>
    </xf>
    <xf numFmtId="0" fontId="65" fillId="0" borderId="226" applyNumberFormat="0" applyFill="0" applyAlignment="0" applyProtection="0"/>
    <xf numFmtId="0" fontId="34" fillId="32" borderId="229">
      <alignment horizontal="left" vertical="center"/>
    </xf>
    <xf numFmtId="0" fontId="58" fillId="43" borderId="225" applyNumberFormat="0" applyAlignment="0" applyProtection="0"/>
    <xf numFmtId="173" fontId="34" fillId="60" borderId="228" applyNumberFormat="0" applyFont="0" applyBorder="0" applyAlignment="0" applyProtection="0">
      <alignment horizontal="right" vertical="center"/>
    </xf>
    <xf numFmtId="0" fontId="40" fillId="59" borderId="227" applyNumberFormat="0" applyFont="0" applyAlignment="0" applyProtection="0"/>
    <xf numFmtId="0" fontId="34" fillId="0" borderId="231">
      <alignment horizontal="left" vertical="center" wrapText="1" indent="2"/>
    </xf>
    <xf numFmtId="4" fontId="34" fillId="33" borderId="228"/>
    <xf numFmtId="49" fontId="33" fillId="0" borderId="228" applyNumberFormat="0" applyFill="0" applyBorder="0" applyProtection="0">
      <alignment horizontal="left" vertical="center"/>
    </xf>
    <xf numFmtId="0" fontId="34" fillId="0" borderId="228">
      <alignment horizontal="right" vertical="center"/>
    </xf>
    <xf numFmtId="4" fontId="32" fillId="34" borderId="230">
      <alignment horizontal="right" vertical="center"/>
    </xf>
    <xf numFmtId="4" fontId="32" fillId="34" borderId="228">
      <alignment horizontal="right" vertical="center"/>
    </xf>
    <xf numFmtId="4" fontId="32" fillId="34" borderId="228">
      <alignment horizontal="right" vertical="center"/>
    </xf>
    <xf numFmtId="0" fontId="36" fillId="32" borderId="228">
      <alignment horizontal="right" vertical="center"/>
    </xf>
    <xf numFmtId="0" fontId="32" fillId="32" borderId="228">
      <alignment horizontal="right" vertical="center"/>
    </xf>
    <xf numFmtId="49" fontId="34" fillId="0" borderId="228" applyNumberFormat="0" applyFont="0" applyFill="0" applyBorder="0" applyProtection="0">
      <alignment horizontal="left" vertical="center" indent="2"/>
    </xf>
    <xf numFmtId="0" fontId="58" fillId="43" borderId="225" applyNumberFormat="0" applyAlignment="0" applyProtection="0"/>
    <xf numFmtId="0" fontId="43" fillId="56" borderId="232" applyNumberFormat="0" applyAlignment="0" applyProtection="0"/>
    <xf numFmtId="49" fontId="34" fillId="0" borderId="228" applyNumberFormat="0" applyFont="0" applyFill="0" applyBorder="0" applyProtection="0">
      <alignment horizontal="left" vertical="center" indent="2"/>
    </xf>
    <xf numFmtId="0" fontId="49" fillId="43" borderId="225" applyNumberFormat="0" applyAlignment="0" applyProtection="0"/>
    <xf numFmtId="4" fontId="34" fillId="0" borderId="228" applyFill="0" applyBorder="0" applyProtection="0">
      <alignment horizontal="right" vertical="center"/>
    </xf>
    <xf numFmtId="0" fontId="46" fillId="56" borderId="225" applyNumberFormat="0" applyAlignment="0" applyProtection="0"/>
    <xf numFmtId="0" fontId="65" fillId="0" borderId="226" applyNumberFormat="0" applyFill="0" applyAlignment="0" applyProtection="0"/>
    <xf numFmtId="0" fontId="62" fillId="56" borderId="232" applyNumberFormat="0" applyAlignment="0" applyProtection="0"/>
    <xf numFmtId="0" fontId="34" fillId="0" borderId="228" applyNumberFormat="0" applyFill="0" applyAlignment="0" applyProtection="0"/>
    <xf numFmtId="4" fontId="34" fillId="0" borderId="228">
      <alignment horizontal="right" vertical="center"/>
    </xf>
    <xf numFmtId="0" fontId="34" fillId="0" borderId="228">
      <alignment horizontal="right" vertical="center"/>
    </xf>
    <xf numFmtId="0" fontId="58" fillId="43" borderId="225" applyNumberFormat="0" applyAlignment="0" applyProtection="0"/>
    <xf numFmtId="0" fontId="43" fillId="56" borderId="232" applyNumberFormat="0" applyAlignment="0" applyProtection="0"/>
    <xf numFmtId="0" fontId="45" fillId="56" borderId="225" applyNumberFormat="0" applyAlignment="0" applyProtection="0"/>
    <xf numFmtId="0" fontId="34" fillId="34" borderId="231">
      <alignment horizontal="left" vertical="center" wrapText="1" indent="2"/>
    </xf>
    <xf numFmtId="0" fontId="46" fillId="56" borderId="225" applyNumberFormat="0" applyAlignment="0" applyProtection="0"/>
    <xf numFmtId="0" fontId="46" fillId="56" borderId="225" applyNumberFormat="0" applyAlignment="0" applyProtection="0"/>
    <xf numFmtId="4" fontId="32" fillId="34" borderId="229">
      <alignment horizontal="right" vertical="center"/>
    </xf>
    <xf numFmtId="0" fontId="32" fillId="34" borderId="229">
      <alignment horizontal="right" vertical="center"/>
    </xf>
    <xf numFmtId="0" fontId="32" fillId="34" borderId="228">
      <alignment horizontal="right" vertical="center"/>
    </xf>
    <xf numFmtId="4" fontId="36" fillId="32" borderId="228">
      <alignment horizontal="right" vertical="center"/>
    </xf>
    <xf numFmtId="0" fontId="49" fillId="43" borderId="225" applyNumberFormat="0" applyAlignment="0" applyProtection="0"/>
    <xf numFmtId="0" fontId="50" fillId="0" borderId="226" applyNumberFormat="0" applyFill="0" applyAlignment="0" applyProtection="0"/>
    <xf numFmtId="0" fontId="65" fillId="0" borderId="226" applyNumberFormat="0" applyFill="0" applyAlignment="0" applyProtection="0"/>
    <xf numFmtId="0" fontId="40" fillId="59" borderId="227" applyNumberFormat="0" applyFont="0" applyAlignment="0" applyProtection="0"/>
    <xf numFmtId="0" fontId="58" fillId="43" borderId="225" applyNumberFormat="0" applyAlignment="0" applyProtection="0"/>
    <xf numFmtId="49" fontId="33" fillId="0" borderId="228" applyNumberFormat="0" applyFill="0" applyBorder="0" applyProtection="0">
      <alignment horizontal="left" vertical="center"/>
    </xf>
    <xf numFmtId="0" fontId="34" fillId="34" borderId="231">
      <alignment horizontal="left" vertical="center" wrapText="1" indent="2"/>
    </xf>
    <xf numFmtId="0" fontId="46" fillId="56" borderId="225" applyNumberFormat="0" applyAlignment="0" applyProtection="0"/>
    <xf numFmtId="0" fontId="34" fillId="0" borderId="231">
      <alignment horizontal="left" vertical="center" wrapText="1" indent="2"/>
    </xf>
    <xf numFmtId="0" fontId="40" fillId="59" borderId="227" applyNumberFormat="0" applyFont="0" applyAlignment="0" applyProtection="0"/>
    <xf numFmtId="0" fontId="5" fillId="59" borderId="227" applyNumberFormat="0" applyFont="0" applyAlignment="0" applyProtection="0"/>
    <xf numFmtId="0" fontId="62" fillId="56" borderId="232" applyNumberFormat="0" applyAlignment="0" applyProtection="0"/>
    <xf numFmtId="0" fontId="65" fillId="0" borderId="226" applyNumberFormat="0" applyFill="0" applyAlignment="0" applyProtection="0"/>
    <xf numFmtId="4" fontId="34" fillId="33" borderId="228"/>
    <xf numFmtId="0" fontId="32" fillId="34" borderId="228">
      <alignment horizontal="right" vertical="center"/>
    </xf>
    <xf numFmtId="0" fontId="65" fillId="0" borderId="226" applyNumberFormat="0" applyFill="0" applyAlignment="0" applyProtection="0"/>
    <xf numFmtId="4" fontId="32" fillId="34" borderId="230">
      <alignment horizontal="right" vertical="center"/>
    </xf>
    <xf numFmtId="0" fontId="45" fillId="56" borderId="225" applyNumberFormat="0" applyAlignment="0" applyProtection="0"/>
    <xf numFmtId="0" fontId="32" fillId="34" borderId="229">
      <alignment horizontal="right" vertical="center"/>
    </xf>
    <xf numFmtId="0" fontId="46" fillId="56" borderId="225" applyNumberFormat="0" applyAlignment="0" applyProtection="0"/>
    <xf numFmtId="0" fontId="50" fillId="0" borderId="226" applyNumberFormat="0" applyFill="0" applyAlignment="0" applyProtection="0"/>
    <xf numFmtId="0" fontId="40" fillId="59" borderId="227" applyNumberFormat="0" applyFont="0" applyAlignment="0" applyProtection="0"/>
    <xf numFmtId="4" fontId="32" fillId="34" borderId="229">
      <alignment horizontal="right" vertical="center"/>
    </xf>
    <xf numFmtId="0" fontId="34" fillId="34" borderId="231">
      <alignment horizontal="left" vertical="center" wrapText="1" indent="2"/>
    </xf>
    <xf numFmtId="0" fontId="34" fillId="33" borderId="228"/>
    <xf numFmtId="173" fontId="34" fillId="60" borderId="228" applyNumberFormat="0" applyFont="0" applyBorder="0" applyAlignment="0" applyProtection="0">
      <alignment horizontal="right" vertical="center"/>
    </xf>
    <xf numFmtId="0" fontId="34" fillId="0" borderId="228" applyNumberFormat="0" applyFill="0" applyAlignment="0" applyProtection="0"/>
    <xf numFmtId="4" fontId="34" fillId="0" borderId="228" applyFill="0" applyBorder="0" applyProtection="0">
      <alignment horizontal="right" vertical="center"/>
    </xf>
    <xf numFmtId="4" fontId="32" fillId="32" borderId="228">
      <alignment horizontal="right" vertical="center"/>
    </xf>
    <xf numFmtId="0" fontId="50" fillId="0" borderId="226" applyNumberFormat="0" applyFill="0" applyAlignment="0" applyProtection="0"/>
    <xf numFmtId="49" fontId="33" fillId="0" borderId="228" applyNumberFormat="0" applyFill="0" applyBorder="0" applyProtection="0">
      <alignment horizontal="left" vertical="center"/>
    </xf>
    <xf numFmtId="49" fontId="34" fillId="0" borderId="229" applyNumberFormat="0" applyFont="0" applyFill="0" applyBorder="0" applyProtection="0">
      <alignment horizontal="left" vertical="center" indent="5"/>
    </xf>
    <xf numFmtId="0" fontId="34" fillId="32" borderId="229">
      <alignment horizontal="left" vertical="center"/>
    </xf>
    <xf numFmtId="0" fontId="46" fillId="56" borderId="225" applyNumberFormat="0" applyAlignment="0" applyProtection="0"/>
    <xf numFmtId="4" fontId="32" fillId="34" borderId="230">
      <alignment horizontal="right" vertical="center"/>
    </xf>
    <xf numFmtId="0" fontId="58" fillId="43" borderId="225" applyNumberFormat="0" applyAlignment="0" applyProtection="0"/>
    <xf numFmtId="0" fontId="58" fillId="43" borderId="225" applyNumberFormat="0" applyAlignment="0" applyProtection="0"/>
    <xf numFmtId="0" fontId="40" fillId="59" borderId="227" applyNumberFormat="0" applyFont="0" applyAlignment="0" applyProtection="0"/>
    <xf numFmtId="0" fontId="62" fillId="56" borderId="232" applyNumberFormat="0" applyAlignment="0" applyProtection="0"/>
    <xf numFmtId="0" fontId="65" fillId="0" borderId="226" applyNumberFormat="0" applyFill="0" applyAlignment="0" applyProtection="0"/>
    <xf numFmtId="0" fontId="32" fillId="34" borderId="228">
      <alignment horizontal="right" vertical="center"/>
    </xf>
    <xf numFmtId="0" fontId="5" fillId="59" borderId="227" applyNumberFormat="0" applyFont="0" applyAlignment="0" applyProtection="0"/>
    <xf numFmtId="4" fontId="34" fillId="0" borderId="228">
      <alignment horizontal="right" vertical="center"/>
    </xf>
    <xf numFmtId="0" fontId="65" fillId="0" borderId="226" applyNumberFormat="0" applyFill="0" applyAlignment="0" applyProtection="0"/>
    <xf numFmtId="0" fontId="32" fillId="34" borderId="228">
      <alignment horizontal="right" vertical="center"/>
    </xf>
    <xf numFmtId="0" fontId="32" fillId="34" borderId="228">
      <alignment horizontal="right" vertical="center"/>
    </xf>
    <xf numFmtId="4" fontId="36" fillId="32" borderId="228">
      <alignment horizontal="right" vertical="center"/>
    </xf>
    <xf numFmtId="0" fontId="32" fillId="32" borderId="228">
      <alignment horizontal="right" vertical="center"/>
    </xf>
    <xf numFmtId="4" fontId="32" fillId="32" borderId="228">
      <alignment horizontal="right" vertical="center"/>
    </xf>
    <xf numFmtId="0" fontId="36" fillId="32" borderId="228">
      <alignment horizontal="right" vertical="center"/>
    </xf>
    <xf numFmtId="4" fontId="36" fillId="32" borderId="228">
      <alignment horizontal="right" vertical="center"/>
    </xf>
    <xf numFmtId="0" fontId="32" fillId="34" borderId="228">
      <alignment horizontal="right" vertical="center"/>
    </xf>
    <xf numFmtId="4" fontId="32" fillId="34" borderId="228">
      <alignment horizontal="right" vertical="center"/>
    </xf>
    <xf numFmtId="0" fontId="32" fillId="34" borderId="228">
      <alignment horizontal="right" vertical="center"/>
    </xf>
    <xf numFmtId="4" fontId="32" fillId="34" borderId="228">
      <alignment horizontal="right" vertical="center"/>
    </xf>
    <xf numFmtId="0" fontId="32" fillId="34" borderId="229">
      <alignment horizontal="right" vertical="center"/>
    </xf>
    <xf numFmtId="4" fontId="32" fillId="34" borderId="229">
      <alignment horizontal="right" vertical="center"/>
    </xf>
    <xf numFmtId="0" fontId="32" fillId="34" borderId="230">
      <alignment horizontal="right" vertical="center"/>
    </xf>
    <xf numFmtId="4" fontId="32" fillId="34" borderId="230">
      <alignment horizontal="right" vertical="center"/>
    </xf>
    <xf numFmtId="0" fontId="46" fillId="56" borderId="225" applyNumberFormat="0" applyAlignment="0" applyProtection="0"/>
    <xf numFmtId="0" fontId="34" fillId="34" borderId="231">
      <alignment horizontal="left" vertical="center" wrapText="1" indent="2"/>
    </xf>
    <xf numFmtId="0" fontId="34" fillId="0" borderId="231">
      <alignment horizontal="left" vertical="center" wrapText="1" indent="2"/>
    </xf>
    <xf numFmtId="0" fontId="34" fillId="32" borderId="229">
      <alignment horizontal="left" vertical="center"/>
    </xf>
    <xf numFmtId="0" fontId="58" fillId="43" borderId="225" applyNumberFormat="0" applyAlignment="0" applyProtection="0"/>
    <xf numFmtId="0" fontId="34" fillId="0" borderId="228">
      <alignment horizontal="right" vertical="center"/>
    </xf>
    <xf numFmtId="4" fontId="34" fillId="0" borderId="228">
      <alignment horizontal="right" vertical="center"/>
    </xf>
    <xf numFmtId="0" fontId="34" fillId="0" borderId="228" applyNumberFormat="0" applyFill="0" applyAlignment="0" applyProtection="0"/>
    <xf numFmtId="0" fontId="62" fillId="56" borderId="232" applyNumberFormat="0" applyAlignment="0" applyProtection="0"/>
    <xf numFmtId="173" fontId="34" fillId="60" borderId="228" applyNumberFormat="0" applyFont="0" applyBorder="0" applyAlignment="0" applyProtection="0">
      <alignment horizontal="right" vertical="center"/>
    </xf>
    <xf numFmtId="0" fontId="34" fillId="33" borderId="228"/>
    <xf numFmtId="4" fontId="34" fillId="33" borderId="228"/>
    <xf numFmtId="0" fontId="65" fillId="0" borderId="226" applyNumberFormat="0" applyFill="0" applyAlignment="0" applyProtection="0"/>
    <xf numFmtId="0" fontId="5" fillId="59" borderId="227" applyNumberFormat="0" applyFont="0" applyAlignment="0" applyProtection="0"/>
    <xf numFmtId="0" fontId="40" fillId="59" borderId="227" applyNumberFormat="0" applyFont="0" applyAlignment="0" applyProtection="0"/>
    <xf numFmtId="0" fontId="34" fillId="0" borderId="228" applyNumberFormat="0" applyFill="0" applyAlignment="0" applyProtection="0"/>
    <xf numFmtId="0" fontId="50" fillId="0" borderId="226" applyNumberFormat="0" applyFill="0" applyAlignment="0" applyProtection="0"/>
    <xf numFmtId="0" fontId="65" fillId="0" borderId="226" applyNumberFormat="0" applyFill="0" applyAlignment="0" applyProtection="0"/>
    <xf numFmtId="0" fontId="49" fillId="43" borderId="225" applyNumberFormat="0" applyAlignment="0" applyProtection="0"/>
    <xf numFmtId="0" fontId="46" fillId="56" borderId="225" applyNumberFormat="0" applyAlignment="0" applyProtection="0"/>
    <xf numFmtId="4" fontId="36" fillId="32" borderId="228">
      <alignment horizontal="right" vertical="center"/>
    </xf>
    <xf numFmtId="0" fontId="32" fillId="32" borderId="228">
      <alignment horizontal="right" vertical="center"/>
    </xf>
    <xf numFmtId="173" fontId="34" fillId="60" borderId="228" applyNumberFormat="0" applyFont="0" applyBorder="0" applyAlignment="0" applyProtection="0">
      <alignment horizontal="right" vertical="center"/>
    </xf>
    <xf numFmtId="0" fontId="50" fillId="0" borderId="226" applyNumberFormat="0" applyFill="0" applyAlignment="0" applyProtection="0"/>
    <xf numFmtId="49" fontId="34" fillId="0" borderId="228" applyNumberFormat="0" applyFont="0" applyFill="0" applyBorder="0" applyProtection="0">
      <alignment horizontal="left" vertical="center" indent="2"/>
    </xf>
    <xf numFmtId="49" fontId="34" fillId="0" borderId="229" applyNumberFormat="0" applyFont="0" applyFill="0" applyBorder="0" applyProtection="0">
      <alignment horizontal="left" vertical="center" indent="5"/>
    </xf>
    <xf numFmtId="49" fontId="34" fillId="0" borderId="228" applyNumberFormat="0" applyFont="0" applyFill="0" applyBorder="0" applyProtection="0">
      <alignment horizontal="left" vertical="center" indent="2"/>
    </xf>
    <xf numFmtId="4" fontId="34" fillId="0" borderId="228" applyFill="0" applyBorder="0" applyProtection="0">
      <alignment horizontal="right" vertical="center"/>
    </xf>
    <xf numFmtId="49" fontId="33" fillId="0" borderId="228" applyNumberFormat="0" applyFill="0" applyBorder="0" applyProtection="0">
      <alignment horizontal="left" vertical="center"/>
    </xf>
    <xf numFmtId="0" fontId="34" fillId="0" borderId="231">
      <alignment horizontal="left" vertical="center" wrapText="1" indent="2"/>
    </xf>
    <xf numFmtId="0" fontId="62" fillId="56" borderId="232" applyNumberFormat="0" applyAlignment="0" applyProtection="0"/>
    <xf numFmtId="0" fontId="32" fillId="34" borderId="230">
      <alignment horizontal="right" vertical="center"/>
    </xf>
    <xf numFmtId="0" fontId="49" fillId="43" borderId="225" applyNumberFormat="0" applyAlignment="0" applyProtection="0"/>
    <xf numFmtId="0" fontId="32" fillId="34" borderId="230">
      <alignment horizontal="right" vertical="center"/>
    </xf>
    <xf numFmtId="4" fontId="32" fillId="34" borderId="228">
      <alignment horizontal="right" vertical="center"/>
    </xf>
    <xf numFmtId="0" fontId="32" fillId="34" borderId="228">
      <alignment horizontal="right" vertical="center"/>
    </xf>
    <xf numFmtId="0" fontId="43" fillId="56" borderId="232" applyNumberFormat="0" applyAlignment="0" applyProtection="0"/>
    <xf numFmtId="0" fontId="45" fillId="56" borderId="225" applyNumberFormat="0" applyAlignment="0" applyProtection="0"/>
    <xf numFmtId="0" fontId="50" fillId="0" borderId="226" applyNumberFormat="0" applyFill="0" applyAlignment="0" applyProtection="0"/>
    <xf numFmtId="0" fontId="34" fillId="33" borderId="228"/>
    <xf numFmtId="4" fontId="34" fillId="33" borderId="228"/>
    <xf numFmtId="4" fontId="32" fillId="34" borderId="228">
      <alignment horizontal="right" vertical="center"/>
    </xf>
    <xf numFmtId="0" fontId="36" fillId="32" borderId="228">
      <alignment horizontal="right" vertical="center"/>
    </xf>
    <xf numFmtId="0" fontId="49" fillId="43" borderId="225" applyNumberFormat="0" applyAlignment="0" applyProtection="0"/>
    <xf numFmtId="0" fontId="46" fillId="56" borderId="225" applyNumberFormat="0" applyAlignment="0" applyProtection="0"/>
    <xf numFmtId="4" fontId="34" fillId="0" borderId="228">
      <alignment horizontal="right" vertical="center"/>
    </xf>
    <xf numFmtId="0" fontId="34" fillId="34" borderId="231">
      <alignment horizontal="left" vertical="center" wrapText="1" indent="2"/>
    </xf>
    <xf numFmtId="0" fontId="34" fillId="0" borderId="231">
      <alignment horizontal="left" vertical="center" wrapText="1" indent="2"/>
    </xf>
    <xf numFmtId="0" fontId="62" fillId="56" borderId="232" applyNumberFormat="0" applyAlignment="0" applyProtection="0"/>
    <xf numFmtId="0" fontId="58" fillId="43" borderId="225" applyNumberFormat="0" applyAlignment="0" applyProtection="0"/>
    <xf numFmtId="0" fontId="45" fillId="56" borderId="225" applyNumberFormat="0" applyAlignment="0" applyProtection="0"/>
    <xf numFmtId="0" fontId="43" fillId="56" borderId="232" applyNumberFormat="0" applyAlignment="0" applyProtection="0"/>
    <xf numFmtId="0" fontId="32" fillId="34" borderId="230">
      <alignment horizontal="right" vertical="center"/>
    </xf>
    <xf numFmtId="0" fontId="36" fillId="32" borderId="228">
      <alignment horizontal="right" vertical="center"/>
    </xf>
    <xf numFmtId="4" fontId="32" fillId="32" borderId="228">
      <alignment horizontal="right" vertical="center"/>
    </xf>
    <xf numFmtId="4" fontId="32" fillId="34" borderId="228">
      <alignment horizontal="right" vertical="center"/>
    </xf>
    <xf numFmtId="49" fontId="34" fillId="0" borderId="229" applyNumberFormat="0" applyFont="0" applyFill="0" applyBorder="0" applyProtection="0">
      <alignment horizontal="left" vertical="center" indent="5"/>
    </xf>
    <xf numFmtId="4" fontId="34" fillId="0" borderId="228" applyFill="0" applyBorder="0" applyProtection="0">
      <alignment horizontal="right" vertical="center"/>
    </xf>
    <xf numFmtId="4" fontId="32" fillId="32" borderId="228">
      <alignment horizontal="right" vertical="center"/>
    </xf>
    <xf numFmtId="0" fontId="5" fillId="59" borderId="252" applyNumberFormat="0" applyFont="0" applyAlignment="0" applyProtection="0"/>
    <xf numFmtId="0" fontId="58" fillId="43" borderId="225" applyNumberFormat="0" applyAlignment="0" applyProtection="0"/>
    <xf numFmtId="0" fontId="49" fillId="43" borderId="225" applyNumberFormat="0" applyAlignment="0" applyProtection="0"/>
    <xf numFmtId="0" fontId="45" fillId="56" borderId="225" applyNumberFormat="0" applyAlignment="0" applyProtection="0"/>
    <xf numFmtId="0" fontId="34" fillId="34" borderId="231">
      <alignment horizontal="left" vertical="center" wrapText="1" indent="2"/>
    </xf>
    <xf numFmtId="0" fontId="34" fillId="0" borderId="231">
      <alignment horizontal="left" vertical="center" wrapText="1" indent="2"/>
    </xf>
    <xf numFmtId="0" fontId="34" fillId="34" borderId="231">
      <alignment horizontal="left" vertical="center" wrapText="1" indent="2"/>
    </xf>
    <xf numFmtId="0" fontId="34" fillId="0" borderId="231">
      <alignment horizontal="left" vertical="center" wrapText="1" indent="2"/>
    </xf>
    <xf numFmtId="0" fontId="43" fillId="56" borderId="232" applyNumberFormat="0" applyAlignment="0" applyProtection="0"/>
    <xf numFmtId="0" fontId="45" fillId="56" borderId="225" applyNumberFormat="0" applyAlignment="0" applyProtection="0"/>
    <xf numFmtId="0" fontId="46" fillId="56" borderId="225" applyNumberFormat="0" applyAlignment="0" applyProtection="0"/>
    <xf numFmtId="0" fontId="49" fillId="43" borderId="225" applyNumberFormat="0" applyAlignment="0" applyProtection="0"/>
    <xf numFmtId="0" fontId="50" fillId="0" borderId="226" applyNumberFormat="0" applyFill="0" applyAlignment="0" applyProtection="0"/>
    <xf numFmtId="0" fontId="58" fillId="43" borderId="225" applyNumberFormat="0" applyAlignment="0" applyProtection="0"/>
    <xf numFmtId="0" fontId="40" fillId="59" borderId="227" applyNumberFormat="0" applyFont="0" applyAlignment="0" applyProtection="0"/>
    <xf numFmtId="0" fontId="5" fillId="59" borderId="227" applyNumberFormat="0" applyFont="0" applyAlignment="0" applyProtection="0"/>
    <xf numFmtId="0" fontId="62" fillId="56" borderId="232" applyNumberFormat="0" applyAlignment="0" applyProtection="0"/>
    <xf numFmtId="0" fontId="65" fillId="0" borderId="226" applyNumberFormat="0" applyFill="0" applyAlignment="0" applyProtection="0"/>
    <xf numFmtId="0" fontId="46" fillId="56" borderId="225" applyNumberFormat="0" applyAlignment="0" applyProtection="0"/>
    <xf numFmtId="0" fontId="58" fillId="43" borderId="225" applyNumberFormat="0" applyAlignment="0" applyProtection="0"/>
    <xf numFmtId="0" fontId="40" fillId="59" borderId="227" applyNumberFormat="0" applyFont="0" applyAlignment="0" applyProtection="0"/>
    <xf numFmtId="0" fontId="62" fillId="56" borderId="232" applyNumberFormat="0" applyAlignment="0" applyProtection="0"/>
    <xf numFmtId="0" fontId="65" fillId="0" borderId="226" applyNumberFormat="0" applyFill="0" applyAlignment="0" applyProtection="0"/>
    <xf numFmtId="0" fontId="46" fillId="56" borderId="265" applyNumberFormat="0" applyAlignment="0" applyProtection="0"/>
    <xf numFmtId="4" fontId="34" fillId="0" borderId="253">
      <alignment horizontal="right" vertical="center"/>
    </xf>
    <xf numFmtId="0" fontId="26" fillId="14" borderId="0" applyNumberFormat="0" applyBorder="0" applyAlignment="0" applyProtection="0"/>
    <xf numFmtId="0" fontId="49" fillId="43" borderId="250" applyNumberFormat="0" applyAlignment="0" applyProtection="0"/>
    <xf numFmtId="0" fontId="46" fillId="56" borderId="225" applyNumberFormat="0" applyAlignment="0" applyProtection="0"/>
    <xf numFmtId="0" fontId="32" fillId="34" borderId="237">
      <alignment horizontal="right" vertical="center"/>
    </xf>
    <xf numFmtId="4" fontId="32" fillId="32" borderId="237">
      <alignment horizontal="right" vertical="center"/>
    </xf>
    <xf numFmtId="0" fontId="34" fillId="32" borderId="269">
      <alignment horizontal="left" vertical="center"/>
    </xf>
    <xf numFmtId="0" fontId="58" fillId="43" borderId="225" applyNumberFormat="0" applyAlignment="0" applyProtection="0"/>
    <xf numFmtId="0" fontId="62" fillId="56" borderId="232" applyNumberFormat="0" applyAlignment="0" applyProtection="0"/>
    <xf numFmtId="0" fontId="65" fillId="0" borderId="226" applyNumberFormat="0" applyFill="0" applyAlignment="0" applyProtection="0"/>
    <xf numFmtId="0" fontId="50" fillId="0" borderId="264" applyNumberFormat="0" applyFill="0" applyAlignment="0" applyProtection="0"/>
    <xf numFmtId="0" fontId="43" fillId="56" borderId="232" applyNumberFormat="0" applyAlignment="0" applyProtection="0"/>
    <xf numFmtId="0" fontId="45" fillId="56" borderId="225" applyNumberFormat="0" applyAlignment="0" applyProtection="0"/>
    <xf numFmtId="0" fontId="50" fillId="0" borderId="226" applyNumberFormat="0" applyFill="0" applyAlignment="0" applyProtection="0"/>
    <xf numFmtId="49" fontId="34" fillId="0" borderId="228" applyNumberFormat="0" applyFont="0" applyFill="0" applyBorder="0" applyProtection="0">
      <alignment horizontal="left" vertical="center" indent="2"/>
    </xf>
    <xf numFmtId="0" fontId="32" fillId="32" borderId="228">
      <alignment horizontal="right" vertical="center"/>
    </xf>
    <xf numFmtId="4" fontId="32" fillId="32" borderId="228">
      <alignment horizontal="right" vertical="center"/>
    </xf>
    <xf numFmtId="0" fontId="36" fillId="32" borderId="228">
      <alignment horizontal="right" vertical="center"/>
    </xf>
    <xf numFmtId="4" fontId="36" fillId="32" borderId="228">
      <alignment horizontal="right" vertical="center"/>
    </xf>
    <xf numFmtId="0" fontId="32" fillId="34" borderId="228">
      <alignment horizontal="right" vertical="center"/>
    </xf>
    <xf numFmtId="4" fontId="32" fillId="34" borderId="228">
      <alignment horizontal="right" vertical="center"/>
    </xf>
    <xf numFmtId="0" fontId="32" fillId="34" borderId="228">
      <alignment horizontal="right" vertical="center"/>
    </xf>
    <xf numFmtId="4" fontId="32" fillId="34" borderId="228">
      <alignment horizontal="right" vertical="center"/>
    </xf>
    <xf numFmtId="0" fontId="49" fillId="43" borderId="225" applyNumberFormat="0" applyAlignment="0" applyProtection="0"/>
    <xf numFmtId="0" fontId="34" fillId="0" borderId="228">
      <alignment horizontal="right" vertical="center"/>
    </xf>
    <xf numFmtId="4" fontId="34" fillId="0" borderId="228">
      <alignment horizontal="right" vertical="center"/>
    </xf>
    <xf numFmtId="4" fontId="34" fillId="0" borderId="228" applyFill="0" applyBorder="0" applyProtection="0">
      <alignment horizontal="right" vertical="center"/>
    </xf>
    <xf numFmtId="49" fontId="33" fillId="0" borderId="228" applyNumberFormat="0" applyFill="0" applyBorder="0" applyProtection="0">
      <alignment horizontal="left" vertical="center"/>
    </xf>
    <xf numFmtId="0" fontId="34" fillId="0" borderId="228" applyNumberFormat="0" applyFill="0" applyAlignment="0" applyProtection="0"/>
    <xf numFmtId="173" fontId="34" fillId="60" borderId="228" applyNumberFormat="0" applyFont="0" applyBorder="0" applyAlignment="0" applyProtection="0">
      <alignment horizontal="right" vertical="center"/>
    </xf>
    <xf numFmtId="0" fontId="34" fillId="33" borderId="228"/>
    <xf numFmtId="4" fontId="34" fillId="33" borderId="228"/>
    <xf numFmtId="4" fontId="32" fillId="34" borderId="228">
      <alignment horizontal="right" vertical="center"/>
    </xf>
    <xf numFmtId="0" fontId="34" fillId="33" borderId="228"/>
    <xf numFmtId="0" fontId="45" fillId="56" borderId="225" applyNumberFormat="0" applyAlignment="0" applyProtection="0"/>
    <xf numFmtId="0" fontId="32" fillId="32" borderId="228">
      <alignment horizontal="right" vertical="center"/>
    </xf>
    <xf numFmtId="0" fontId="34" fillId="0" borderId="228">
      <alignment horizontal="right" vertical="center"/>
    </xf>
    <xf numFmtId="0" fontId="65" fillId="0" borderId="226" applyNumberFormat="0" applyFill="0" applyAlignment="0" applyProtection="0"/>
    <xf numFmtId="0" fontId="34" fillId="32" borderId="229">
      <alignment horizontal="left" vertical="center"/>
    </xf>
    <xf numFmtId="0" fontId="58" fillId="43" borderId="225" applyNumberFormat="0" applyAlignment="0" applyProtection="0"/>
    <xf numFmtId="173" fontId="34" fillId="60" borderId="228" applyNumberFormat="0" applyFont="0" applyBorder="0" applyAlignment="0" applyProtection="0">
      <alignment horizontal="right" vertical="center"/>
    </xf>
    <xf numFmtId="0" fontId="40" fillId="59" borderId="227" applyNumberFormat="0" applyFont="0" applyAlignment="0" applyProtection="0"/>
    <xf numFmtId="0" fontId="34" fillId="0" borderId="231">
      <alignment horizontal="left" vertical="center" wrapText="1" indent="2"/>
    </xf>
    <xf numFmtId="4" fontId="34" fillId="33" borderId="228"/>
    <xf numFmtId="49" fontId="33" fillId="0" borderId="228" applyNumberFormat="0" applyFill="0" applyBorder="0" applyProtection="0">
      <alignment horizontal="left" vertical="center"/>
    </xf>
    <xf numFmtId="0" fontId="34" fillId="0" borderId="228">
      <alignment horizontal="right" vertical="center"/>
    </xf>
    <xf numFmtId="4" fontId="32" fillId="34" borderId="230">
      <alignment horizontal="right" vertical="center"/>
    </xf>
    <xf numFmtId="4" fontId="32" fillId="34" borderId="228">
      <alignment horizontal="right" vertical="center"/>
    </xf>
    <xf numFmtId="4" fontId="32" fillId="34" borderId="228">
      <alignment horizontal="right" vertical="center"/>
    </xf>
    <xf numFmtId="0" fontId="36" fillId="32" borderId="228">
      <alignment horizontal="right" vertical="center"/>
    </xf>
    <xf numFmtId="0" fontId="32" fillId="32" borderId="228">
      <alignment horizontal="right" vertical="center"/>
    </xf>
    <xf numFmtId="49" fontId="34" fillId="0" borderId="228" applyNumberFormat="0" applyFont="0" applyFill="0" applyBorder="0" applyProtection="0">
      <alignment horizontal="left" vertical="center" indent="2"/>
    </xf>
    <xf numFmtId="0" fontId="58" fillId="43" borderId="225" applyNumberFormat="0" applyAlignment="0" applyProtection="0"/>
    <xf numFmtId="0" fontId="43" fillId="56" borderId="232" applyNumberFormat="0" applyAlignment="0" applyProtection="0"/>
    <xf numFmtId="49" fontId="34" fillId="0" borderId="228" applyNumberFormat="0" applyFont="0" applyFill="0" applyBorder="0" applyProtection="0">
      <alignment horizontal="left" vertical="center" indent="2"/>
    </xf>
    <xf numFmtId="0" fontId="49" fillId="43" borderId="225" applyNumberFormat="0" applyAlignment="0" applyProtection="0"/>
    <xf numFmtId="4" fontId="34" fillId="0" borderId="228" applyFill="0" applyBorder="0" applyProtection="0">
      <alignment horizontal="right" vertical="center"/>
    </xf>
    <xf numFmtId="0" fontId="46" fillId="56" borderId="225" applyNumberFormat="0" applyAlignment="0" applyProtection="0"/>
    <xf numFmtId="0" fontId="65" fillId="0" borderId="226" applyNumberFormat="0" applyFill="0" applyAlignment="0" applyProtection="0"/>
    <xf numFmtId="0" fontId="62" fillId="56" borderId="232" applyNumberFormat="0" applyAlignment="0" applyProtection="0"/>
    <xf numFmtId="0" fontId="34" fillId="0" borderId="228" applyNumberFormat="0" applyFill="0" applyAlignment="0" applyProtection="0"/>
    <xf numFmtId="4" fontId="34" fillId="0" borderId="228">
      <alignment horizontal="right" vertical="center"/>
    </xf>
    <xf numFmtId="0" fontId="34" fillId="0" borderId="228">
      <alignment horizontal="right" vertical="center"/>
    </xf>
    <xf numFmtId="0" fontId="58" fillId="43" borderId="225" applyNumberFormat="0" applyAlignment="0" applyProtection="0"/>
    <xf numFmtId="0" fontId="43" fillId="56" borderId="232" applyNumberFormat="0" applyAlignment="0" applyProtection="0"/>
    <xf numFmtId="0" fontId="45" fillId="56" borderId="225" applyNumberFormat="0" applyAlignment="0" applyProtection="0"/>
    <xf numFmtId="0" fontId="34" fillId="34" borderId="231">
      <alignment horizontal="left" vertical="center" wrapText="1" indent="2"/>
    </xf>
    <xf numFmtId="0" fontId="46" fillId="56" borderId="225" applyNumberFormat="0" applyAlignment="0" applyProtection="0"/>
    <xf numFmtId="0" fontId="46" fillId="56" borderId="225" applyNumberFormat="0" applyAlignment="0" applyProtection="0"/>
    <xf numFmtId="4" fontId="32" fillId="34" borderId="229">
      <alignment horizontal="right" vertical="center"/>
    </xf>
    <xf numFmtId="0" fontId="32" fillId="34" borderId="229">
      <alignment horizontal="right" vertical="center"/>
    </xf>
    <xf numFmtId="0" fontId="32" fillId="34" borderId="228">
      <alignment horizontal="right" vertical="center"/>
    </xf>
    <xf numFmtId="4" fontId="36" fillId="32" borderId="228">
      <alignment horizontal="right" vertical="center"/>
    </xf>
    <xf numFmtId="0" fontId="49" fillId="43" borderId="225" applyNumberFormat="0" applyAlignment="0" applyProtection="0"/>
    <xf numFmtId="0" fontId="50" fillId="0" borderId="226" applyNumberFormat="0" applyFill="0" applyAlignment="0" applyProtection="0"/>
    <xf numFmtId="0" fontId="65" fillId="0" borderId="226" applyNumberFormat="0" applyFill="0" applyAlignment="0" applyProtection="0"/>
    <xf numFmtId="0" fontId="40" fillId="59" borderId="227" applyNumberFormat="0" applyFont="0" applyAlignment="0" applyProtection="0"/>
    <xf numFmtId="0" fontId="58" fillId="43" borderId="225" applyNumberFormat="0" applyAlignment="0" applyProtection="0"/>
    <xf numFmtId="49" fontId="33" fillId="0" borderId="228" applyNumberFormat="0" applyFill="0" applyBorder="0" applyProtection="0">
      <alignment horizontal="left" vertical="center"/>
    </xf>
    <xf numFmtId="0" fontId="34" fillId="34" borderId="231">
      <alignment horizontal="left" vertical="center" wrapText="1" indent="2"/>
    </xf>
    <xf numFmtId="0" fontId="46" fillId="56" borderId="225" applyNumberFormat="0" applyAlignment="0" applyProtection="0"/>
    <xf numFmtId="0" fontId="34" fillId="0" borderId="231">
      <alignment horizontal="left" vertical="center" wrapText="1" indent="2"/>
    </xf>
    <xf numFmtId="0" fontId="40" fillId="59" borderId="227" applyNumberFormat="0" applyFont="0" applyAlignment="0" applyProtection="0"/>
    <xf numFmtId="0" fontId="5" fillId="59" borderId="227" applyNumberFormat="0" applyFont="0" applyAlignment="0" applyProtection="0"/>
    <xf numFmtId="0" fontId="62" fillId="56" borderId="232" applyNumberFormat="0" applyAlignment="0" applyProtection="0"/>
    <xf numFmtId="0" fontId="65" fillId="0" borderId="226" applyNumberFormat="0" applyFill="0" applyAlignment="0" applyProtection="0"/>
    <xf numFmtId="4" fontId="34" fillId="33" borderId="228"/>
    <xf numFmtId="0" fontId="32" fillId="34" borderId="228">
      <alignment horizontal="right" vertical="center"/>
    </xf>
    <xf numFmtId="0" fontId="65" fillId="0" borderId="226" applyNumberFormat="0" applyFill="0" applyAlignment="0" applyProtection="0"/>
    <xf numFmtId="4" fontId="32" fillId="34" borderId="230">
      <alignment horizontal="right" vertical="center"/>
    </xf>
    <xf numFmtId="0" fontId="45" fillId="56" borderId="225" applyNumberFormat="0" applyAlignment="0" applyProtection="0"/>
    <xf numFmtId="0" fontId="32" fillId="34" borderId="229">
      <alignment horizontal="right" vertical="center"/>
    </xf>
    <xf numFmtId="0" fontId="46" fillId="56" borderId="225" applyNumberFormat="0" applyAlignment="0" applyProtection="0"/>
    <xf numFmtId="0" fontId="50" fillId="0" borderId="226" applyNumberFormat="0" applyFill="0" applyAlignment="0" applyProtection="0"/>
    <xf numFmtId="0" fontId="40" fillId="59" borderId="227" applyNumberFormat="0" applyFont="0" applyAlignment="0" applyProtection="0"/>
    <xf numFmtId="4" fontId="32" fillId="34" borderId="229">
      <alignment horizontal="right" vertical="center"/>
    </xf>
    <xf numFmtId="0" fontId="34" fillId="34" borderId="231">
      <alignment horizontal="left" vertical="center" wrapText="1" indent="2"/>
    </xf>
    <xf numFmtId="0" fontId="34" fillId="33" borderId="228"/>
    <xf numFmtId="173" fontId="34" fillId="60" borderId="228" applyNumberFormat="0" applyFont="0" applyBorder="0" applyAlignment="0" applyProtection="0">
      <alignment horizontal="right" vertical="center"/>
    </xf>
    <xf numFmtId="0" fontId="34" fillId="0" borderId="228" applyNumberFormat="0" applyFill="0" applyAlignment="0" applyProtection="0"/>
    <xf numFmtId="4" fontId="34" fillId="0" borderId="228" applyFill="0" applyBorder="0" applyProtection="0">
      <alignment horizontal="right" vertical="center"/>
    </xf>
    <xf numFmtId="4" fontId="32" fillId="32" borderId="228">
      <alignment horizontal="right" vertical="center"/>
    </xf>
    <xf numFmtId="0" fontId="50" fillId="0" borderId="226" applyNumberFormat="0" applyFill="0" applyAlignment="0" applyProtection="0"/>
    <xf numFmtId="49" fontId="33" fillId="0" borderId="228" applyNumberFormat="0" applyFill="0" applyBorder="0" applyProtection="0">
      <alignment horizontal="left" vertical="center"/>
    </xf>
    <xf numFmtId="49" fontId="34" fillId="0" borderId="229" applyNumberFormat="0" applyFont="0" applyFill="0" applyBorder="0" applyProtection="0">
      <alignment horizontal="left" vertical="center" indent="5"/>
    </xf>
    <xf numFmtId="0" fontId="34" fillId="32" borderId="229">
      <alignment horizontal="left" vertical="center"/>
    </xf>
    <xf numFmtId="0" fontId="46" fillId="56" borderId="225" applyNumberFormat="0" applyAlignment="0" applyProtection="0"/>
    <xf numFmtId="4" fontId="32" fillId="34" borderId="230">
      <alignment horizontal="right" vertical="center"/>
    </xf>
    <xf numFmtId="0" fontId="58" fillId="43" borderId="225" applyNumberFormat="0" applyAlignment="0" applyProtection="0"/>
    <xf numFmtId="0" fontId="58" fillId="43" borderId="225" applyNumberFormat="0" applyAlignment="0" applyProtection="0"/>
    <xf numFmtId="0" fontId="40" fillId="59" borderId="227" applyNumberFormat="0" applyFont="0" applyAlignment="0" applyProtection="0"/>
    <xf numFmtId="0" fontId="62" fillId="56" borderId="232" applyNumberFormat="0" applyAlignment="0" applyProtection="0"/>
    <xf numFmtId="0" fontId="65" fillId="0" borderId="226" applyNumberFormat="0" applyFill="0" applyAlignment="0" applyProtection="0"/>
    <xf numFmtId="0" fontId="32" fillId="34" borderId="228">
      <alignment horizontal="right" vertical="center"/>
    </xf>
    <xf numFmtId="0" fontId="5" fillId="59" borderId="227" applyNumberFormat="0" applyFont="0" applyAlignment="0" applyProtection="0"/>
    <xf numFmtId="4" fontId="34" fillId="0" borderId="228">
      <alignment horizontal="right" vertical="center"/>
    </xf>
    <xf numFmtId="0" fontId="65" fillId="0" borderId="226" applyNumberFormat="0" applyFill="0" applyAlignment="0" applyProtection="0"/>
    <xf numFmtId="0" fontId="32" fillId="34" borderId="228">
      <alignment horizontal="right" vertical="center"/>
    </xf>
    <xf numFmtId="0" fontId="32" fillId="34" borderId="228">
      <alignment horizontal="right" vertical="center"/>
    </xf>
    <xf numFmtId="4" fontId="36" fillId="32" borderId="228">
      <alignment horizontal="right" vertical="center"/>
    </xf>
    <xf numFmtId="0" fontId="32" fillId="32" borderId="228">
      <alignment horizontal="right" vertical="center"/>
    </xf>
    <xf numFmtId="4" fontId="32" fillId="32" borderId="228">
      <alignment horizontal="right" vertical="center"/>
    </xf>
    <xf numFmtId="0" fontId="36" fillId="32" borderId="228">
      <alignment horizontal="right" vertical="center"/>
    </xf>
    <xf numFmtId="4" fontId="36" fillId="32" borderId="228">
      <alignment horizontal="right" vertical="center"/>
    </xf>
    <xf numFmtId="0" fontId="32" fillId="34" borderId="228">
      <alignment horizontal="right" vertical="center"/>
    </xf>
    <xf numFmtId="4" fontId="32" fillId="34" borderId="228">
      <alignment horizontal="right" vertical="center"/>
    </xf>
    <xf numFmtId="0" fontId="32" fillId="34" borderId="228">
      <alignment horizontal="right" vertical="center"/>
    </xf>
    <xf numFmtId="4" fontId="32" fillId="34" borderId="228">
      <alignment horizontal="right" vertical="center"/>
    </xf>
    <xf numFmtId="0" fontId="32" fillId="34" borderId="229">
      <alignment horizontal="right" vertical="center"/>
    </xf>
    <xf numFmtId="4" fontId="32" fillId="34" borderId="229">
      <alignment horizontal="right" vertical="center"/>
    </xf>
    <xf numFmtId="0" fontId="32" fillId="34" borderId="230">
      <alignment horizontal="right" vertical="center"/>
    </xf>
    <xf numFmtId="4" fontId="32" fillId="34" borderId="230">
      <alignment horizontal="right" vertical="center"/>
    </xf>
    <xf numFmtId="0" fontId="46" fillId="56" borderId="225" applyNumberFormat="0" applyAlignment="0" applyProtection="0"/>
    <xf numFmtId="0" fontId="34" fillId="34" borderId="231">
      <alignment horizontal="left" vertical="center" wrapText="1" indent="2"/>
    </xf>
    <xf numFmtId="0" fontId="34" fillId="0" borderId="231">
      <alignment horizontal="left" vertical="center" wrapText="1" indent="2"/>
    </xf>
    <xf numFmtId="0" fontId="34" fillId="32" borderId="229">
      <alignment horizontal="left" vertical="center"/>
    </xf>
    <xf numFmtId="0" fontId="58" fillId="43" borderId="225" applyNumberFormat="0" applyAlignment="0" applyProtection="0"/>
    <xf numFmtId="0" fontId="34" fillId="0" borderId="228">
      <alignment horizontal="right" vertical="center"/>
    </xf>
    <xf numFmtId="4" fontId="34" fillId="0" borderId="228">
      <alignment horizontal="right" vertical="center"/>
    </xf>
    <xf numFmtId="0" fontId="34" fillId="0" borderId="228" applyNumberFormat="0" applyFill="0" applyAlignment="0" applyProtection="0"/>
    <xf numFmtId="0" fontId="62" fillId="56" borderId="232" applyNumberFormat="0" applyAlignment="0" applyProtection="0"/>
    <xf numFmtId="173" fontId="34" fillId="60" borderId="228" applyNumberFormat="0" applyFont="0" applyBorder="0" applyAlignment="0" applyProtection="0">
      <alignment horizontal="right" vertical="center"/>
    </xf>
    <xf numFmtId="0" fontId="34" fillId="33" borderId="228"/>
    <xf numFmtId="4" fontId="34" fillId="33" borderId="228"/>
    <xf numFmtId="0" fontId="65" fillId="0" borderId="226" applyNumberFormat="0" applyFill="0" applyAlignment="0" applyProtection="0"/>
    <xf numFmtId="0" fontId="5" fillId="59" borderId="227" applyNumberFormat="0" applyFont="0" applyAlignment="0" applyProtection="0"/>
    <xf numFmtId="0" fontId="40" fillId="59" borderId="227" applyNumberFormat="0" applyFont="0" applyAlignment="0" applyProtection="0"/>
    <xf numFmtId="0" fontId="34" fillId="0" borderId="228" applyNumberFormat="0" applyFill="0" applyAlignment="0" applyProtection="0"/>
    <xf numFmtId="0" fontId="50" fillId="0" borderId="226" applyNumberFormat="0" applyFill="0" applyAlignment="0" applyProtection="0"/>
    <xf numFmtId="0" fontId="65" fillId="0" borderId="226" applyNumberFormat="0" applyFill="0" applyAlignment="0" applyProtection="0"/>
    <xf numFmtId="0" fontId="49" fillId="43" borderId="225" applyNumberFormat="0" applyAlignment="0" applyProtection="0"/>
    <xf numFmtId="0" fontId="46" fillId="56" borderId="225" applyNumberFormat="0" applyAlignment="0" applyProtection="0"/>
    <xf numFmtId="4" fontId="36" fillId="32" borderId="228">
      <alignment horizontal="right" vertical="center"/>
    </xf>
    <xf numFmtId="0" fontId="32" fillId="32" borderId="228">
      <alignment horizontal="right" vertical="center"/>
    </xf>
    <xf numFmtId="173" fontId="34" fillId="60" borderId="228" applyNumberFormat="0" applyFont="0" applyBorder="0" applyAlignment="0" applyProtection="0">
      <alignment horizontal="right" vertical="center"/>
    </xf>
    <xf numFmtId="0" fontId="50" fillId="0" borderId="226" applyNumberFormat="0" applyFill="0" applyAlignment="0" applyProtection="0"/>
    <xf numFmtId="49" fontId="34" fillId="0" borderId="228" applyNumberFormat="0" applyFont="0" applyFill="0" applyBorder="0" applyProtection="0">
      <alignment horizontal="left" vertical="center" indent="2"/>
    </xf>
    <xf numFmtId="49" fontId="34" fillId="0" borderId="229" applyNumberFormat="0" applyFont="0" applyFill="0" applyBorder="0" applyProtection="0">
      <alignment horizontal="left" vertical="center" indent="5"/>
    </xf>
    <xf numFmtId="49" fontId="34" fillId="0" borderId="228" applyNumberFormat="0" applyFont="0" applyFill="0" applyBorder="0" applyProtection="0">
      <alignment horizontal="left" vertical="center" indent="2"/>
    </xf>
    <xf numFmtId="4" fontId="34" fillId="0" borderId="228" applyFill="0" applyBorder="0" applyProtection="0">
      <alignment horizontal="right" vertical="center"/>
    </xf>
    <xf numFmtId="49" fontId="33" fillId="0" borderId="228" applyNumberFormat="0" applyFill="0" applyBorder="0" applyProtection="0">
      <alignment horizontal="left" vertical="center"/>
    </xf>
    <xf numFmtId="0" fontId="34" fillId="0" borderId="231">
      <alignment horizontal="left" vertical="center" wrapText="1" indent="2"/>
    </xf>
    <xf numFmtId="0" fontId="62" fillId="56" borderId="232" applyNumberFormat="0" applyAlignment="0" applyProtection="0"/>
    <xf numFmtId="0" fontId="32" fillId="34" borderId="230">
      <alignment horizontal="right" vertical="center"/>
    </xf>
    <xf numFmtId="0" fontId="49" fillId="43" borderId="225" applyNumberFormat="0" applyAlignment="0" applyProtection="0"/>
    <xf numFmtId="0" fontId="32" fillId="34" borderId="230">
      <alignment horizontal="right" vertical="center"/>
    </xf>
    <xf numFmtId="4" fontId="32" fillId="34" borderId="228">
      <alignment horizontal="right" vertical="center"/>
    </xf>
    <xf numFmtId="0" fontId="32" fillId="34" borderId="228">
      <alignment horizontal="right" vertical="center"/>
    </xf>
    <xf numFmtId="0" fontId="43" fillId="56" borderId="232" applyNumberFormat="0" applyAlignment="0" applyProtection="0"/>
    <xf numFmtId="0" fontId="45" fillId="56" borderId="225" applyNumberFormat="0" applyAlignment="0" applyProtection="0"/>
    <xf numFmtId="0" fontId="50" fillId="0" borderId="226" applyNumberFormat="0" applyFill="0" applyAlignment="0" applyProtection="0"/>
    <xf numFmtId="0" fontId="34" fillId="33" borderId="228"/>
    <xf numFmtId="4" fontId="34" fillId="33" borderId="228"/>
    <xf numFmtId="4" fontId="32" fillId="34" borderId="228">
      <alignment horizontal="right" vertical="center"/>
    </xf>
    <xf numFmtId="0" fontId="36" fillId="32" borderId="228">
      <alignment horizontal="right" vertical="center"/>
    </xf>
    <xf numFmtId="0" fontId="49" fillId="43" borderId="225" applyNumberFormat="0" applyAlignment="0" applyProtection="0"/>
    <xf numFmtId="0" fontId="46" fillId="56" borderId="225" applyNumberFormat="0" applyAlignment="0" applyProtection="0"/>
    <xf numFmtId="4" fontId="34" fillId="0" borderId="228">
      <alignment horizontal="right" vertical="center"/>
    </xf>
    <xf numFmtId="0" fontId="34" fillId="34" borderId="231">
      <alignment horizontal="left" vertical="center" wrapText="1" indent="2"/>
    </xf>
    <xf numFmtId="0" fontId="34" fillId="0" borderId="231">
      <alignment horizontal="left" vertical="center" wrapText="1" indent="2"/>
    </xf>
    <xf numFmtId="0" fontId="62" fillId="56" borderId="232" applyNumberFormat="0" applyAlignment="0" applyProtection="0"/>
    <xf numFmtId="0" fontId="58" fillId="43" borderId="225" applyNumberFormat="0" applyAlignment="0" applyProtection="0"/>
    <xf numFmtId="0" fontId="45" fillId="56" borderId="225" applyNumberFormat="0" applyAlignment="0" applyProtection="0"/>
    <xf numFmtId="0" fontId="43" fillId="56" borderId="232" applyNumberFormat="0" applyAlignment="0" applyProtection="0"/>
    <xf numFmtId="0" fontId="32" fillId="34" borderId="230">
      <alignment horizontal="right" vertical="center"/>
    </xf>
    <xf numFmtId="0" fontId="36" fillId="32" borderId="228">
      <alignment horizontal="right" vertical="center"/>
    </xf>
    <xf numFmtId="4" fontId="32" fillId="32" borderId="228">
      <alignment horizontal="right" vertical="center"/>
    </xf>
    <xf numFmtId="4" fontId="32" fillId="34" borderId="228">
      <alignment horizontal="right" vertical="center"/>
    </xf>
    <xf numFmtId="49" fontId="34" fillId="0" borderId="229" applyNumberFormat="0" applyFont="0" applyFill="0" applyBorder="0" applyProtection="0">
      <alignment horizontal="left" vertical="center" indent="5"/>
    </xf>
    <xf numFmtId="4" fontId="34" fillId="0" borderId="228" applyFill="0" applyBorder="0" applyProtection="0">
      <alignment horizontal="right" vertical="center"/>
    </xf>
    <xf numFmtId="4" fontId="32" fillId="32" borderId="228">
      <alignment horizontal="right" vertical="center"/>
    </xf>
    <xf numFmtId="0" fontId="58" fillId="43" borderId="225" applyNumberFormat="0" applyAlignment="0" applyProtection="0"/>
    <xf numFmtId="0" fontId="49" fillId="43" borderId="225" applyNumberFormat="0" applyAlignment="0" applyProtection="0"/>
    <xf numFmtId="0" fontId="45" fillId="56" borderId="225" applyNumberFormat="0" applyAlignment="0" applyProtection="0"/>
    <xf numFmtId="0" fontId="34" fillId="34" borderId="231">
      <alignment horizontal="left" vertical="center" wrapText="1" indent="2"/>
    </xf>
    <xf numFmtId="0" fontId="34" fillId="0" borderId="231">
      <alignment horizontal="left" vertical="center" wrapText="1" indent="2"/>
    </xf>
    <xf numFmtId="0" fontId="34" fillId="34" borderId="231">
      <alignment horizontal="left" vertical="center" wrapText="1" indent="2"/>
    </xf>
    <xf numFmtId="0" fontId="36" fillId="32" borderId="237">
      <alignment horizontal="right" vertical="center"/>
    </xf>
    <xf numFmtId="0" fontId="58" fillId="43" borderId="250" applyNumberFormat="0" applyAlignment="0" applyProtection="0"/>
    <xf numFmtId="0" fontId="34" fillId="33" borderId="253"/>
    <xf numFmtId="0" fontId="26" fillId="20" borderId="0" applyNumberFormat="0" applyBorder="0" applyAlignment="0" applyProtection="0"/>
    <xf numFmtId="0" fontId="45" fillId="56" borderId="265" applyNumberFormat="0" applyAlignment="0" applyProtection="0"/>
    <xf numFmtId="0" fontId="26" fillId="18" borderId="0" applyNumberFormat="0" applyBorder="0" applyAlignment="0" applyProtection="0"/>
    <xf numFmtId="4" fontId="32" fillId="34" borderId="274">
      <alignment horizontal="right" vertical="center"/>
    </xf>
    <xf numFmtId="0" fontId="34" fillId="34" borderId="256">
      <alignment horizontal="left" vertical="center" wrapText="1" indent="2"/>
    </xf>
    <xf numFmtId="0" fontId="34" fillId="0" borderId="258" applyNumberFormat="0" applyFill="0" applyAlignment="0" applyProtection="0"/>
    <xf numFmtId="0" fontId="34" fillId="0" borderId="253" applyNumberFormat="0" applyFill="0" applyAlignment="0" applyProtection="0"/>
    <xf numFmtId="4" fontId="32" fillId="34" borderId="269">
      <alignment horizontal="right" vertical="center"/>
    </xf>
    <xf numFmtId="0" fontId="46" fillId="56" borderId="241" applyNumberFormat="0" applyAlignment="0" applyProtection="0"/>
    <xf numFmtId="0" fontId="65" fillId="0" borderId="264" applyNumberFormat="0" applyFill="0" applyAlignment="0" applyProtection="0"/>
    <xf numFmtId="173" fontId="34" fillId="60" borderId="253" applyNumberFormat="0" applyFont="0" applyBorder="0" applyAlignment="0" applyProtection="0">
      <alignment horizontal="right" vertical="center"/>
    </xf>
    <xf numFmtId="0" fontId="49" fillId="43" borderId="265" applyNumberFormat="0" applyAlignment="0" applyProtection="0"/>
    <xf numFmtId="49" fontId="34" fillId="0" borderId="274" applyNumberFormat="0" applyFont="0" applyFill="0" applyBorder="0" applyProtection="0">
      <alignment horizontal="left" vertical="center" indent="2"/>
    </xf>
    <xf numFmtId="4" fontId="32" fillId="32" borderId="253">
      <alignment horizontal="right" vertical="center"/>
    </xf>
    <xf numFmtId="173" fontId="34" fillId="60" borderId="258" applyNumberFormat="0" applyFont="0" applyBorder="0" applyAlignment="0" applyProtection="0">
      <alignment horizontal="right" vertical="center"/>
    </xf>
    <xf numFmtId="0" fontId="32" fillId="34" borderId="282">
      <alignment horizontal="right" vertical="center"/>
    </xf>
    <xf numFmtId="4" fontId="34" fillId="33" borderId="253"/>
    <xf numFmtId="4" fontId="32" fillId="34" borderId="253">
      <alignment horizontal="right" vertical="center"/>
    </xf>
    <xf numFmtId="0" fontId="34" fillId="34" borderId="277">
      <alignment horizontal="left" vertical="center" wrapText="1" indent="2"/>
    </xf>
    <xf numFmtId="49" fontId="34" fillId="0" borderId="268" applyNumberFormat="0" applyFont="0" applyFill="0" applyBorder="0" applyProtection="0">
      <alignment horizontal="left" vertical="center" indent="2"/>
    </xf>
    <xf numFmtId="4" fontId="34" fillId="0" borderId="253" applyFill="0" applyBorder="0" applyProtection="0">
      <alignment horizontal="right" vertical="center"/>
    </xf>
    <xf numFmtId="0" fontId="32" fillId="32" borderId="253">
      <alignment horizontal="right" vertical="center"/>
    </xf>
    <xf numFmtId="0" fontId="46" fillId="56" borderId="250" applyNumberFormat="0" applyAlignment="0" applyProtection="0"/>
    <xf numFmtId="4" fontId="34" fillId="0" borderId="258" applyFill="0" applyBorder="0" applyProtection="0">
      <alignment horizontal="right" vertical="center"/>
    </xf>
    <xf numFmtId="49" fontId="33" fillId="0" borderId="253" applyNumberFormat="0" applyFill="0" applyBorder="0" applyProtection="0">
      <alignment horizontal="left" vertical="center"/>
    </xf>
    <xf numFmtId="0" fontId="46" fillId="56" borderId="263" applyNumberFormat="0" applyAlignment="0" applyProtection="0"/>
    <xf numFmtId="0" fontId="62" fillId="56" borderId="249" applyNumberFormat="0" applyAlignment="0" applyProtection="0"/>
    <xf numFmtId="4" fontId="36" fillId="32" borderId="268">
      <alignment horizontal="right" vertical="center"/>
    </xf>
    <xf numFmtId="0" fontId="58" fillId="43" borderId="265" applyNumberFormat="0" applyAlignment="0" applyProtection="0"/>
    <xf numFmtId="0" fontId="12" fillId="19" borderId="0" applyNumberFormat="0" applyBorder="0" applyAlignment="0" applyProtection="0"/>
    <xf numFmtId="0" fontId="12" fillId="31" borderId="0" applyNumberFormat="0" applyBorder="0" applyAlignment="0" applyProtection="0"/>
    <xf numFmtId="0" fontId="34" fillId="0" borderId="256">
      <alignment horizontal="left" vertical="center" wrapText="1" indent="2"/>
    </xf>
    <xf numFmtId="4" fontId="32" fillId="34" borderId="269">
      <alignment horizontal="right" vertical="center"/>
    </xf>
    <xf numFmtId="4" fontId="32" fillId="34" borderId="276">
      <alignment horizontal="right" vertical="center"/>
    </xf>
    <xf numFmtId="0" fontId="46" fillId="56" borderId="265" applyNumberFormat="0" applyAlignment="0" applyProtection="0"/>
    <xf numFmtId="4" fontId="32" fillId="34" borderId="269">
      <alignment horizontal="right" vertical="center"/>
    </xf>
    <xf numFmtId="0" fontId="50" fillId="0" borderId="251" applyNumberFormat="0" applyFill="0" applyAlignment="0" applyProtection="0"/>
    <xf numFmtId="0" fontId="32" fillId="34" borderId="255">
      <alignment horizontal="right" vertical="center"/>
    </xf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26" fillId="27" borderId="0" applyNumberFormat="0" applyBorder="0" applyAlignment="0" applyProtection="0"/>
    <xf numFmtId="0" fontId="12" fillId="28" borderId="0" applyNumberFormat="0" applyBorder="0" applyAlignment="0" applyProtection="0"/>
    <xf numFmtId="0" fontId="58" fillId="43" borderId="250" applyNumberFormat="0" applyAlignment="0" applyProtection="0"/>
    <xf numFmtId="0" fontId="12" fillId="22" borderId="0" applyNumberFormat="0" applyBorder="0" applyAlignment="0" applyProtection="0"/>
    <xf numFmtId="0" fontId="26" fillId="20" borderId="0" applyNumberFormat="0" applyBorder="0" applyAlignment="0" applyProtection="0"/>
    <xf numFmtId="0" fontId="26" fillId="14" borderId="0" applyNumberFormat="0" applyBorder="0" applyAlignment="0" applyProtection="0"/>
    <xf numFmtId="4" fontId="32" fillId="34" borderId="255">
      <alignment horizontal="right" vertical="center"/>
    </xf>
    <xf numFmtId="0" fontId="34" fillId="0" borderId="261">
      <alignment horizontal="left" vertical="center" wrapText="1" indent="2"/>
    </xf>
    <xf numFmtId="4" fontId="32" fillId="34" borderId="244">
      <alignment horizontal="right" vertical="center"/>
    </xf>
    <xf numFmtId="4" fontId="32" fillId="32" borderId="244">
      <alignment horizontal="right" vertical="center"/>
    </xf>
    <xf numFmtId="0" fontId="65" fillId="0" borderId="266" applyNumberFormat="0" applyFill="0" applyAlignment="0" applyProtection="0"/>
    <xf numFmtId="4" fontId="32" fillId="34" borderId="237">
      <alignment horizontal="right" vertical="center"/>
    </xf>
    <xf numFmtId="0" fontId="34" fillId="33" borderId="237"/>
    <xf numFmtId="0" fontId="45" fillId="56" borderId="234" applyNumberFormat="0" applyAlignment="0" applyProtection="0"/>
    <xf numFmtId="0" fontId="32" fillId="32" borderId="237">
      <alignment horizontal="right" vertical="center"/>
    </xf>
    <xf numFmtId="0" fontId="34" fillId="0" borderId="237">
      <alignment horizontal="right" vertical="center"/>
    </xf>
    <xf numFmtId="0" fontId="65" fillId="0" borderId="235" applyNumberFormat="0" applyFill="0" applyAlignment="0" applyProtection="0"/>
    <xf numFmtId="0" fontId="34" fillId="32" borderId="238">
      <alignment horizontal="left" vertical="center"/>
    </xf>
    <xf numFmtId="0" fontId="58" fillId="43" borderId="234" applyNumberFormat="0" applyAlignment="0" applyProtection="0"/>
    <xf numFmtId="173" fontId="34" fillId="60" borderId="237" applyNumberFormat="0" applyFont="0" applyBorder="0" applyAlignment="0" applyProtection="0">
      <alignment horizontal="right" vertical="center"/>
    </xf>
    <xf numFmtId="0" fontId="40" fillId="59" borderId="236" applyNumberFormat="0" applyFont="0" applyAlignment="0" applyProtection="0"/>
    <xf numFmtId="0" fontId="34" fillId="0" borderId="240">
      <alignment horizontal="left" vertical="center" wrapText="1" indent="2"/>
    </xf>
    <xf numFmtId="4" fontId="34" fillId="33" borderId="237"/>
    <xf numFmtId="49" fontId="33" fillId="0" borderId="237" applyNumberFormat="0" applyFill="0" applyBorder="0" applyProtection="0">
      <alignment horizontal="left" vertical="center"/>
    </xf>
    <xf numFmtId="0" fontId="34" fillId="0" borderId="237">
      <alignment horizontal="right" vertical="center"/>
    </xf>
    <xf numFmtId="4" fontId="32" fillId="34" borderId="239">
      <alignment horizontal="right" vertical="center"/>
    </xf>
    <xf numFmtId="4" fontId="32" fillId="34" borderId="237">
      <alignment horizontal="right" vertical="center"/>
    </xf>
    <xf numFmtId="4" fontId="32" fillId="34" borderId="237">
      <alignment horizontal="right" vertical="center"/>
    </xf>
    <xf numFmtId="0" fontId="36" fillId="32" borderId="237">
      <alignment horizontal="right" vertical="center"/>
    </xf>
    <xf numFmtId="0" fontId="32" fillId="32" borderId="237">
      <alignment horizontal="right" vertical="center"/>
    </xf>
    <xf numFmtId="49" fontId="34" fillId="0" borderId="237" applyNumberFormat="0" applyFont="0" applyFill="0" applyBorder="0" applyProtection="0">
      <alignment horizontal="left" vertical="center" indent="2"/>
    </xf>
    <xf numFmtId="0" fontId="58" fillId="43" borderId="234" applyNumberFormat="0" applyAlignment="0" applyProtection="0"/>
    <xf numFmtId="0" fontId="43" fillId="56" borderId="233" applyNumberFormat="0" applyAlignment="0" applyProtection="0"/>
    <xf numFmtId="49" fontId="34" fillId="0" borderId="237" applyNumberFormat="0" applyFont="0" applyFill="0" applyBorder="0" applyProtection="0">
      <alignment horizontal="left" vertical="center" indent="2"/>
    </xf>
    <xf numFmtId="0" fontId="49" fillId="43" borderId="234" applyNumberFormat="0" applyAlignment="0" applyProtection="0"/>
    <xf numFmtId="4" fontId="34" fillId="0" borderId="237" applyFill="0" applyBorder="0" applyProtection="0">
      <alignment horizontal="right" vertical="center"/>
    </xf>
    <xf numFmtId="0" fontId="46" fillId="56" borderId="234" applyNumberFormat="0" applyAlignment="0" applyProtection="0"/>
    <xf numFmtId="0" fontId="65" fillId="0" borderId="235" applyNumberFormat="0" applyFill="0" applyAlignment="0" applyProtection="0"/>
    <xf numFmtId="0" fontId="62" fillId="56" borderId="233" applyNumberFormat="0" applyAlignment="0" applyProtection="0"/>
    <xf numFmtId="0" fontId="34" fillId="0" borderId="237" applyNumberFormat="0" applyFill="0" applyAlignment="0" applyProtection="0"/>
    <xf numFmtId="4" fontId="34" fillId="0" borderId="237">
      <alignment horizontal="right" vertical="center"/>
    </xf>
    <xf numFmtId="0" fontId="34" fillId="0" borderId="237">
      <alignment horizontal="right" vertical="center"/>
    </xf>
    <xf numFmtId="0" fontId="58" fillId="43" borderId="234" applyNumberFormat="0" applyAlignment="0" applyProtection="0"/>
    <xf numFmtId="0" fontId="43" fillId="56" borderId="233" applyNumberFormat="0" applyAlignment="0" applyProtection="0"/>
    <xf numFmtId="0" fontId="45" fillId="56" borderId="234" applyNumberFormat="0" applyAlignment="0" applyProtection="0"/>
    <xf numFmtId="0" fontId="34" fillId="34" borderId="240">
      <alignment horizontal="left" vertical="center" wrapText="1" indent="2"/>
    </xf>
    <xf numFmtId="0" fontId="46" fillId="56" borderId="234" applyNumberFormat="0" applyAlignment="0" applyProtection="0"/>
    <xf numFmtId="0" fontId="46" fillId="56" borderId="234" applyNumberFormat="0" applyAlignment="0" applyProtection="0"/>
    <xf numFmtId="4" fontId="32" fillId="34" borderId="238">
      <alignment horizontal="right" vertical="center"/>
    </xf>
    <xf numFmtId="0" fontId="32" fillId="34" borderId="238">
      <alignment horizontal="right" vertical="center"/>
    </xf>
    <xf numFmtId="0" fontId="32" fillId="34" borderId="237">
      <alignment horizontal="right" vertical="center"/>
    </xf>
    <xf numFmtId="4" fontId="36" fillId="32" borderId="237">
      <alignment horizontal="right" vertical="center"/>
    </xf>
    <xf numFmtId="0" fontId="49" fillId="43" borderId="234" applyNumberFormat="0" applyAlignment="0" applyProtection="0"/>
    <xf numFmtId="0" fontId="50" fillId="0" borderId="235" applyNumberFormat="0" applyFill="0" applyAlignment="0" applyProtection="0"/>
    <xf numFmtId="0" fontId="65" fillId="0" borderId="235" applyNumberFormat="0" applyFill="0" applyAlignment="0" applyProtection="0"/>
    <xf numFmtId="0" fontId="40" fillId="59" borderId="236" applyNumberFormat="0" applyFont="0" applyAlignment="0" applyProtection="0"/>
    <xf numFmtId="0" fontId="58" fillId="43" borderId="234" applyNumberFormat="0" applyAlignment="0" applyProtection="0"/>
    <xf numFmtId="49" fontId="33" fillId="0" borderId="237" applyNumberFormat="0" applyFill="0" applyBorder="0" applyProtection="0">
      <alignment horizontal="left" vertical="center"/>
    </xf>
    <xf numFmtId="0" fontId="34" fillId="34" borderId="240">
      <alignment horizontal="left" vertical="center" wrapText="1" indent="2"/>
    </xf>
    <xf numFmtId="0" fontId="46" fillId="56" borderId="234" applyNumberFormat="0" applyAlignment="0" applyProtection="0"/>
    <xf numFmtId="0" fontId="34" fillId="0" borderId="240">
      <alignment horizontal="left" vertical="center" wrapText="1" indent="2"/>
    </xf>
    <xf numFmtId="0" fontId="40" fillId="59" borderId="236" applyNumberFormat="0" applyFont="0" applyAlignment="0" applyProtection="0"/>
    <xf numFmtId="0" fontId="5" fillId="59" borderId="236" applyNumberFormat="0" applyFont="0" applyAlignment="0" applyProtection="0"/>
    <xf numFmtId="0" fontId="62" fillId="56" borderId="233" applyNumberFormat="0" applyAlignment="0" applyProtection="0"/>
    <xf numFmtId="0" fontId="65" fillId="0" borderId="235" applyNumberFormat="0" applyFill="0" applyAlignment="0" applyProtection="0"/>
    <xf numFmtId="4" fontId="34" fillId="33" borderId="237"/>
    <xf numFmtId="0" fontId="32" fillId="34" borderId="237">
      <alignment horizontal="right" vertical="center"/>
    </xf>
    <xf numFmtId="0" fontId="65" fillId="0" borderId="235" applyNumberFormat="0" applyFill="0" applyAlignment="0" applyProtection="0"/>
    <xf numFmtId="4" fontId="32" fillId="34" borderId="239">
      <alignment horizontal="right" vertical="center"/>
    </xf>
    <xf numFmtId="0" fontId="45" fillId="56" borderId="234" applyNumberFormat="0" applyAlignment="0" applyProtection="0"/>
    <xf numFmtId="0" fontId="32" fillId="34" borderId="238">
      <alignment horizontal="right" vertical="center"/>
    </xf>
    <xf numFmtId="0" fontId="46" fillId="56" borderId="234" applyNumberFormat="0" applyAlignment="0" applyProtection="0"/>
    <xf numFmtId="0" fontId="50" fillId="0" borderId="235" applyNumberFormat="0" applyFill="0" applyAlignment="0" applyProtection="0"/>
    <xf numFmtId="0" fontId="40" fillId="59" borderId="236" applyNumberFormat="0" applyFont="0" applyAlignment="0" applyProtection="0"/>
    <xf numFmtId="4" fontId="32" fillId="34" borderId="238">
      <alignment horizontal="right" vertical="center"/>
    </xf>
    <xf numFmtId="0" fontId="34" fillId="34" borderId="240">
      <alignment horizontal="left" vertical="center" wrapText="1" indent="2"/>
    </xf>
    <xf numFmtId="0" fontId="34" fillId="33" borderId="237"/>
    <xf numFmtId="173" fontId="34" fillId="60" borderId="237" applyNumberFormat="0" applyFont="0" applyBorder="0" applyAlignment="0" applyProtection="0">
      <alignment horizontal="right" vertical="center"/>
    </xf>
    <xf numFmtId="0" fontId="34" fillId="0" borderId="237" applyNumberFormat="0" applyFill="0" applyAlignment="0" applyProtection="0"/>
    <xf numFmtId="4" fontId="34" fillId="0" borderId="237" applyFill="0" applyBorder="0" applyProtection="0">
      <alignment horizontal="right" vertical="center"/>
    </xf>
    <xf numFmtId="4" fontId="32" fillId="32" borderId="237">
      <alignment horizontal="right" vertical="center"/>
    </xf>
    <xf numFmtId="0" fontId="50" fillId="0" borderId="235" applyNumberFormat="0" applyFill="0" applyAlignment="0" applyProtection="0"/>
    <xf numFmtId="49" fontId="33" fillId="0" borderId="237" applyNumberFormat="0" applyFill="0" applyBorder="0" applyProtection="0">
      <alignment horizontal="left" vertical="center"/>
    </xf>
    <xf numFmtId="49" fontId="34" fillId="0" borderId="238" applyNumberFormat="0" applyFont="0" applyFill="0" applyBorder="0" applyProtection="0">
      <alignment horizontal="left" vertical="center" indent="5"/>
    </xf>
    <xf numFmtId="0" fontId="34" fillId="32" borderId="238">
      <alignment horizontal="left" vertical="center"/>
    </xf>
    <xf numFmtId="0" fontId="46" fillId="56" borderId="234" applyNumberFormat="0" applyAlignment="0" applyProtection="0"/>
    <xf numFmtId="4" fontId="32" fillId="34" borderId="239">
      <alignment horizontal="right" vertical="center"/>
    </xf>
    <xf numFmtId="0" fontId="58" fillId="43" borderId="234" applyNumberFormat="0" applyAlignment="0" applyProtection="0"/>
    <xf numFmtId="0" fontId="58" fillId="43" borderId="234" applyNumberFormat="0" applyAlignment="0" applyProtection="0"/>
    <xf numFmtId="0" fontId="40" fillId="59" borderId="236" applyNumberFormat="0" applyFont="0" applyAlignment="0" applyProtection="0"/>
    <xf numFmtId="0" fontId="62" fillId="56" borderId="233" applyNumberFormat="0" applyAlignment="0" applyProtection="0"/>
    <xf numFmtId="0" fontId="65" fillId="0" borderId="235" applyNumberFormat="0" applyFill="0" applyAlignment="0" applyProtection="0"/>
    <xf numFmtId="0" fontId="32" fillId="34" borderId="237">
      <alignment horizontal="right" vertical="center"/>
    </xf>
    <xf numFmtId="0" fontId="5" fillId="59" borderId="236" applyNumberFormat="0" applyFont="0" applyAlignment="0" applyProtection="0"/>
    <xf numFmtId="4" fontId="34" fillId="0" borderId="237">
      <alignment horizontal="right" vertical="center"/>
    </xf>
    <xf numFmtId="0" fontId="65" fillId="0" borderId="235" applyNumberFormat="0" applyFill="0" applyAlignment="0" applyProtection="0"/>
    <xf numFmtId="0" fontId="32" fillId="34" borderId="237">
      <alignment horizontal="right" vertical="center"/>
    </xf>
    <xf numFmtId="0" fontId="32" fillId="34" borderId="237">
      <alignment horizontal="right" vertical="center"/>
    </xf>
    <xf numFmtId="4" fontId="36" fillId="32" borderId="237">
      <alignment horizontal="right" vertical="center"/>
    </xf>
    <xf numFmtId="0" fontId="32" fillId="32" borderId="237">
      <alignment horizontal="right" vertical="center"/>
    </xf>
    <xf numFmtId="4" fontId="32" fillId="32" borderId="237">
      <alignment horizontal="right" vertical="center"/>
    </xf>
    <xf numFmtId="0" fontId="36" fillId="32" borderId="237">
      <alignment horizontal="right" vertical="center"/>
    </xf>
    <xf numFmtId="4" fontId="36" fillId="32" borderId="237">
      <alignment horizontal="right" vertical="center"/>
    </xf>
    <xf numFmtId="0" fontId="32" fillId="34" borderId="237">
      <alignment horizontal="right" vertical="center"/>
    </xf>
    <xf numFmtId="4" fontId="32" fillId="34" borderId="237">
      <alignment horizontal="right" vertical="center"/>
    </xf>
    <xf numFmtId="0" fontId="32" fillId="34" borderId="237">
      <alignment horizontal="right" vertical="center"/>
    </xf>
    <xf numFmtId="4" fontId="32" fillId="34" borderId="237">
      <alignment horizontal="right" vertical="center"/>
    </xf>
    <xf numFmtId="0" fontId="32" fillId="34" borderId="238">
      <alignment horizontal="right" vertical="center"/>
    </xf>
    <xf numFmtId="4" fontId="32" fillId="34" borderId="238">
      <alignment horizontal="right" vertical="center"/>
    </xf>
    <xf numFmtId="0" fontId="32" fillId="34" borderId="239">
      <alignment horizontal="right" vertical="center"/>
    </xf>
    <xf numFmtId="4" fontId="32" fillId="34" borderId="239">
      <alignment horizontal="right" vertical="center"/>
    </xf>
    <xf numFmtId="0" fontId="46" fillId="56" borderId="234" applyNumberFormat="0" applyAlignment="0" applyProtection="0"/>
    <xf numFmtId="0" fontId="34" fillId="34" borderId="240">
      <alignment horizontal="left" vertical="center" wrapText="1" indent="2"/>
    </xf>
    <xf numFmtId="0" fontId="34" fillId="0" borderId="240">
      <alignment horizontal="left" vertical="center" wrapText="1" indent="2"/>
    </xf>
    <xf numFmtId="0" fontId="34" fillId="32" borderId="238">
      <alignment horizontal="left" vertical="center"/>
    </xf>
    <xf numFmtId="0" fontId="58" fillId="43" borderId="234" applyNumberFormat="0" applyAlignment="0" applyProtection="0"/>
    <xf numFmtId="0" fontId="34" fillId="0" borderId="237">
      <alignment horizontal="right" vertical="center"/>
    </xf>
    <xf numFmtId="4" fontId="34" fillId="0" borderId="237">
      <alignment horizontal="right" vertical="center"/>
    </xf>
    <xf numFmtId="0" fontId="34" fillId="0" borderId="237" applyNumberFormat="0" applyFill="0" applyAlignment="0" applyProtection="0"/>
    <xf numFmtId="0" fontId="62" fillId="56" borderId="233" applyNumberFormat="0" applyAlignment="0" applyProtection="0"/>
    <xf numFmtId="173" fontId="34" fillId="60" borderId="237" applyNumberFormat="0" applyFont="0" applyBorder="0" applyAlignment="0" applyProtection="0">
      <alignment horizontal="right" vertical="center"/>
    </xf>
    <xf numFmtId="0" fontId="34" fillId="33" borderId="237"/>
    <xf numFmtId="4" fontId="34" fillId="33" borderId="237"/>
    <xf numFmtId="0" fontId="65" fillId="0" borderId="235" applyNumberFormat="0" applyFill="0" applyAlignment="0" applyProtection="0"/>
    <xf numFmtId="0" fontId="5" fillId="59" borderId="236" applyNumberFormat="0" applyFont="0" applyAlignment="0" applyProtection="0"/>
    <xf numFmtId="0" fontId="40" fillId="59" borderId="236" applyNumberFormat="0" applyFont="0" applyAlignment="0" applyProtection="0"/>
    <xf numFmtId="0" fontId="34" fillId="0" borderId="237" applyNumberFormat="0" applyFill="0" applyAlignment="0" applyProtection="0"/>
    <xf numFmtId="0" fontId="50" fillId="0" borderId="235" applyNumberFormat="0" applyFill="0" applyAlignment="0" applyProtection="0"/>
    <xf numFmtId="0" fontId="65" fillId="0" borderId="235" applyNumberFormat="0" applyFill="0" applyAlignment="0" applyProtection="0"/>
    <xf numFmtId="0" fontId="49" fillId="43" borderId="234" applyNumberFormat="0" applyAlignment="0" applyProtection="0"/>
    <xf numFmtId="0" fontId="46" fillId="56" borderId="234" applyNumberFormat="0" applyAlignment="0" applyProtection="0"/>
    <xf numFmtId="4" fontId="36" fillId="32" borderId="237">
      <alignment horizontal="right" vertical="center"/>
    </xf>
    <xf numFmtId="0" fontId="32" fillId="32" borderId="237">
      <alignment horizontal="right" vertical="center"/>
    </xf>
    <xf numFmtId="173" fontId="34" fillId="60" borderId="237" applyNumberFormat="0" applyFont="0" applyBorder="0" applyAlignment="0" applyProtection="0">
      <alignment horizontal="right" vertical="center"/>
    </xf>
    <xf numFmtId="0" fontId="50" fillId="0" borderId="235" applyNumberFormat="0" applyFill="0" applyAlignment="0" applyProtection="0"/>
    <xf numFmtId="49" fontId="34" fillId="0" borderId="237" applyNumberFormat="0" applyFont="0" applyFill="0" applyBorder="0" applyProtection="0">
      <alignment horizontal="left" vertical="center" indent="2"/>
    </xf>
    <xf numFmtId="49" fontId="34" fillId="0" borderId="238" applyNumberFormat="0" applyFont="0" applyFill="0" applyBorder="0" applyProtection="0">
      <alignment horizontal="left" vertical="center" indent="5"/>
    </xf>
    <xf numFmtId="49" fontId="34" fillId="0" borderId="237" applyNumberFormat="0" applyFont="0" applyFill="0" applyBorder="0" applyProtection="0">
      <alignment horizontal="left" vertical="center" indent="2"/>
    </xf>
    <xf numFmtId="4" fontId="34" fillId="0" borderId="237" applyFill="0" applyBorder="0" applyProtection="0">
      <alignment horizontal="right" vertical="center"/>
    </xf>
    <xf numFmtId="49" fontId="33" fillId="0" borderId="237" applyNumberFormat="0" applyFill="0" applyBorder="0" applyProtection="0">
      <alignment horizontal="left" vertical="center"/>
    </xf>
    <xf numFmtId="0" fontId="34" fillId="0" borderId="240">
      <alignment horizontal="left" vertical="center" wrapText="1" indent="2"/>
    </xf>
    <xf numFmtId="0" fontId="62" fillId="56" borderId="233" applyNumberFormat="0" applyAlignment="0" applyProtection="0"/>
    <xf numFmtId="0" fontId="32" fillId="34" borderId="239">
      <alignment horizontal="right" vertical="center"/>
    </xf>
    <xf numFmtId="0" fontId="49" fillId="43" borderId="234" applyNumberFormat="0" applyAlignment="0" applyProtection="0"/>
    <xf numFmtId="0" fontId="32" fillId="34" borderId="239">
      <alignment horizontal="right" vertical="center"/>
    </xf>
    <xf numFmtId="4" fontId="32" fillId="34" borderId="237">
      <alignment horizontal="right" vertical="center"/>
    </xf>
    <xf numFmtId="0" fontId="32" fillId="34" borderId="237">
      <alignment horizontal="right" vertical="center"/>
    </xf>
    <xf numFmtId="0" fontId="43" fillId="56" borderId="233" applyNumberFormat="0" applyAlignment="0" applyProtection="0"/>
    <xf numFmtId="0" fontId="45" fillId="56" borderId="234" applyNumberFormat="0" applyAlignment="0" applyProtection="0"/>
    <xf numFmtId="0" fontId="50" fillId="0" borderId="235" applyNumberFormat="0" applyFill="0" applyAlignment="0" applyProtection="0"/>
    <xf numFmtId="0" fontId="34" fillId="33" borderId="237"/>
    <xf numFmtId="4" fontId="34" fillId="33" borderId="237"/>
    <xf numFmtId="4" fontId="32" fillId="34" borderId="237">
      <alignment horizontal="right" vertical="center"/>
    </xf>
    <xf numFmtId="0" fontId="36" fillId="32" borderId="237">
      <alignment horizontal="right" vertical="center"/>
    </xf>
    <xf numFmtId="0" fontId="49" fillId="43" borderId="234" applyNumberFormat="0" applyAlignment="0" applyProtection="0"/>
    <xf numFmtId="0" fontId="46" fillId="56" borderId="234" applyNumberFormat="0" applyAlignment="0" applyProtection="0"/>
    <xf numFmtId="4" fontId="34" fillId="0" borderId="237">
      <alignment horizontal="right" vertical="center"/>
    </xf>
    <xf numFmtId="0" fontId="34" fillId="34" borderId="240">
      <alignment horizontal="left" vertical="center" wrapText="1" indent="2"/>
    </xf>
    <xf numFmtId="0" fontId="34" fillId="0" borderId="240">
      <alignment horizontal="left" vertical="center" wrapText="1" indent="2"/>
    </xf>
    <xf numFmtId="0" fontId="62" fillId="56" borderId="233" applyNumberFormat="0" applyAlignment="0" applyProtection="0"/>
    <xf numFmtId="0" fontId="58" fillId="43" borderId="234" applyNumberFormat="0" applyAlignment="0" applyProtection="0"/>
    <xf numFmtId="0" fontId="45" fillId="56" borderId="234" applyNumberFormat="0" applyAlignment="0" applyProtection="0"/>
    <xf numFmtId="0" fontId="43" fillId="56" borderId="233" applyNumberFormat="0" applyAlignment="0" applyProtection="0"/>
    <xf numFmtId="0" fontId="32" fillId="34" borderId="239">
      <alignment horizontal="right" vertical="center"/>
    </xf>
    <xf numFmtId="0" fontId="36" fillId="32" borderId="237">
      <alignment horizontal="right" vertical="center"/>
    </xf>
    <xf numFmtId="4" fontId="32" fillId="32" borderId="237">
      <alignment horizontal="right" vertical="center"/>
    </xf>
    <xf numFmtId="4" fontId="32" fillId="34" borderId="237">
      <alignment horizontal="right" vertical="center"/>
    </xf>
    <xf numFmtId="49" fontId="34" fillId="0" borderId="238" applyNumberFormat="0" applyFont="0" applyFill="0" applyBorder="0" applyProtection="0">
      <alignment horizontal="left" vertical="center" indent="5"/>
    </xf>
    <xf numFmtId="4" fontId="34" fillId="0" borderId="237" applyFill="0" applyBorder="0" applyProtection="0">
      <alignment horizontal="right" vertical="center"/>
    </xf>
    <xf numFmtId="4" fontId="32" fillId="32" borderId="237">
      <alignment horizontal="right" vertical="center"/>
    </xf>
    <xf numFmtId="0" fontId="46" fillId="56" borderId="263" applyNumberFormat="0" applyAlignment="0" applyProtection="0"/>
    <xf numFmtId="0" fontId="58" fillId="43" borderId="234" applyNumberFormat="0" applyAlignment="0" applyProtection="0"/>
    <xf numFmtId="0" fontId="49" fillId="43" borderId="234" applyNumberFormat="0" applyAlignment="0" applyProtection="0"/>
    <xf numFmtId="0" fontId="45" fillId="56" borderId="234" applyNumberFormat="0" applyAlignment="0" applyProtection="0"/>
    <xf numFmtId="0" fontId="34" fillId="34" borderId="240">
      <alignment horizontal="left" vertical="center" wrapText="1" indent="2"/>
    </xf>
    <xf numFmtId="0" fontId="34" fillId="0" borderId="240">
      <alignment horizontal="left" vertical="center" wrapText="1" indent="2"/>
    </xf>
    <xf numFmtId="0" fontId="34" fillId="34" borderId="240">
      <alignment horizontal="left" vertical="center" wrapText="1" indent="2"/>
    </xf>
    <xf numFmtId="0" fontId="34" fillId="0" borderId="240">
      <alignment horizontal="left" vertical="center" wrapText="1" indent="2"/>
    </xf>
    <xf numFmtId="0" fontId="43" fillId="56" borderId="233" applyNumberFormat="0" applyAlignment="0" applyProtection="0"/>
    <xf numFmtId="0" fontId="45" fillId="56" borderId="234" applyNumberFormat="0" applyAlignment="0" applyProtection="0"/>
    <xf numFmtId="0" fontId="46" fillId="56" borderId="234" applyNumberFormat="0" applyAlignment="0" applyProtection="0"/>
    <xf numFmtId="0" fontId="49" fillId="43" borderId="234" applyNumberFormat="0" applyAlignment="0" applyProtection="0"/>
    <xf numFmtId="0" fontId="50" fillId="0" borderId="235" applyNumberFormat="0" applyFill="0" applyAlignment="0" applyProtection="0"/>
    <xf numFmtId="0" fontId="58" fillId="43" borderId="234" applyNumberFormat="0" applyAlignment="0" applyProtection="0"/>
    <xf numFmtId="0" fontId="40" fillId="59" borderId="236" applyNumberFormat="0" applyFont="0" applyAlignment="0" applyProtection="0"/>
    <xf numFmtId="0" fontId="5" fillId="59" borderId="236" applyNumberFormat="0" applyFont="0" applyAlignment="0" applyProtection="0"/>
    <xf numFmtId="0" fontId="62" fillId="56" borderId="233" applyNumberFormat="0" applyAlignment="0" applyProtection="0"/>
    <xf numFmtId="0" fontId="65" fillId="0" borderId="235" applyNumberFormat="0" applyFill="0" applyAlignment="0" applyProtection="0"/>
    <xf numFmtId="0" fontId="46" fillId="56" borderId="234" applyNumberFormat="0" applyAlignment="0" applyProtection="0"/>
    <xf numFmtId="0" fontId="58" fillId="43" borderId="234" applyNumberFormat="0" applyAlignment="0" applyProtection="0"/>
    <xf numFmtId="0" fontId="40" fillId="59" borderId="236" applyNumberFormat="0" applyFont="0" applyAlignment="0" applyProtection="0"/>
    <xf numFmtId="0" fontId="62" fillId="56" borderId="233" applyNumberFormat="0" applyAlignment="0" applyProtection="0"/>
    <xf numFmtId="0" fontId="65" fillId="0" borderId="235" applyNumberFormat="0" applyFill="0" applyAlignment="0" applyProtection="0"/>
    <xf numFmtId="0" fontId="34" fillId="34" borderId="256">
      <alignment horizontal="left" vertical="center" wrapText="1" indent="2"/>
    </xf>
    <xf numFmtId="0" fontId="65" fillId="0" borderId="280" applyNumberFormat="0" applyFill="0" applyAlignment="0" applyProtection="0"/>
    <xf numFmtId="0" fontId="36" fillId="32" borderId="253">
      <alignment horizontal="right" vertical="center"/>
    </xf>
    <xf numFmtId="0" fontId="50" fillId="0" borderId="264" applyNumberFormat="0" applyFill="0" applyAlignment="0" applyProtection="0"/>
    <xf numFmtId="0" fontId="46" fillId="56" borderId="234" applyNumberFormat="0" applyAlignment="0" applyProtection="0"/>
    <xf numFmtId="0" fontId="32" fillId="34" borderId="244">
      <alignment horizontal="right" vertical="center"/>
    </xf>
    <xf numFmtId="4" fontId="32" fillId="34" borderId="254">
      <alignment horizontal="right" vertical="center"/>
    </xf>
    <xf numFmtId="0" fontId="34" fillId="0" borderId="261">
      <alignment horizontal="left" vertical="center" wrapText="1" indent="2"/>
    </xf>
    <xf numFmtId="0" fontId="58" fillId="43" borderId="234" applyNumberFormat="0" applyAlignment="0" applyProtection="0"/>
    <xf numFmtId="0" fontId="62" fillId="56" borderId="233" applyNumberFormat="0" applyAlignment="0" applyProtection="0"/>
    <xf numFmtId="0" fontId="65" fillId="0" borderId="235" applyNumberFormat="0" applyFill="0" applyAlignment="0" applyProtection="0"/>
    <xf numFmtId="0" fontId="45" fillId="56" borderId="241" applyNumberFormat="0" applyAlignment="0" applyProtection="0"/>
    <xf numFmtId="0" fontId="43" fillId="56" borderId="233" applyNumberFormat="0" applyAlignment="0" applyProtection="0"/>
    <xf numFmtId="0" fontId="45" fillId="56" borderId="234" applyNumberFormat="0" applyAlignment="0" applyProtection="0"/>
    <xf numFmtId="0" fontId="50" fillId="0" borderId="235" applyNumberFormat="0" applyFill="0" applyAlignment="0" applyProtection="0"/>
    <xf numFmtId="49" fontId="34" fillId="0" borderId="237" applyNumberFormat="0" applyFont="0" applyFill="0" applyBorder="0" applyProtection="0">
      <alignment horizontal="left" vertical="center" indent="2"/>
    </xf>
    <xf numFmtId="0" fontId="32" fillId="32" borderId="237">
      <alignment horizontal="right" vertical="center"/>
    </xf>
    <xf numFmtId="4" fontId="32" fillId="32" borderId="237">
      <alignment horizontal="right" vertical="center"/>
    </xf>
    <xf numFmtId="0" fontId="36" fillId="32" borderId="237">
      <alignment horizontal="right" vertical="center"/>
    </xf>
    <xf numFmtId="4" fontId="36" fillId="32" borderId="237">
      <alignment horizontal="right" vertical="center"/>
    </xf>
    <xf numFmtId="0" fontId="32" fillId="34" borderId="237">
      <alignment horizontal="right" vertical="center"/>
    </xf>
    <xf numFmtId="4" fontId="32" fillId="34" borderId="237">
      <alignment horizontal="right" vertical="center"/>
    </xf>
    <xf numFmtId="0" fontId="32" fillId="34" borderId="237">
      <alignment horizontal="right" vertical="center"/>
    </xf>
    <xf numFmtId="4" fontId="32" fillId="34" borderId="237">
      <alignment horizontal="right" vertical="center"/>
    </xf>
    <xf numFmtId="0" fontId="49" fillId="43" borderId="234" applyNumberFormat="0" applyAlignment="0" applyProtection="0"/>
    <xf numFmtId="0" fontId="34" fillId="0" borderId="237">
      <alignment horizontal="right" vertical="center"/>
    </xf>
    <xf numFmtId="4" fontId="34" fillId="0" borderId="237">
      <alignment horizontal="right" vertical="center"/>
    </xf>
    <xf numFmtId="4" fontId="34" fillId="0" borderId="237" applyFill="0" applyBorder="0" applyProtection="0">
      <alignment horizontal="right" vertical="center"/>
    </xf>
    <xf numFmtId="49" fontId="33" fillId="0" borderId="237" applyNumberFormat="0" applyFill="0" applyBorder="0" applyProtection="0">
      <alignment horizontal="left" vertical="center"/>
    </xf>
    <xf numFmtId="0" fontId="34" fillId="0" borderId="237" applyNumberFormat="0" applyFill="0" applyAlignment="0" applyProtection="0"/>
    <xf numFmtId="173" fontId="34" fillId="60" borderId="237" applyNumberFormat="0" applyFont="0" applyBorder="0" applyAlignment="0" applyProtection="0">
      <alignment horizontal="right" vertical="center"/>
    </xf>
    <xf numFmtId="0" fontId="34" fillId="33" borderId="237"/>
    <xf numFmtId="4" fontId="34" fillId="33" borderId="237"/>
    <xf numFmtId="4" fontId="32" fillId="34" borderId="237">
      <alignment horizontal="right" vertical="center"/>
    </xf>
    <xf numFmtId="0" fontId="34" fillId="33" borderId="237"/>
    <xf numFmtId="0" fontId="45" fillId="56" borderId="234" applyNumberFormat="0" applyAlignment="0" applyProtection="0"/>
    <xf numFmtId="0" fontId="32" fillId="32" borderId="237">
      <alignment horizontal="right" vertical="center"/>
    </xf>
    <xf numFmtId="0" fontId="34" fillId="0" borderId="237">
      <alignment horizontal="right" vertical="center"/>
    </xf>
    <xf numFmtId="0" fontId="65" fillId="0" borderId="235" applyNumberFormat="0" applyFill="0" applyAlignment="0" applyProtection="0"/>
    <xf numFmtId="0" fontId="34" fillId="32" borderId="238">
      <alignment horizontal="left" vertical="center"/>
    </xf>
    <xf numFmtId="0" fontId="58" fillId="43" borderId="234" applyNumberFormat="0" applyAlignment="0" applyProtection="0"/>
    <xf numFmtId="173" fontId="34" fillId="60" borderId="237" applyNumberFormat="0" applyFont="0" applyBorder="0" applyAlignment="0" applyProtection="0">
      <alignment horizontal="right" vertical="center"/>
    </xf>
    <xf numFmtId="0" fontId="40" fillId="59" borderId="236" applyNumberFormat="0" applyFont="0" applyAlignment="0" applyProtection="0"/>
    <xf numFmtId="0" fontId="34" fillId="0" borderId="240">
      <alignment horizontal="left" vertical="center" wrapText="1" indent="2"/>
    </xf>
    <xf numFmtId="4" fontId="34" fillId="33" borderId="237"/>
    <xf numFmtId="49" fontId="33" fillId="0" borderId="237" applyNumberFormat="0" applyFill="0" applyBorder="0" applyProtection="0">
      <alignment horizontal="left" vertical="center"/>
    </xf>
    <xf numFmtId="0" fontId="34" fillId="0" borderId="237">
      <alignment horizontal="right" vertical="center"/>
    </xf>
    <xf numFmtId="4" fontId="32" fillId="34" borderId="239">
      <alignment horizontal="right" vertical="center"/>
    </xf>
    <xf numFmtId="4" fontId="32" fillId="34" borderId="237">
      <alignment horizontal="right" vertical="center"/>
    </xf>
    <xf numFmtId="4" fontId="32" fillId="34" borderId="237">
      <alignment horizontal="right" vertical="center"/>
    </xf>
    <xf numFmtId="0" fontId="36" fillId="32" borderId="237">
      <alignment horizontal="right" vertical="center"/>
    </xf>
    <xf numFmtId="0" fontId="32" fillId="32" borderId="237">
      <alignment horizontal="right" vertical="center"/>
    </xf>
    <xf numFmtId="49" fontId="34" fillId="0" borderId="237" applyNumberFormat="0" applyFont="0" applyFill="0" applyBorder="0" applyProtection="0">
      <alignment horizontal="left" vertical="center" indent="2"/>
    </xf>
    <xf numFmtId="0" fontId="58" fillId="43" borderId="234" applyNumberFormat="0" applyAlignment="0" applyProtection="0"/>
    <xf numFmtId="0" fontId="43" fillId="56" borderId="233" applyNumberFormat="0" applyAlignment="0" applyProtection="0"/>
    <xf numFmtId="49" fontId="34" fillId="0" borderId="237" applyNumberFormat="0" applyFont="0" applyFill="0" applyBorder="0" applyProtection="0">
      <alignment horizontal="left" vertical="center" indent="2"/>
    </xf>
    <xf numFmtId="0" fontId="49" fillId="43" borderId="234" applyNumberFormat="0" applyAlignment="0" applyProtection="0"/>
    <xf numFmtId="4" fontId="34" fillId="0" borderId="237" applyFill="0" applyBorder="0" applyProtection="0">
      <alignment horizontal="right" vertical="center"/>
    </xf>
    <xf numFmtId="0" fontId="46" fillId="56" borderId="234" applyNumberFormat="0" applyAlignment="0" applyProtection="0"/>
    <xf numFmtId="0" fontId="65" fillId="0" borderId="235" applyNumberFormat="0" applyFill="0" applyAlignment="0" applyProtection="0"/>
    <xf numFmtId="0" fontId="62" fillId="56" borderId="233" applyNumberFormat="0" applyAlignment="0" applyProtection="0"/>
    <xf numFmtId="0" fontId="34" fillId="0" borderId="237" applyNumberFormat="0" applyFill="0" applyAlignment="0" applyProtection="0"/>
    <xf numFmtId="4" fontId="34" fillId="0" borderId="237">
      <alignment horizontal="right" vertical="center"/>
    </xf>
    <xf numFmtId="0" fontId="34" fillId="0" borderId="237">
      <alignment horizontal="right" vertical="center"/>
    </xf>
    <xf numFmtId="0" fontId="58" fillId="43" borderId="234" applyNumberFormat="0" applyAlignment="0" applyProtection="0"/>
    <xf numFmtId="0" fontId="43" fillId="56" borderId="233" applyNumberFormat="0" applyAlignment="0" applyProtection="0"/>
    <xf numFmtId="0" fontId="45" fillId="56" borderId="234" applyNumberFormat="0" applyAlignment="0" applyProtection="0"/>
    <xf numFmtId="0" fontId="34" fillId="34" borderId="240">
      <alignment horizontal="left" vertical="center" wrapText="1" indent="2"/>
    </xf>
    <xf numFmtId="0" fontId="46" fillId="56" borderId="234" applyNumberFormat="0" applyAlignment="0" applyProtection="0"/>
    <xf numFmtId="0" fontId="46" fillId="56" borderId="234" applyNumberFormat="0" applyAlignment="0" applyProtection="0"/>
    <xf numFmtId="4" fontId="32" fillId="34" borderId="238">
      <alignment horizontal="right" vertical="center"/>
    </xf>
    <xf numFmtId="0" fontId="32" fillId="34" borderId="238">
      <alignment horizontal="right" vertical="center"/>
    </xf>
    <xf numFmtId="0" fontId="32" fillId="34" borderId="237">
      <alignment horizontal="right" vertical="center"/>
    </xf>
    <xf numFmtId="4" fontId="36" fillId="32" borderId="237">
      <alignment horizontal="right" vertical="center"/>
    </xf>
    <xf numFmtId="0" fontId="49" fillId="43" borderId="234" applyNumberFormat="0" applyAlignment="0" applyProtection="0"/>
    <xf numFmtId="0" fontId="50" fillId="0" borderId="235" applyNumberFormat="0" applyFill="0" applyAlignment="0" applyProtection="0"/>
    <xf numFmtId="0" fontId="65" fillId="0" borderId="235" applyNumberFormat="0" applyFill="0" applyAlignment="0" applyProtection="0"/>
    <xf numFmtId="0" fontId="40" fillId="59" borderId="236" applyNumberFormat="0" applyFont="0" applyAlignment="0" applyProtection="0"/>
    <xf numFmtId="0" fontId="58" fillId="43" borderId="234" applyNumberFormat="0" applyAlignment="0" applyProtection="0"/>
    <xf numFmtId="49" fontId="33" fillId="0" borderId="237" applyNumberFormat="0" applyFill="0" applyBorder="0" applyProtection="0">
      <alignment horizontal="left" vertical="center"/>
    </xf>
    <xf numFmtId="0" fontId="34" fillId="34" borderId="240">
      <alignment horizontal="left" vertical="center" wrapText="1" indent="2"/>
    </xf>
    <xf numFmtId="0" fontId="46" fillId="56" borderId="234" applyNumberFormat="0" applyAlignment="0" applyProtection="0"/>
    <xf numFmtId="0" fontId="34" fillId="0" borderId="240">
      <alignment horizontal="left" vertical="center" wrapText="1" indent="2"/>
    </xf>
    <xf numFmtId="0" fontId="40" fillId="59" borderId="236" applyNumberFormat="0" applyFont="0" applyAlignment="0" applyProtection="0"/>
    <xf numFmtId="0" fontId="5" fillId="59" borderId="236" applyNumberFormat="0" applyFont="0" applyAlignment="0" applyProtection="0"/>
    <xf numFmtId="0" fontId="62" fillId="56" borderId="233" applyNumberFormat="0" applyAlignment="0" applyProtection="0"/>
    <xf numFmtId="0" fontId="65" fillId="0" borderId="235" applyNumberFormat="0" applyFill="0" applyAlignment="0" applyProtection="0"/>
    <xf numFmtId="4" fontId="34" fillId="33" borderId="237"/>
    <xf numFmtId="0" fontId="32" fillId="34" borderId="237">
      <alignment horizontal="right" vertical="center"/>
    </xf>
    <xf numFmtId="0" fontId="65" fillId="0" borderId="235" applyNumberFormat="0" applyFill="0" applyAlignment="0" applyProtection="0"/>
    <xf numFmtId="4" fontId="32" fillId="34" borderId="239">
      <alignment horizontal="right" vertical="center"/>
    </xf>
    <xf numFmtId="0" fontId="45" fillId="56" borderId="234" applyNumberFormat="0" applyAlignment="0" applyProtection="0"/>
    <xf numFmtId="0" fontId="32" fillId="34" borderId="238">
      <alignment horizontal="right" vertical="center"/>
    </xf>
    <xf numFmtId="0" fontId="46" fillId="56" borderId="234" applyNumberFormat="0" applyAlignment="0" applyProtection="0"/>
    <xf numFmtId="0" fontId="50" fillId="0" borderId="235" applyNumberFormat="0" applyFill="0" applyAlignment="0" applyProtection="0"/>
    <xf numFmtId="0" fontId="40" fillId="59" borderId="236" applyNumberFormat="0" applyFont="0" applyAlignment="0" applyProtection="0"/>
    <xf numFmtId="4" fontId="32" fillId="34" borderId="238">
      <alignment horizontal="right" vertical="center"/>
    </xf>
    <xf numFmtId="0" fontId="34" fillId="34" borderId="240">
      <alignment horizontal="left" vertical="center" wrapText="1" indent="2"/>
    </xf>
    <xf numFmtId="0" fontId="34" fillId="33" borderId="237"/>
    <xf numFmtId="173" fontId="34" fillId="60" borderId="237" applyNumberFormat="0" applyFont="0" applyBorder="0" applyAlignment="0" applyProtection="0">
      <alignment horizontal="right" vertical="center"/>
    </xf>
    <xf numFmtId="0" fontId="34" fillId="0" borderId="237" applyNumberFormat="0" applyFill="0" applyAlignment="0" applyProtection="0"/>
    <xf numFmtId="4" fontId="34" fillId="0" borderId="237" applyFill="0" applyBorder="0" applyProtection="0">
      <alignment horizontal="right" vertical="center"/>
    </xf>
    <xf numFmtId="4" fontId="32" fillId="32" borderId="237">
      <alignment horizontal="right" vertical="center"/>
    </xf>
    <xf numFmtId="0" fontId="50" fillId="0" borderId="235" applyNumberFormat="0" applyFill="0" applyAlignment="0" applyProtection="0"/>
    <xf numFmtId="49" fontId="33" fillId="0" borderId="237" applyNumberFormat="0" applyFill="0" applyBorder="0" applyProtection="0">
      <alignment horizontal="left" vertical="center"/>
    </xf>
    <xf numFmtId="49" fontId="34" fillId="0" borderId="238" applyNumberFormat="0" applyFont="0" applyFill="0" applyBorder="0" applyProtection="0">
      <alignment horizontal="left" vertical="center" indent="5"/>
    </xf>
    <xf numFmtId="0" fontId="34" fillId="32" borderId="238">
      <alignment horizontal="left" vertical="center"/>
    </xf>
    <xf numFmtId="0" fontId="46" fillId="56" borderId="234" applyNumberFormat="0" applyAlignment="0" applyProtection="0"/>
    <xf numFmtId="4" fontId="32" fillId="34" borderId="239">
      <alignment horizontal="right" vertical="center"/>
    </xf>
    <xf numFmtId="0" fontId="58" fillId="43" borderId="234" applyNumberFormat="0" applyAlignment="0" applyProtection="0"/>
    <xf numFmtId="0" fontId="58" fillId="43" borderId="234" applyNumberFormat="0" applyAlignment="0" applyProtection="0"/>
    <xf numFmtId="0" fontId="40" fillId="59" borderId="236" applyNumberFormat="0" applyFont="0" applyAlignment="0" applyProtection="0"/>
    <xf numFmtId="0" fontId="62" fillId="56" borderId="233" applyNumberFormat="0" applyAlignment="0" applyProtection="0"/>
    <xf numFmtId="0" fontId="65" fillId="0" borderId="235" applyNumberFormat="0" applyFill="0" applyAlignment="0" applyProtection="0"/>
    <xf numFmtId="0" fontId="32" fillId="34" borderId="237">
      <alignment horizontal="right" vertical="center"/>
    </xf>
    <xf numFmtId="0" fontId="5" fillId="59" borderId="236" applyNumberFormat="0" applyFont="0" applyAlignment="0" applyProtection="0"/>
    <xf numFmtId="4" fontId="34" fillId="0" borderId="237">
      <alignment horizontal="right" vertical="center"/>
    </xf>
    <xf numFmtId="0" fontId="65" fillId="0" borderId="235" applyNumberFormat="0" applyFill="0" applyAlignment="0" applyProtection="0"/>
    <xf numFmtId="0" fontId="32" fillId="34" borderId="237">
      <alignment horizontal="right" vertical="center"/>
    </xf>
    <xf numFmtId="0" fontId="32" fillId="34" borderId="237">
      <alignment horizontal="right" vertical="center"/>
    </xf>
    <xf numFmtId="4" fontId="36" fillId="32" borderId="237">
      <alignment horizontal="right" vertical="center"/>
    </xf>
    <xf numFmtId="0" fontId="32" fillId="32" borderId="237">
      <alignment horizontal="right" vertical="center"/>
    </xf>
    <xf numFmtId="4" fontId="32" fillId="32" borderId="237">
      <alignment horizontal="right" vertical="center"/>
    </xf>
    <xf numFmtId="0" fontId="36" fillId="32" borderId="237">
      <alignment horizontal="right" vertical="center"/>
    </xf>
    <xf numFmtId="4" fontId="36" fillId="32" borderId="237">
      <alignment horizontal="right" vertical="center"/>
    </xf>
    <xf numFmtId="0" fontId="32" fillId="34" borderId="237">
      <alignment horizontal="right" vertical="center"/>
    </xf>
    <xf numFmtId="4" fontId="32" fillId="34" borderId="237">
      <alignment horizontal="right" vertical="center"/>
    </xf>
    <xf numFmtId="0" fontId="32" fillId="34" borderId="237">
      <alignment horizontal="right" vertical="center"/>
    </xf>
    <xf numFmtId="4" fontId="32" fillId="34" borderId="237">
      <alignment horizontal="right" vertical="center"/>
    </xf>
    <xf numFmtId="0" fontId="32" fillId="34" borderId="238">
      <alignment horizontal="right" vertical="center"/>
    </xf>
    <xf numFmtId="4" fontId="32" fillId="34" borderId="238">
      <alignment horizontal="right" vertical="center"/>
    </xf>
    <xf numFmtId="0" fontId="32" fillId="34" borderId="239">
      <alignment horizontal="right" vertical="center"/>
    </xf>
    <xf numFmtId="4" fontId="32" fillId="34" borderId="239">
      <alignment horizontal="right" vertical="center"/>
    </xf>
    <xf numFmtId="0" fontId="46" fillId="56" borderId="234" applyNumberFormat="0" applyAlignment="0" applyProtection="0"/>
    <xf numFmtId="0" fontId="34" fillId="34" borderId="240">
      <alignment horizontal="left" vertical="center" wrapText="1" indent="2"/>
    </xf>
    <xf numFmtId="0" fontId="34" fillId="0" borderId="240">
      <alignment horizontal="left" vertical="center" wrapText="1" indent="2"/>
    </xf>
    <xf numFmtId="0" fontId="34" fillId="32" borderId="238">
      <alignment horizontal="left" vertical="center"/>
    </xf>
    <xf numFmtId="0" fontId="58" fillId="43" borderId="234" applyNumberFormat="0" applyAlignment="0" applyProtection="0"/>
    <xf numFmtId="0" fontId="34" fillId="0" borderId="237">
      <alignment horizontal="right" vertical="center"/>
    </xf>
    <xf numFmtId="4" fontId="34" fillId="0" borderId="237">
      <alignment horizontal="right" vertical="center"/>
    </xf>
    <xf numFmtId="0" fontId="34" fillId="0" borderId="237" applyNumberFormat="0" applyFill="0" applyAlignment="0" applyProtection="0"/>
    <xf numFmtId="0" fontId="62" fillId="56" borderId="233" applyNumberFormat="0" applyAlignment="0" applyProtection="0"/>
    <xf numFmtId="173" fontId="34" fillId="60" borderId="237" applyNumberFormat="0" applyFont="0" applyBorder="0" applyAlignment="0" applyProtection="0">
      <alignment horizontal="right" vertical="center"/>
    </xf>
    <xf numFmtId="0" fontId="34" fillId="33" borderId="237"/>
    <xf numFmtId="4" fontId="34" fillId="33" borderId="237"/>
    <xf numFmtId="0" fontId="65" fillId="0" borderId="235" applyNumberFormat="0" applyFill="0" applyAlignment="0" applyProtection="0"/>
    <xf numFmtId="0" fontId="5" fillId="59" borderId="236" applyNumberFormat="0" applyFont="0" applyAlignment="0" applyProtection="0"/>
    <xf numFmtId="0" fontId="40" fillId="59" borderId="236" applyNumberFormat="0" applyFont="0" applyAlignment="0" applyProtection="0"/>
    <xf numFmtId="0" fontId="34" fillId="0" borderId="237" applyNumberFormat="0" applyFill="0" applyAlignment="0" applyProtection="0"/>
    <xf numFmtId="0" fontId="50" fillId="0" borderId="235" applyNumberFormat="0" applyFill="0" applyAlignment="0" applyProtection="0"/>
    <xf numFmtId="0" fontId="65" fillId="0" borderId="235" applyNumberFormat="0" applyFill="0" applyAlignment="0" applyProtection="0"/>
    <xf numFmtId="0" fontId="49" fillId="43" borderId="234" applyNumberFormat="0" applyAlignment="0" applyProtection="0"/>
    <xf numFmtId="0" fontId="46" fillId="56" borderId="234" applyNumberFormat="0" applyAlignment="0" applyProtection="0"/>
    <xf numFmtId="4" fontId="36" fillId="32" borderId="237">
      <alignment horizontal="right" vertical="center"/>
    </xf>
    <xf numFmtId="0" fontId="32" fillId="32" borderId="237">
      <alignment horizontal="right" vertical="center"/>
    </xf>
    <xf numFmtId="173" fontId="34" fillId="60" borderId="237" applyNumberFormat="0" applyFont="0" applyBorder="0" applyAlignment="0" applyProtection="0">
      <alignment horizontal="right" vertical="center"/>
    </xf>
    <xf numFmtId="0" fontId="50" fillId="0" borderId="235" applyNumberFormat="0" applyFill="0" applyAlignment="0" applyProtection="0"/>
    <xf numFmtId="49" fontId="34" fillId="0" borderId="237" applyNumberFormat="0" applyFont="0" applyFill="0" applyBorder="0" applyProtection="0">
      <alignment horizontal="left" vertical="center" indent="2"/>
    </xf>
    <xf numFmtId="49" fontId="34" fillId="0" borderId="238" applyNumberFormat="0" applyFont="0" applyFill="0" applyBorder="0" applyProtection="0">
      <alignment horizontal="left" vertical="center" indent="5"/>
    </xf>
    <xf numFmtId="49" fontId="34" fillId="0" borderId="237" applyNumberFormat="0" applyFont="0" applyFill="0" applyBorder="0" applyProtection="0">
      <alignment horizontal="left" vertical="center" indent="2"/>
    </xf>
    <xf numFmtId="4" fontId="34" fillId="0" borderId="237" applyFill="0" applyBorder="0" applyProtection="0">
      <alignment horizontal="right" vertical="center"/>
    </xf>
    <xf numFmtId="49" fontId="33" fillId="0" borderId="237" applyNumberFormat="0" applyFill="0" applyBorder="0" applyProtection="0">
      <alignment horizontal="left" vertical="center"/>
    </xf>
    <xf numFmtId="0" fontId="34" fillId="0" borderId="240">
      <alignment horizontal="left" vertical="center" wrapText="1" indent="2"/>
    </xf>
    <xf numFmtId="0" fontId="62" fillId="56" borderId="233" applyNumberFormat="0" applyAlignment="0" applyProtection="0"/>
    <xf numFmtId="0" fontId="32" fillId="34" borderId="239">
      <alignment horizontal="right" vertical="center"/>
    </xf>
    <xf numFmtId="0" fontId="49" fillId="43" borderId="234" applyNumberFormat="0" applyAlignment="0" applyProtection="0"/>
    <xf numFmtId="0" fontId="32" fillId="34" borderId="239">
      <alignment horizontal="right" vertical="center"/>
    </xf>
    <xf numFmtId="4" fontId="32" fillId="34" borderId="237">
      <alignment horizontal="right" vertical="center"/>
    </xf>
    <xf numFmtId="0" fontId="32" fillId="34" borderId="237">
      <alignment horizontal="right" vertical="center"/>
    </xf>
    <xf numFmtId="0" fontId="43" fillId="56" borderId="233" applyNumberFormat="0" applyAlignment="0" applyProtection="0"/>
    <xf numFmtId="0" fontId="45" fillId="56" borderId="234" applyNumberFormat="0" applyAlignment="0" applyProtection="0"/>
    <xf numFmtId="0" fontId="50" fillId="0" borderId="235" applyNumberFormat="0" applyFill="0" applyAlignment="0" applyProtection="0"/>
    <xf numFmtId="0" fontId="34" fillId="33" borderId="237"/>
    <xf numFmtId="4" fontId="34" fillId="33" borderId="237"/>
    <xf numFmtId="4" fontId="32" fillId="34" borderId="237">
      <alignment horizontal="right" vertical="center"/>
    </xf>
    <xf numFmtId="0" fontId="36" fillId="32" borderId="237">
      <alignment horizontal="right" vertical="center"/>
    </xf>
    <xf numFmtId="0" fontId="49" fillId="43" borderId="234" applyNumberFormat="0" applyAlignment="0" applyProtection="0"/>
    <xf numFmtId="0" fontId="46" fillId="56" borderId="234" applyNumberFormat="0" applyAlignment="0" applyProtection="0"/>
    <xf numFmtId="4" fontId="34" fillId="0" borderId="237">
      <alignment horizontal="right" vertical="center"/>
    </xf>
    <xf numFmtId="0" fontId="34" fillId="34" borderId="240">
      <alignment horizontal="left" vertical="center" wrapText="1" indent="2"/>
    </xf>
    <xf numFmtId="0" fontId="34" fillId="0" borderId="240">
      <alignment horizontal="left" vertical="center" wrapText="1" indent="2"/>
    </xf>
    <xf numFmtId="0" fontId="62" fillId="56" borderId="233" applyNumberFormat="0" applyAlignment="0" applyProtection="0"/>
    <xf numFmtId="0" fontId="58" fillId="43" borderId="234" applyNumberFormat="0" applyAlignment="0" applyProtection="0"/>
    <xf numFmtId="0" fontId="45" fillId="56" borderId="234" applyNumberFormat="0" applyAlignment="0" applyProtection="0"/>
    <xf numFmtId="0" fontId="43" fillId="56" borderId="233" applyNumberFormat="0" applyAlignment="0" applyProtection="0"/>
    <xf numFmtId="0" fontId="32" fillId="34" borderId="239">
      <alignment horizontal="right" vertical="center"/>
    </xf>
    <xf numFmtId="0" fontId="36" fillId="32" borderId="237">
      <alignment horizontal="right" vertical="center"/>
    </xf>
    <xf numFmtId="4" fontId="32" fillId="32" borderId="237">
      <alignment horizontal="right" vertical="center"/>
    </xf>
    <xf numFmtId="4" fontId="32" fillId="34" borderId="237">
      <alignment horizontal="right" vertical="center"/>
    </xf>
    <xf numFmtId="49" fontId="34" fillId="0" borderId="238" applyNumberFormat="0" applyFont="0" applyFill="0" applyBorder="0" applyProtection="0">
      <alignment horizontal="left" vertical="center" indent="5"/>
    </xf>
    <xf numFmtId="4" fontId="34" fillId="0" borderId="237" applyFill="0" applyBorder="0" applyProtection="0">
      <alignment horizontal="right" vertical="center"/>
    </xf>
    <xf numFmtId="4" fontId="32" fillId="32" borderId="237">
      <alignment horizontal="right" vertical="center"/>
    </xf>
    <xf numFmtId="0" fontId="58" fillId="43" borderId="234" applyNumberFormat="0" applyAlignment="0" applyProtection="0"/>
    <xf numFmtId="0" fontId="49" fillId="43" borderId="234" applyNumberFormat="0" applyAlignment="0" applyProtection="0"/>
    <xf numFmtId="0" fontId="45" fillId="56" borderId="234" applyNumberFormat="0" applyAlignment="0" applyProtection="0"/>
    <xf numFmtId="0" fontId="34" fillId="34" borderId="240">
      <alignment horizontal="left" vertical="center" wrapText="1" indent="2"/>
    </xf>
    <xf numFmtId="0" fontId="34" fillId="0" borderId="240">
      <alignment horizontal="left" vertical="center" wrapText="1" indent="2"/>
    </xf>
    <xf numFmtId="0" fontId="34" fillId="34" borderId="240">
      <alignment horizontal="left" vertical="center" wrapText="1" indent="2"/>
    </xf>
    <xf numFmtId="0" fontId="32" fillId="32" borderId="244">
      <alignment horizontal="right" vertical="center"/>
    </xf>
    <xf numFmtId="0" fontId="34" fillId="0" borderId="253" applyNumberFormat="0" applyFill="0" applyAlignment="0" applyProtection="0"/>
    <xf numFmtId="49" fontId="34" fillId="0" borderId="258" applyNumberFormat="0" applyFont="0" applyFill="0" applyBorder="0" applyProtection="0">
      <alignment horizontal="left" vertical="center" indent="2"/>
    </xf>
    <xf numFmtId="4" fontId="32" fillId="32" borderId="268">
      <alignment horizontal="right" vertical="center"/>
    </xf>
    <xf numFmtId="4" fontId="32" fillId="34" borderId="270">
      <alignment horizontal="right" vertical="center"/>
    </xf>
    <xf numFmtId="0" fontId="34" fillId="33" borderId="253"/>
    <xf numFmtId="0" fontId="46" fillId="56" borderId="250" applyNumberFormat="0" applyAlignment="0" applyProtection="0"/>
    <xf numFmtId="4" fontId="32" fillId="34" borderId="253">
      <alignment horizontal="right" vertical="center"/>
    </xf>
    <xf numFmtId="0" fontId="34" fillId="0" borderId="256">
      <alignment horizontal="left" vertical="center" wrapText="1" indent="2"/>
    </xf>
    <xf numFmtId="0" fontId="34" fillId="33" borderId="253"/>
    <xf numFmtId="0" fontId="45" fillId="56" borderId="250" applyNumberFormat="0" applyAlignment="0" applyProtection="0"/>
    <xf numFmtId="0" fontId="65" fillId="0" borderId="266" applyNumberFormat="0" applyFill="0" applyAlignment="0" applyProtection="0"/>
    <xf numFmtId="49" fontId="34" fillId="0" borderId="258" applyNumberFormat="0" applyFont="0" applyFill="0" applyBorder="0" applyProtection="0">
      <alignment horizontal="left" vertical="center" indent="2"/>
    </xf>
    <xf numFmtId="4" fontId="32" fillId="34" borderId="254">
      <alignment horizontal="right" vertical="center"/>
    </xf>
    <xf numFmtId="0" fontId="34" fillId="33" borderId="258"/>
    <xf numFmtId="4" fontId="32" fillId="34" borderId="258">
      <alignment horizontal="right" vertical="center"/>
    </xf>
    <xf numFmtId="0" fontId="62" fillId="56" borderId="262" applyNumberFormat="0" applyAlignment="0" applyProtection="0"/>
    <xf numFmtId="0" fontId="32" fillId="34" borderId="253">
      <alignment horizontal="right" vertical="center"/>
    </xf>
    <xf numFmtId="0" fontId="32" fillId="34" borderId="258">
      <alignment horizontal="right" vertical="center"/>
    </xf>
    <xf numFmtId="173" fontId="34" fillId="60" borderId="274" applyNumberFormat="0" applyFont="0" applyBorder="0" applyAlignment="0" applyProtection="0">
      <alignment horizontal="right" vertical="center"/>
    </xf>
    <xf numFmtId="0" fontId="65" fillId="0" borderId="251" applyNumberFormat="0" applyFill="0" applyAlignment="0" applyProtection="0"/>
    <xf numFmtId="0" fontId="40" fillId="59" borderId="257" applyNumberFormat="0" applyFont="0" applyAlignment="0" applyProtection="0"/>
    <xf numFmtId="173" fontId="34" fillId="60" borderId="253" applyNumberFormat="0" applyFont="0" applyBorder="0" applyAlignment="0" applyProtection="0">
      <alignment horizontal="right" vertical="center"/>
    </xf>
    <xf numFmtId="0" fontId="65" fillId="0" borderId="251" applyNumberFormat="0" applyFill="0" applyAlignment="0" applyProtection="0"/>
    <xf numFmtId="4" fontId="34" fillId="33" borderId="253"/>
    <xf numFmtId="0" fontId="58" fillId="43" borderId="250" applyNumberFormat="0" applyAlignment="0" applyProtection="0"/>
    <xf numFmtId="0" fontId="49" fillId="43" borderId="250" applyNumberFormat="0" applyAlignment="0" applyProtection="0"/>
    <xf numFmtId="0" fontId="65" fillId="0" borderId="288" applyNumberFormat="0" applyFill="0" applyAlignment="0" applyProtection="0"/>
    <xf numFmtId="0" fontId="34" fillId="32" borderId="259">
      <alignment horizontal="left" vertical="center"/>
    </xf>
    <xf numFmtId="0" fontId="46" fillId="56" borderId="250" applyNumberFormat="0" applyAlignment="0" applyProtection="0"/>
    <xf numFmtId="0" fontId="50" fillId="0" borderId="264" applyNumberFormat="0" applyFill="0" applyAlignment="0" applyProtection="0"/>
    <xf numFmtId="0" fontId="32" fillId="34" borderId="253">
      <alignment horizontal="right" vertical="center"/>
    </xf>
    <xf numFmtId="4" fontId="34" fillId="0" borderId="258" applyFill="0" applyBorder="0" applyProtection="0">
      <alignment horizontal="right" vertical="center"/>
    </xf>
    <xf numFmtId="0" fontId="32" fillId="34" borderId="293">
      <alignment horizontal="right" vertical="center"/>
    </xf>
    <xf numFmtId="0" fontId="32" fillId="34" borderId="253">
      <alignment horizontal="right" vertical="center"/>
    </xf>
    <xf numFmtId="0" fontId="32" fillId="34" borderId="268">
      <alignment horizontal="right" vertical="center"/>
    </xf>
    <xf numFmtId="49" fontId="34" fillId="0" borderId="258" applyNumberFormat="0" applyFont="0" applyFill="0" applyBorder="0" applyProtection="0">
      <alignment horizontal="left" vertical="center" indent="2"/>
    </xf>
    <xf numFmtId="0" fontId="45" fillId="56" borderId="263" applyNumberFormat="0" applyAlignment="0" applyProtection="0"/>
    <xf numFmtId="0" fontId="34" fillId="34" borderId="261">
      <alignment horizontal="left" vertical="center" wrapText="1" indent="2"/>
    </xf>
    <xf numFmtId="49" fontId="33" fillId="0" borderId="253" applyNumberFormat="0" applyFill="0" applyBorder="0" applyProtection="0">
      <alignment horizontal="left" vertical="center"/>
    </xf>
    <xf numFmtId="0" fontId="65" fillId="0" borderId="266" applyNumberFormat="0" applyFill="0" applyAlignment="0" applyProtection="0"/>
    <xf numFmtId="0" fontId="50" fillId="0" borderId="264" applyNumberFormat="0" applyFill="0" applyAlignment="0" applyProtection="0"/>
    <xf numFmtId="0" fontId="40" fillId="59" borderId="257" applyNumberFormat="0" applyFont="0" applyAlignment="0" applyProtection="0"/>
    <xf numFmtId="0" fontId="46" fillId="56" borderId="265" applyNumberFormat="0" applyAlignment="0" applyProtection="0"/>
    <xf numFmtId="4" fontId="32" fillId="34" borderId="258">
      <alignment horizontal="right" vertical="center"/>
    </xf>
    <xf numFmtId="0" fontId="12" fillId="28" borderId="0" applyNumberFormat="0" applyBorder="0" applyAlignment="0" applyProtection="0"/>
    <xf numFmtId="0" fontId="34" fillId="0" borderId="274" applyNumberFormat="0" applyFill="0" applyAlignment="0" applyProtection="0"/>
    <xf numFmtId="0" fontId="26" fillId="26" borderId="0" applyNumberFormat="0" applyBorder="0" applyAlignment="0" applyProtection="0"/>
    <xf numFmtId="0" fontId="32" fillId="34" borderId="270">
      <alignment horizontal="right" vertical="center"/>
    </xf>
    <xf numFmtId="0" fontId="26" fillId="23" borderId="0" applyNumberFormat="0" applyBorder="0" applyAlignment="0" applyProtection="0"/>
    <xf numFmtId="0" fontId="26" fillId="21" borderId="0" applyNumberFormat="0" applyBorder="0" applyAlignment="0" applyProtection="0"/>
    <xf numFmtId="0" fontId="26" fillId="15" borderId="0" applyNumberFormat="0" applyBorder="0" applyAlignment="0" applyProtection="0"/>
    <xf numFmtId="0" fontId="46" fillId="56" borderId="250" applyNumberFormat="0" applyAlignment="0" applyProtection="0"/>
    <xf numFmtId="0" fontId="32" fillId="34" borderId="274">
      <alignment horizontal="right" vertical="center"/>
    </xf>
    <xf numFmtId="0" fontId="26" fillId="29" borderId="0" applyNumberFormat="0" applyBorder="0" applyAlignment="0" applyProtection="0"/>
    <xf numFmtId="0" fontId="36" fillId="32" borderId="258">
      <alignment horizontal="right" vertical="center"/>
    </xf>
    <xf numFmtId="0" fontId="45" fillId="56" borderId="263" applyNumberFormat="0" applyAlignment="0" applyProtection="0"/>
    <xf numFmtId="4" fontId="32" fillId="34" borderId="244">
      <alignment horizontal="right" vertical="center"/>
    </xf>
    <xf numFmtId="0" fontId="34" fillId="33" borderId="244"/>
    <xf numFmtId="0" fontId="45" fillId="56" borderId="241" applyNumberFormat="0" applyAlignment="0" applyProtection="0"/>
    <xf numFmtId="0" fontId="32" fillId="32" borderId="244">
      <alignment horizontal="right" vertical="center"/>
    </xf>
    <xf numFmtId="0" fontId="34" fillId="0" borderId="244">
      <alignment horizontal="right" vertical="center"/>
    </xf>
    <xf numFmtId="0" fontId="65" fillId="0" borderId="242" applyNumberFormat="0" applyFill="0" applyAlignment="0" applyProtection="0"/>
    <xf numFmtId="0" fontId="34" fillId="32" borderId="245">
      <alignment horizontal="left" vertical="center"/>
    </xf>
    <xf numFmtId="0" fontId="58" fillId="43" borderId="241" applyNumberFormat="0" applyAlignment="0" applyProtection="0"/>
    <xf numFmtId="173" fontId="34" fillId="60" borderId="244" applyNumberFormat="0" applyFont="0" applyBorder="0" applyAlignment="0" applyProtection="0">
      <alignment horizontal="right" vertical="center"/>
    </xf>
    <xf numFmtId="0" fontId="40" fillId="59" borderId="243" applyNumberFormat="0" applyFont="0" applyAlignment="0" applyProtection="0"/>
    <xf numFmtId="0" fontId="34" fillId="0" borderId="247">
      <alignment horizontal="left" vertical="center" wrapText="1" indent="2"/>
    </xf>
    <xf numFmtId="4" fontId="34" fillId="33" borderId="244"/>
    <xf numFmtId="49" fontId="33" fillId="0" borderId="244" applyNumberFormat="0" applyFill="0" applyBorder="0" applyProtection="0">
      <alignment horizontal="left" vertical="center"/>
    </xf>
    <xf numFmtId="0" fontId="34" fillId="0" borderId="244">
      <alignment horizontal="right" vertical="center"/>
    </xf>
    <xf numFmtId="4" fontId="32" fillId="34" borderId="246">
      <alignment horizontal="right" vertical="center"/>
    </xf>
    <xf numFmtId="4" fontId="32" fillId="34" borderId="244">
      <alignment horizontal="right" vertical="center"/>
    </xf>
    <xf numFmtId="4" fontId="32" fillId="34" borderId="244">
      <alignment horizontal="right" vertical="center"/>
    </xf>
    <xf numFmtId="0" fontId="36" fillId="32" borderId="244">
      <alignment horizontal="right" vertical="center"/>
    </xf>
    <xf numFmtId="0" fontId="32" fillId="32" borderId="244">
      <alignment horizontal="right" vertical="center"/>
    </xf>
    <xf numFmtId="49" fontId="34" fillId="0" borderId="244" applyNumberFormat="0" applyFont="0" applyFill="0" applyBorder="0" applyProtection="0">
      <alignment horizontal="left" vertical="center" indent="2"/>
    </xf>
    <xf numFmtId="0" fontId="58" fillId="43" borderId="241" applyNumberFormat="0" applyAlignment="0" applyProtection="0"/>
    <xf numFmtId="0" fontId="43" fillId="56" borderId="248" applyNumberFormat="0" applyAlignment="0" applyProtection="0"/>
    <xf numFmtId="49" fontId="34" fillId="0" borderId="244" applyNumberFormat="0" applyFont="0" applyFill="0" applyBorder="0" applyProtection="0">
      <alignment horizontal="left" vertical="center" indent="2"/>
    </xf>
    <xf numFmtId="0" fontId="49" fillId="43" borderId="241" applyNumberFormat="0" applyAlignment="0" applyProtection="0"/>
    <xf numFmtId="4" fontId="34" fillId="0" borderId="244" applyFill="0" applyBorder="0" applyProtection="0">
      <alignment horizontal="right" vertical="center"/>
    </xf>
    <xf numFmtId="0" fontId="46" fillId="56" borderId="241" applyNumberFormat="0" applyAlignment="0" applyProtection="0"/>
    <xf numFmtId="0" fontId="65" fillId="0" borderId="242" applyNumberFormat="0" applyFill="0" applyAlignment="0" applyProtection="0"/>
    <xf numFmtId="0" fontId="62" fillId="56" borderId="248" applyNumberFormat="0" applyAlignment="0" applyProtection="0"/>
    <xf numFmtId="0" fontId="34" fillId="0" borderId="244" applyNumberFormat="0" applyFill="0" applyAlignment="0" applyProtection="0"/>
    <xf numFmtId="4" fontId="34" fillId="0" borderId="244">
      <alignment horizontal="right" vertical="center"/>
    </xf>
    <xf numFmtId="0" fontId="34" fillId="0" borderId="244">
      <alignment horizontal="right" vertical="center"/>
    </xf>
    <xf numFmtId="0" fontId="58" fillId="43" borderId="241" applyNumberFormat="0" applyAlignment="0" applyProtection="0"/>
    <xf numFmtId="0" fontId="43" fillId="56" borderId="248" applyNumberFormat="0" applyAlignment="0" applyProtection="0"/>
    <xf numFmtId="0" fontId="45" fillId="56" borderId="241" applyNumberFormat="0" applyAlignment="0" applyProtection="0"/>
    <xf numFmtId="0" fontId="34" fillId="34" borderId="247">
      <alignment horizontal="left" vertical="center" wrapText="1" indent="2"/>
    </xf>
    <xf numFmtId="0" fontId="46" fillId="56" borderId="241" applyNumberFormat="0" applyAlignment="0" applyProtection="0"/>
    <xf numFmtId="0" fontId="46" fillId="56" borderId="241" applyNumberFormat="0" applyAlignment="0" applyProtection="0"/>
    <xf numFmtId="4" fontId="32" fillId="34" borderId="245">
      <alignment horizontal="right" vertical="center"/>
    </xf>
    <xf numFmtId="0" fontId="32" fillId="34" borderId="245">
      <alignment horizontal="right" vertical="center"/>
    </xf>
    <xf numFmtId="0" fontId="32" fillId="34" borderId="244">
      <alignment horizontal="right" vertical="center"/>
    </xf>
    <xf numFmtId="4" fontId="36" fillId="32" borderId="244">
      <alignment horizontal="right" vertical="center"/>
    </xf>
    <xf numFmtId="0" fontId="49" fillId="43" borderId="241" applyNumberFormat="0" applyAlignment="0" applyProtection="0"/>
    <xf numFmtId="0" fontId="50" fillId="0" borderId="242" applyNumberFormat="0" applyFill="0" applyAlignment="0" applyProtection="0"/>
    <xf numFmtId="0" fontId="65" fillId="0" borderId="242" applyNumberFormat="0" applyFill="0" applyAlignment="0" applyProtection="0"/>
    <xf numFmtId="0" fontId="40" fillId="59" borderId="243" applyNumberFormat="0" applyFont="0" applyAlignment="0" applyProtection="0"/>
    <xf numFmtId="0" fontId="58" fillId="43" borderId="241" applyNumberFormat="0" applyAlignment="0" applyProtection="0"/>
    <xf numFmtId="49" fontId="33" fillId="0" borderId="244" applyNumberFormat="0" applyFill="0" applyBorder="0" applyProtection="0">
      <alignment horizontal="left" vertical="center"/>
    </xf>
    <xf numFmtId="0" fontId="34" fillId="34" borderId="247">
      <alignment horizontal="left" vertical="center" wrapText="1" indent="2"/>
    </xf>
    <xf numFmtId="0" fontId="46" fillId="56" borderId="241" applyNumberFormat="0" applyAlignment="0" applyProtection="0"/>
    <xf numFmtId="0" fontId="34" fillId="0" borderId="247">
      <alignment horizontal="left" vertical="center" wrapText="1" indent="2"/>
    </xf>
    <xf numFmtId="0" fontId="40" fillId="59" borderId="243" applyNumberFormat="0" applyFont="0" applyAlignment="0" applyProtection="0"/>
    <xf numFmtId="0" fontId="5" fillId="59" borderId="243" applyNumberFormat="0" applyFont="0" applyAlignment="0" applyProtection="0"/>
    <xf numFmtId="0" fontId="62" fillId="56" borderId="248" applyNumberFormat="0" applyAlignment="0" applyProtection="0"/>
    <xf numFmtId="0" fontId="65" fillId="0" borderId="242" applyNumberFormat="0" applyFill="0" applyAlignment="0" applyProtection="0"/>
    <xf numFmtId="4" fontId="34" fillId="33" borderId="244"/>
    <xf numFmtId="0" fontId="32" fillId="34" borderId="244">
      <alignment horizontal="right" vertical="center"/>
    </xf>
    <xf numFmtId="0" fontId="65" fillId="0" borderId="242" applyNumberFormat="0" applyFill="0" applyAlignment="0" applyProtection="0"/>
    <xf numFmtId="4" fontId="32" fillId="34" borderId="246">
      <alignment horizontal="right" vertical="center"/>
    </xf>
    <xf numFmtId="0" fontId="45" fillId="56" borderId="241" applyNumberFormat="0" applyAlignment="0" applyProtection="0"/>
    <xf numFmtId="0" fontId="32" fillId="34" borderId="245">
      <alignment horizontal="right" vertical="center"/>
    </xf>
    <xf numFmtId="0" fontId="46" fillId="56" borderId="241" applyNumberFormat="0" applyAlignment="0" applyProtection="0"/>
    <xf numFmtId="0" fontId="50" fillId="0" borderId="242" applyNumberFormat="0" applyFill="0" applyAlignment="0" applyProtection="0"/>
    <xf numFmtId="0" fontId="40" fillId="59" borderId="243" applyNumberFormat="0" applyFont="0" applyAlignment="0" applyProtection="0"/>
    <xf numFmtId="4" fontId="32" fillId="34" borderId="245">
      <alignment horizontal="right" vertical="center"/>
    </xf>
    <xf numFmtId="0" fontId="34" fillId="34" borderId="247">
      <alignment horizontal="left" vertical="center" wrapText="1" indent="2"/>
    </xf>
    <xf numFmtId="0" fontId="34" fillId="33" borderId="244"/>
    <xf numFmtId="173" fontId="34" fillId="60" borderId="244" applyNumberFormat="0" applyFont="0" applyBorder="0" applyAlignment="0" applyProtection="0">
      <alignment horizontal="right" vertical="center"/>
    </xf>
    <xf numFmtId="0" fontId="34" fillId="0" borderId="244" applyNumberFormat="0" applyFill="0" applyAlignment="0" applyProtection="0"/>
    <xf numFmtId="4" fontId="34" fillId="0" borderId="244" applyFill="0" applyBorder="0" applyProtection="0">
      <alignment horizontal="right" vertical="center"/>
    </xf>
    <xf numFmtId="4" fontId="32" fillId="32" borderId="244">
      <alignment horizontal="right" vertical="center"/>
    </xf>
    <xf numFmtId="0" fontId="50" fillId="0" borderId="242" applyNumberFormat="0" applyFill="0" applyAlignment="0" applyProtection="0"/>
    <xf numFmtId="49" fontId="33" fillId="0" borderId="244" applyNumberFormat="0" applyFill="0" applyBorder="0" applyProtection="0">
      <alignment horizontal="left" vertical="center"/>
    </xf>
    <xf numFmtId="49" fontId="34" fillId="0" borderId="245" applyNumberFormat="0" applyFont="0" applyFill="0" applyBorder="0" applyProtection="0">
      <alignment horizontal="left" vertical="center" indent="5"/>
    </xf>
    <xf numFmtId="0" fontId="34" fillId="32" borderId="245">
      <alignment horizontal="left" vertical="center"/>
    </xf>
    <xf numFmtId="0" fontId="46" fillId="56" borderId="241" applyNumberFormat="0" applyAlignment="0" applyProtection="0"/>
    <xf numFmtId="4" fontId="32" fillId="34" borderId="246">
      <alignment horizontal="right" vertical="center"/>
    </xf>
    <xf numFmtId="0" fontId="58" fillId="43" borderId="241" applyNumberFormat="0" applyAlignment="0" applyProtection="0"/>
    <xf numFmtId="0" fontId="58" fillId="43" borderId="241" applyNumberFormat="0" applyAlignment="0" applyProtection="0"/>
    <xf numFmtId="0" fontId="40" fillId="59" borderId="243" applyNumberFormat="0" applyFont="0" applyAlignment="0" applyProtection="0"/>
    <xf numFmtId="0" fontId="62" fillId="56" borderId="248" applyNumberFormat="0" applyAlignment="0" applyProtection="0"/>
    <xf numFmtId="0" fontId="65" fillId="0" borderId="242" applyNumberFormat="0" applyFill="0" applyAlignment="0" applyProtection="0"/>
    <xf numFmtId="0" fontId="32" fillId="34" borderId="244">
      <alignment horizontal="right" vertical="center"/>
    </xf>
    <xf numFmtId="0" fontId="5" fillId="59" borderId="243" applyNumberFormat="0" applyFont="0" applyAlignment="0" applyProtection="0"/>
    <xf numFmtId="4" fontId="34" fillId="0" borderId="244">
      <alignment horizontal="right" vertical="center"/>
    </xf>
    <xf numFmtId="0" fontId="65" fillId="0" borderId="242" applyNumberFormat="0" applyFill="0" applyAlignment="0" applyProtection="0"/>
    <xf numFmtId="0" fontId="32" fillId="34" borderId="244">
      <alignment horizontal="right" vertical="center"/>
    </xf>
    <xf numFmtId="0" fontId="32" fillId="34" borderId="244">
      <alignment horizontal="right" vertical="center"/>
    </xf>
    <xf numFmtId="4" fontId="36" fillId="32" borderId="244">
      <alignment horizontal="right" vertical="center"/>
    </xf>
    <xf numFmtId="0" fontId="32" fillId="32" borderId="244">
      <alignment horizontal="right" vertical="center"/>
    </xf>
    <xf numFmtId="4" fontId="32" fillId="32" borderId="244">
      <alignment horizontal="right" vertical="center"/>
    </xf>
    <xf numFmtId="0" fontId="36" fillId="32" borderId="244">
      <alignment horizontal="right" vertical="center"/>
    </xf>
    <xf numFmtId="4" fontId="36" fillId="32" borderId="244">
      <alignment horizontal="right" vertical="center"/>
    </xf>
    <xf numFmtId="0" fontId="32" fillId="34" borderId="244">
      <alignment horizontal="right" vertical="center"/>
    </xf>
    <xf numFmtId="4" fontId="32" fillId="34" borderId="244">
      <alignment horizontal="right" vertical="center"/>
    </xf>
    <xf numFmtId="0" fontId="32" fillId="34" borderId="244">
      <alignment horizontal="right" vertical="center"/>
    </xf>
    <xf numFmtId="4" fontId="32" fillId="34" borderId="244">
      <alignment horizontal="right" vertical="center"/>
    </xf>
    <xf numFmtId="0" fontId="32" fillId="34" borderId="245">
      <alignment horizontal="right" vertical="center"/>
    </xf>
    <xf numFmtId="4" fontId="32" fillId="34" borderId="245">
      <alignment horizontal="right" vertical="center"/>
    </xf>
    <xf numFmtId="0" fontId="32" fillId="34" borderId="246">
      <alignment horizontal="right" vertical="center"/>
    </xf>
    <xf numFmtId="4" fontId="32" fillId="34" borderId="246">
      <alignment horizontal="right" vertical="center"/>
    </xf>
    <xf numFmtId="0" fontId="46" fillId="56" borderId="241" applyNumberFormat="0" applyAlignment="0" applyProtection="0"/>
    <xf numFmtId="0" fontId="34" fillId="34" borderId="247">
      <alignment horizontal="left" vertical="center" wrapText="1" indent="2"/>
    </xf>
    <xf numFmtId="0" fontId="34" fillId="0" borderId="247">
      <alignment horizontal="left" vertical="center" wrapText="1" indent="2"/>
    </xf>
    <xf numFmtId="0" fontId="34" fillId="32" borderId="245">
      <alignment horizontal="left" vertical="center"/>
    </xf>
    <xf numFmtId="0" fontId="58" fillId="43" borderId="241" applyNumberFormat="0" applyAlignment="0" applyProtection="0"/>
    <xf numFmtId="0" fontId="34" fillId="0" borderId="244">
      <alignment horizontal="right" vertical="center"/>
    </xf>
    <xf numFmtId="4" fontId="34" fillId="0" borderId="244">
      <alignment horizontal="right" vertical="center"/>
    </xf>
    <xf numFmtId="0" fontId="34" fillId="0" borderId="244" applyNumberFormat="0" applyFill="0" applyAlignment="0" applyProtection="0"/>
    <xf numFmtId="0" fontId="62" fillId="56" borderId="248" applyNumberFormat="0" applyAlignment="0" applyProtection="0"/>
    <xf numFmtId="173" fontId="34" fillId="60" borderId="244" applyNumberFormat="0" applyFont="0" applyBorder="0" applyAlignment="0" applyProtection="0">
      <alignment horizontal="right" vertical="center"/>
    </xf>
    <xf numFmtId="0" fontId="34" fillId="33" borderId="244"/>
    <xf numFmtId="4" fontId="34" fillId="33" borderId="244"/>
    <xf numFmtId="0" fontId="65" fillId="0" borderId="242" applyNumberFormat="0" applyFill="0" applyAlignment="0" applyProtection="0"/>
    <xf numFmtId="0" fontId="5" fillId="59" borderId="243" applyNumberFormat="0" applyFont="0" applyAlignment="0" applyProtection="0"/>
    <xf numFmtId="0" fontId="40" fillId="59" borderId="243" applyNumberFormat="0" applyFont="0" applyAlignment="0" applyProtection="0"/>
    <xf numFmtId="0" fontId="34" fillId="0" borderId="244" applyNumberFormat="0" applyFill="0" applyAlignment="0" applyProtection="0"/>
    <xf numFmtId="0" fontId="50" fillId="0" borderId="242" applyNumberFormat="0" applyFill="0" applyAlignment="0" applyProtection="0"/>
    <xf numFmtId="0" fontId="65" fillId="0" borderId="242" applyNumberFormat="0" applyFill="0" applyAlignment="0" applyProtection="0"/>
    <xf numFmtId="0" fontId="49" fillId="43" borderId="241" applyNumberFormat="0" applyAlignment="0" applyProtection="0"/>
    <xf numFmtId="0" fontId="46" fillId="56" borderId="241" applyNumberFormat="0" applyAlignment="0" applyProtection="0"/>
    <xf numFmtId="4" fontId="36" fillId="32" borderId="244">
      <alignment horizontal="right" vertical="center"/>
    </xf>
    <xf numFmtId="0" fontId="32" fillId="32" borderId="244">
      <alignment horizontal="right" vertical="center"/>
    </xf>
    <xf numFmtId="173" fontId="34" fillId="60" borderId="244" applyNumberFormat="0" applyFont="0" applyBorder="0" applyAlignment="0" applyProtection="0">
      <alignment horizontal="right" vertical="center"/>
    </xf>
    <xf numFmtId="0" fontId="50" fillId="0" borderId="242" applyNumberFormat="0" applyFill="0" applyAlignment="0" applyProtection="0"/>
    <xf numFmtId="49" fontId="34" fillId="0" borderId="244" applyNumberFormat="0" applyFont="0" applyFill="0" applyBorder="0" applyProtection="0">
      <alignment horizontal="left" vertical="center" indent="2"/>
    </xf>
    <xf numFmtId="49" fontId="34" fillId="0" borderId="245" applyNumberFormat="0" applyFont="0" applyFill="0" applyBorder="0" applyProtection="0">
      <alignment horizontal="left" vertical="center" indent="5"/>
    </xf>
    <xf numFmtId="49" fontId="34" fillId="0" borderId="244" applyNumberFormat="0" applyFont="0" applyFill="0" applyBorder="0" applyProtection="0">
      <alignment horizontal="left" vertical="center" indent="2"/>
    </xf>
    <xf numFmtId="4" fontId="34" fillId="0" borderId="244" applyFill="0" applyBorder="0" applyProtection="0">
      <alignment horizontal="right" vertical="center"/>
    </xf>
    <xf numFmtId="49" fontId="33" fillId="0" borderId="244" applyNumberFormat="0" applyFill="0" applyBorder="0" applyProtection="0">
      <alignment horizontal="left" vertical="center"/>
    </xf>
    <xf numFmtId="0" fontId="34" fillId="0" borderId="247">
      <alignment horizontal="left" vertical="center" wrapText="1" indent="2"/>
    </xf>
    <xf numFmtId="0" fontId="62" fillId="56" borderId="248" applyNumberFormat="0" applyAlignment="0" applyProtection="0"/>
    <xf numFmtId="0" fontId="32" fillId="34" borderId="246">
      <alignment horizontal="right" vertical="center"/>
    </xf>
    <xf numFmtId="0" fontId="49" fillId="43" borderId="241" applyNumberFormat="0" applyAlignment="0" applyProtection="0"/>
    <xf numFmtId="0" fontId="32" fillId="34" borderId="246">
      <alignment horizontal="right" vertical="center"/>
    </xf>
    <xf numFmtId="4" fontId="32" fillId="34" borderId="244">
      <alignment horizontal="right" vertical="center"/>
    </xf>
    <xf numFmtId="0" fontId="32" fillId="34" borderId="244">
      <alignment horizontal="right" vertical="center"/>
    </xf>
    <xf numFmtId="0" fontId="43" fillId="56" borderId="248" applyNumberFormat="0" applyAlignment="0" applyProtection="0"/>
    <xf numFmtId="0" fontId="45" fillId="56" borderId="241" applyNumberFormat="0" applyAlignment="0" applyProtection="0"/>
    <xf numFmtId="0" fontId="50" fillId="0" borderId="242" applyNumberFormat="0" applyFill="0" applyAlignment="0" applyProtection="0"/>
    <xf numFmtId="0" fontId="34" fillId="33" borderId="244"/>
    <xf numFmtId="4" fontId="34" fillId="33" borderId="244"/>
    <xf numFmtId="4" fontId="32" fillId="34" borderId="244">
      <alignment horizontal="right" vertical="center"/>
    </xf>
    <xf numFmtId="0" fontId="36" fillId="32" borderId="244">
      <alignment horizontal="right" vertical="center"/>
    </xf>
    <xf numFmtId="0" fontId="49" fillId="43" borderId="241" applyNumberFormat="0" applyAlignment="0" applyProtection="0"/>
    <xf numFmtId="0" fontId="46" fillId="56" borderId="241" applyNumberFormat="0" applyAlignment="0" applyProtection="0"/>
    <xf numFmtId="4" fontId="34" fillId="0" borderId="244">
      <alignment horizontal="right" vertical="center"/>
    </xf>
    <xf numFmtId="0" fontId="34" fillId="34" borderId="247">
      <alignment horizontal="left" vertical="center" wrapText="1" indent="2"/>
    </xf>
    <xf numFmtId="0" fontId="34" fillId="0" borderId="247">
      <alignment horizontal="left" vertical="center" wrapText="1" indent="2"/>
    </xf>
    <xf numFmtId="0" fontId="62" fillId="56" borderId="248" applyNumberFormat="0" applyAlignment="0" applyProtection="0"/>
    <xf numFmtId="0" fontId="58" fillId="43" borderId="241" applyNumberFormat="0" applyAlignment="0" applyProtection="0"/>
    <xf numFmtId="0" fontId="45" fillId="56" borderId="241" applyNumberFormat="0" applyAlignment="0" applyProtection="0"/>
    <xf numFmtId="0" fontId="43" fillId="56" borderId="248" applyNumberFormat="0" applyAlignment="0" applyProtection="0"/>
    <xf numFmtId="0" fontId="32" fillId="34" borderId="246">
      <alignment horizontal="right" vertical="center"/>
    </xf>
    <xf numFmtId="0" fontId="36" fillId="32" borderId="244">
      <alignment horizontal="right" vertical="center"/>
    </xf>
    <xf numFmtId="4" fontId="32" fillId="32" borderId="244">
      <alignment horizontal="right" vertical="center"/>
    </xf>
    <xf numFmtId="4" fontId="32" fillId="34" borderId="244">
      <alignment horizontal="right" vertical="center"/>
    </xf>
    <xf numFmtId="49" fontId="34" fillId="0" borderId="245" applyNumberFormat="0" applyFont="0" applyFill="0" applyBorder="0" applyProtection="0">
      <alignment horizontal="left" vertical="center" indent="5"/>
    </xf>
    <xf numFmtId="4" fontId="34" fillId="0" borderId="244" applyFill="0" applyBorder="0" applyProtection="0">
      <alignment horizontal="right" vertical="center"/>
    </xf>
    <xf numFmtId="4" fontId="32" fillId="32" borderId="244">
      <alignment horizontal="right" vertical="center"/>
    </xf>
    <xf numFmtId="0" fontId="34" fillId="0" borderId="271">
      <alignment horizontal="left" vertical="center" wrapText="1" indent="2"/>
    </xf>
    <xf numFmtId="0" fontId="58" fillId="43" borderId="241" applyNumberFormat="0" applyAlignment="0" applyProtection="0"/>
    <xf numFmtId="0" fontId="49" fillId="43" borderId="241" applyNumberFormat="0" applyAlignment="0" applyProtection="0"/>
    <xf numFmtId="0" fontId="45" fillId="56" borderId="241" applyNumberFormat="0" applyAlignment="0" applyProtection="0"/>
    <xf numFmtId="0" fontId="34" fillId="34" borderId="247">
      <alignment horizontal="left" vertical="center" wrapText="1" indent="2"/>
    </xf>
    <xf numFmtId="0" fontId="34" fillId="0" borderId="247">
      <alignment horizontal="left" vertical="center" wrapText="1" indent="2"/>
    </xf>
    <xf numFmtId="0" fontId="34" fillId="34" borderId="247">
      <alignment horizontal="left" vertical="center" wrapText="1" indent="2"/>
    </xf>
    <xf numFmtId="0" fontId="34" fillId="0" borderId="247">
      <alignment horizontal="left" vertical="center" wrapText="1" indent="2"/>
    </xf>
    <xf numFmtId="0" fontId="43" fillId="56" borderId="248" applyNumberFormat="0" applyAlignment="0" applyProtection="0"/>
    <xf numFmtId="0" fontId="45" fillId="56" borderId="241" applyNumberFormat="0" applyAlignment="0" applyProtection="0"/>
    <xf numFmtId="0" fontId="46" fillId="56" borderId="241" applyNumberFormat="0" applyAlignment="0" applyProtection="0"/>
    <xf numFmtId="0" fontId="49" fillId="43" borderId="241" applyNumberFormat="0" applyAlignment="0" applyProtection="0"/>
    <xf numFmtId="0" fontId="50" fillId="0" borderId="242" applyNumberFormat="0" applyFill="0" applyAlignment="0" applyProtection="0"/>
    <xf numFmtId="0" fontId="58" fillId="43" borderId="241" applyNumberFormat="0" applyAlignment="0" applyProtection="0"/>
    <xf numFmtId="0" fontId="40" fillId="59" borderId="243" applyNumberFormat="0" applyFont="0" applyAlignment="0" applyProtection="0"/>
    <xf numFmtId="0" fontId="5" fillId="59" borderId="243" applyNumberFormat="0" applyFont="0" applyAlignment="0" applyProtection="0"/>
    <xf numFmtId="0" fontId="62" fillId="56" borderId="248" applyNumberFormat="0" applyAlignment="0" applyProtection="0"/>
    <xf numFmtId="0" fontId="65" fillId="0" borderId="242" applyNumberFormat="0" applyFill="0" applyAlignment="0" applyProtection="0"/>
    <xf numFmtId="0" fontId="46" fillId="56" borderId="241" applyNumberFormat="0" applyAlignment="0" applyProtection="0"/>
    <xf numFmtId="0" fontId="58" fillId="43" borderId="241" applyNumberFormat="0" applyAlignment="0" applyProtection="0"/>
    <xf numFmtId="0" fontId="40" fillId="59" borderId="243" applyNumberFormat="0" applyFont="0" applyAlignment="0" applyProtection="0"/>
    <xf numFmtId="0" fontId="62" fillId="56" borderId="248" applyNumberFormat="0" applyAlignment="0" applyProtection="0"/>
    <xf numFmtId="0" fontId="65" fillId="0" borderId="242" applyNumberFormat="0" applyFill="0" applyAlignment="0" applyProtection="0"/>
    <xf numFmtId="0" fontId="32" fillId="34" borderId="255">
      <alignment horizontal="right" vertical="center"/>
    </xf>
    <xf numFmtId="0" fontId="1" fillId="0" borderId="0" applyNumberFormat="0" applyFill="0" applyBorder="0" applyAlignment="0" applyProtection="0"/>
    <xf numFmtId="49" fontId="34" fillId="0" borderId="268" applyNumberFormat="0" applyFont="0" applyFill="0" applyBorder="0" applyProtection="0">
      <alignment horizontal="left" vertical="center" indent="2"/>
    </xf>
    <xf numFmtId="0" fontId="30" fillId="0" borderId="0" applyNumberFormat="0" applyFill="0" applyBorder="0" applyAlignment="0" applyProtection="0"/>
    <xf numFmtId="0" fontId="46" fillId="56" borderId="241" applyNumberFormat="0" applyAlignment="0" applyProtection="0"/>
    <xf numFmtId="0" fontId="12" fillId="22" borderId="0" applyNumberFormat="0" applyBorder="0" applyAlignment="0" applyProtection="0"/>
    <xf numFmtId="0" fontId="32" fillId="32" borderId="253">
      <alignment horizontal="right" vertical="center"/>
    </xf>
    <xf numFmtId="4" fontId="32" fillId="34" borderId="253">
      <alignment horizontal="right" vertical="center"/>
    </xf>
    <xf numFmtId="0" fontId="58" fillId="43" borderId="241" applyNumberFormat="0" applyAlignment="0" applyProtection="0"/>
    <xf numFmtId="0" fontId="62" fillId="56" borderId="248" applyNumberFormat="0" applyAlignment="0" applyProtection="0"/>
    <xf numFmtId="0" fontId="65" fillId="0" borderId="242" applyNumberFormat="0" applyFill="0" applyAlignment="0" applyProtection="0"/>
    <xf numFmtId="49" fontId="34" fillId="0" borderId="253" applyNumberFormat="0" applyFont="0" applyFill="0" applyBorder="0" applyProtection="0">
      <alignment horizontal="left" vertical="center" indent="2"/>
    </xf>
    <xf numFmtId="0" fontId="43" fillId="56" borderId="248" applyNumberFormat="0" applyAlignment="0" applyProtection="0"/>
    <xf numFmtId="0" fontId="45" fillId="56" borderId="241" applyNumberFormat="0" applyAlignment="0" applyProtection="0"/>
    <xf numFmtId="0" fontId="50" fillId="0" borderId="242" applyNumberFormat="0" applyFill="0" applyAlignment="0" applyProtection="0"/>
    <xf numFmtId="49" fontId="34" fillId="0" borderId="244" applyNumberFormat="0" applyFont="0" applyFill="0" applyBorder="0" applyProtection="0">
      <alignment horizontal="left" vertical="center" indent="2"/>
    </xf>
    <xf numFmtId="0" fontId="32" fillId="32" borderId="244">
      <alignment horizontal="right" vertical="center"/>
    </xf>
    <xf numFmtId="4" fontId="32" fillId="32" borderId="244">
      <alignment horizontal="right" vertical="center"/>
    </xf>
    <xf numFmtId="0" fontId="36" fillId="32" borderId="244">
      <alignment horizontal="right" vertical="center"/>
    </xf>
    <xf numFmtId="4" fontId="36" fillId="32" borderId="244">
      <alignment horizontal="right" vertical="center"/>
    </xf>
    <xf numFmtId="0" fontId="32" fillId="34" borderId="244">
      <alignment horizontal="right" vertical="center"/>
    </xf>
    <xf numFmtId="4" fontId="32" fillId="34" borderId="244">
      <alignment horizontal="right" vertical="center"/>
    </xf>
    <xf numFmtId="0" fontId="32" fillId="34" borderId="244">
      <alignment horizontal="right" vertical="center"/>
    </xf>
    <xf numFmtId="4" fontId="32" fillId="34" borderId="244">
      <alignment horizontal="right" vertical="center"/>
    </xf>
    <xf numFmtId="0" fontId="49" fillId="43" borderId="241" applyNumberFormat="0" applyAlignment="0" applyProtection="0"/>
    <xf numFmtId="0" fontId="34" fillId="0" borderId="244">
      <alignment horizontal="right" vertical="center"/>
    </xf>
    <xf numFmtId="4" fontId="34" fillId="0" borderId="244">
      <alignment horizontal="right" vertical="center"/>
    </xf>
    <xf numFmtId="4" fontId="34" fillId="0" borderId="244" applyFill="0" applyBorder="0" applyProtection="0">
      <alignment horizontal="right" vertical="center"/>
    </xf>
    <xf numFmtId="49" fontId="33" fillId="0" borderId="244" applyNumberFormat="0" applyFill="0" applyBorder="0" applyProtection="0">
      <alignment horizontal="left" vertical="center"/>
    </xf>
    <xf numFmtId="0" fontId="34" fillId="0" borderId="244" applyNumberFormat="0" applyFill="0" applyAlignment="0" applyProtection="0"/>
    <xf numFmtId="173" fontId="34" fillId="60" borderId="244" applyNumberFormat="0" applyFont="0" applyBorder="0" applyAlignment="0" applyProtection="0">
      <alignment horizontal="right" vertical="center"/>
    </xf>
    <xf numFmtId="0" fontId="34" fillId="33" borderId="244"/>
    <xf numFmtId="4" fontId="34" fillId="33" borderId="244"/>
    <xf numFmtId="4" fontId="32" fillId="34" borderId="244">
      <alignment horizontal="right" vertical="center"/>
    </xf>
    <xf numFmtId="0" fontId="34" fillId="33" borderId="244"/>
    <xf numFmtId="0" fontId="45" fillId="56" borderId="241" applyNumberFormat="0" applyAlignment="0" applyProtection="0"/>
    <xf numFmtId="0" fontId="32" fillId="32" borderId="244">
      <alignment horizontal="right" vertical="center"/>
    </xf>
    <xf numFmtId="0" fontId="34" fillId="0" borderId="244">
      <alignment horizontal="right" vertical="center"/>
    </xf>
    <xf numFmtId="0" fontId="65" fillId="0" borderId="242" applyNumberFormat="0" applyFill="0" applyAlignment="0" applyProtection="0"/>
    <xf numFmtId="0" fontId="34" fillId="32" borderId="245">
      <alignment horizontal="left" vertical="center"/>
    </xf>
    <xf numFmtId="0" fontId="58" fillId="43" borderId="241" applyNumberFormat="0" applyAlignment="0" applyProtection="0"/>
    <xf numFmtId="173" fontId="34" fillId="60" borderId="244" applyNumberFormat="0" applyFont="0" applyBorder="0" applyAlignment="0" applyProtection="0">
      <alignment horizontal="right" vertical="center"/>
    </xf>
    <xf numFmtId="0" fontId="40" fillId="59" borderId="243" applyNumberFormat="0" applyFont="0" applyAlignment="0" applyProtection="0"/>
    <xf numFmtId="0" fontId="34" fillId="0" borderId="247">
      <alignment horizontal="left" vertical="center" wrapText="1" indent="2"/>
    </xf>
    <xf numFmtId="4" fontId="34" fillId="33" borderId="244"/>
    <xf numFmtId="49" fontId="33" fillId="0" borderId="244" applyNumberFormat="0" applyFill="0" applyBorder="0" applyProtection="0">
      <alignment horizontal="left" vertical="center"/>
    </xf>
    <xf numFmtId="0" fontId="34" fillId="0" borderId="244">
      <alignment horizontal="right" vertical="center"/>
    </xf>
    <xf numFmtId="4" fontId="32" fillId="34" borderId="246">
      <alignment horizontal="right" vertical="center"/>
    </xf>
    <xf numFmtId="4" fontId="32" fillId="34" borderId="244">
      <alignment horizontal="right" vertical="center"/>
    </xf>
    <xf numFmtId="4" fontId="32" fillId="34" borderId="244">
      <alignment horizontal="right" vertical="center"/>
    </xf>
    <xf numFmtId="0" fontId="36" fillId="32" borderId="244">
      <alignment horizontal="right" vertical="center"/>
    </xf>
    <xf numFmtId="0" fontId="32" fillId="32" borderId="244">
      <alignment horizontal="right" vertical="center"/>
    </xf>
    <xf numFmtId="49" fontId="34" fillId="0" borderId="244" applyNumberFormat="0" applyFont="0" applyFill="0" applyBorder="0" applyProtection="0">
      <alignment horizontal="left" vertical="center" indent="2"/>
    </xf>
    <xf numFmtId="0" fontId="58" fillId="43" borderId="241" applyNumberFormat="0" applyAlignment="0" applyProtection="0"/>
    <xf numFmtId="0" fontId="43" fillId="56" borderId="248" applyNumberFormat="0" applyAlignment="0" applyProtection="0"/>
    <xf numFmtId="49" fontId="34" fillId="0" borderId="244" applyNumberFormat="0" applyFont="0" applyFill="0" applyBorder="0" applyProtection="0">
      <alignment horizontal="left" vertical="center" indent="2"/>
    </xf>
    <xf numFmtId="0" fontId="49" fillId="43" borderId="241" applyNumberFormat="0" applyAlignment="0" applyProtection="0"/>
    <xf numFmtId="4" fontId="34" fillId="0" borderId="244" applyFill="0" applyBorder="0" applyProtection="0">
      <alignment horizontal="right" vertical="center"/>
    </xf>
    <xf numFmtId="0" fontId="46" fillId="56" borderId="241" applyNumberFormat="0" applyAlignment="0" applyProtection="0"/>
    <xf numFmtId="0" fontId="65" fillId="0" borderId="242" applyNumberFormat="0" applyFill="0" applyAlignment="0" applyProtection="0"/>
    <xf numFmtId="0" fontId="62" fillId="56" borderId="248" applyNumberFormat="0" applyAlignment="0" applyProtection="0"/>
    <xf numFmtId="0" fontId="34" fillId="0" borderId="244" applyNumberFormat="0" applyFill="0" applyAlignment="0" applyProtection="0"/>
    <xf numFmtId="4" fontId="34" fillId="0" borderId="244">
      <alignment horizontal="right" vertical="center"/>
    </xf>
    <xf numFmtId="0" fontId="34" fillId="0" borderId="244">
      <alignment horizontal="right" vertical="center"/>
    </xf>
    <xf numFmtId="0" fontId="58" fillId="43" borderId="241" applyNumberFormat="0" applyAlignment="0" applyProtection="0"/>
    <xf numFmtId="0" fontId="43" fillId="56" borderId="248" applyNumberFormat="0" applyAlignment="0" applyProtection="0"/>
    <xf numFmtId="0" fontId="45" fillId="56" borderId="241" applyNumberFormat="0" applyAlignment="0" applyProtection="0"/>
    <xf numFmtId="0" fontId="34" fillId="34" borderId="247">
      <alignment horizontal="left" vertical="center" wrapText="1" indent="2"/>
    </xf>
    <xf numFmtId="0" fontId="46" fillId="56" borderId="241" applyNumberFormat="0" applyAlignment="0" applyProtection="0"/>
    <xf numFmtId="0" fontId="46" fillId="56" borderId="241" applyNumberFormat="0" applyAlignment="0" applyProtection="0"/>
    <xf numFmtId="4" fontId="32" fillId="34" borderId="245">
      <alignment horizontal="right" vertical="center"/>
    </xf>
    <xf numFmtId="0" fontId="32" fillId="34" borderId="245">
      <alignment horizontal="right" vertical="center"/>
    </xf>
    <xf numFmtId="0" fontId="32" fillId="34" borderId="244">
      <alignment horizontal="right" vertical="center"/>
    </xf>
    <xf numFmtId="4" fontId="36" fillId="32" borderId="244">
      <alignment horizontal="right" vertical="center"/>
    </xf>
    <xf numFmtId="0" fontId="49" fillId="43" borderId="241" applyNumberFormat="0" applyAlignment="0" applyProtection="0"/>
    <xf numFmtId="0" fontId="50" fillId="0" borderId="242" applyNumberFormat="0" applyFill="0" applyAlignment="0" applyProtection="0"/>
    <xf numFmtId="0" fontId="65" fillId="0" borderId="242" applyNumberFormat="0" applyFill="0" applyAlignment="0" applyProtection="0"/>
    <xf numFmtId="0" fontId="40" fillId="59" borderId="243" applyNumberFormat="0" applyFont="0" applyAlignment="0" applyProtection="0"/>
    <xf numFmtId="0" fontId="58" fillId="43" borderId="241" applyNumberFormat="0" applyAlignment="0" applyProtection="0"/>
    <xf numFmtId="49" fontId="33" fillId="0" borderId="244" applyNumberFormat="0" applyFill="0" applyBorder="0" applyProtection="0">
      <alignment horizontal="left" vertical="center"/>
    </xf>
    <xf numFmtId="0" fontId="34" fillId="34" borderId="247">
      <alignment horizontal="left" vertical="center" wrapText="1" indent="2"/>
    </xf>
    <xf numFmtId="0" fontId="46" fillId="56" borderId="241" applyNumberFormat="0" applyAlignment="0" applyProtection="0"/>
    <xf numFmtId="0" fontId="34" fillId="0" borderId="247">
      <alignment horizontal="left" vertical="center" wrapText="1" indent="2"/>
    </xf>
    <xf numFmtId="0" fontId="40" fillId="59" borderId="243" applyNumberFormat="0" applyFont="0" applyAlignment="0" applyProtection="0"/>
    <xf numFmtId="0" fontId="5" fillId="59" borderId="243" applyNumberFormat="0" applyFont="0" applyAlignment="0" applyProtection="0"/>
    <xf numFmtId="0" fontId="62" fillId="56" borderId="248" applyNumberFormat="0" applyAlignment="0" applyProtection="0"/>
    <xf numFmtId="0" fontId="65" fillId="0" borderId="242" applyNumberFormat="0" applyFill="0" applyAlignment="0" applyProtection="0"/>
    <xf numFmtId="4" fontId="34" fillId="33" borderId="244"/>
    <xf numFmtId="0" fontId="32" fillId="34" borderId="244">
      <alignment horizontal="right" vertical="center"/>
    </xf>
    <xf numFmtId="0" fontId="65" fillId="0" borderId="242" applyNumberFormat="0" applyFill="0" applyAlignment="0" applyProtection="0"/>
    <xf numFmtId="4" fontId="32" fillId="34" borderId="246">
      <alignment horizontal="right" vertical="center"/>
    </xf>
    <xf numFmtId="0" fontId="45" fillId="56" borderId="241" applyNumberFormat="0" applyAlignment="0" applyProtection="0"/>
    <xf numFmtId="0" fontId="32" fillId="34" borderId="245">
      <alignment horizontal="right" vertical="center"/>
    </xf>
    <xf numFmtId="0" fontId="46" fillId="56" borderId="241" applyNumberFormat="0" applyAlignment="0" applyProtection="0"/>
    <xf numFmtId="0" fontId="50" fillId="0" borderId="242" applyNumberFormat="0" applyFill="0" applyAlignment="0" applyProtection="0"/>
    <xf numFmtId="0" fontId="40" fillId="59" borderId="243" applyNumberFormat="0" applyFont="0" applyAlignment="0" applyProtection="0"/>
    <xf numFmtId="4" fontId="32" fillId="34" borderId="245">
      <alignment horizontal="right" vertical="center"/>
    </xf>
    <xf numFmtId="0" fontId="34" fillId="34" borderId="247">
      <alignment horizontal="left" vertical="center" wrapText="1" indent="2"/>
    </xf>
    <xf numFmtId="0" fontId="34" fillId="33" borderId="244"/>
    <xf numFmtId="173" fontId="34" fillId="60" borderId="244" applyNumberFormat="0" applyFont="0" applyBorder="0" applyAlignment="0" applyProtection="0">
      <alignment horizontal="right" vertical="center"/>
    </xf>
    <xf numFmtId="0" fontId="34" fillId="0" borderId="244" applyNumberFormat="0" applyFill="0" applyAlignment="0" applyProtection="0"/>
    <xf numFmtId="4" fontId="34" fillId="0" borderId="244" applyFill="0" applyBorder="0" applyProtection="0">
      <alignment horizontal="right" vertical="center"/>
    </xf>
    <xf numFmtId="4" fontId="32" fillId="32" borderId="244">
      <alignment horizontal="right" vertical="center"/>
    </xf>
    <xf numFmtId="0" fontId="50" fillId="0" borderId="242" applyNumberFormat="0" applyFill="0" applyAlignment="0" applyProtection="0"/>
    <xf numFmtId="49" fontId="33" fillId="0" borderId="244" applyNumberFormat="0" applyFill="0" applyBorder="0" applyProtection="0">
      <alignment horizontal="left" vertical="center"/>
    </xf>
    <xf numFmtId="49" fontId="34" fillId="0" borderId="245" applyNumberFormat="0" applyFont="0" applyFill="0" applyBorder="0" applyProtection="0">
      <alignment horizontal="left" vertical="center" indent="5"/>
    </xf>
    <xf numFmtId="0" fontId="34" fillId="32" borderId="245">
      <alignment horizontal="left" vertical="center"/>
    </xf>
    <xf numFmtId="0" fontId="46" fillId="56" borderId="241" applyNumberFormat="0" applyAlignment="0" applyProtection="0"/>
    <xf numFmtId="4" fontId="32" fillId="34" borderId="246">
      <alignment horizontal="right" vertical="center"/>
    </xf>
    <xf numFmtId="0" fontId="58" fillId="43" borderId="241" applyNumberFormat="0" applyAlignment="0" applyProtection="0"/>
    <xf numFmtId="0" fontId="58" fillId="43" borderId="241" applyNumberFormat="0" applyAlignment="0" applyProtection="0"/>
    <xf numFmtId="0" fontId="40" fillId="59" borderId="243" applyNumberFormat="0" applyFont="0" applyAlignment="0" applyProtection="0"/>
    <xf numFmtId="0" fontId="62" fillId="56" borderId="248" applyNumberFormat="0" applyAlignment="0" applyProtection="0"/>
    <xf numFmtId="0" fontId="65" fillId="0" borderId="242" applyNumberFormat="0" applyFill="0" applyAlignment="0" applyProtection="0"/>
    <xf numFmtId="0" fontId="32" fillId="34" borderId="244">
      <alignment horizontal="right" vertical="center"/>
    </xf>
    <xf numFmtId="0" fontId="5" fillId="59" borderId="243" applyNumberFormat="0" applyFont="0" applyAlignment="0" applyProtection="0"/>
    <xf numFmtId="4" fontId="34" fillId="0" borderId="244">
      <alignment horizontal="right" vertical="center"/>
    </xf>
    <xf numFmtId="0" fontId="65" fillId="0" borderId="242" applyNumberFormat="0" applyFill="0" applyAlignment="0" applyProtection="0"/>
    <xf numFmtId="0" fontId="32" fillId="34" borderId="244">
      <alignment horizontal="right" vertical="center"/>
    </xf>
    <xf numFmtId="0" fontId="32" fillId="34" borderId="244">
      <alignment horizontal="right" vertical="center"/>
    </xf>
    <xf numFmtId="4" fontId="36" fillId="32" borderId="244">
      <alignment horizontal="right" vertical="center"/>
    </xf>
    <xf numFmtId="0" fontId="32" fillId="32" borderId="244">
      <alignment horizontal="right" vertical="center"/>
    </xf>
    <xf numFmtId="4" fontId="32" fillId="32" borderId="244">
      <alignment horizontal="right" vertical="center"/>
    </xf>
    <xf numFmtId="0" fontId="36" fillId="32" borderId="244">
      <alignment horizontal="right" vertical="center"/>
    </xf>
    <xf numFmtId="4" fontId="36" fillId="32" borderId="244">
      <alignment horizontal="right" vertical="center"/>
    </xf>
    <xf numFmtId="0" fontId="32" fillId="34" borderId="244">
      <alignment horizontal="right" vertical="center"/>
    </xf>
    <xf numFmtId="4" fontId="32" fillId="34" borderId="244">
      <alignment horizontal="right" vertical="center"/>
    </xf>
    <xf numFmtId="0" fontId="32" fillId="34" borderId="244">
      <alignment horizontal="right" vertical="center"/>
    </xf>
    <xf numFmtId="4" fontId="32" fillId="34" borderId="244">
      <alignment horizontal="right" vertical="center"/>
    </xf>
    <xf numFmtId="0" fontId="32" fillId="34" borderId="245">
      <alignment horizontal="right" vertical="center"/>
    </xf>
    <xf numFmtId="4" fontId="32" fillId="34" borderId="245">
      <alignment horizontal="right" vertical="center"/>
    </xf>
    <xf numFmtId="0" fontId="32" fillId="34" borderId="246">
      <alignment horizontal="right" vertical="center"/>
    </xf>
    <xf numFmtId="4" fontId="32" fillId="34" borderId="246">
      <alignment horizontal="right" vertical="center"/>
    </xf>
    <xf numFmtId="0" fontId="46" fillId="56" borderId="241" applyNumberFormat="0" applyAlignment="0" applyProtection="0"/>
    <xf numFmtId="0" fontId="34" fillId="34" borderId="247">
      <alignment horizontal="left" vertical="center" wrapText="1" indent="2"/>
    </xf>
    <xf numFmtId="0" fontId="34" fillId="0" borderId="247">
      <alignment horizontal="left" vertical="center" wrapText="1" indent="2"/>
    </xf>
    <xf numFmtId="0" fontId="34" fillId="32" borderId="245">
      <alignment horizontal="left" vertical="center"/>
    </xf>
    <xf numFmtId="0" fontId="58" fillId="43" borderId="241" applyNumberFormat="0" applyAlignment="0" applyProtection="0"/>
    <xf numFmtId="0" fontId="34" fillId="0" borderId="244">
      <alignment horizontal="right" vertical="center"/>
    </xf>
    <xf numFmtId="4" fontId="34" fillId="0" borderId="244">
      <alignment horizontal="right" vertical="center"/>
    </xf>
    <xf numFmtId="0" fontId="34" fillId="0" borderId="244" applyNumberFormat="0" applyFill="0" applyAlignment="0" applyProtection="0"/>
    <xf numFmtId="0" fontId="62" fillId="56" borderId="248" applyNumberFormat="0" applyAlignment="0" applyProtection="0"/>
    <xf numFmtId="173" fontId="34" fillId="60" borderId="244" applyNumberFormat="0" applyFont="0" applyBorder="0" applyAlignment="0" applyProtection="0">
      <alignment horizontal="right" vertical="center"/>
    </xf>
    <xf numFmtId="0" fontId="34" fillId="33" borderId="244"/>
    <xf numFmtId="4" fontId="34" fillId="33" borderId="244"/>
    <xf numFmtId="0" fontId="65" fillId="0" borderId="242" applyNumberFormat="0" applyFill="0" applyAlignment="0" applyProtection="0"/>
    <xf numFmtId="0" fontId="5" fillId="59" borderId="243" applyNumberFormat="0" applyFont="0" applyAlignment="0" applyProtection="0"/>
    <xf numFmtId="0" fontId="40" fillId="59" borderId="243" applyNumberFormat="0" applyFont="0" applyAlignment="0" applyProtection="0"/>
    <xf numFmtId="0" fontId="34" fillId="0" borderId="244" applyNumberFormat="0" applyFill="0" applyAlignment="0" applyProtection="0"/>
    <xf numFmtId="0" fontId="50" fillId="0" borderId="242" applyNumberFormat="0" applyFill="0" applyAlignment="0" applyProtection="0"/>
    <xf numFmtId="0" fontId="65" fillId="0" borderId="242" applyNumberFormat="0" applyFill="0" applyAlignment="0" applyProtection="0"/>
    <xf numFmtId="0" fontId="49" fillId="43" borderId="241" applyNumberFormat="0" applyAlignment="0" applyProtection="0"/>
    <xf numFmtId="0" fontId="46" fillId="56" borderId="241" applyNumberFormat="0" applyAlignment="0" applyProtection="0"/>
    <xf numFmtId="4" fontId="36" fillId="32" borderId="244">
      <alignment horizontal="right" vertical="center"/>
    </xf>
    <xf numFmtId="0" fontId="32" fillId="32" borderId="244">
      <alignment horizontal="right" vertical="center"/>
    </xf>
    <xf numFmtId="173" fontId="34" fillId="60" borderId="244" applyNumberFormat="0" applyFont="0" applyBorder="0" applyAlignment="0" applyProtection="0">
      <alignment horizontal="right" vertical="center"/>
    </xf>
    <xf numFmtId="0" fontId="50" fillId="0" borderId="242" applyNumberFormat="0" applyFill="0" applyAlignment="0" applyProtection="0"/>
    <xf numFmtId="49" fontId="34" fillId="0" borderId="244" applyNumberFormat="0" applyFont="0" applyFill="0" applyBorder="0" applyProtection="0">
      <alignment horizontal="left" vertical="center" indent="2"/>
    </xf>
    <xf numFmtId="49" fontId="34" fillId="0" borderId="245" applyNumberFormat="0" applyFont="0" applyFill="0" applyBorder="0" applyProtection="0">
      <alignment horizontal="left" vertical="center" indent="5"/>
    </xf>
    <xf numFmtId="49" fontId="34" fillId="0" borderId="244" applyNumberFormat="0" applyFont="0" applyFill="0" applyBorder="0" applyProtection="0">
      <alignment horizontal="left" vertical="center" indent="2"/>
    </xf>
    <xf numFmtId="4" fontId="34" fillId="0" borderId="244" applyFill="0" applyBorder="0" applyProtection="0">
      <alignment horizontal="right" vertical="center"/>
    </xf>
    <xf numFmtId="49" fontId="33" fillId="0" borderId="244" applyNumberFormat="0" applyFill="0" applyBorder="0" applyProtection="0">
      <alignment horizontal="left" vertical="center"/>
    </xf>
    <xf numFmtId="0" fontId="34" fillId="0" borderId="247">
      <alignment horizontal="left" vertical="center" wrapText="1" indent="2"/>
    </xf>
    <xf numFmtId="0" fontId="62" fillId="56" borderId="248" applyNumberFormat="0" applyAlignment="0" applyProtection="0"/>
    <xf numFmtId="0" fontId="32" fillId="34" borderId="246">
      <alignment horizontal="right" vertical="center"/>
    </xf>
    <xf numFmtId="0" fontId="49" fillId="43" borderId="241" applyNumberFormat="0" applyAlignment="0" applyProtection="0"/>
    <xf numFmtId="0" fontId="32" fillId="34" borderId="246">
      <alignment horizontal="right" vertical="center"/>
    </xf>
    <xf numFmtId="4" fontId="32" fillId="34" borderId="244">
      <alignment horizontal="right" vertical="center"/>
    </xf>
    <xf numFmtId="0" fontId="32" fillId="34" borderId="244">
      <alignment horizontal="right" vertical="center"/>
    </xf>
    <xf numFmtId="0" fontId="43" fillId="56" borderId="248" applyNumberFormat="0" applyAlignment="0" applyProtection="0"/>
    <xf numFmtId="0" fontId="45" fillId="56" borderId="241" applyNumberFormat="0" applyAlignment="0" applyProtection="0"/>
    <xf numFmtId="0" fontId="50" fillId="0" borderId="242" applyNumberFormat="0" applyFill="0" applyAlignment="0" applyProtection="0"/>
    <xf numFmtId="0" fontId="34" fillId="33" borderId="244"/>
    <xf numFmtId="4" fontId="34" fillId="33" borderId="244"/>
    <xf numFmtId="4" fontId="32" fillId="34" borderId="244">
      <alignment horizontal="right" vertical="center"/>
    </xf>
    <xf numFmtId="0" fontId="36" fillId="32" borderId="244">
      <alignment horizontal="right" vertical="center"/>
    </xf>
    <xf numFmtId="0" fontId="49" fillId="43" borderId="241" applyNumberFormat="0" applyAlignment="0" applyProtection="0"/>
    <xf numFmtId="0" fontId="46" fillId="56" borderId="241" applyNumberFormat="0" applyAlignment="0" applyProtection="0"/>
    <xf numFmtId="4" fontId="34" fillId="0" borderId="244">
      <alignment horizontal="right" vertical="center"/>
    </xf>
    <xf numFmtId="0" fontId="34" fillId="34" borderId="247">
      <alignment horizontal="left" vertical="center" wrapText="1" indent="2"/>
    </xf>
    <xf numFmtId="0" fontId="34" fillId="0" borderId="247">
      <alignment horizontal="left" vertical="center" wrapText="1" indent="2"/>
    </xf>
    <xf numFmtId="0" fontId="62" fillId="56" borderId="248" applyNumberFormat="0" applyAlignment="0" applyProtection="0"/>
    <xf numFmtId="0" fontId="58" fillId="43" borderId="241" applyNumberFormat="0" applyAlignment="0" applyProtection="0"/>
    <xf numFmtId="0" fontId="45" fillId="56" borderId="241" applyNumberFormat="0" applyAlignment="0" applyProtection="0"/>
    <xf numFmtId="0" fontId="43" fillId="56" borderId="248" applyNumberFormat="0" applyAlignment="0" applyProtection="0"/>
    <xf numFmtId="0" fontId="32" fillId="34" borderId="246">
      <alignment horizontal="right" vertical="center"/>
    </xf>
    <xf numFmtId="0" fontId="36" fillId="32" borderId="244">
      <alignment horizontal="right" vertical="center"/>
    </xf>
    <xf numFmtId="4" fontId="32" fillId="32" borderId="244">
      <alignment horizontal="right" vertical="center"/>
    </xf>
    <xf numFmtId="4" fontId="32" fillId="34" borderId="244">
      <alignment horizontal="right" vertical="center"/>
    </xf>
    <xf numFmtId="49" fontId="34" fillId="0" borderId="245" applyNumberFormat="0" applyFont="0" applyFill="0" applyBorder="0" applyProtection="0">
      <alignment horizontal="left" vertical="center" indent="5"/>
    </xf>
    <xf numFmtId="4" fontId="34" fillId="0" borderId="244" applyFill="0" applyBorder="0" applyProtection="0">
      <alignment horizontal="right" vertical="center"/>
    </xf>
    <xf numFmtId="4" fontId="32" fillId="32" borderId="244">
      <alignment horizontal="right" vertical="center"/>
    </xf>
    <xf numFmtId="0" fontId="58" fillId="43" borderId="241" applyNumberFormat="0" applyAlignment="0" applyProtection="0"/>
    <xf numFmtId="0" fontId="49" fillId="43" borderId="241" applyNumberFormat="0" applyAlignment="0" applyProtection="0"/>
    <xf numFmtId="0" fontId="45" fillId="56" borderId="241" applyNumberFormat="0" applyAlignment="0" applyProtection="0"/>
    <xf numFmtId="0" fontId="34" fillId="34" borderId="247">
      <alignment horizontal="left" vertical="center" wrapText="1" indent="2"/>
    </xf>
    <xf numFmtId="0" fontId="34" fillId="0" borderId="247">
      <alignment horizontal="left" vertical="center" wrapText="1" indent="2"/>
    </xf>
    <xf numFmtId="0" fontId="34" fillId="34" borderId="247">
      <alignment horizontal="left" vertical="center" wrapText="1" indent="2"/>
    </xf>
    <xf numFmtId="0" fontId="34" fillId="34" borderId="285">
      <alignment horizontal="left" vertical="center" wrapText="1" indent="2"/>
    </xf>
    <xf numFmtId="4" fontId="36" fillId="32" borderId="253">
      <alignment horizontal="right" vertical="center"/>
    </xf>
    <xf numFmtId="4" fontId="32" fillId="34" borderId="253">
      <alignment horizontal="right" vertical="center"/>
    </xf>
    <xf numFmtId="0" fontId="46" fillId="56" borderId="250" applyNumberFormat="0" applyAlignment="0" applyProtection="0"/>
    <xf numFmtId="0" fontId="65" fillId="0" borderId="251" applyNumberFormat="0" applyFill="0" applyAlignment="0" applyProtection="0"/>
    <xf numFmtId="4" fontId="32" fillId="34" borderId="253">
      <alignment horizontal="right" vertical="center"/>
    </xf>
    <xf numFmtId="4" fontId="36" fillId="32" borderId="253">
      <alignment horizontal="right" vertical="center"/>
    </xf>
    <xf numFmtId="0" fontId="46" fillId="56" borderId="265" applyNumberFormat="0" applyAlignment="0" applyProtection="0"/>
    <xf numFmtId="0" fontId="50" fillId="0" borderId="251" applyNumberFormat="0" applyFill="0" applyAlignment="0" applyProtection="0"/>
    <xf numFmtId="0" fontId="49" fillId="43" borderId="250" applyNumberFormat="0" applyAlignment="0" applyProtection="0"/>
    <xf numFmtId="0" fontId="62" fillId="56" borderId="249" applyNumberFormat="0" applyAlignment="0" applyProtection="0"/>
    <xf numFmtId="0" fontId="43" fillId="56" borderId="249" applyNumberFormat="0" applyAlignment="0" applyProtection="0"/>
    <xf numFmtId="0" fontId="5" fillId="59" borderId="257" applyNumberFormat="0" applyFont="0" applyAlignment="0" applyProtection="0"/>
    <xf numFmtId="0" fontId="34" fillId="0" borderId="261">
      <alignment horizontal="left" vertical="center" wrapText="1" indent="2"/>
    </xf>
    <xf numFmtId="0" fontId="2" fillId="0" borderId="15" applyNumberFormat="0" applyFill="0" applyAlignment="0" applyProtection="0"/>
    <xf numFmtId="0" fontId="46" fillId="56" borderId="250" applyNumberFormat="0" applyAlignment="0" applyProtection="0"/>
    <xf numFmtId="0" fontId="34" fillId="0" borderId="261">
      <alignment horizontal="left" vertical="center" wrapText="1" indent="2"/>
    </xf>
    <xf numFmtId="0" fontId="34" fillId="34" borderId="261">
      <alignment horizontal="left" vertical="center" wrapText="1" indent="2"/>
    </xf>
    <xf numFmtId="0" fontId="32" fillId="34" borderId="258">
      <alignment horizontal="right" vertical="center"/>
    </xf>
    <xf numFmtId="0" fontId="50" fillId="0" borderId="251" applyNumberFormat="0" applyFill="0" applyAlignment="0" applyProtection="0"/>
    <xf numFmtId="0" fontId="62" fillId="56" borderId="249" applyNumberFormat="0" applyAlignment="0" applyProtection="0"/>
    <xf numFmtId="4" fontId="34" fillId="0" borderId="253" applyFill="0" applyBorder="0" applyProtection="0">
      <alignment horizontal="right" vertical="center"/>
    </xf>
    <xf numFmtId="0" fontId="45" fillId="56" borderId="250" applyNumberFormat="0" applyAlignment="0" applyProtection="0"/>
    <xf numFmtId="0" fontId="62" fillId="56" borderId="249" applyNumberFormat="0" applyAlignment="0" applyProtection="0"/>
    <xf numFmtId="0" fontId="34" fillId="34" borderId="256">
      <alignment horizontal="left" vertical="center" wrapText="1" indent="2"/>
    </xf>
    <xf numFmtId="0" fontId="58" fillId="43" borderId="250" applyNumberFormat="0" applyAlignment="0" applyProtection="0"/>
    <xf numFmtId="0" fontId="5" fillId="59" borderId="252" applyNumberFormat="0" applyFont="0" applyAlignment="0" applyProtection="0"/>
    <xf numFmtId="4" fontId="36" fillId="32" borderId="253">
      <alignment horizontal="right" vertical="center"/>
    </xf>
    <xf numFmtId="0" fontId="32" fillId="34" borderId="253">
      <alignment horizontal="right" vertical="center"/>
    </xf>
    <xf numFmtId="0" fontId="49" fillId="43" borderId="250" applyNumberFormat="0" applyAlignment="0" applyProtection="0"/>
    <xf numFmtId="173" fontId="34" fillId="60" borderId="253" applyNumberFormat="0" applyFont="0" applyBorder="0" applyAlignment="0" applyProtection="0">
      <alignment horizontal="right" vertical="center"/>
    </xf>
    <xf numFmtId="49" fontId="34" fillId="0" borderId="253" applyNumberFormat="0" applyFont="0" applyFill="0" applyBorder="0" applyProtection="0">
      <alignment horizontal="left" vertical="center" indent="2"/>
    </xf>
    <xf numFmtId="4" fontId="32" fillId="34" borderId="258">
      <alignment horizontal="right" vertical="center"/>
    </xf>
    <xf numFmtId="0" fontId="34" fillId="34" borderId="277">
      <alignment horizontal="left" vertical="center" wrapText="1" indent="2"/>
    </xf>
    <xf numFmtId="0" fontId="49" fillId="43" borderId="265" applyNumberFormat="0" applyAlignment="0" applyProtection="0"/>
    <xf numFmtId="49" fontId="33" fillId="0" borderId="268" applyNumberFormat="0" applyFill="0" applyBorder="0" applyProtection="0">
      <alignment horizontal="left" vertical="center"/>
    </xf>
    <xf numFmtId="0" fontId="34" fillId="33" borderId="253"/>
    <xf numFmtId="0" fontId="34" fillId="0" borderId="253">
      <alignment horizontal="right" vertical="center"/>
    </xf>
    <xf numFmtId="0" fontId="65" fillId="0" borderId="264" applyNumberFormat="0" applyFill="0" applyAlignment="0" applyProtection="0"/>
    <xf numFmtId="0" fontId="32" fillId="34" borderId="270">
      <alignment horizontal="right" vertical="center"/>
    </xf>
    <xf numFmtId="0" fontId="34" fillId="32" borderId="283">
      <alignment horizontal="left" vertical="center"/>
    </xf>
    <xf numFmtId="0" fontId="43" fillId="56" borderId="286" applyNumberFormat="0" applyAlignment="0" applyProtection="0"/>
    <xf numFmtId="0" fontId="12" fillId="19" borderId="0" applyNumberFormat="0" applyBorder="0" applyAlignment="0" applyProtection="0"/>
    <xf numFmtId="4" fontId="36" fillId="32" borderId="258">
      <alignment horizontal="right" vertical="center"/>
    </xf>
    <xf numFmtId="0" fontId="26" fillId="27" borderId="0" applyNumberFormat="0" applyBorder="0" applyAlignment="0" applyProtection="0"/>
    <xf numFmtId="0" fontId="26" fillId="18" borderId="0" applyNumberFormat="0" applyBorder="0" applyAlignment="0" applyProtection="0"/>
    <xf numFmtId="0" fontId="58" fillId="43" borderId="279" applyNumberFormat="0" applyAlignment="0" applyProtection="0"/>
    <xf numFmtId="4" fontId="34" fillId="0" borderId="258">
      <alignment horizontal="right" vertical="center"/>
    </xf>
    <xf numFmtId="0" fontId="58" fillId="43" borderId="263" applyNumberFormat="0" applyAlignment="0" applyProtection="0"/>
    <xf numFmtId="0" fontId="32" fillId="32" borderId="268">
      <alignment horizontal="right" vertical="center"/>
    </xf>
    <xf numFmtId="0" fontId="26" fillId="30" borderId="0" applyNumberFormat="0" applyBorder="0" applyAlignment="0" applyProtection="0"/>
    <xf numFmtId="4" fontId="32" fillId="34" borderId="253">
      <alignment horizontal="right" vertical="center"/>
    </xf>
    <xf numFmtId="0" fontId="43" fillId="56" borderId="272" applyNumberFormat="0" applyAlignment="0" applyProtection="0"/>
    <xf numFmtId="0" fontId="34" fillId="34" borderId="285">
      <alignment horizontal="left" vertical="center" wrapText="1" indent="2"/>
    </xf>
    <xf numFmtId="0" fontId="49" fillId="43" borderId="263" applyNumberFormat="0" applyAlignment="0" applyProtection="0"/>
    <xf numFmtId="0" fontId="65" fillId="0" borderId="290" applyNumberFormat="0" applyFill="0" applyAlignment="0" applyProtection="0"/>
    <xf numFmtId="0" fontId="34" fillId="33" borderId="282"/>
    <xf numFmtId="0" fontId="49" fillId="43" borderId="265" applyNumberFormat="0" applyAlignment="0" applyProtection="0"/>
    <xf numFmtId="0" fontId="34" fillId="0" borderId="258" applyNumberFormat="0" applyFill="0" applyAlignment="0" applyProtection="0"/>
    <xf numFmtId="49" fontId="33" fillId="0" borderId="258" applyNumberFormat="0" applyFill="0" applyBorder="0" applyProtection="0">
      <alignment horizontal="left" vertical="center"/>
    </xf>
    <xf numFmtId="0" fontId="32" fillId="34" borderId="268">
      <alignment horizontal="right" vertical="center"/>
    </xf>
    <xf numFmtId="0" fontId="50" fillId="0" borderId="251" applyNumberFormat="0" applyFill="0" applyAlignment="0" applyProtection="0"/>
    <xf numFmtId="0" fontId="34" fillId="0" borderId="256">
      <alignment horizontal="left" vertical="center" wrapText="1" indent="2"/>
    </xf>
    <xf numFmtId="0" fontId="32" fillId="34" borderId="270">
      <alignment horizontal="right" vertical="center"/>
    </xf>
    <xf numFmtId="0" fontId="26" fillId="21" borderId="0" applyNumberFormat="0" applyBorder="0" applyAlignment="0" applyProtection="0"/>
    <xf numFmtId="0" fontId="65" fillId="0" borderId="251" applyNumberFormat="0" applyFill="0" applyAlignment="0" applyProtection="0"/>
    <xf numFmtId="4" fontId="32" fillId="34" borderId="275">
      <alignment horizontal="right" vertical="center"/>
    </xf>
    <xf numFmtId="0" fontId="2" fillId="0" borderId="15" applyNumberFormat="0" applyFill="0" applyAlignment="0" applyProtection="0"/>
    <xf numFmtId="0" fontId="32" fillId="34" borderId="258">
      <alignment horizontal="right" vertical="center"/>
    </xf>
    <xf numFmtId="0" fontId="62" fillId="56" borderId="262" applyNumberFormat="0" applyAlignment="0" applyProtection="0"/>
    <xf numFmtId="0" fontId="62" fillId="56" borderId="249" applyNumberFormat="0" applyAlignment="0" applyProtection="0"/>
    <xf numFmtId="173" fontId="34" fillId="60" borderId="253" applyNumberFormat="0" applyFont="0" applyBorder="0" applyAlignment="0" applyProtection="0">
      <alignment horizontal="right" vertical="center"/>
    </xf>
    <xf numFmtId="0" fontId="58" fillId="43" borderId="263" applyNumberFormat="0" applyAlignment="0" applyProtection="0"/>
    <xf numFmtId="0" fontId="12" fillId="28" borderId="0" applyNumberFormat="0" applyBorder="0" applyAlignment="0" applyProtection="0"/>
    <xf numFmtId="0" fontId="34" fillId="0" borderId="282">
      <alignment horizontal="right" vertical="center"/>
    </xf>
    <xf numFmtId="0" fontId="12" fillId="16" borderId="0" applyNumberFormat="0" applyBorder="0" applyAlignment="0" applyProtection="0"/>
    <xf numFmtId="0" fontId="50" fillId="0" borderId="264" applyNumberFormat="0" applyFill="0" applyAlignment="0" applyProtection="0"/>
    <xf numFmtId="0" fontId="36" fillId="32" borderId="268">
      <alignment horizontal="right" vertical="center"/>
    </xf>
    <xf numFmtId="0" fontId="65" fillId="0" borderId="264" applyNumberFormat="0" applyFill="0" applyAlignment="0" applyProtection="0"/>
    <xf numFmtId="0" fontId="26" fillId="29" borderId="0" applyNumberFormat="0" applyBorder="0" applyAlignment="0" applyProtection="0"/>
    <xf numFmtId="0" fontId="58" fillId="43" borderId="265" applyNumberFormat="0" applyAlignment="0" applyProtection="0"/>
    <xf numFmtId="0" fontId="26" fillId="21" borderId="0" applyNumberFormat="0" applyBorder="0" applyAlignment="0" applyProtection="0"/>
    <xf numFmtId="49" fontId="34" fillId="0" borderId="253" applyNumberFormat="0" applyFont="0" applyFill="0" applyBorder="0" applyProtection="0">
      <alignment horizontal="left" vertical="center" indent="2"/>
    </xf>
    <xf numFmtId="4" fontId="34" fillId="0" borderId="253" applyFill="0" applyBorder="0" applyProtection="0">
      <alignment horizontal="right" vertical="center"/>
    </xf>
    <xf numFmtId="4" fontId="32" fillId="32" borderId="253">
      <alignment horizontal="right" vertical="center"/>
    </xf>
    <xf numFmtId="4" fontId="34" fillId="33" borderId="268"/>
    <xf numFmtId="0" fontId="26" fillId="26" borderId="0" applyNumberFormat="0" applyBorder="0" applyAlignment="0" applyProtection="0"/>
    <xf numFmtId="4" fontId="32" fillId="32" borderId="258">
      <alignment horizontal="right" vertical="center"/>
    </xf>
    <xf numFmtId="4" fontId="34" fillId="33" borderId="253"/>
    <xf numFmtId="4" fontId="34" fillId="0" borderId="282" applyFill="0" applyBorder="0" applyProtection="0">
      <alignment horizontal="right" vertical="center"/>
    </xf>
    <xf numFmtId="4" fontId="34" fillId="0" borderId="268" applyFill="0" applyBorder="0" applyProtection="0">
      <alignment horizontal="right" vertical="center"/>
    </xf>
    <xf numFmtId="4" fontId="34" fillId="0" borderId="274" applyFill="0" applyBorder="0" applyProtection="0">
      <alignment horizontal="right" vertical="center"/>
    </xf>
    <xf numFmtId="0" fontId="26" fillId="21" borderId="0" applyNumberFormat="0" applyBorder="0" applyAlignment="0" applyProtection="0"/>
    <xf numFmtId="0" fontId="32" fillId="34" borderId="255">
      <alignment horizontal="right" vertical="center"/>
    </xf>
    <xf numFmtId="4" fontId="32" fillId="34" borderId="282">
      <alignment horizontal="right" vertical="center"/>
    </xf>
    <xf numFmtId="0" fontId="40" fillId="59" borderId="252" applyNumberFormat="0" applyFont="0" applyAlignment="0" applyProtection="0"/>
    <xf numFmtId="4" fontId="32" fillId="34" borderId="274">
      <alignment horizontal="right" vertical="center"/>
    </xf>
    <xf numFmtId="0" fontId="34" fillId="0" borderId="253">
      <alignment horizontal="right" vertical="center"/>
    </xf>
    <xf numFmtId="4" fontId="34" fillId="33" borderId="253"/>
    <xf numFmtId="0" fontId="40" fillId="59" borderId="252" applyNumberFormat="0" applyFont="0" applyAlignment="0" applyProtection="0"/>
    <xf numFmtId="4" fontId="32" fillId="34" borderId="253">
      <alignment horizontal="right" vertical="center"/>
    </xf>
    <xf numFmtId="0" fontId="62" fillId="56" borderId="262" applyNumberFormat="0" applyAlignment="0" applyProtection="0"/>
    <xf numFmtId="4" fontId="32" fillId="34" borderId="258">
      <alignment horizontal="right" vertical="center"/>
    </xf>
    <xf numFmtId="0" fontId="43" fillId="56" borderId="262" applyNumberFormat="0" applyAlignment="0" applyProtection="0"/>
    <xf numFmtId="0" fontId="32" fillId="34" borderId="259">
      <alignment horizontal="right" vertical="center"/>
    </xf>
    <xf numFmtId="0" fontId="62" fillId="56" borderId="249" applyNumberFormat="0" applyAlignment="0" applyProtection="0"/>
    <xf numFmtId="49" fontId="34" fillId="0" borderId="254" applyNumberFormat="0" applyFont="0" applyFill="0" applyBorder="0" applyProtection="0">
      <alignment horizontal="left" vertical="center" indent="5"/>
    </xf>
    <xf numFmtId="0" fontId="58" fillId="43" borderId="263" applyNumberFormat="0" applyAlignment="0" applyProtection="0"/>
    <xf numFmtId="49" fontId="34" fillId="0" borderId="254" applyNumberFormat="0" applyFont="0" applyFill="0" applyBorder="0" applyProtection="0">
      <alignment horizontal="left" vertical="center" indent="5"/>
    </xf>
    <xf numFmtId="4" fontId="34" fillId="0" borderId="268">
      <alignment horizontal="right" vertical="center"/>
    </xf>
    <xf numFmtId="0" fontId="32" fillId="32" borderId="258">
      <alignment horizontal="right" vertical="center"/>
    </xf>
    <xf numFmtId="0" fontId="32" fillId="32" borderId="253">
      <alignment horizontal="right" vertical="center"/>
    </xf>
    <xf numFmtId="0" fontId="40" fillId="59" borderId="281" applyNumberFormat="0" applyFont="0" applyAlignment="0" applyProtection="0"/>
    <xf numFmtId="0" fontId="58" fillId="43" borderId="250" applyNumberFormat="0" applyAlignment="0" applyProtection="0"/>
    <xf numFmtId="0" fontId="46" fillId="56" borderId="250" applyNumberFormat="0" applyAlignment="0" applyProtection="0"/>
    <xf numFmtId="0" fontId="34" fillId="34" borderId="256">
      <alignment horizontal="left" vertical="center" wrapText="1" indent="2"/>
    </xf>
    <xf numFmtId="4" fontId="32" fillId="34" borderId="274">
      <alignment horizontal="right" vertical="center"/>
    </xf>
    <xf numFmtId="0" fontId="50" fillId="0" borderId="251" applyNumberFormat="0" applyFill="0" applyAlignment="0" applyProtection="0"/>
    <xf numFmtId="0" fontId="34" fillId="34" borderId="277">
      <alignment horizontal="left" vertical="center" wrapText="1" indent="2"/>
    </xf>
    <xf numFmtId="0" fontId="50" fillId="0" borderId="264" applyNumberFormat="0" applyFill="0" applyAlignment="0" applyProtection="0"/>
    <xf numFmtId="4" fontId="34" fillId="33" borderId="268"/>
    <xf numFmtId="0" fontId="49" fillId="43" borderId="265" applyNumberFormat="0" applyAlignment="0" applyProtection="0"/>
    <xf numFmtId="0" fontId="45" fillId="56" borderId="250" applyNumberFormat="0" applyAlignment="0" applyProtection="0"/>
    <xf numFmtId="4" fontId="32" fillId="34" borderId="270">
      <alignment horizontal="right" vertical="center"/>
    </xf>
    <xf numFmtId="0" fontId="36" fillId="32" borderId="253">
      <alignment horizontal="right" vertical="center"/>
    </xf>
    <xf numFmtId="0" fontId="46" fillId="56" borderId="263" applyNumberFormat="0" applyAlignment="0" applyProtection="0"/>
    <xf numFmtId="0" fontId="26" fillId="20" borderId="0" applyNumberFormat="0" applyBorder="0" applyAlignment="0" applyProtection="0"/>
    <xf numFmtId="0" fontId="34" fillId="0" borderId="258">
      <alignment horizontal="right" vertical="center"/>
    </xf>
    <xf numFmtId="0" fontId="32" fillId="34" borderId="254">
      <alignment horizontal="right" vertical="center"/>
    </xf>
    <xf numFmtId="0" fontId="34" fillId="0" borderId="258">
      <alignment horizontal="right" vertical="center"/>
    </xf>
    <xf numFmtId="0" fontId="34" fillId="0" borderId="261">
      <alignment horizontal="left" vertical="center" wrapText="1" indent="2"/>
    </xf>
    <xf numFmtId="0" fontId="32" fillId="34" borderId="254">
      <alignment horizontal="right" vertical="center"/>
    </xf>
    <xf numFmtId="0" fontId="34" fillId="32" borderId="259">
      <alignment horizontal="left" vertical="center"/>
    </xf>
    <xf numFmtId="0" fontId="32" fillId="32" borderId="253">
      <alignment horizontal="right" vertical="center"/>
    </xf>
    <xf numFmtId="0" fontId="12" fillId="31" borderId="0" applyNumberFormat="0" applyBorder="0" applyAlignment="0" applyProtection="0"/>
    <xf numFmtId="0" fontId="34" fillId="33" borderId="253"/>
    <xf numFmtId="0" fontId="34" fillId="0" borderId="258" applyNumberFormat="0" applyFill="0" applyAlignment="0" applyProtection="0"/>
    <xf numFmtId="4" fontId="36" fillId="32" borderId="253">
      <alignment horizontal="right" vertical="center"/>
    </xf>
    <xf numFmtId="0" fontId="34" fillId="32" borderId="254">
      <alignment horizontal="left" vertical="center"/>
    </xf>
    <xf numFmtId="0" fontId="65" fillId="0" borderId="251" applyNumberFormat="0" applyFill="0" applyAlignment="0" applyProtection="0"/>
    <xf numFmtId="4" fontId="34" fillId="0" borderId="268">
      <alignment horizontal="right" vertical="center"/>
    </xf>
    <xf numFmtId="4" fontId="34" fillId="33" borderId="258"/>
    <xf numFmtId="49" fontId="33" fillId="0" borderId="253" applyNumberFormat="0" applyFill="0" applyBorder="0" applyProtection="0">
      <alignment horizontal="left" vertical="center"/>
    </xf>
    <xf numFmtId="0" fontId="34" fillId="0" borderId="256">
      <alignment horizontal="left" vertical="center" wrapText="1" indent="2"/>
    </xf>
    <xf numFmtId="0" fontId="34" fillId="0" borderId="258">
      <alignment horizontal="right" vertical="center"/>
    </xf>
    <xf numFmtId="0" fontId="1" fillId="0" borderId="0" applyNumberFormat="0" applyFill="0" applyBorder="0" applyAlignment="0" applyProtection="0"/>
    <xf numFmtId="0" fontId="62" fillId="56" borderId="262" applyNumberFormat="0" applyAlignment="0" applyProtection="0"/>
    <xf numFmtId="0" fontId="65" fillId="0" borderId="251" applyNumberFormat="0" applyFill="0" applyAlignment="0" applyProtection="0"/>
    <xf numFmtId="0" fontId="36" fillId="32" borderId="253">
      <alignment horizontal="right" vertical="center"/>
    </xf>
    <xf numFmtId="0" fontId="34" fillId="0" borderId="256">
      <alignment horizontal="left" vertical="center" wrapText="1" indent="2"/>
    </xf>
    <xf numFmtId="0" fontId="26" fillId="29" borderId="0" applyNumberFormat="0" applyBorder="0" applyAlignment="0" applyProtection="0"/>
    <xf numFmtId="49" fontId="34" fillId="0" borderId="254" applyNumberFormat="0" applyFont="0" applyFill="0" applyBorder="0" applyProtection="0">
      <alignment horizontal="left" vertical="center" indent="5"/>
    </xf>
    <xf numFmtId="0" fontId="36" fillId="32" borderId="268">
      <alignment horizontal="right" vertical="center"/>
    </xf>
    <xf numFmtId="0" fontId="50" fillId="0" borderId="251" applyNumberFormat="0" applyFill="0" applyAlignment="0" applyProtection="0"/>
    <xf numFmtId="0" fontId="46" fillId="56" borderId="265" applyNumberFormat="0" applyAlignment="0" applyProtection="0"/>
    <xf numFmtId="4" fontId="32" fillId="34" borderId="293">
      <alignment horizontal="right" vertical="center"/>
    </xf>
    <xf numFmtId="4" fontId="34" fillId="33" borderId="292"/>
    <xf numFmtId="0" fontId="65" fillId="0" borderId="251" applyNumberFormat="0" applyFill="0" applyAlignment="0" applyProtection="0"/>
    <xf numFmtId="0" fontId="32" fillId="34" borderId="253">
      <alignment horizontal="right" vertical="center"/>
    </xf>
    <xf numFmtId="4" fontId="32" fillId="34" borderId="258">
      <alignment horizontal="right" vertical="center"/>
    </xf>
    <xf numFmtId="173" fontId="34" fillId="60" borderId="253" applyNumberFormat="0" applyFont="0" applyBorder="0" applyAlignment="0" applyProtection="0">
      <alignment horizontal="right" vertical="center"/>
    </xf>
    <xf numFmtId="0" fontId="40" fillId="59" borderId="252" applyNumberFormat="0" applyFont="0" applyAlignment="0" applyProtection="0"/>
    <xf numFmtId="0" fontId="50" fillId="0" borderId="264" applyNumberFormat="0" applyFill="0" applyAlignment="0" applyProtection="0"/>
    <xf numFmtId="0" fontId="5" fillId="59" borderId="257" applyNumberFormat="0" applyFont="0" applyAlignment="0" applyProtection="0"/>
    <xf numFmtId="0" fontId="58" fillId="43" borderId="250" applyNumberFormat="0" applyAlignment="0" applyProtection="0"/>
    <xf numFmtId="0" fontId="34" fillId="0" borderId="285">
      <alignment horizontal="left" vertical="center" wrapText="1" indent="2"/>
    </xf>
    <xf numFmtId="0" fontId="46" fillId="56" borderId="250" applyNumberFormat="0" applyAlignment="0" applyProtection="0"/>
    <xf numFmtId="0" fontId="34" fillId="0" borderId="256">
      <alignment horizontal="left" vertical="center" wrapText="1" indent="2"/>
    </xf>
    <xf numFmtId="0" fontId="58" fillId="43" borderId="250" applyNumberFormat="0" applyAlignment="0" applyProtection="0"/>
    <xf numFmtId="0" fontId="43" fillId="56" borderId="249" applyNumberFormat="0" applyAlignment="0" applyProtection="0"/>
    <xf numFmtId="0" fontId="46" fillId="56" borderId="250" applyNumberFormat="0" applyAlignment="0" applyProtection="0"/>
    <xf numFmtId="0" fontId="34" fillId="34" borderId="256">
      <alignment horizontal="left" vertical="center" wrapText="1" indent="2"/>
    </xf>
    <xf numFmtId="49" fontId="33" fillId="0" borderId="258" applyNumberFormat="0" applyFill="0" applyBorder="0" applyProtection="0">
      <alignment horizontal="left" vertical="center"/>
    </xf>
    <xf numFmtId="0" fontId="34" fillId="34" borderId="256">
      <alignment horizontal="left" vertical="center" wrapText="1" indent="2"/>
    </xf>
    <xf numFmtId="0" fontId="34" fillId="33" borderId="253"/>
    <xf numFmtId="0" fontId="50" fillId="0" borderId="290" applyNumberFormat="0" applyFill="0" applyAlignment="0" applyProtection="0"/>
    <xf numFmtId="0" fontId="62" fillId="56" borderId="262" applyNumberFormat="0" applyAlignment="0" applyProtection="0"/>
    <xf numFmtId="0" fontId="34" fillId="0" borderId="256">
      <alignment horizontal="left" vertical="center" wrapText="1" indent="2"/>
    </xf>
    <xf numFmtId="4" fontId="32" fillId="32" borderId="253">
      <alignment horizontal="right" vertical="center"/>
    </xf>
    <xf numFmtId="0" fontId="40" fillId="59" borderId="257" applyNumberFormat="0" applyFont="0" applyAlignment="0" applyProtection="0"/>
    <xf numFmtId="0" fontId="46" fillId="56" borderId="279" applyNumberFormat="0" applyAlignment="0" applyProtection="0"/>
    <xf numFmtId="0" fontId="26" fillId="27" borderId="0" applyNumberFormat="0" applyBorder="0" applyAlignment="0" applyProtection="0"/>
    <xf numFmtId="0" fontId="46" fillId="56" borderId="265" applyNumberFormat="0" applyAlignment="0" applyProtection="0"/>
    <xf numFmtId="0" fontId="26" fillId="29" borderId="0" applyNumberFormat="0" applyBorder="0" applyAlignment="0" applyProtection="0"/>
    <xf numFmtId="0" fontId="45" fillId="56" borderId="263" applyNumberFormat="0" applyAlignment="0" applyProtection="0"/>
    <xf numFmtId="0" fontId="62" fillId="56" borderId="262" applyNumberFormat="0" applyAlignment="0" applyProtection="0"/>
    <xf numFmtId="0" fontId="5" fillId="59" borderId="252" applyNumberFormat="0" applyFont="0" applyAlignment="0" applyProtection="0"/>
    <xf numFmtId="4" fontId="32" fillId="34" borderId="253">
      <alignment horizontal="right" vertical="center"/>
    </xf>
    <xf numFmtId="49" fontId="34" fillId="0" borderId="253" applyNumberFormat="0" applyFont="0" applyFill="0" applyBorder="0" applyProtection="0">
      <alignment horizontal="left" vertical="center" indent="2"/>
    </xf>
    <xf numFmtId="173" fontId="34" fillId="60" borderId="258" applyNumberFormat="0" applyFont="0" applyBorder="0" applyAlignment="0" applyProtection="0">
      <alignment horizontal="right" vertical="center"/>
    </xf>
    <xf numFmtId="0" fontId="65" fillId="0" borderId="251" applyNumberFormat="0" applyFill="0" applyAlignment="0" applyProtection="0"/>
    <xf numFmtId="0" fontId="12" fillId="25" borderId="0" applyNumberFormat="0" applyBorder="0" applyAlignment="0" applyProtection="0"/>
    <xf numFmtId="4" fontId="32" fillId="34" borderId="260">
      <alignment horizontal="right" vertical="center"/>
    </xf>
    <xf numFmtId="0" fontId="29" fillId="13" borderId="13" applyNumberFormat="0" applyAlignment="0" applyProtection="0"/>
    <xf numFmtId="0" fontId="50" fillId="0" borderId="264" applyNumberFormat="0" applyFill="0" applyAlignment="0" applyProtection="0"/>
    <xf numFmtId="49" fontId="34" fillId="0" borderId="259" applyNumberFormat="0" applyFont="0" applyFill="0" applyBorder="0" applyProtection="0">
      <alignment horizontal="left" vertical="center" indent="5"/>
    </xf>
    <xf numFmtId="0" fontId="62" fillId="56" borderId="249" applyNumberFormat="0" applyAlignment="0" applyProtection="0"/>
    <xf numFmtId="0" fontId="58" fillId="43" borderId="250" applyNumberFormat="0" applyAlignment="0" applyProtection="0"/>
    <xf numFmtId="4" fontId="34" fillId="0" borderId="258" applyFill="0" applyBorder="0" applyProtection="0">
      <alignment horizontal="right" vertical="center"/>
    </xf>
    <xf numFmtId="4" fontId="32" fillId="34" borderId="268">
      <alignment horizontal="right" vertical="center"/>
    </xf>
    <xf numFmtId="0" fontId="46" fillId="56" borderId="287" applyNumberFormat="0" applyAlignment="0" applyProtection="0"/>
    <xf numFmtId="0" fontId="62" fillId="56" borderId="272" applyNumberFormat="0" applyAlignment="0" applyProtection="0"/>
    <xf numFmtId="0" fontId="40" fillId="59" borderId="267" applyNumberFormat="0" applyFont="0" applyAlignment="0" applyProtection="0"/>
    <xf numFmtId="0" fontId="65" fillId="0" borderId="251" applyNumberFormat="0" applyFill="0" applyAlignment="0" applyProtection="0"/>
    <xf numFmtId="0" fontId="34" fillId="34" borderId="261">
      <alignment horizontal="left" vertical="center" wrapText="1" indent="2"/>
    </xf>
    <xf numFmtId="0" fontId="26" fillId="21" borderId="0" applyNumberFormat="0" applyBorder="0" applyAlignment="0" applyProtection="0"/>
    <xf numFmtId="49" fontId="33" fillId="0" borderId="268" applyNumberFormat="0" applyFill="0" applyBorder="0" applyProtection="0">
      <alignment horizontal="left" vertical="center"/>
    </xf>
    <xf numFmtId="0" fontId="65" fillId="0" borderId="264" applyNumberFormat="0" applyFill="0" applyAlignment="0" applyProtection="0"/>
    <xf numFmtId="4" fontId="34" fillId="0" borderId="253">
      <alignment horizontal="right" vertical="center"/>
    </xf>
    <xf numFmtId="0" fontId="34" fillId="33" borderId="258"/>
    <xf numFmtId="173" fontId="34" fillId="60" borderId="258" applyNumberFormat="0" applyFont="0" applyBorder="0" applyAlignment="0" applyProtection="0">
      <alignment horizontal="right" vertical="center"/>
    </xf>
    <xf numFmtId="0" fontId="26" fillId="24" borderId="0" applyNumberFormat="0" applyBorder="0" applyAlignment="0" applyProtection="0"/>
    <xf numFmtId="0" fontId="26" fillId="29" borderId="0" applyNumberFormat="0" applyBorder="0" applyAlignment="0" applyProtection="0"/>
    <xf numFmtId="4" fontId="32" fillId="34" borderId="259">
      <alignment horizontal="right" vertical="center"/>
    </xf>
    <xf numFmtId="0" fontId="49" fillId="43" borderId="263" applyNumberFormat="0" applyAlignment="0" applyProtection="0"/>
    <xf numFmtId="0" fontId="62" fillId="56" borderId="249" applyNumberFormat="0" applyAlignment="0" applyProtection="0"/>
    <xf numFmtId="0" fontId="49" fillId="43" borderId="263" applyNumberFormat="0" applyAlignment="0" applyProtection="0"/>
    <xf numFmtId="4" fontId="32" fillId="34" borderId="260">
      <alignment horizontal="right" vertical="center"/>
    </xf>
    <xf numFmtId="0" fontId="26" fillId="23" borderId="0" applyNumberFormat="0" applyBorder="0" applyAlignment="0" applyProtection="0"/>
    <xf numFmtId="0" fontId="26" fillId="17" borderId="0" applyNumberFormat="0" applyBorder="0" applyAlignment="0" applyProtection="0"/>
    <xf numFmtId="0" fontId="46" fillId="56" borderId="289" applyNumberFormat="0" applyAlignment="0" applyProtection="0"/>
    <xf numFmtId="4" fontId="32" fillId="32" borderId="253">
      <alignment horizontal="right" vertical="center"/>
    </xf>
    <xf numFmtId="0" fontId="26" fillId="14" borderId="0" applyNumberFormat="0" applyBorder="0" applyAlignment="0" applyProtection="0"/>
    <xf numFmtId="0" fontId="34" fillId="34" borderId="261">
      <alignment horizontal="left" vertical="center" wrapText="1" indent="2"/>
    </xf>
    <xf numFmtId="0" fontId="34" fillId="34" borderId="261">
      <alignment horizontal="left" vertical="center" wrapText="1" indent="2"/>
    </xf>
    <xf numFmtId="4" fontId="32" fillId="34" borderId="269">
      <alignment horizontal="right" vertical="center"/>
    </xf>
    <xf numFmtId="0" fontId="65" fillId="0" borderId="251" applyNumberFormat="0" applyFill="0" applyAlignment="0" applyProtection="0"/>
    <xf numFmtId="0" fontId="32" fillId="34" borderId="270">
      <alignment horizontal="right" vertical="center"/>
    </xf>
    <xf numFmtId="0" fontId="5" fillId="59" borderId="252" applyNumberFormat="0" applyFont="0" applyAlignment="0" applyProtection="0"/>
    <xf numFmtId="0" fontId="49" fillId="43" borderId="263" applyNumberFormat="0" applyAlignment="0" applyProtection="0"/>
    <xf numFmtId="0" fontId="34" fillId="32" borderId="259">
      <alignment horizontal="left" vertical="center"/>
    </xf>
    <xf numFmtId="0" fontId="32" fillId="34" borderId="268">
      <alignment horizontal="right" vertical="center"/>
    </xf>
    <xf numFmtId="0" fontId="32" fillId="32" borderId="253">
      <alignment horizontal="right" vertical="center"/>
    </xf>
    <xf numFmtId="0" fontId="12" fillId="28" borderId="0" applyNumberFormat="0" applyBorder="0" applyAlignment="0" applyProtection="0"/>
    <xf numFmtId="0" fontId="46" fillId="56" borderId="263" applyNumberFormat="0" applyAlignment="0" applyProtection="0"/>
    <xf numFmtId="0" fontId="43" fillId="56" borderId="249" applyNumberFormat="0" applyAlignment="0" applyProtection="0"/>
    <xf numFmtId="4" fontId="32" fillId="34" borderId="260">
      <alignment horizontal="right" vertical="center"/>
    </xf>
    <xf numFmtId="0" fontId="28" fillId="13" borderId="14" applyNumberFormat="0" applyAlignment="0" applyProtection="0"/>
    <xf numFmtId="0" fontId="32" fillId="34" borderId="260">
      <alignment horizontal="right" vertical="center"/>
    </xf>
    <xf numFmtId="0" fontId="58" fillId="43" borderId="250" applyNumberFormat="0" applyAlignment="0" applyProtection="0"/>
    <xf numFmtId="0" fontId="43" fillId="56" borderId="272" applyNumberFormat="0" applyAlignment="0" applyProtection="0"/>
    <xf numFmtId="0" fontId="32" fillId="34" borderId="258">
      <alignment horizontal="right" vertical="center"/>
    </xf>
    <xf numFmtId="4" fontId="34" fillId="0" borderId="253">
      <alignment horizontal="right" vertical="center"/>
    </xf>
    <xf numFmtId="4" fontId="34" fillId="0" borderId="258" applyFill="0" applyBorder="0" applyProtection="0">
      <alignment horizontal="right" vertical="center"/>
    </xf>
    <xf numFmtId="0" fontId="26" fillId="29" borderId="0" applyNumberFormat="0" applyBorder="0" applyAlignment="0" applyProtection="0"/>
    <xf numFmtId="0" fontId="65" fillId="0" borderId="251" applyNumberFormat="0" applyFill="0" applyAlignment="0" applyProtection="0"/>
    <xf numFmtId="0" fontId="12" fillId="25" borderId="0" applyNumberFormat="0" applyBorder="0" applyAlignment="0" applyProtection="0"/>
    <xf numFmtId="0" fontId="65" fillId="0" borderId="264" applyNumberFormat="0" applyFill="0" applyAlignment="0" applyProtection="0"/>
    <xf numFmtId="0" fontId="46" fillId="56" borderId="263" applyNumberFormat="0" applyAlignment="0" applyProtection="0"/>
    <xf numFmtId="0" fontId="58" fillId="43" borderId="250" applyNumberFormat="0" applyAlignment="0" applyProtection="0"/>
    <xf numFmtId="0" fontId="32" fillId="34" borderId="270">
      <alignment horizontal="right" vertical="center"/>
    </xf>
    <xf numFmtId="0" fontId="49" fillId="43" borderId="250" applyNumberFormat="0" applyAlignment="0" applyProtection="0"/>
    <xf numFmtId="0" fontId="40" fillId="59" borderId="257" applyNumberFormat="0" applyFont="0" applyAlignment="0" applyProtection="0"/>
    <xf numFmtId="4" fontId="32" fillId="32" borderId="258">
      <alignment horizontal="right" vertical="center"/>
    </xf>
    <xf numFmtId="4" fontId="32" fillId="34" borderId="274">
      <alignment horizontal="right" vertical="center"/>
    </xf>
    <xf numFmtId="0" fontId="58" fillId="43" borderId="250" applyNumberFormat="0" applyAlignment="0" applyProtection="0"/>
    <xf numFmtId="0" fontId="58" fillId="43" borderId="263" applyNumberFormat="0" applyAlignment="0" applyProtection="0"/>
    <xf numFmtId="4" fontId="32" fillId="32" borderId="253">
      <alignment horizontal="right" vertical="center"/>
    </xf>
    <xf numFmtId="0" fontId="30" fillId="0" borderId="0" applyNumberFormat="0" applyFill="0" applyBorder="0" applyAlignment="0" applyProtection="0"/>
    <xf numFmtId="0" fontId="34" fillId="33" borderId="268"/>
    <xf numFmtId="0" fontId="26" fillId="29" borderId="0" applyNumberFormat="0" applyBorder="0" applyAlignment="0" applyProtection="0"/>
    <xf numFmtId="0" fontId="29" fillId="13" borderId="13" applyNumberFormat="0" applyAlignment="0" applyProtection="0"/>
    <xf numFmtId="0" fontId="12" fillId="31" borderId="0" applyNumberFormat="0" applyBorder="0" applyAlignment="0" applyProtection="0"/>
    <xf numFmtId="0" fontId="32" fillId="34" borderId="258">
      <alignment horizontal="right" vertical="center"/>
    </xf>
    <xf numFmtId="0" fontId="46" fillId="56" borderId="250" applyNumberFormat="0" applyAlignment="0" applyProtection="0"/>
    <xf numFmtId="0" fontId="26" fillId="24" borderId="0" applyNumberFormat="0" applyBorder="0" applyAlignment="0" applyProtection="0"/>
    <xf numFmtId="0" fontId="34" fillId="34" borderId="271">
      <alignment horizontal="left" vertical="center" wrapText="1" indent="2"/>
    </xf>
    <xf numFmtId="0" fontId="34" fillId="0" borderId="258">
      <alignment horizontal="right" vertical="center"/>
    </xf>
    <xf numFmtId="49" fontId="34" fillId="0" borderId="258" applyNumberFormat="0" applyFont="0" applyFill="0" applyBorder="0" applyProtection="0">
      <alignment horizontal="left" vertical="center" indent="2"/>
    </xf>
    <xf numFmtId="0" fontId="43" fillId="56" borderId="272" applyNumberFormat="0" applyAlignment="0" applyProtection="0"/>
    <xf numFmtId="0" fontId="43" fillId="56" borderId="249" applyNumberFormat="0" applyAlignment="0" applyProtection="0"/>
    <xf numFmtId="0" fontId="58" fillId="43" borderId="250" applyNumberFormat="0" applyAlignment="0" applyProtection="0"/>
    <xf numFmtId="49" fontId="33" fillId="0" borderId="268" applyNumberFormat="0" applyFill="0" applyBorder="0" applyProtection="0">
      <alignment horizontal="left" vertical="center"/>
    </xf>
    <xf numFmtId="0" fontId="36" fillId="32" borderId="253">
      <alignment horizontal="right" vertical="center"/>
    </xf>
    <xf numFmtId="0" fontId="34" fillId="0" borderId="258" applyNumberFormat="0" applyFill="0" applyAlignment="0" applyProtection="0"/>
    <xf numFmtId="4" fontId="32" fillId="34" borderId="268">
      <alignment horizontal="right" vertical="center"/>
    </xf>
    <xf numFmtId="0" fontId="26" fillId="20" borderId="0" applyNumberFormat="0" applyBorder="0" applyAlignment="0" applyProtection="0"/>
    <xf numFmtId="0" fontId="5" fillId="59" borderId="252" applyNumberFormat="0" applyFont="0" applyAlignment="0" applyProtection="0"/>
    <xf numFmtId="0" fontId="30" fillId="0" borderId="0" applyNumberFormat="0" applyFill="0" applyBorder="0" applyAlignment="0" applyProtection="0"/>
    <xf numFmtId="0" fontId="45" fillId="56" borderId="250" applyNumberFormat="0" applyAlignment="0" applyProtection="0"/>
    <xf numFmtId="0" fontId="32" fillId="34" borderId="276">
      <alignment horizontal="right" vertical="center"/>
    </xf>
    <xf numFmtId="0" fontId="50" fillId="0" borderId="251" applyNumberFormat="0" applyFill="0" applyAlignment="0" applyProtection="0"/>
    <xf numFmtId="49" fontId="33" fillId="0" borderId="258" applyNumberFormat="0" applyFill="0" applyBorder="0" applyProtection="0">
      <alignment horizontal="left" vertical="center"/>
    </xf>
    <xf numFmtId="0" fontId="12" fillId="31" borderId="0" applyNumberFormat="0" applyBorder="0" applyAlignment="0" applyProtection="0"/>
    <xf numFmtId="4" fontId="32" fillId="34" borderId="276">
      <alignment horizontal="right" vertical="center"/>
    </xf>
    <xf numFmtId="0" fontId="34" fillId="34" borderId="256">
      <alignment horizontal="left" vertical="center" wrapText="1" indent="2"/>
    </xf>
    <xf numFmtId="0" fontId="46" fillId="56" borderId="263" applyNumberFormat="0" applyAlignment="0" applyProtection="0"/>
    <xf numFmtId="0" fontId="50" fillId="0" borderId="266" applyNumberFormat="0" applyFill="0" applyAlignment="0" applyProtection="0"/>
    <xf numFmtId="0" fontId="58" fillId="43" borderId="279" applyNumberFormat="0" applyAlignment="0" applyProtection="0"/>
    <xf numFmtId="0" fontId="34" fillId="0" borderId="258">
      <alignment horizontal="right" vertical="center"/>
    </xf>
    <xf numFmtId="0" fontId="34" fillId="33" borderId="268"/>
    <xf numFmtId="0" fontId="34" fillId="0" borderId="268">
      <alignment horizontal="right" vertical="center"/>
    </xf>
    <xf numFmtId="0" fontId="43" fillId="56" borderId="249" applyNumberFormat="0" applyAlignment="0" applyProtection="0"/>
    <xf numFmtId="0" fontId="40" fillId="59" borderId="257" applyNumberFormat="0" applyFont="0" applyAlignment="0" applyProtection="0"/>
    <xf numFmtId="0" fontId="34" fillId="33" borderId="253"/>
    <xf numFmtId="4" fontId="34" fillId="33" borderId="268"/>
    <xf numFmtId="173" fontId="34" fillId="60" borderId="258" applyNumberFormat="0" applyFont="0" applyBorder="0" applyAlignment="0" applyProtection="0">
      <alignment horizontal="right" vertical="center"/>
    </xf>
    <xf numFmtId="4" fontId="36" fillId="32" borderId="268">
      <alignment horizontal="right" vertical="center"/>
    </xf>
    <xf numFmtId="0" fontId="49" fillId="43" borderId="265" applyNumberFormat="0" applyAlignment="0" applyProtection="0"/>
    <xf numFmtId="49" fontId="33" fillId="0" borderId="253" applyNumberFormat="0" applyFill="0" applyBorder="0" applyProtection="0">
      <alignment horizontal="left" vertical="center"/>
    </xf>
    <xf numFmtId="0" fontId="34" fillId="0" borderId="261">
      <alignment horizontal="left" vertical="center" wrapText="1" indent="2"/>
    </xf>
    <xf numFmtId="0" fontId="2" fillId="0" borderId="15" applyNumberFormat="0" applyFill="0" applyAlignment="0" applyProtection="0"/>
    <xf numFmtId="173" fontId="34" fillId="60" borderId="253" applyNumberFormat="0" applyFont="0" applyBorder="0" applyAlignment="0" applyProtection="0">
      <alignment horizontal="right" vertical="center"/>
    </xf>
    <xf numFmtId="4" fontId="34" fillId="0" borderId="258" applyFill="0" applyBorder="0" applyProtection="0">
      <alignment horizontal="right" vertical="center"/>
    </xf>
    <xf numFmtId="0" fontId="62" fillId="56" borderId="249" applyNumberFormat="0" applyAlignment="0" applyProtection="0"/>
    <xf numFmtId="173" fontId="34" fillId="60" borderId="282" applyNumberFormat="0" applyFont="0" applyBorder="0" applyAlignment="0" applyProtection="0">
      <alignment horizontal="right" vertical="center"/>
    </xf>
    <xf numFmtId="173" fontId="34" fillId="60" borderId="253" applyNumberFormat="0" applyFont="0" applyBorder="0" applyAlignment="0" applyProtection="0">
      <alignment horizontal="right" vertical="center"/>
    </xf>
    <xf numFmtId="0" fontId="12" fillId="16" borderId="0" applyNumberFormat="0" applyBorder="0" applyAlignment="0" applyProtection="0"/>
    <xf numFmtId="4" fontId="34" fillId="0" borderId="253">
      <alignment horizontal="right" vertical="center"/>
    </xf>
    <xf numFmtId="0" fontId="46" fillId="56" borderId="250" applyNumberFormat="0" applyAlignment="0" applyProtection="0"/>
    <xf numFmtId="0" fontId="34" fillId="0" borderId="253" applyNumberFormat="0" applyFill="0" applyAlignment="0" applyProtection="0"/>
    <xf numFmtId="0" fontId="12" fillId="16" borderId="0" applyNumberFormat="0" applyBorder="0" applyAlignment="0" applyProtection="0"/>
    <xf numFmtId="0" fontId="34" fillId="0" borderId="253">
      <alignment horizontal="right" vertical="center"/>
    </xf>
    <xf numFmtId="0" fontId="49" fillId="43" borderId="263" applyNumberFormat="0" applyAlignment="0" applyProtection="0"/>
    <xf numFmtId="173" fontId="34" fillId="60" borderId="258" applyNumberFormat="0" applyFont="0" applyBorder="0" applyAlignment="0" applyProtection="0">
      <alignment horizontal="right" vertical="center"/>
    </xf>
    <xf numFmtId="49" fontId="34" fillId="0" borderId="259" applyNumberFormat="0" applyFont="0" applyFill="0" applyBorder="0" applyProtection="0">
      <alignment horizontal="left" vertical="center" indent="5"/>
    </xf>
    <xf numFmtId="4" fontId="32" fillId="34" borderId="255">
      <alignment horizontal="right" vertical="center"/>
    </xf>
    <xf numFmtId="4" fontId="34" fillId="0" borderId="253" applyFill="0" applyBorder="0" applyProtection="0">
      <alignment horizontal="right" vertical="center"/>
    </xf>
    <xf numFmtId="0" fontId="34" fillId="33" borderId="253"/>
    <xf numFmtId="0" fontId="65" fillId="0" borderId="251" applyNumberFormat="0" applyFill="0" applyAlignment="0" applyProtection="0"/>
    <xf numFmtId="4" fontId="32" fillId="34" borderId="258">
      <alignment horizontal="right" vertical="center"/>
    </xf>
    <xf numFmtId="0" fontId="58" fillId="43" borderId="263" applyNumberFormat="0" applyAlignment="0" applyProtection="0"/>
    <xf numFmtId="4" fontId="36" fillId="32" borderId="274">
      <alignment horizontal="right" vertical="center"/>
    </xf>
    <xf numFmtId="0" fontId="12" fillId="31" borderId="0" applyNumberFormat="0" applyBorder="0" applyAlignment="0" applyProtection="0"/>
    <xf numFmtId="0" fontId="45" fillId="56" borderId="263" applyNumberFormat="0" applyAlignment="0" applyProtection="0"/>
    <xf numFmtId="0" fontId="45" fillId="56" borderId="250" applyNumberFormat="0" applyAlignment="0" applyProtection="0"/>
    <xf numFmtId="0" fontId="49" fillId="43" borderId="265" applyNumberFormat="0" applyAlignment="0" applyProtection="0"/>
    <xf numFmtId="0" fontId="32" fillId="32" borderId="253">
      <alignment horizontal="right" vertical="center"/>
    </xf>
    <xf numFmtId="0" fontId="46" fillId="56" borderId="250" applyNumberFormat="0" applyAlignment="0" applyProtection="0"/>
    <xf numFmtId="0" fontId="12" fillId="28" borderId="0" applyNumberFormat="0" applyBorder="0" applyAlignment="0" applyProtection="0"/>
    <xf numFmtId="0" fontId="40" fillId="59" borderId="257" applyNumberFormat="0" applyFont="0" applyAlignment="0" applyProtection="0"/>
    <xf numFmtId="0" fontId="34" fillId="34" borderId="271">
      <alignment horizontal="left" vertical="center" wrapText="1" indent="2"/>
    </xf>
    <xf numFmtId="0" fontId="12" fillId="25" borderId="0" applyNumberFormat="0" applyBorder="0" applyAlignment="0" applyProtection="0"/>
    <xf numFmtId="0" fontId="32" fillId="34" borderId="254">
      <alignment horizontal="right" vertical="center"/>
    </xf>
    <xf numFmtId="4" fontId="34" fillId="33" borderId="258"/>
    <xf numFmtId="0" fontId="45" fillId="56" borderId="250" applyNumberFormat="0" applyAlignment="0" applyProtection="0"/>
    <xf numFmtId="0" fontId="12" fillId="25" borderId="0" applyNumberFormat="0" applyBorder="0" applyAlignment="0" applyProtection="0"/>
    <xf numFmtId="0" fontId="26" fillId="14" borderId="0" applyNumberFormat="0" applyBorder="0" applyAlignment="0" applyProtection="0"/>
    <xf numFmtId="0" fontId="45" fillId="56" borderId="250" applyNumberFormat="0" applyAlignment="0" applyProtection="0"/>
    <xf numFmtId="4" fontId="32" fillId="34" borderId="253">
      <alignment horizontal="right" vertical="center"/>
    </xf>
    <xf numFmtId="4" fontId="36" fillId="32" borderId="253">
      <alignment horizontal="right" vertical="center"/>
    </xf>
    <xf numFmtId="0" fontId="58" fillId="43" borderId="250" applyNumberFormat="0" applyAlignment="0" applyProtection="0"/>
    <xf numFmtId="0" fontId="32" fillId="34" borderId="258">
      <alignment horizontal="right" vertical="center"/>
    </xf>
    <xf numFmtId="0" fontId="65" fillId="0" borderId="264" applyNumberFormat="0" applyFill="0" applyAlignment="0" applyProtection="0"/>
    <xf numFmtId="0" fontId="36" fillId="32" borderId="253">
      <alignment horizontal="right" vertical="center"/>
    </xf>
    <xf numFmtId="0" fontId="26" fillId="30" borderId="0" applyNumberFormat="0" applyBorder="0" applyAlignment="0" applyProtection="0"/>
    <xf numFmtId="0" fontId="50" fillId="0" borderId="288" applyNumberFormat="0" applyFill="0" applyAlignment="0" applyProtection="0"/>
    <xf numFmtId="4" fontId="36" fillId="32" borderId="258">
      <alignment horizontal="right" vertical="center"/>
    </xf>
    <xf numFmtId="49" fontId="34" fillId="0" borderId="253" applyNumberFormat="0" applyFont="0" applyFill="0" applyBorder="0" applyProtection="0">
      <alignment horizontal="left" vertical="center" indent="2"/>
    </xf>
    <xf numFmtId="173" fontId="34" fillId="60" borderId="253" applyNumberFormat="0" applyFont="0" applyBorder="0" applyAlignment="0" applyProtection="0">
      <alignment horizontal="right" vertical="center"/>
    </xf>
    <xf numFmtId="49" fontId="34" fillId="0" borderId="258" applyNumberFormat="0" applyFont="0" applyFill="0" applyBorder="0" applyProtection="0">
      <alignment horizontal="left" vertical="center" indent="2"/>
    </xf>
    <xf numFmtId="4" fontId="32" fillId="34" borderId="268">
      <alignment horizontal="right" vertical="center"/>
    </xf>
    <xf numFmtId="0" fontId="28" fillId="13" borderId="14" applyNumberFormat="0" applyAlignment="0" applyProtection="0"/>
    <xf numFmtId="4" fontId="32" fillId="34" borderId="270">
      <alignment horizontal="right" vertical="center"/>
    </xf>
    <xf numFmtId="0" fontId="36" fillId="32" borderId="253">
      <alignment horizontal="right" vertical="center"/>
    </xf>
    <xf numFmtId="49" fontId="33" fillId="0" borderId="258" applyNumberFormat="0" applyFill="0" applyBorder="0" applyProtection="0">
      <alignment horizontal="left" vertical="center"/>
    </xf>
    <xf numFmtId="0" fontId="34" fillId="34" borderId="271">
      <alignment horizontal="left" vertical="center" wrapText="1" indent="2"/>
    </xf>
    <xf numFmtId="49" fontId="34" fillId="0" borderId="253" applyNumberFormat="0" applyFont="0" applyFill="0" applyBorder="0" applyProtection="0">
      <alignment horizontal="left" vertical="center" indent="2"/>
    </xf>
    <xf numFmtId="49" fontId="34" fillId="0" borderId="253" applyNumberFormat="0" applyFont="0" applyFill="0" applyBorder="0" applyProtection="0">
      <alignment horizontal="left" vertical="center" indent="2"/>
    </xf>
    <xf numFmtId="49" fontId="34" fillId="0" borderId="269" applyNumberFormat="0" applyFont="0" applyFill="0" applyBorder="0" applyProtection="0">
      <alignment horizontal="left" vertical="center" indent="5"/>
    </xf>
    <xf numFmtId="0" fontId="32" fillId="34" borderId="260">
      <alignment horizontal="right" vertical="center"/>
    </xf>
    <xf numFmtId="0" fontId="34" fillId="0" borderId="253" applyNumberFormat="0" applyFill="0" applyAlignment="0" applyProtection="0"/>
    <xf numFmtId="0" fontId="46" fillId="56" borderId="287" applyNumberFormat="0" applyAlignment="0" applyProtection="0"/>
    <xf numFmtId="4" fontId="32" fillId="34" borderId="260">
      <alignment horizontal="right" vertical="center"/>
    </xf>
    <xf numFmtId="49" fontId="34" fillId="0" borderId="254" applyNumberFormat="0" applyFont="0" applyFill="0" applyBorder="0" applyProtection="0">
      <alignment horizontal="left" vertical="center" indent="5"/>
    </xf>
    <xf numFmtId="0" fontId="46" fillId="56" borderId="250" applyNumberFormat="0" applyAlignment="0" applyProtection="0"/>
    <xf numFmtId="4" fontId="32" fillId="34" borderId="274">
      <alignment horizontal="right" vertical="center"/>
    </xf>
    <xf numFmtId="0" fontId="32" fillId="34" borderId="260">
      <alignment horizontal="right" vertical="center"/>
    </xf>
    <xf numFmtId="4" fontId="32" fillId="34" borderId="254">
      <alignment horizontal="right" vertical="center"/>
    </xf>
    <xf numFmtId="0" fontId="26" fillId="17" borderId="0" applyNumberFormat="0" applyBorder="0" applyAlignment="0" applyProtection="0"/>
    <xf numFmtId="49" fontId="34" fillId="0" borderId="274" applyNumberFormat="0" applyFont="0" applyFill="0" applyBorder="0" applyProtection="0">
      <alignment horizontal="left" vertical="center" indent="2"/>
    </xf>
    <xf numFmtId="49" fontId="33" fillId="0" borderId="253" applyNumberFormat="0" applyFill="0" applyBorder="0" applyProtection="0">
      <alignment horizontal="left" vertical="center"/>
    </xf>
    <xf numFmtId="4" fontId="32" fillId="34" borderId="254">
      <alignment horizontal="right" vertical="center"/>
    </xf>
    <xf numFmtId="0" fontId="26" fillId="23" borderId="0" applyNumberFormat="0" applyBorder="0" applyAlignment="0" applyProtection="0"/>
    <xf numFmtId="0" fontId="12" fillId="22" borderId="0" applyNumberFormat="0" applyBorder="0" applyAlignment="0" applyProtection="0"/>
    <xf numFmtId="173" fontId="34" fillId="60" borderId="282" applyNumberFormat="0" applyFont="0" applyBorder="0" applyAlignment="0" applyProtection="0">
      <alignment horizontal="right" vertical="center"/>
    </xf>
    <xf numFmtId="0" fontId="58" fillId="43" borderId="263" applyNumberFormat="0" applyAlignment="0" applyProtection="0"/>
    <xf numFmtId="0" fontId="32" fillId="34" borderId="253">
      <alignment horizontal="right" vertical="center"/>
    </xf>
    <xf numFmtId="0" fontId="58" fillId="43" borderId="250" applyNumberFormat="0" applyAlignment="0" applyProtection="0"/>
    <xf numFmtId="0" fontId="45" fillId="56" borderId="250" applyNumberFormat="0" applyAlignment="0" applyProtection="0"/>
    <xf numFmtId="0" fontId="5" fillId="59" borderId="252" applyNumberFormat="0" applyFont="0" applyAlignment="0" applyProtection="0"/>
    <xf numFmtId="0" fontId="50" fillId="0" borderId="266" applyNumberFormat="0" applyFill="0" applyAlignment="0" applyProtection="0"/>
    <xf numFmtId="0" fontId="40" fillId="59" borderId="252" applyNumberFormat="0" applyFont="0" applyAlignment="0" applyProtection="0"/>
    <xf numFmtId="4" fontId="34" fillId="33" borderId="268"/>
    <xf numFmtId="0" fontId="32" fillId="34" borderId="253">
      <alignment horizontal="right" vertical="center"/>
    </xf>
    <xf numFmtId="4" fontId="32" fillId="34" borderId="253">
      <alignment horizontal="right" vertical="center"/>
    </xf>
    <xf numFmtId="0" fontId="12" fillId="19" borderId="0" applyNumberFormat="0" applyBorder="0" applyAlignment="0" applyProtection="0"/>
    <xf numFmtId="4" fontId="34" fillId="33" borderId="268"/>
    <xf numFmtId="0" fontId="26" fillId="29" borderId="0" applyNumberFormat="0" applyBorder="0" applyAlignment="0" applyProtection="0"/>
    <xf numFmtId="0" fontId="58" fillId="43" borderId="265" applyNumberFormat="0" applyAlignment="0" applyProtection="0"/>
    <xf numFmtId="0" fontId="46" fillId="56" borderId="263" applyNumberFormat="0" applyAlignment="0" applyProtection="0"/>
    <xf numFmtId="0" fontId="34" fillId="33" borderId="258"/>
    <xf numFmtId="0" fontId="12" fillId="22" borderId="0" applyNumberFormat="0" applyBorder="0" applyAlignment="0" applyProtection="0"/>
    <xf numFmtId="0" fontId="34" fillId="0" borderId="258">
      <alignment horizontal="right" vertical="center"/>
    </xf>
    <xf numFmtId="0" fontId="32" fillId="32" borderId="253">
      <alignment horizontal="right" vertical="center"/>
    </xf>
    <xf numFmtId="49" fontId="33" fillId="0" borderId="268" applyNumberFormat="0" applyFill="0" applyBorder="0" applyProtection="0">
      <alignment horizontal="left" vertical="center"/>
    </xf>
    <xf numFmtId="0" fontId="34" fillId="0" borderId="253">
      <alignment horizontal="right" vertical="center"/>
    </xf>
    <xf numFmtId="4" fontId="32" fillId="34" borderId="255">
      <alignment horizontal="right" vertical="center"/>
    </xf>
    <xf numFmtId="49" fontId="33" fillId="0" borderId="253" applyNumberFormat="0" applyFill="0" applyBorder="0" applyProtection="0">
      <alignment horizontal="left" vertical="center"/>
    </xf>
    <xf numFmtId="0" fontId="34" fillId="0" borderId="256">
      <alignment horizontal="left" vertical="center" wrapText="1" indent="2"/>
    </xf>
    <xf numFmtId="49" fontId="33" fillId="0" borderId="253" applyNumberFormat="0" applyFill="0" applyBorder="0" applyProtection="0">
      <alignment horizontal="left" vertical="center"/>
    </xf>
    <xf numFmtId="0" fontId="40" fillId="59" borderId="273" applyNumberFormat="0" applyFont="0" applyAlignment="0" applyProtection="0"/>
    <xf numFmtId="4" fontId="34" fillId="0" borderId="268">
      <alignment horizontal="right" vertical="center"/>
    </xf>
    <xf numFmtId="0" fontId="28" fillId="13" borderId="14" applyNumberFormat="0" applyAlignment="0" applyProtection="0"/>
    <xf numFmtId="0" fontId="50" fillId="0" borderId="264" applyNumberFormat="0" applyFill="0" applyAlignment="0" applyProtection="0"/>
    <xf numFmtId="0" fontId="32" fillId="34" borderId="258">
      <alignment horizontal="right" vertical="center"/>
    </xf>
    <xf numFmtId="0" fontId="34" fillId="34" borderId="256">
      <alignment horizontal="left" vertical="center" wrapText="1" indent="2"/>
    </xf>
    <xf numFmtId="0" fontId="26" fillId="24" borderId="0" applyNumberFormat="0" applyBorder="0" applyAlignment="0" applyProtection="0"/>
    <xf numFmtId="0" fontId="65" fillId="0" borderId="290" applyNumberFormat="0" applyFill="0" applyAlignment="0" applyProtection="0"/>
    <xf numFmtId="0" fontId="26" fillId="21" borderId="0" applyNumberFormat="0" applyBorder="0" applyAlignment="0" applyProtection="0"/>
    <xf numFmtId="0" fontId="34" fillId="33" borderId="274"/>
    <xf numFmtId="4" fontId="34" fillId="0" borderId="253">
      <alignment horizontal="right" vertical="center"/>
    </xf>
    <xf numFmtId="0" fontId="50" fillId="0" borderId="288" applyNumberFormat="0" applyFill="0" applyAlignment="0" applyProtection="0"/>
    <xf numFmtId="0" fontId="34" fillId="0" borderId="253">
      <alignment horizontal="right" vertical="center"/>
    </xf>
    <xf numFmtId="0" fontId="65" fillId="0" borderId="266" applyNumberFormat="0" applyFill="0" applyAlignment="0" applyProtection="0"/>
    <xf numFmtId="0" fontId="65" fillId="0" borderId="280" applyNumberFormat="0" applyFill="0" applyAlignment="0" applyProtection="0"/>
    <xf numFmtId="0" fontId="32" fillId="34" borderId="259">
      <alignment horizontal="right" vertical="center"/>
    </xf>
    <xf numFmtId="0" fontId="34" fillId="32" borderId="259">
      <alignment horizontal="left" vertical="center"/>
    </xf>
    <xf numFmtId="49" fontId="34" fillId="0" borderId="254" applyNumberFormat="0" applyFont="0" applyFill="0" applyBorder="0" applyProtection="0">
      <alignment horizontal="left" vertical="center" indent="5"/>
    </xf>
    <xf numFmtId="0" fontId="46" fillId="56" borderId="263" applyNumberFormat="0" applyAlignment="0" applyProtection="0"/>
    <xf numFmtId="49" fontId="34" fillId="0" borderId="259" applyNumberFormat="0" applyFont="0" applyFill="0" applyBorder="0" applyProtection="0">
      <alignment horizontal="left" vertical="center" indent="5"/>
    </xf>
    <xf numFmtId="0" fontId="30" fillId="0" borderId="0" applyNumberFormat="0" applyFill="0" applyBorder="0" applyAlignment="0" applyProtection="0"/>
    <xf numFmtId="0" fontId="34" fillId="32" borderId="254">
      <alignment horizontal="left" vertical="center"/>
    </xf>
    <xf numFmtId="0" fontId="34" fillId="0" borderId="256">
      <alignment horizontal="left" vertical="center" wrapText="1" indent="2"/>
    </xf>
    <xf numFmtId="0" fontId="65" fillId="0" borderId="264" applyNumberFormat="0" applyFill="0" applyAlignment="0" applyProtection="0"/>
    <xf numFmtId="0" fontId="46" fillId="56" borderId="263" applyNumberFormat="0" applyAlignment="0" applyProtection="0"/>
    <xf numFmtId="0" fontId="40" fillId="59" borderId="267" applyNumberFormat="0" applyFont="0" applyAlignment="0" applyProtection="0"/>
    <xf numFmtId="0" fontId="62" fillId="56" borderId="249" applyNumberFormat="0" applyAlignment="0" applyProtection="0"/>
    <xf numFmtId="0" fontId="62" fillId="56" borderId="278" applyNumberFormat="0" applyAlignment="0" applyProtection="0"/>
    <xf numFmtId="0" fontId="46" fillId="56" borderId="279" applyNumberFormat="0" applyAlignment="0" applyProtection="0"/>
    <xf numFmtId="0" fontId="65" fillId="0" borderId="264" applyNumberFormat="0" applyFill="0" applyAlignment="0" applyProtection="0"/>
    <xf numFmtId="0" fontId="36" fillId="32" borderId="258">
      <alignment horizontal="right" vertical="center"/>
    </xf>
    <xf numFmtId="4" fontId="32" fillId="34" borderId="259">
      <alignment horizontal="right" vertical="center"/>
    </xf>
    <xf numFmtId="49" fontId="33" fillId="0" borderId="258" applyNumberFormat="0" applyFill="0" applyBorder="0" applyProtection="0">
      <alignment horizontal="left" vertical="center"/>
    </xf>
    <xf numFmtId="0" fontId="32" fillId="32" borderId="253">
      <alignment horizontal="right" vertical="center"/>
    </xf>
    <xf numFmtId="0" fontId="50" fillId="0" borderId="251" applyNumberFormat="0" applyFill="0" applyAlignment="0" applyProtection="0"/>
    <xf numFmtId="0" fontId="34" fillId="0" borderId="253" applyNumberFormat="0" applyFill="0" applyAlignment="0" applyProtection="0"/>
    <xf numFmtId="0" fontId="50" fillId="0" borderId="251" applyNumberFormat="0" applyFill="0" applyAlignment="0" applyProtection="0"/>
    <xf numFmtId="4" fontId="34" fillId="0" borderId="253" applyFill="0" applyBorder="0" applyProtection="0">
      <alignment horizontal="right" vertical="center"/>
    </xf>
    <xf numFmtId="49" fontId="34" fillId="0" borderId="254" applyNumberFormat="0" applyFont="0" applyFill="0" applyBorder="0" applyProtection="0">
      <alignment horizontal="left" vertical="center" indent="5"/>
    </xf>
    <xf numFmtId="0" fontId="34" fillId="0" borderId="253" applyNumberFormat="0" applyFill="0" applyAlignment="0" applyProtection="0"/>
    <xf numFmtId="0" fontId="26" fillId="18" borderId="0" applyNumberFormat="0" applyBorder="0" applyAlignment="0" applyProtection="0"/>
    <xf numFmtId="0" fontId="34" fillId="0" borderId="253" applyNumberFormat="0" applyFill="0" applyAlignment="0" applyProtection="0"/>
    <xf numFmtId="4" fontId="34" fillId="0" borderId="258" applyFill="0" applyBorder="0" applyProtection="0">
      <alignment horizontal="right" vertical="center"/>
    </xf>
    <xf numFmtId="0" fontId="26" fillId="14" borderId="0" applyNumberFormat="0" applyBorder="0" applyAlignment="0" applyProtection="0"/>
    <xf numFmtId="4" fontId="32" fillId="34" borderId="253">
      <alignment horizontal="right" vertical="center"/>
    </xf>
    <xf numFmtId="0" fontId="40" fillId="59" borderId="257" applyNumberFormat="0" applyFont="0" applyAlignment="0" applyProtection="0"/>
    <xf numFmtId="4" fontId="32" fillId="34" borderId="258">
      <alignment horizontal="right" vertical="center"/>
    </xf>
    <xf numFmtId="0" fontId="12" fillId="19" borderId="0" applyNumberFormat="0" applyBorder="0" applyAlignment="0" applyProtection="0"/>
    <xf numFmtId="0" fontId="65" fillId="0" borderId="264" applyNumberFormat="0" applyFill="0" applyAlignment="0" applyProtection="0"/>
    <xf numFmtId="0" fontId="49" fillId="43" borderId="250" applyNumberFormat="0" applyAlignment="0" applyProtection="0"/>
    <xf numFmtId="0" fontId="46" fillId="56" borderId="250" applyNumberFormat="0" applyAlignment="0" applyProtection="0"/>
    <xf numFmtId="4" fontId="34" fillId="0" borderId="253">
      <alignment horizontal="right" vertical="center"/>
    </xf>
    <xf numFmtId="0" fontId="34" fillId="34" borderId="256">
      <alignment horizontal="left" vertical="center" wrapText="1" indent="2"/>
    </xf>
    <xf numFmtId="0" fontId="34" fillId="0" borderId="256">
      <alignment horizontal="left" vertical="center" wrapText="1" indent="2"/>
    </xf>
    <xf numFmtId="0" fontId="62" fillId="56" borderId="249" applyNumberFormat="0" applyAlignment="0" applyProtection="0"/>
    <xf numFmtId="0" fontId="58" fillId="43" borderId="250" applyNumberFormat="0" applyAlignment="0" applyProtection="0"/>
    <xf numFmtId="0" fontId="45" fillId="56" borderId="250" applyNumberFormat="0" applyAlignment="0" applyProtection="0"/>
    <xf numFmtId="0" fontId="43" fillId="56" borderId="249" applyNumberFormat="0" applyAlignment="0" applyProtection="0"/>
    <xf numFmtId="0" fontId="32" fillId="34" borderId="255">
      <alignment horizontal="right" vertical="center"/>
    </xf>
    <xf numFmtId="0" fontId="36" fillId="32" borderId="253">
      <alignment horizontal="right" vertical="center"/>
    </xf>
    <xf numFmtId="4" fontId="32" fillId="32" borderId="253">
      <alignment horizontal="right" vertical="center"/>
    </xf>
    <xf numFmtId="4" fontId="32" fillId="34" borderId="253">
      <alignment horizontal="right" vertical="center"/>
    </xf>
    <xf numFmtId="49" fontId="34" fillId="0" borderId="254" applyNumberFormat="0" applyFont="0" applyFill="0" applyBorder="0" applyProtection="0">
      <alignment horizontal="left" vertical="center" indent="5"/>
    </xf>
    <xf numFmtId="4" fontId="34" fillId="0" borderId="253" applyFill="0" applyBorder="0" applyProtection="0">
      <alignment horizontal="right" vertical="center"/>
    </xf>
    <xf numFmtId="4" fontId="32" fillId="32" borderId="253">
      <alignment horizontal="right" vertical="center"/>
    </xf>
    <xf numFmtId="0" fontId="58" fillId="43" borderId="250" applyNumberFormat="0" applyAlignment="0" applyProtection="0"/>
    <xf numFmtId="0" fontId="49" fillId="43" borderId="250" applyNumberFormat="0" applyAlignment="0" applyProtection="0"/>
    <xf numFmtId="0" fontId="45" fillId="56" borderId="250" applyNumberFormat="0" applyAlignment="0" applyProtection="0"/>
    <xf numFmtId="0" fontId="34" fillId="34" borderId="256">
      <alignment horizontal="left" vertical="center" wrapText="1" indent="2"/>
    </xf>
    <xf numFmtId="0" fontId="34" fillId="0" borderId="256">
      <alignment horizontal="left" vertical="center" wrapText="1" indent="2"/>
    </xf>
    <xf numFmtId="0" fontId="34" fillId="34" borderId="256">
      <alignment horizontal="left" vertical="center" wrapText="1" indent="2"/>
    </xf>
    <xf numFmtId="4" fontId="32" fillId="34" borderId="268">
      <alignment horizontal="right" vertical="center"/>
    </xf>
    <xf numFmtId="0" fontId="1" fillId="0" borderId="0" applyNumberFormat="0" applyFill="0" applyBorder="0" applyAlignment="0" applyProtection="0"/>
    <xf numFmtId="4" fontId="32" fillId="34" borderId="270">
      <alignment horizontal="right" vertical="center"/>
    </xf>
    <xf numFmtId="0" fontId="32" fillId="34" borderId="268">
      <alignment horizontal="right" vertical="center"/>
    </xf>
    <xf numFmtId="0" fontId="65" fillId="0" borderId="280" applyNumberFormat="0" applyFill="0" applyAlignment="0" applyProtection="0"/>
    <xf numFmtId="0" fontId="32" fillId="34" borderId="269">
      <alignment horizontal="right" vertical="center"/>
    </xf>
    <xf numFmtId="0" fontId="34" fillId="0" borderId="268">
      <alignment horizontal="right" vertical="center"/>
    </xf>
    <xf numFmtId="0" fontId="36" fillId="32" borderId="268">
      <alignment horizontal="right" vertical="center"/>
    </xf>
    <xf numFmtId="173" fontId="34" fillId="60" borderId="274" applyNumberFormat="0" applyFont="0" applyBorder="0" applyAlignment="0" applyProtection="0">
      <alignment horizontal="right" vertical="center"/>
    </xf>
    <xf numFmtId="0" fontId="34" fillId="0" borderId="292" applyNumberFormat="0" applyFill="0" applyAlignment="0" applyProtection="0"/>
    <xf numFmtId="49" fontId="33" fillId="0" borderId="274" applyNumberFormat="0" applyFill="0" applyBorder="0" applyProtection="0">
      <alignment horizontal="left" vertical="center"/>
    </xf>
    <xf numFmtId="4" fontId="34" fillId="0" borderId="268" applyFill="0" applyBorder="0" applyProtection="0">
      <alignment horizontal="right" vertical="center"/>
    </xf>
    <xf numFmtId="0" fontId="32" fillId="34" borderId="268">
      <alignment horizontal="right" vertical="center"/>
    </xf>
    <xf numFmtId="4" fontId="32" fillId="34" borderId="282">
      <alignment horizontal="right" vertical="center"/>
    </xf>
    <xf numFmtId="49" fontId="33" fillId="0" borderId="274" applyNumberFormat="0" applyFill="0" applyBorder="0" applyProtection="0">
      <alignment horizontal="left" vertical="center"/>
    </xf>
    <xf numFmtId="4" fontId="34" fillId="0" borderId="268">
      <alignment horizontal="right" vertical="center"/>
    </xf>
    <xf numFmtId="0" fontId="43" fillId="56" borderId="272" applyNumberFormat="0" applyAlignment="0" applyProtection="0"/>
    <xf numFmtId="0" fontId="34" fillId="0" borderId="274" applyNumberFormat="0" applyFill="0" applyAlignment="0" applyProtection="0"/>
    <xf numFmtId="0" fontId="5" fillId="59" borderId="267" applyNumberFormat="0" applyFont="0" applyAlignment="0" applyProtection="0"/>
    <xf numFmtId="0" fontId="45" fillId="56" borderId="265" applyNumberFormat="0" applyAlignment="0" applyProtection="0"/>
    <xf numFmtId="4" fontId="32" fillId="34" borderId="268">
      <alignment horizontal="right" vertical="center"/>
    </xf>
    <xf numFmtId="0" fontId="34" fillId="0" borderId="271">
      <alignment horizontal="left" vertical="center" wrapText="1" indent="2"/>
    </xf>
    <xf numFmtId="173" fontId="34" fillId="60" borderId="268" applyNumberFormat="0" applyFont="0" applyBorder="0" applyAlignment="0" applyProtection="0">
      <alignment horizontal="right" vertical="center"/>
    </xf>
    <xf numFmtId="49" fontId="34" fillId="0" borderId="269" applyNumberFormat="0" applyFont="0" applyFill="0" applyBorder="0" applyProtection="0">
      <alignment horizontal="left" vertical="center" indent="5"/>
    </xf>
    <xf numFmtId="49" fontId="34" fillId="0" borderId="274" applyNumberFormat="0" applyFont="0" applyFill="0" applyBorder="0" applyProtection="0">
      <alignment horizontal="left" vertical="center" indent="2"/>
    </xf>
    <xf numFmtId="0" fontId="26" fillId="20" borderId="0" applyNumberFormat="0" applyBorder="0" applyAlignment="0" applyProtection="0"/>
    <xf numFmtId="0" fontId="49" fillId="43" borderId="265" applyNumberFormat="0" applyAlignment="0" applyProtection="0"/>
    <xf numFmtId="0" fontId="34" fillId="0" borderId="285">
      <alignment horizontal="left" vertical="center" wrapText="1" indent="2"/>
    </xf>
    <xf numFmtId="0" fontId="26" fillId="27" borderId="0" applyNumberFormat="0" applyBorder="0" applyAlignment="0" applyProtection="0"/>
    <xf numFmtId="0" fontId="46" fillId="56" borderId="287" applyNumberFormat="0" applyAlignment="0" applyProtection="0"/>
    <xf numFmtId="4" fontId="32" fillId="32" borderId="274">
      <alignment horizontal="right" vertical="center"/>
    </xf>
    <xf numFmtId="0" fontId="30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45" fillId="56" borderId="265" applyNumberFormat="0" applyAlignment="0" applyProtection="0"/>
    <xf numFmtId="0" fontId="50" fillId="0" borderId="266" applyNumberFormat="0" applyFill="0" applyAlignment="0" applyProtection="0"/>
    <xf numFmtId="0" fontId="58" fillId="43" borderId="279" applyNumberFormat="0" applyAlignment="0" applyProtection="0"/>
    <xf numFmtId="0" fontId="46" fillId="56" borderId="265" applyNumberFormat="0" applyAlignment="0" applyProtection="0"/>
    <xf numFmtId="4" fontId="32" fillId="34" borderId="268">
      <alignment horizontal="right" vertical="center"/>
    </xf>
    <xf numFmtId="0" fontId="45" fillId="56" borderId="265" applyNumberFormat="0" applyAlignment="0" applyProtection="0"/>
    <xf numFmtId="4" fontId="32" fillId="34" borderId="274">
      <alignment horizontal="right" vertical="center"/>
    </xf>
    <xf numFmtId="0" fontId="29" fillId="13" borderId="13" applyNumberFormat="0" applyAlignment="0" applyProtection="0"/>
    <xf numFmtId="4" fontId="32" fillId="34" borderId="276">
      <alignment horizontal="right" vertical="center"/>
    </xf>
    <xf numFmtId="0" fontId="32" fillId="34" borderId="274">
      <alignment horizontal="right" vertical="center"/>
    </xf>
    <xf numFmtId="0" fontId="26" fillId="18" borderId="0" applyNumberFormat="0" applyBorder="0" applyAlignment="0" applyProtection="0"/>
    <xf numFmtId="0" fontId="26" fillId="29" borderId="0" applyNumberFormat="0" applyBorder="0" applyAlignment="0" applyProtection="0"/>
    <xf numFmtId="0" fontId="26" fillId="27" borderId="0" applyNumberFormat="0" applyBorder="0" applyAlignment="0" applyProtection="0"/>
    <xf numFmtId="49" fontId="34" fillId="0" borderId="274" applyNumberFormat="0" applyFont="0" applyFill="0" applyBorder="0" applyProtection="0">
      <alignment horizontal="left" vertical="center" indent="2"/>
    </xf>
    <xf numFmtId="4" fontId="32" fillId="34" borderId="274">
      <alignment horizontal="right" vertical="center"/>
    </xf>
    <xf numFmtId="0" fontId="46" fillId="56" borderId="265" applyNumberFormat="0" applyAlignment="0" applyProtection="0"/>
    <xf numFmtId="4" fontId="32" fillId="32" borderId="292">
      <alignment horizontal="right" vertical="center"/>
    </xf>
    <xf numFmtId="0" fontId="34" fillId="34" borderId="277">
      <alignment horizontal="left" vertical="center" wrapText="1" indent="2"/>
    </xf>
    <xf numFmtId="0" fontId="32" fillId="32" borderId="268">
      <alignment horizontal="right" vertical="center"/>
    </xf>
    <xf numFmtId="4" fontId="32" fillId="34" borderId="270">
      <alignment horizontal="right" vertical="center"/>
    </xf>
    <xf numFmtId="0" fontId="1" fillId="0" borderId="0" applyNumberFormat="0" applyFill="0" applyBorder="0" applyAlignment="0" applyProtection="0"/>
    <xf numFmtId="4" fontId="34" fillId="0" borderId="258">
      <alignment horizontal="right" vertical="center"/>
    </xf>
    <xf numFmtId="173" fontId="34" fillId="60" borderId="268" applyNumberFormat="0" applyFont="0" applyBorder="0" applyAlignment="0" applyProtection="0">
      <alignment horizontal="right" vertical="center"/>
    </xf>
    <xf numFmtId="49" fontId="34" fillId="0" borderId="258" applyNumberFormat="0" applyFont="0" applyFill="0" applyBorder="0" applyProtection="0">
      <alignment horizontal="left" vertical="center" indent="2"/>
    </xf>
    <xf numFmtId="0" fontId="46" fillId="56" borderId="263" applyNumberFormat="0" applyAlignment="0" applyProtection="0"/>
    <xf numFmtId="0" fontId="46" fillId="56" borderId="289" applyNumberFormat="0" applyAlignment="0" applyProtection="0"/>
    <xf numFmtId="0" fontId="36" fillId="32" borderId="268">
      <alignment horizontal="right" vertical="center"/>
    </xf>
    <xf numFmtId="0" fontId="50" fillId="0" borderId="266" applyNumberFormat="0" applyFill="0" applyAlignment="0" applyProtection="0"/>
    <xf numFmtId="4" fontId="32" fillId="34" borderId="268">
      <alignment horizontal="right" vertical="center"/>
    </xf>
    <xf numFmtId="0" fontId="65" fillId="0" borderId="266" applyNumberFormat="0" applyFill="0" applyAlignment="0" applyProtection="0"/>
    <xf numFmtId="0" fontId="40" fillId="59" borderId="267" applyNumberFormat="0" applyFont="0" applyAlignment="0" applyProtection="0"/>
    <xf numFmtId="0" fontId="46" fillId="56" borderId="279" applyNumberFormat="0" applyAlignment="0" applyProtection="0"/>
    <xf numFmtId="0" fontId="32" fillId="32" borderId="274">
      <alignment horizontal="right" vertical="center"/>
    </xf>
    <xf numFmtId="0" fontId="50" fillId="0" borderId="288" applyNumberFormat="0" applyFill="0" applyAlignment="0" applyProtection="0"/>
    <xf numFmtId="0" fontId="45" fillId="56" borderId="265" applyNumberFormat="0" applyAlignment="0" applyProtection="0"/>
    <xf numFmtId="49" fontId="34" fillId="0" borderId="259" applyNumberFormat="0" applyFont="0" applyFill="0" applyBorder="0" applyProtection="0">
      <alignment horizontal="left" vertical="center" indent="5"/>
    </xf>
    <xf numFmtId="0" fontId="49" fillId="43" borderId="263" applyNumberFormat="0" applyAlignment="0" applyProtection="0"/>
    <xf numFmtId="0" fontId="43" fillId="56" borderId="262" applyNumberFormat="0" applyAlignment="0" applyProtection="0"/>
    <xf numFmtId="0" fontId="34" fillId="34" borderId="261">
      <alignment horizontal="left" vertical="center" wrapText="1" indent="2"/>
    </xf>
    <xf numFmtId="0" fontId="65" fillId="0" borderId="264" applyNumberFormat="0" applyFill="0" applyAlignment="0" applyProtection="0"/>
    <xf numFmtId="4" fontId="32" fillId="34" borderId="259">
      <alignment horizontal="right" vertical="center"/>
    </xf>
    <xf numFmtId="0" fontId="34" fillId="0" borderId="271">
      <alignment horizontal="left" vertical="center" wrapText="1" indent="2"/>
    </xf>
    <xf numFmtId="0" fontId="32" fillId="34" borderId="258">
      <alignment horizontal="right" vertical="center"/>
    </xf>
    <xf numFmtId="4" fontId="32" fillId="32" borderId="258">
      <alignment horizontal="right" vertical="center"/>
    </xf>
    <xf numFmtId="4" fontId="32" fillId="34" borderId="269">
      <alignment horizontal="right" vertical="center"/>
    </xf>
    <xf numFmtId="0" fontId="2" fillId="0" borderId="15" applyNumberFormat="0" applyFill="0" applyAlignment="0" applyProtection="0"/>
    <xf numFmtId="4" fontId="34" fillId="33" borderId="268"/>
    <xf numFmtId="0" fontId="45" fillId="56" borderId="263" applyNumberFormat="0" applyAlignment="0" applyProtection="0"/>
    <xf numFmtId="0" fontId="32" fillId="34" borderId="274">
      <alignment horizontal="right" vertical="center"/>
    </xf>
    <xf numFmtId="0" fontId="34" fillId="34" borderId="271">
      <alignment horizontal="left" vertical="center" wrapText="1" indent="2"/>
    </xf>
    <xf numFmtId="0" fontId="32" fillId="32" borderId="292">
      <alignment horizontal="right" vertical="center"/>
    </xf>
    <xf numFmtId="0" fontId="32" fillId="34" borderId="268">
      <alignment horizontal="right" vertical="center"/>
    </xf>
    <xf numFmtId="0" fontId="34" fillId="0" borderId="258">
      <alignment horizontal="right" vertical="center"/>
    </xf>
    <xf numFmtId="0" fontId="34" fillId="32" borderId="259">
      <alignment horizontal="left" vertical="center"/>
    </xf>
    <xf numFmtId="0" fontId="34" fillId="0" borderId="271">
      <alignment horizontal="left" vertical="center" wrapText="1" indent="2"/>
    </xf>
    <xf numFmtId="4" fontId="32" fillId="34" borderId="268">
      <alignment horizontal="right" vertical="center"/>
    </xf>
    <xf numFmtId="4" fontId="34" fillId="33" borderId="258"/>
    <xf numFmtId="0" fontId="36" fillId="32" borderId="258">
      <alignment horizontal="right" vertical="center"/>
    </xf>
    <xf numFmtId="0" fontId="32" fillId="34" borderId="258">
      <alignment horizontal="right" vertical="center"/>
    </xf>
    <xf numFmtId="0" fontId="34" fillId="0" borderId="261">
      <alignment horizontal="left" vertical="center" wrapText="1" indent="2"/>
    </xf>
    <xf numFmtId="0" fontId="49" fillId="43" borderId="263" applyNumberFormat="0" applyAlignment="0" applyProtection="0"/>
    <xf numFmtId="0" fontId="34" fillId="0" borderId="271">
      <alignment horizontal="left" vertical="center" wrapText="1" indent="2"/>
    </xf>
    <xf numFmtId="0" fontId="40" fillId="59" borderId="267" applyNumberFormat="0" applyFont="0" applyAlignment="0" applyProtection="0"/>
    <xf numFmtId="0" fontId="58" fillId="43" borderId="279" applyNumberFormat="0" applyAlignment="0" applyProtection="0"/>
    <xf numFmtId="0" fontId="65" fillId="0" borderId="290" applyNumberFormat="0" applyFill="0" applyAlignment="0" applyProtection="0"/>
    <xf numFmtId="0" fontId="49" fillId="43" borderId="287" applyNumberFormat="0" applyAlignment="0" applyProtection="0"/>
    <xf numFmtId="0" fontId="62" fillId="56" borderId="272" applyNumberFormat="0" applyAlignment="0" applyProtection="0"/>
    <xf numFmtId="0" fontId="40" fillId="59" borderId="257" applyNumberFormat="0" applyFont="0" applyAlignment="0" applyProtection="0"/>
    <xf numFmtId="0" fontId="40" fillId="59" borderId="273" applyNumberFormat="0" applyFont="0" applyAlignment="0" applyProtection="0"/>
    <xf numFmtId="0" fontId="26" fillId="17" borderId="0" applyNumberFormat="0" applyBorder="0" applyAlignment="0" applyProtection="0"/>
    <xf numFmtId="0" fontId="26" fillId="30" borderId="0" applyNumberFormat="0" applyBorder="0" applyAlignment="0" applyProtection="0"/>
    <xf numFmtId="0" fontId="26" fillId="24" borderId="0" applyNumberFormat="0" applyBorder="0" applyAlignment="0" applyProtection="0"/>
    <xf numFmtId="0" fontId="34" fillId="0" borderId="271">
      <alignment horizontal="left" vertical="center" wrapText="1" indent="2"/>
    </xf>
    <xf numFmtId="0" fontId="49" fillId="43" borderId="263" applyNumberFormat="0" applyAlignment="0" applyProtection="0"/>
    <xf numFmtId="0" fontId="34" fillId="33" borderId="258"/>
    <xf numFmtId="0" fontId="36" fillId="32" borderId="258">
      <alignment horizontal="right" vertical="center"/>
    </xf>
    <xf numFmtId="0" fontId="62" fillId="56" borderId="262" applyNumberFormat="0" applyAlignment="0" applyProtection="0"/>
    <xf numFmtId="0" fontId="26" fillId="17" borderId="0" applyNumberFormat="0" applyBorder="0" applyAlignment="0" applyProtection="0"/>
    <xf numFmtId="4" fontId="34" fillId="0" borderId="282">
      <alignment horizontal="right" vertical="center"/>
    </xf>
    <xf numFmtId="0" fontId="34" fillId="32" borderId="269">
      <alignment horizontal="left" vertical="center"/>
    </xf>
    <xf numFmtId="0" fontId="32" fillId="32" borderId="258">
      <alignment horizontal="right" vertical="center"/>
    </xf>
    <xf numFmtId="49" fontId="33" fillId="0" borderId="268" applyNumberFormat="0" applyFill="0" applyBorder="0" applyProtection="0">
      <alignment horizontal="left" vertical="center"/>
    </xf>
    <xf numFmtId="0" fontId="26" fillId="14" borderId="0" applyNumberFormat="0" applyBorder="0" applyAlignment="0" applyProtection="0"/>
    <xf numFmtId="0" fontId="34" fillId="32" borderId="269">
      <alignment horizontal="left" vertical="center"/>
    </xf>
    <xf numFmtId="49" fontId="34" fillId="0" borderId="282" applyNumberFormat="0" applyFont="0" applyFill="0" applyBorder="0" applyProtection="0">
      <alignment horizontal="left" vertical="center" indent="2"/>
    </xf>
    <xf numFmtId="4" fontId="32" fillId="34" borderId="258">
      <alignment horizontal="right" vertical="center"/>
    </xf>
    <xf numFmtId="0" fontId="46" fillId="56" borderId="279" applyNumberFormat="0" applyAlignment="0" applyProtection="0"/>
    <xf numFmtId="0" fontId="40" fillId="59" borderId="273" applyNumberFormat="0" applyFont="0" applyAlignment="0" applyProtection="0"/>
    <xf numFmtId="0" fontId="32" fillId="34" borderId="258">
      <alignment horizontal="right" vertical="center"/>
    </xf>
    <xf numFmtId="0" fontId="34" fillId="34" borderId="261">
      <alignment horizontal="left" vertical="center" wrapText="1" indent="2"/>
    </xf>
    <xf numFmtId="0" fontId="26" fillId="20" borderId="0" applyNumberFormat="0" applyBorder="0" applyAlignment="0" applyProtection="0"/>
    <xf numFmtId="0" fontId="34" fillId="0" borderId="258" applyNumberFormat="0" applyFill="0" applyAlignment="0" applyProtection="0"/>
    <xf numFmtId="49" fontId="34" fillId="0" borderId="258" applyNumberFormat="0" applyFont="0" applyFill="0" applyBorder="0" applyProtection="0">
      <alignment horizontal="left" vertical="center" indent="2"/>
    </xf>
    <xf numFmtId="0" fontId="26" fillId="17" borderId="0" applyNumberFormat="0" applyBorder="0" applyAlignment="0" applyProtection="0"/>
    <xf numFmtId="0" fontId="34" fillId="0" borderId="274">
      <alignment horizontal="right" vertical="center"/>
    </xf>
    <xf numFmtId="0" fontId="58" fillId="43" borderId="265" applyNumberFormat="0" applyAlignment="0" applyProtection="0"/>
    <xf numFmtId="0" fontId="12" fillId="16" borderId="0" applyNumberFormat="0" applyBorder="0" applyAlignment="0" applyProtection="0"/>
    <xf numFmtId="4" fontId="32" fillId="34" borderId="258">
      <alignment horizontal="right" vertical="center"/>
    </xf>
    <xf numFmtId="0" fontId="26" fillId="27" borderId="0" applyNumberFormat="0" applyBorder="0" applyAlignment="0" applyProtection="0"/>
    <xf numFmtId="0" fontId="28" fillId="13" borderId="14" applyNumberFormat="0" applyAlignment="0" applyProtection="0"/>
    <xf numFmtId="49" fontId="34" fillId="0" borderId="268" applyNumberFormat="0" applyFont="0" applyFill="0" applyBorder="0" applyProtection="0">
      <alignment horizontal="left" vertical="center" indent="2"/>
    </xf>
    <xf numFmtId="0" fontId="46" fillId="56" borderId="263" applyNumberFormat="0" applyAlignment="0" applyProtection="0"/>
    <xf numFmtId="0" fontId="62" fillId="56" borderId="262" applyNumberFormat="0" applyAlignment="0" applyProtection="0"/>
    <xf numFmtId="0" fontId="65" fillId="0" borderId="264" applyNumberFormat="0" applyFill="0" applyAlignment="0" applyProtection="0"/>
    <xf numFmtId="0" fontId="50" fillId="0" borderId="266" applyNumberFormat="0" applyFill="0" applyAlignment="0" applyProtection="0"/>
    <xf numFmtId="4" fontId="32" fillId="32" borderId="258">
      <alignment horizontal="right" vertical="center"/>
    </xf>
    <xf numFmtId="0" fontId="49" fillId="43" borderId="263" applyNumberFormat="0" applyAlignment="0" applyProtection="0"/>
    <xf numFmtId="0" fontId="58" fillId="43" borderId="263" applyNumberFormat="0" applyAlignment="0" applyProtection="0"/>
    <xf numFmtId="0" fontId="43" fillId="56" borderId="262" applyNumberFormat="0" applyAlignment="0" applyProtection="0"/>
    <xf numFmtId="0" fontId="34" fillId="0" borderId="261">
      <alignment horizontal="left" vertical="center" wrapText="1" indent="2"/>
    </xf>
    <xf numFmtId="0" fontId="58" fillId="43" borderId="263" applyNumberFormat="0" applyAlignment="0" applyProtection="0"/>
    <xf numFmtId="0" fontId="34" fillId="0" borderId="258" applyNumberFormat="0" applyFill="0" applyAlignment="0" applyProtection="0"/>
    <xf numFmtId="4" fontId="34" fillId="0" borderId="258">
      <alignment horizontal="right" vertical="center"/>
    </xf>
    <xf numFmtId="0" fontId="32" fillId="34" borderId="258">
      <alignment horizontal="right" vertical="center"/>
    </xf>
    <xf numFmtId="4" fontId="32" fillId="34" borderId="260">
      <alignment horizontal="right" vertical="center"/>
    </xf>
    <xf numFmtId="4" fontId="32" fillId="32" borderId="258">
      <alignment horizontal="right" vertical="center"/>
    </xf>
    <xf numFmtId="0" fontId="34" fillId="0" borderId="258">
      <alignment horizontal="right" vertical="center"/>
    </xf>
    <xf numFmtId="4" fontId="36" fillId="32" borderId="268">
      <alignment horizontal="right" vertical="center"/>
    </xf>
    <xf numFmtId="0" fontId="40" fillId="59" borderId="281" applyNumberFormat="0" applyFont="0" applyAlignment="0" applyProtection="0"/>
    <xf numFmtId="0" fontId="34" fillId="33" borderId="268"/>
    <xf numFmtId="4" fontId="32" fillId="32" borderId="274">
      <alignment horizontal="right" vertical="center"/>
    </xf>
    <xf numFmtId="0" fontId="26" fillId="17" borderId="0" applyNumberFormat="0" applyBorder="0" applyAlignment="0" applyProtection="0"/>
    <xf numFmtId="0" fontId="40" fillId="59" borderId="267" applyNumberFormat="0" applyFont="0" applyAlignment="0" applyProtection="0"/>
    <xf numFmtId="0" fontId="46" fillId="56" borderId="263" applyNumberFormat="0" applyAlignment="0" applyProtection="0"/>
    <xf numFmtId="4" fontId="32" fillId="34" borderId="268">
      <alignment horizontal="right" vertical="center"/>
    </xf>
    <xf numFmtId="4" fontId="36" fillId="32" borderId="268">
      <alignment horizontal="right" vertical="center"/>
    </xf>
    <xf numFmtId="0" fontId="34" fillId="0" borderId="271">
      <alignment horizontal="left" vertical="center" wrapText="1" indent="2"/>
    </xf>
    <xf numFmtId="0" fontId="26" fillId="26" borderId="0" applyNumberFormat="0" applyBorder="0" applyAlignment="0" applyProtection="0"/>
    <xf numFmtId="0" fontId="34" fillId="34" borderId="285">
      <alignment horizontal="left" vertical="center" wrapText="1" indent="2"/>
    </xf>
    <xf numFmtId="0" fontId="50" fillId="0" borderId="280" applyNumberFormat="0" applyFill="0" applyAlignment="0" applyProtection="0"/>
    <xf numFmtId="4" fontId="34" fillId="33" borderId="268"/>
    <xf numFmtId="4" fontId="32" fillId="34" borderId="268">
      <alignment horizontal="right" vertical="center"/>
    </xf>
    <xf numFmtId="0" fontId="46" fillId="56" borderId="265" applyNumberFormat="0" applyAlignment="0" applyProtection="0"/>
    <xf numFmtId="0" fontId="45" fillId="56" borderId="263" applyNumberFormat="0" applyAlignment="0" applyProtection="0"/>
    <xf numFmtId="0" fontId="40" fillId="59" borderId="291" applyNumberFormat="0" applyFont="0" applyAlignment="0" applyProtection="0"/>
    <xf numFmtId="0" fontId="29" fillId="13" borderId="13" applyNumberFormat="0" applyAlignment="0" applyProtection="0"/>
    <xf numFmtId="0" fontId="32" fillId="34" borderId="268">
      <alignment horizontal="right" vertical="center"/>
    </xf>
    <xf numFmtId="4" fontId="32" fillId="34" borderId="258">
      <alignment horizontal="right" vertical="center"/>
    </xf>
    <xf numFmtId="4" fontId="32" fillId="34" borderId="260">
      <alignment horizontal="right" vertical="center"/>
    </xf>
    <xf numFmtId="4" fontId="36" fillId="32" borderId="258">
      <alignment horizontal="right" vertical="center"/>
    </xf>
    <xf numFmtId="0" fontId="32" fillId="34" borderId="268">
      <alignment horizontal="right" vertical="center"/>
    </xf>
    <xf numFmtId="0" fontId="34" fillId="0" borderId="274">
      <alignment horizontal="right" vertical="center"/>
    </xf>
    <xf numFmtId="0" fontId="26" fillId="18" borderId="0" applyNumberFormat="0" applyBorder="0" applyAlignment="0" applyProtection="0"/>
    <xf numFmtId="0" fontId="32" fillId="34" borderId="258">
      <alignment horizontal="right" vertical="center"/>
    </xf>
    <xf numFmtId="0" fontId="12" fillId="25" borderId="0" applyNumberFormat="0" applyBorder="0" applyAlignment="0" applyProtection="0"/>
    <xf numFmtId="0" fontId="46" fillId="56" borderId="263" applyNumberFormat="0" applyAlignment="0" applyProtection="0"/>
    <xf numFmtId="0" fontId="46" fillId="56" borderId="263" applyNumberFormat="0" applyAlignment="0" applyProtection="0"/>
    <xf numFmtId="4" fontId="34" fillId="33" borderId="258"/>
    <xf numFmtId="0" fontId="49" fillId="43" borderId="263" applyNumberFormat="0" applyAlignment="0" applyProtection="0"/>
    <xf numFmtId="0" fontId="43" fillId="56" borderId="262" applyNumberFormat="0" applyAlignment="0" applyProtection="0"/>
    <xf numFmtId="0" fontId="12" fillId="19" borderId="0" applyNumberFormat="0" applyBorder="0" applyAlignment="0" applyProtection="0"/>
    <xf numFmtId="4" fontId="36" fillId="32" borderId="292">
      <alignment horizontal="right" vertical="center"/>
    </xf>
    <xf numFmtId="0" fontId="5" fillId="59" borderId="257" applyNumberFormat="0" applyFont="0" applyAlignment="0" applyProtection="0"/>
    <xf numFmtId="0" fontId="49" fillId="43" borderId="289" applyNumberFormat="0" applyAlignment="0" applyProtection="0"/>
    <xf numFmtId="0" fontId="65" fillId="0" borderId="280" applyNumberFormat="0" applyFill="0" applyAlignment="0" applyProtection="0"/>
    <xf numFmtId="4" fontId="36" fillId="32" borderId="268">
      <alignment horizontal="right" vertical="center"/>
    </xf>
    <xf numFmtId="0" fontId="36" fillId="32" borderId="268">
      <alignment horizontal="right" vertical="center"/>
    </xf>
    <xf numFmtId="0" fontId="65" fillId="0" borderId="280" applyNumberFormat="0" applyFill="0" applyAlignment="0" applyProtection="0"/>
    <xf numFmtId="49" fontId="34" fillId="0" borderId="274" applyNumberFormat="0" applyFont="0" applyFill="0" applyBorder="0" applyProtection="0">
      <alignment horizontal="left" vertical="center" indent="2"/>
    </xf>
    <xf numFmtId="0" fontId="26" fillId="27" borderId="0" applyNumberFormat="0" applyBorder="0" applyAlignment="0" applyProtection="0"/>
    <xf numFmtId="0" fontId="34" fillId="0" borderId="258">
      <alignment horizontal="right" vertical="center"/>
    </xf>
    <xf numFmtId="0" fontId="34" fillId="0" borderId="258" applyNumberFormat="0" applyFill="0" applyAlignment="0" applyProtection="0"/>
    <xf numFmtId="0" fontId="65" fillId="0" borderId="264" applyNumberFormat="0" applyFill="0" applyAlignment="0" applyProtection="0"/>
    <xf numFmtId="4" fontId="34" fillId="0" borderId="258" applyFill="0" applyBorder="0" applyProtection="0">
      <alignment horizontal="right" vertical="center"/>
    </xf>
    <xf numFmtId="0" fontId="45" fillId="56" borderId="263" applyNumberFormat="0" applyAlignment="0" applyProtection="0"/>
    <xf numFmtId="4" fontId="34" fillId="33" borderId="258"/>
    <xf numFmtId="0" fontId="65" fillId="0" borderId="264" applyNumberFormat="0" applyFill="0" applyAlignment="0" applyProtection="0"/>
    <xf numFmtId="0" fontId="62" fillId="56" borderId="272" applyNumberFormat="0" applyAlignment="0" applyProtection="0"/>
    <xf numFmtId="49" fontId="34" fillId="0" borderId="258" applyNumberFormat="0" applyFont="0" applyFill="0" applyBorder="0" applyProtection="0">
      <alignment horizontal="left" vertical="center" indent="2"/>
    </xf>
    <xf numFmtId="0" fontId="58" fillId="43" borderId="265" applyNumberFormat="0" applyAlignment="0" applyProtection="0"/>
    <xf numFmtId="0" fontId="65" fillId="0" borderId="266" applyNumberFormat="0" applyFill="0" applyAlignment="0" applyProtection="0"/>
    <xf numFmtId="4" fontId="32" fillId="34" borderId="276">
      <alignment horizontal="right" vertical="center"/>
    </xf>
    <xf numFmtId="0" fontId="45" fillId="56" borderId="263" applyNumberFormat="0" applyAlignment="0" applyProtection="0"/>
    <xf numFmtId="0" fontId="5" fillId="59" borderId="267" applyNumberFormat="0" applyFont="0" applyAlignment="0" applyProtection="0"/>
    <xf numFmtId="0" fontId="65" fillId="0" borderId="290" applyNumberFormat="0" applyFill="0" applyAlignment="0" applyProtection="0"/>
    <xf numFmtId="4" fontId="32" fillId="34" borderId="269">
      <alignment horizontal="right" vertical="center"/>
    </xf>
    <xf numFmtId="0" fontId="65" fillId="0" borderId="264" applyNumberFormat="0" applyFill="0" applyAlignment="0" applyProtection="0"/>
    <xf numFmtId="4" fontId="32" fillId="34" borderId="258">
      <alignment horizontal="right" vertical="center"/>
    </xf>
    <xf numFmtId="0" fontId="26" fillId="14" borderId="0" applyNumberFormat="0" applyBorder="0" applyAlignment="0" applyProtection="0"/>
    <xf numFmtId="4" fontId="36" fillId="32" borderId="282">
      <alignment horizontal="right" vertical="center"/>
    </xf>
    <xf numFmtId="4" fontId="32" fillId="34" borderId="294">
      <alignment horizontal="right" vertical="center"/>
    </xf>
    <xf numFmtId="0" fontId="12" fillId="25" borderId="0" applyNumberFormat="0" applyBorder="0" applyAlignment="0" applyProtection="0"/>
    <xf numFmtId="0" fontId="26" fillId="21" borderId="0" applyNumberFormat="0" applyBorder="0" applyAlignment="0" applyProtection="0"/>
    <xf numFmtId="49" fontId="33" fillId="0" borderId="282" applyNumberFormat="0" applyFill="0" applyBorder="0" applyProtection="0">
      <alignment horizontal="left" vertical="center"/>
    </xf>
    <xf numFmtId="0" fontId="26" fillId="27" borderId="0" applyNumberFormat="0" applyBorder="0" applyAlignment="0" applyProtection="0"/>
    <xf numFmtId="0" fontId="40" fillId="59" borderId="267" applyNumberFormat="0" applyFont="0" applyAlignment="0" applyProtection="0"/>
    <xf numFmtId="0" fontId="65" fillId="0" borderId="288" applyNumberFormat="0" applyFill="0" applyAlignment="0" applyProtection="0"/>
    <xf numFmtId="4" fontId="32" fillId="34" borderId="292">
      <alignment horizontal="right" vertical="center"/>
    </xf>
    <xf numFmtId="4" fontId="32" fillId="34" borderId="282">
      <alignment horizontal="right" vertical="center"/>
    </xf>
    <xf numFmtId="0" fontId="58" fillId="43" borderId="263" applyNumberFormat="0" applyAlignment="0" applyProtection="0"/>
    <xf numFmtId="0" fontId="32" fillId="34" borderId="258">
      <alignment horizontal="right" vertical="center"/>
    </xf>
    <xf numFmtId="0" fontId="5" fillId="59" borderId="257" applyNumberFormat="0" applyFont="0" applyAlignment="0" applyProtection="0"/>
    <xf numFmtId="4" fontId="32" fillId="34" borderId="259">
      <alignment horizontal="right" vertical="center"/>
    </xf>
    <xf numFmtId="0" fontId="58" fillId="43" borderId="263" applyNumberFormat="0" applyAlignment="0" applyProtection="0"/>
    <xf numFmtId="0" fontId="32" fillId="34" borderId="269">
      <alignment horizontal="right" vertical="center"/>
    </xf>
    <xf numFmtId="0" fontId="34" fillId="34" borderId="285">
      <alignment horizontal="left" vertical="center" wrapText="1" indent="2"/>
    </xf>
    <xf numFmtId="0" fontId="58" fillId="43" borderId="265" applyNumberFormat="0" applyAlignment="0" applyProtection="0"/>
    <xf numFmtId="0" fontId="46" fillId="56" borderId="265" applyNumberFormat="0" applyAlignment="0" applyProtection="0"/>
    <xf numFmtId="0" fontId="58" fillId="43" borderId="263" applyNumberFormat="0" applyAlignment="0" applyProtection="0"/>
    <xf numFmtId="0" fontId="32" fillId="34" borderId="268">
      <alignment horizontal="right" vertical="center"/>
    </xf>
    <xf numFmtId="0" fontId="5" fillId="59" borderId="257" applyNumberFormat="0" applyFont="0" applyAlignment="0" applyProtection="0"/>
    <xf numFmtId="4" fontId="32" fillId="34" borderId="259">
      <alignment horizontal="right" vertical="center"/>
    </xf>
    <xf numFmtId="4" fontId="32" fillId="34" borderId="258">
      <alignment horizontal="right" vertical="center"/>
    </xf>
    <xf numFmtId="0" fontId="32" fillId="34" borderId="293">
      <alignment horizontal="right" vertical="center"/>
    </xf>
    <xf numFmtId="4" fontId="32" fillId="34" borderId="258">
      <alignment horizontal="right" vertical="center"/>
    </xf>
    <xf numFmtId="0" fontId="58" fillId="43" borderId="263" applyNumberFormat="0" applyAlignment="0" applyProtection="0"/>
    <xf numFmtId="4" fontId="36" fillId="32" borderId="258">
      <alignment horizontal="right" vertical="center"/>
    </xf>
    <xf numFmtId="0" fontId="34" fillId="34" borderId="261">
      <alignment horizontal="left" vertical="center" wrapText="1" indent="2"/>
    </xf>
    <xf numFmtId="0" fontId="5" fillId="59" borderId="257" applyNumberFormat="0" applyFont="0" applyAlignment="0" applyProtection="0"/>
    <xf numFmtId="0" fontId="50" fillId="0" borderId="264" applyNumberFormat="0" applyFill="0" applyAlignment="0" applyProtection="0"/>
    <xf numFmtId="0" fontId="58" fillId="43" borderId="263" applyNumberFormat="0" applyAlignment="0" applyProtection="0"/>
    <xf numFmtId="4" fontId="34" fillId="0" borderId="258">
      <alignment horizontal="right" vertical="center"/>
    </xf>
    <xf numFmtId="0" fontId="65" fillId="0" borderId="264" applyNumberFormat="0" applyFill="0" applyAlignment="0" applyProtection="0"/>
    <xf numFmtId="0" fontId="5" fillId="59" borderId="273" applyNumberFormat="0" applyFont="0" applyAlignment="0" applyProtection="0"/>
    <xf numFmtId="0" fontId="34" fillId="0" borderId="274">
      <alignment horizontal="right" vertical="center"/>
    </xf>
    <xf numFmtId="0" fontId="65" fillId="0" borderId="266" applyNumberFormat="0" applyFill="0" applyAlignment="0" applyProtection="0"/>
    <xf numFmtId="0" fontId="45" fillId="56" borderId="279" applyNumberFormat="0" applyAlignment="0" applyProtection="0"/>
    <xf numFmtId="0" fontId="62" fillId="56" borderId="278" applyNumberFormat="0" applyAlignment="0" applyProtection="0"/>
    <xf numFmtId="4" fontId="34" fillId="0" borderId="268">
      <alignment horizontal="right" vertical="center"/>
    </xf>
    <xf numFmtId="0" fontId="2" fillId="0" borderId="15" applyNumberFormat="0" applyFill="0" applyAlignment="0" applyProtection="0"/>
    <xf numFmtId="0" fontId="46" fillId="56" borderId="263" applyNumberFormat="0" applyAlignment="0" applyProtection="0"/>
    <xf numFmtId="0" fontId="32" fillId="32" borderId="258">
      <alignment horizontal="right" vertical="center"/>
    </xf>
    <xf numFmtId="0" fontId="40" fillId="59" borderId="291" applyNumberFormat="0" applyFont="0" applyAlignment="0" applyProtection="0"/>
    <xf numFmtId="49" fontId="34" fillId="0" borderId="275" applyNumberFormat="0" applyFont="0" applyFill="0" applyBorder="0" applyProtection="0">
      <alignment horizontal="left" vertical="center" indent="5"/>
    </xf>
    <xf numFmtId="0" fontId="5" fillId="59" borderId="267" applyNumberFormat="0" applyFont="0" applyAlignment="0" applyProtection="0"/>
    <xf numFmtId="4" fontId="32" fillId="34" borderId="276">
      <alignment horizontal="right" vertical="center"/>
    </xf>
    <xf numFmtId="0" fontId="32" fillId="34" borderId="268">
      <alignment horizontal="right" vertical="center"/>
    </xf>
    <xf numFmtId="0" fontId="34" fillId="33" borderId="274"/>
    <xf numFmtId="4" fontId="36" fillId="32" borderId="282">
      <alignment horizontal="right" vertical="center"/>
    </xf>
    <xf numFmtId="4" fontId="32" fillId="34" borderId="292">
      <alignment horizontal="right" vertical="center"/>
    </xf>
    <xf numFmtId="0" fontId="32" fillId="32" borderId="268">
      <alignment horizontal="right" vertical="center"/>
    </xf>
    <xf numFmtId="49" fontId="33" fillId="0" borderId="258" applyNumberFormat="0" applyFill="0" applyBorder="0" applyProtection="0">
      <alignment horizontal="left" vertical="center"/>
    </xf>
    <xf numFmtId="0" fontId="36" fillId="32" borderId="258">
      <alignment horizontal="right" vertical="center"/>
    </xf>
    <xf numFmtId="0" fontId="45" fillId="56" borderId="263" applyNumberFormat="0" applyAlignment="0" applyProtection="0"/>
    <xf numFmtId="0" fontId="34" fillId="0" borderId="261">
      <alignment horizontal="left" vertical="center" wrapText="1" indent="2"/>
    </xf>
    <xf numFmtId="0" fontId="62" fillId="56" borderId="262" applyNumberFormat="0" applyAlignment="0" applyProtection="0"/>
    <xf numFmtId="0" fontId="32" fillId="34" borderId="259">
      <alignment horizontal="right" vertical="center"/>
    </xf>
    <xf numFmtId="49" fontId="33" fillId="0" borderId="282" applyNumberFormat="0" applyFill="0" applyBorder="0" applyProtection="0">
      <alignment horizontal="left" vertical="center"/>
    </xf>
    <xf numFmtId="0" fontId="32" fillId="34" borderId="259">
      <alignment horizontal="right" vertical="center"/>
    </xf>
    <xf numFmtId="0" fontId="32" fillId="32" borderId="258">
      <alignment horizontal="right" vertical="center"/>
    </xf>
    <xf numFmtId="0" fontId="34" fillId="0" borderId="282" applyNumberFormat="0" applyFill="0" applyAlignment="0" applyProtection="0"/>
    <xf numFmtId="4" fontId="34" fillId="0" borderId="268">
      <alignment horizontal="right" vertical="center"/>
    </xf>
    <xf numFmtId="0" fontId="26" fillId="15" borderId="0" applyNumberFormat="0" applyBorder="0" applyAlignment="0" applyProtection="0"/>
    <xf numFmtId="0" fontId="32" fillId="34" borderId="274">
      <alignment horizontal="right" vertical="center"/>
    </xf>
    <xf numFmtId="0" fontId="43" fillId="56" borderId="262" applyNumberFormat="0" applyAlignment="0" applyProtection="0"/>
    <xf numFmtId="0" fontId="26" fillId="14" borderId="0" applyNumberFormat="0" applyBorder="0" applyAlignment="0" applyProtection="0"/>
    <xf numFmtId="0" fontId="40" fillId="59" borderId="267" applyNumberFormat="0" applyFont="0" applyAlignment="0" applyProtection="0"/>
    <xf numFmtId="0" fontId="46" fillId="56" borderId="279" applyNumberFormat="0" applyAlignment="0" applyProtection="0"/>
    <xf numFmtId="0" fontId="62" fillId="56" borderId="272" applyNumberFormat="0" applyAlignment="0" applyProtection="0"/>
    <xf numFmtId="4" fontId="34" fillId="0" borderId="258">
      <alignment horizontal="right" vertical="center"/>
    </xf>
    <xf numFmtId="0" fontId="65" fillId="0" borderId="264" applyNumberFormat="0" applyFill="0" applyAlignment="0" applyProtection="0"/>
    <xf numFmtId="0" fontId="32" fillId="34" borderId="275">
      <alignment horizontal="right" vertical="center"/>
    </xf>
    <xf numFmtId="173" fontId="34" fillId="60" borderId="268" applyNumberFormat="0" applyFont="0" applyBorder="0" applyAlignment="0" applyProtection="0">
      <alignment horizontal="right" vertical="center"/>
    </xf>
    <xf numFmtId="0" fontId="34" fillId="0" borderId="261">
      <alignment horizontal="left" vertical="center" wrapText="1" indent="2"/>
    </xf>
    <xf numFmtId="4" fontId="32" fillId="32" borderId="258">
      <alignment horizontal="right" vertical="center"/>
    </xf>
    <xf numFmtId="0" fontId="65" fillId="0" borderId="264" applyNumberFormat="0" applyFill="0" applyAlignment="0" applyProtection="0"/>
    <xf numFmtId="0" fontId="34" fillId="34" borderId="261">
      <alignment horizontal="left" vertical="center" wrapText="1" indent="2"/>
    </xf>
    <xf numFmtId="0" fontId="46" fillId="56" borderId="263" applyNumberFormat="0" applyAlignment="0" applyProtection="0"/>
    <xf numFmtId="0" fontId="45" fillId="56" borderId="265" applyNumberFormat="0" applyAlignment="0" applyProtection="0"/>
    <xf numFmtId="4" fontId="32" fillId="34" borderId="269">
      <alignment horizontal="right" vertical="center"/>
    </xf>
    <xf numFmtId="49" fontId="34" fillId="0" borderId="292" applyNumberFormat="0" applyFont="0" applyFill="0" applyBorder="0" applyProtection="0">
      <alignment horizontal="left" vertical="center" indent="2"/>
    </xf>
    <xf numFmtId="0" fontId="65" fillId="0" borderId="290" applyNumberFormat="0" applyFill="0" applyAlignment="0" applyProtection="0"/>
    <xf numFmtId="4" fontId="32" fillId="34" borderId="268">
      <alignment horizontal="right" vertical="center"/>
    </xf>
    <xf numFmtId="173" fontId="34" fillId="60" borderId="258" applyNumberFormat="0" applyFont="0" applyBorder="0" applyAlignment="0" applyProtection="0">
      <alignment horizontal="right" vertical="center"/>
    </xf>
    <xf numFmtId="49" fontId="34" fillId="0" borderId="282" applyNumberFormat="0" applyFont="0" applyFill="0" applyBorder="0" applyProtection="0">
      <alignment horizontal="left" vertical="center" indent="2"/>
    </xf>
    <xf numFmtId="0" fontId="12" fillId="22" borderId="0" applyNumberFormat="0" applyBorder="0" applyAlignment="0" applyProtection="0"/>
    <xf numFmtId="0" fontId="26" fillId="29" borderId="0" applyNumberFormat="0" applyBorder="0" applyAlignment="0" applyProtection="0"/>
    <xf numFmtId="0" fontId="26" fillId="23" borderId="0" applyNumberFormat="0" applyBorder="0" applyAlignment="0" applyProtection="0"/>
    <xf numFmtId="0" fontId="32" fillId="34" borderId="269">
      <alignment horizontal="right" vertical="center"/>
    </xf>
    <xf numFmtId="0" fontId="34" fillId="33" borderId="268"/>
    <xf numFmtId="0" fontId="32" fillId="34" borderId="260">
      <alignment horizontal="right" vertical="center"/>
    </xf>
    <xf numFmtId="0" fontId="40" fillId="59" borderId="281" applyNumberFormat="0" applyFont="0" applyAlignment="0" applyProtection="0"/>
    <xf numFmtId="0" fontId="34" fillId="34" borderId="261">
      <alignment horizontal="left" vertical="center" wrapText="1" indent="2"/>
    </xf>
    <xf numFmtId="4" fontId="32" fillId="34" borderId="258">
      <alignment horizontal="right" vertical="center"/>
    </xf>
    <xf numFmtId="0" fontId="40" fillId="59" borderId="257" applyNumberFormat="0" applyFont="0" applyAlignment="0" applyProtection="0"/>
    <xf numFmtId="0" fontId="26" fillId="24" borderId="0" applyNumberFormat="0" applyBorder="0" applyAlignment="0" applyProtection="0"/>
    <xf numFmtId="4" fontId="32" fillId="32" borderId="268">
      <alignment horizontal="right" vertical="center"/>
    </xf>
    <xf numFmtId="4" fontId="34" fillId="33" borderId="274"/>
    <xf numFmtId="4" fontId="36" fillId="32" borderId="258">
      <alignment horizontal="right" vertical="center"/>
    </xf>
    <xf numFmtId="0" fontId="46" fillId="56" borderId="265" applyNumberFormat="0" applyAlignment="0" applyProtection="0"/>
    <xf numFmtId="0" fontId="43" fillId="56" borderId="296" applyNumberFormat="0" applyAlignment="0" applyProtection="0"/>
    <xf numFmtId="0" fontId="12" fillId="22" borderId="0" applyNumberFormat="0" applyBorder="0" applyAlignment="0" applyProtection="0"/>
    <xf numFmtId="0" fontId="32" fillId="34" borderId="269">
      <alignment horizontal="right" vertical="center"/>
    </xf>
    <xf numFmtId="0" fontId="34" fillId="34" borderId="277">
      <alignment horizontal="left" vertical="center" wrapText="1" indent="2"/>
    </xf>
    <xf numFmtId="0" fontId="32" fillId="34" borderId="258">
      <alignment horizontal="right" vertical="center"/>
    </xf>
    <xf numFmtId="0" fontId="32" fillId="34" borderId="270">
      <alignment horizontal="right" vertical="center"/>
    </xf>
    <xf numFmtId="0" fontId="40" fillId="59" borderId="267" applyNumberFormat="0" applyFont="0" applyAlignment="0" applyProtection="0"/>
    <xf numFmtId="4" fontId="34" fillId="33" borderId="258"/>
    <xf numFmtId="0" fontId="43" fillId="56" borderId="272" applyNumberFormat="0" applyAlignment="0" applyProtection="0"/>
    <xf numFmtId="49" fontId="33" fillId="0" borderId="274" applyNumberFormat="0" applyFill="0" applyBorder="0" applyProtection="0">
      <alignment horizontal="left" vertical="center"/>
    </xf>
    <xf numFmtId="173" fontId="34" fillId="60" borderId="258" applyNumberFormat="0" applyFont="0" applyBorder="0" applyAlignment="0" applyProtection="0">
      <alignment horizontal="right" vertical="center"/>
    </xf>
    <xf numFmtId="0" fontId="30" fillId="0" borderId="0" applyNumberFormat="0" applyFill="0" applyBorder="0" applyAlignment="0" applyProtection="0"/>
    <xf numFmtId="49" fontId="34" fillId="0" borderId="259" applyNumberFormat="0" applyFont="0" applyFill="0" applyBorder="0" applyProtection="0">
      <alignment horizontal="left" vertical="center" indent="5"/>
    </xf>
    <xf numFmtId="4" fontId="36" fillId="32" borderId="268">
      <alignment horizontal="right" vertical="center"/>
    </xf>
    <xf numFmtId="0" fontId="12" fillId="19" borderId="0" applyNumberFormat="0" applyBorder="0" applyAlignment="0" applyProtection="0"/>
    <xf numFmtId="0" fontId="32" fillId="34" borderId="260">
      <alignment horizontal="right" vertical="center"/>
    </xf>
    <xf numFmtId="0" fontId="26" fillId="26" borderId="0" applyNumberFormat="0" applyBorder="0" applyAlignment="0" applyProtection="0"/>
    <xf numFmtId="0" fontId="34" fillId="0" borderId="268" applyNumberFormat="0" applyFill="0" applyAlignment="0" applyProtection="0"/>
    <xf numFmtId="0" fontId="65" fillId="0" borderId="280" applyNumberFormat="0" applyFill="0" applyAlignment="0" applyProtection="0"/>
    <xf numFmtId="4" fontId="32" fillId="34" borderId="260">
      <alignment horizontal="right" vertical="center"/>
    </xf>
    <xf numFmtId="0" fontId="34" fillId="0" borderId="258" applyNumberFormat="0" applyFill="0" applyAlignment="0" applyProtection="0"/>
    <xf numFmtId="0" fontId="62" fillId="56" borderId="262" applyNumberFormat="0" applyAlignment="0" applyProtection="0"/>
    <xf numFmtId="0" fontId="32" fillId="34" borderId="268">
      <alignment horizontal="right" vertical="center"/>
    </xf>
    <xf numFmtId="0" fontId="32" fillId="32" borderId="258">
      <alignment horizontal="right" vertical="center"/>
    </xf>
    <xf numFmtId="0" fontId="58" fillId="43" borderId="263" applyNumberFormat="0" applyAlignment="0" applyProtection="0"/>
    <xf numFmtId="0" fontId="50" fillId="0" borderId="264" applyNumberFormat="0" applyFill="0" applyAlignment="0" applyProtection="0"/>
    <xf numFmtId="0" fontId="32" fillId="34" borderId="258">
      <alignment horizontal="right" vertical="center"/>
    </xf>
    <xf numFmtId="0" fontId="34" fillId="34" borderId="261">
      <alignment horizontal="left" vertical="center" wrapText="1" indent="2"/>
    </xf>
    <xf numFmtId="0" fontId="34" fillId="32" borderId="259">
      <alignment horizontal="left" vertical="center"/>
    </xf>
    <xf numFmtId="0" fontId="40" fillId="59" borderId="257" applyNumberFormat="0" applyFont="0" applyAlignment="0" applyProtection="0"/>
    <xf numFmtId="0" fontId="5" fillId="59" borderId="257" applyNumberFormat="0" applyFont="0" applyAlignment="0" applyProtection="0"/>
    <xf numFmtId="4" fontId="36" fillId="32" borderId="258">
      <alignment horizontal="right" vertical="center"/>
    </xf>
    <xf numFmtId="0" fontId="65" fillId="0" borderId="264" applyNumberFormat="0" applyFill="0" applyAlignment="0" applyProtection="0"/>
    <xf numFmtId="4" fontId="34" fillId="0" borderId="258" applyFill="0" applyBorder="0" applyProtection="0">
      <alignment horizontal="right" vertical="center"/>
    </xf>
    <xf numFmtId="49" fontId="33" fillId="0" borderId="258" applyNumberFormat="0" applyFill="0" applyBorder="0" applyProtection="0">
      <alignment horizontal="left" vertical="center"/>
    </xf>
    <xf numFmtId="4" fontId="32" fillId="34" borderId="270">
      <alignment horizontal="right" vertical="center"/>
    </xf>
    <xf numFmtId="0" fontId="26" fillId="18" borderId="0" applyNumberFormat="0" applyBorder="0" applyAlignment="0" applyProtection="0"/>
    <xf numFmtId="0" fontId="34" fillId="0" borderId="261">
      <alignment horizontal="left" vertical="center" wrapText="1" indent="2"/>
    </xf>
    <xf numFmtId="4" fontId="34" fillId="0" borderId="268">
      <alignment horizontal="right" vertical="center"/>
    </xf>
    <xf numFmtId="0" fontId="65" fillId="0" borderId="266" applyNumberFormat="0" applyFill="0" applyAlignment="0" applyProtection="0"/>
    <xf numFmtId="0" fontId="46" fillId="56" borderId="265" applyNumberFormat="0" applyAlignment="0" applyProtection="0"/>
    <xf numFmtId="0" fontId="50" fillId="0" borderId="288" applyNumberFormat="0" applyFill="0" applyAlignment="0" applyProtection="0"/>
    <xf numFmtId="0" fontId="34" fillId="34" borderId="261">
      <alignment horizontal="left" vertical="center" wrapText="1" indent="2"/>
    </xf>
    <xf numFmtId="0" fontId="1" fillId="0" borderId="0" applyNumberFormat="0" applyFill="0" applyBorder="0" applyAlignment="0" applyProtection="0"/>
    <xf numFmtId="0" fontId="45" fillId="56" borderId="265" applyNumberFormat="0" applyAlignment="0" applyProtection="0"/>
    <xf numFmtId="49" fontId="33" fillId="0" borderId="282" applyNumberFormat="0" applyFill="0" applyBorder="0" applyProtection="0">
      <alignment horizontal="left" vertical="center"/>
    </xf>
    <xf numFmtId="0" fontId="12" fillId="28" borderId="0" applyNumberFormat="0" applyBorder="0" applyAlignment="0" applyProtection="0"/>
    <xf numFmtId="0" fontId="26" fillId="27" borderId="0" applyNumberFormat="0" applyBorder="0" applyAlignment="0" applyProtection="0"/>
    <xf numFmtId="0" fontId="49" fillId="43" borderId="289" applyNumberFormat="0" applyAlignment="0" applyProtection="0"/>
    <xf numFmtId="0" fontId="46" fillId="56" borderId="265" applyNumberFormat="0" applyAlignment="0" applyProtection="0"/>
    <xf numFmtId="0" fontId="46" fillId="56" borderId="265" applyNumberFormat="0" applyAlignment="0" applyProtection="0"/>
    <xf numFmtId="173" fontId="34" fillId="60" borderId="268" applyNumberFormat="0" applyFont="0" applyBorder="0" applyAlignment="0" applyProtection="0">
      <alignment horizontal="right" vertical="center"/>
    </xf>
    <xf numFmtId="173" fontId="34" fillId="60" borderId="282" applyNumberFormat="0" applyFont="0" applyBorder="0" applyAlignment="0" applyProtection="0">
      <alignment horizontal="right" vertical="center"/>
    </xf>
    <xf numFmtId="0" fontId="43" fillId="56" borderId="262" applyNumberFormat="0" applyAlignment="0" applyProtection="0"/>
    <xf numFmtId="0" fontId="12" fillId="19" borderId="0" applyNumberFormat="0" applyBorder="0" applyAlignment="0" applyProtection="0"/>
    <xf numFmtId="0" fontId="28" fillId="13" borderId="14" applyNumberFormat="0" applyAlignment="0" applyProtection="0"/>
    <xf numFmtId="0" fontId="12" fillId="31" borderId="0" applyNumberFormat="0" applyBorder="0" applyAlignment="0" applyProtection="0"/>
    <xf numFmtId="0" fontId="32" fillId="34" borderId="258">
      <alignment horizontal="right" vertical="center"/>
    </xf>
    <xf numFmtId="0" fontId="65" fillId="0" borderId="264" applyNumberFormat="0" applyFill="0" applyAlignment="0" applyProtection="0"/>
    <xf numFmtId="0" fontId="36" fillId="32" borderId="258">
      <alignment horizontal="right" vertical="center"/>
    </xf>
    <xf numFmtId="0" fontId="49" fillId="43" borderId="265" applyNumberFormat="0" applyAlignment="0" applyProtection="0"/>
    <xf numFmtId="0" fontId="26" fillId="18" borderId="0" applyNumberFormat="0" applyBorder="0" applyAlignment="0" applyProtection="0"/>
    <xf numFmtId="0" fontId="32" fillId="34" borderId="274">
      <alignment horizontal="right" vertical="center"/>
    </xf>
    <xf numFmtId="0" fontId="26" fillId="17" borderId="0" applyNumberFormat="0" applyBorder="0" applyAlignment="0" applyProtection="0"/>
    <xf numFmtId="4" fontId="34" fillId="33" borderId="258"/>
    <xf numFmtId="0" fontId="65" fillId="0" borderId="266" applyNumberFormat="0" applyFill="0" applyAlignment="0" applyProtection="0"/>
    <xf numFmtId="0" fontId="32" fillId="34" borderId="259">
      <alignment horizontal="right" vertical="center"/>
    </xf>
    <xf numFmtId="0" fontId="49" fillId="43" borderId="263" applyNumberFormat="0" applyAlignment="0" applyProtection="0"/>
    <xf numFmtId="0" fontId="34" fillId="33" borderId="258"/>
    <xf numFmtId="4" fontId="36" fillId="32" borderId="258">
      <alignment horizontal="right" vertical="center"/>
    </xf>
    <xf numFmtId="0" fontId="58" fillId="43" borderId="263" applyNumberFormat="0" applyAlignment="0" applyProtection="0"/>
    <xf numFmtId="0" fontId="34" fillId="34" borderId="295">
      <alignment horizontal="left" vertical="center" wrapText="1" indent="2"/>
    </xf>
    <xf numFmtId="0" fontId="65" fillId="0" borderId="264" applyNumberFormat="0" applyFill="0" applyAlignment="0" applyProtection="0"/>
    <xf numFmtId="4" fontId="32" fillId="32" borderId="258">
      <alignment horizontal="right" vertical="center"/>
    </xf>
    <xf numFmtId="0" fontId="29" fillId="13" borderId="13" applyNumberFormat="0" applyAlignment="0" applyProtection="0"/>
    <xf numFmtId="0" fontId="12" fillId="28" borderId="0" applyNumberFormat="0" applyBorder="0" applyAlignment="0" applyProtection="0"/>
    <xf numFmtId="0" fontId="32" fillId="34" borderId="269">
      <alignment horizontal="right" vertical="center"/>
    </xf>
    <xf numFmtId="0" fontId="62" fillId="56" borderId="272" applyNumberFormat="0" applyAlignment="0" applyProtection="0"/>
    <xf numFmtId="0" fontId="46" fillId="56" borderId="289" applyNumberFormat="0" applyAlignment="0" applyProtection="0"/>
    <xf numFmtId="0" fontId="12" fillId="22" borderId="0" applyNumberFormat="0" applyBorder="0" applyAlignment="0" applyProtection="0"/>
    <xf numFmtId="0" fontId="46" fillId="56" borderId="265" applyNumberFormat="0" applyAlignment="0" applyProtection="0"/>
    <xf numFmtId="0" fontId="32" fillId="32" borderId="258">
      <alignment horizontal="right" vertical="center"/>
    </xf>
    <xf numFmtId="0" fontId="62" fillId="56" borderId="262" applyNumberFormat="0" applyAlignment="0" applyProtection="0"/>
    <xf numFmtId="0" fontId="62" fillId="56" borderId="262" applyNumberFormat="0" applyAlignment="0" applyProtection="0"/>
    <xf numFmtId="49" fontId="34" fillId="0" borderId="259" applyNumberFormat="0" applyFont="0" applyFill="0" applyBorder="0" applyProtection="0">
      <alignment horizontal="left" vertical="center" indent="5"/>
    </xf>
    <xf numFmtId="0" fontId="43" fillId="56" borderId="262" applyNumberFormat="0" applyAlignment="0" applyProtection="0"/>
    <xf numFmtId="0" fontId="34" fillId="33" borderId="258"/>
    <xf numFmtId="0" fontId="62" fillId="56" borderId="262" applyNumberFormat="0" applyAlignment="0" applyProtection="0"/>
    <xf numFmtId="49" fontId="34" fillId="0" borderId="293" applyNumberFormat="0" applyFont="0" applyFill="0" applyBorder="0" applyProtection="0">
      <alignment horizontal="left" vertical="center" indent="5"/>
    </xf>
    <xf numFmtId="0" fontId="50" fillId="0" borderId="264" applyNumberFormat="0" applyFill="0" applyAlignment="0" applyProtection="0"/>
    <xf numFmtId="0" fontId="32" fillId="34" borderId="276">
      <alignment horizontal="right" vertical="center"/>
    </xf>
    <xf numFmtId="0" fontId="26" fillId="20" borderId="0" applyNumberFormat="0" applyBorder="0" applyAlignment="0" applyProtection="0"/>
    <xf numFmtId="0" fontId="34" fillId="33" borderId="258"/>
    <xf numFmtId="0" fontId="65" fillId="0" borderId="266" applyNumberFormat="0" applyFill="0" applyAlignment="0" applyProtection="0"/>
    <xf numFmtId="0" fontId="26" fillId="20" borderId="0" applyNumberFormat="0" applyBorder="0" applyAlignment="0" applyProtection="0"/>
    <xf numFmtId="0" fontId="34" fillId="0" borderId="268" applyNumberFormat="0" applyFill="0" applyAlignment="0" applyProtection="0"/>
    <xf numFmtId="0" fontId="46" fillId="56" borderId="279" applyNumberFormat="0" applyAlignment="0" applyProtection="0"/>
    <xf numFmtId="49" fontId="33" fillId="0" borderId="258" applyNumberFormat="0" applyFill="0" applyBorder="0" applyProtection="0">
      <alignment horizontal="left" vertical="center"/>
    </xf>
    <xf numFmtId="0" fontId="34" fillId="0" borderId="261">
      <alignment horizontal="left" vertical="center" wrapText="1" indent="2"/>
    </xf>
    <xf numFmtId="0" fontId="62" fillId="56" borderId="262" applyNumberFormat="0" applyAlignment="0" applyProtection="0"/>
    <xf numFmtId="0" fontId="32" fillId="34" borderId="260">
      <alignment horizontal="right" vertical="center"/>
    </xf>
    <xf numFmtId="0" fontId="49" fillId="43" borderId="263" applyNumberFormat="0" applyAlignment="0" applyProtection="0"/>
    <xf numFmtId="0" fontId="32" fillId="34" borderId="260">
      <alignment horizontal="right" vertical="center"/>
    </xf>
    <xf numFmtId="4" fontId="32" fillId="34" borderId="258">
      <alignment horizontal="right" vertical="center"/>
    </xf>
    <xf numFmtId="0" fontId="32" fillId="34" borderId="258">
      <alignment horizontal="right" vertical="center"/>
    </xf>
    <xf numFmtId="0" fontId="43" fillId="56" borderId="262" applyNumberFormat="0" applyAlignment="0" applyProtection="0"/>
    <xf numFmtId="0" fontId="45" fillId="56" borderId="263" applyNumberFormat="0" applyAlignment="0" applyProtection="0"/>
    <xf numFmtId="0" fontId="50" fillId="0" borderId="264" applyNumberFormat="0" applyFill="0" applyAlignment="0" applyProtection="0"/>
    <xf numFmtId="0" fontId="34" fillId="33" borderId="258"/>
    <xf numFmtId="4" fontId="34" fillId="33" borderId="258"/>
    <xf numFmtId="4" fontId="32" fillId="34" borderId="258">
      <alignment horizontal="right" vertical="center"/>
    </xf>
    <xf numFmtId="0" fontId="36" fillId="32" borderId="258">
      <alignment horizontal="right" vertical="center"/>
    </xf>
    <xf numFmtId="0" fontId="49" fillId="43" borderId="263" applyNumberFormat="0" applyAlignment="0" applyProtection="0"/>
    <xf numFmtId="0" fontId="46" fillId="56" borderId="263" applyNumberFormat="0" applyAlignment="0" applyProtection="0"/>
    <xf numFmtId="4" fontId="34" fillId="0" borderId="258">
      <alignment horizontal="right" vertical="center"/>
    </xf>
    <xf numFmtId="0" fontId="34" fillId="34" borderId="261">
      <alignment horizontal="left" vertical="center" wrapText="1" indent="2"/>
    </xf>
    <xf numFmtId="0" fontId="34" fillId="0" borderId="261">
      <alignment horizontal="left" vertical="center" wrapText="1" indent="2"/>
    </xf>
    <xf numFmtId="0" fontId="62" fillId="56" borderId="262" applyNumberFormat="0" applyAlignment="0" applyProtection="0"/>
    <xf numFmtId="0" fontId="58" fillId="43" borderId="263" applyNumberFormat="0" applyAlignment="0" applyProtection="0"/>
    <xf numFmtId="0" fontId="45" fillId="56" borderId="263" applyNumberFormat="0" applyAlignment="0" applyProtection="0"/>
    <xf numFmtId="0" fontId="43" fillId="56" borderId="262" applyNumberFormat="0" applyAlignment="0" applyProtection="0"/>
    <xf numFmtId="0" fontId="32" fillId="34" borderId="260">
      <alignment horizontal="right" vertical="center"/>
    </xf>
    <xf numFmtId="0" fontId="36" fillId="32" borderId="258">
      <alignment horizontal="right" vertical="center"/>
    </xf>
    <xf numFmtId="4" fontId="32" fillId="32" borderId="258">
      <alignment horizontal="right" vertical="center"/>
    </xf>
    <xf numFmtId="4" fontId="32" fillId="34" borderId="258">
      <alignment horizontal="right" vertical="center"/>
    </xf>
    <xf numFmtId="49" fontId="34" fillId="0" borderId="259" applyNumberFormat="0" applyFont="0" applyFill="0" applyBorder="0" applyProtection="0">
      <alignment horizontal="left" vertical="center" indent="5"/>
    </xf>
    <xf numFmtId="4" fontId="34" fillId="0" borderId="258" applyFill="0" applyBorder="0" applyProtection="0">
      <alignment horizontal="right" vertical="center"/>
    </xf>
    <xf numFmtId="4" fontId="32" fillId="32" borderId="258">
      <alignment horizontal="right" vertical="center"/>
    </xf>
    <xf numFmtId="0" fontId="58" fillId="43" borderId="263" applyNumberFormat="0" applyAlignment="0" applyProtection="0"/>
    <xf numFmtId="0" fontId="49" fillId="43" borderId="263" applyNumberFormat="0" applyAlignment="0" applyProtection="0"/>
    <xf numFmtId="0" fontId="45" fillId="56" borderId="263" applyNumberFormat="0" applyAlignment="0" applyProtection="0"/>
    <xf numFmtId="0" fontId="34" fillId="34" borderId="261">
      <alignment horizontal="left" vertical="center" wrapText="1" indent="2"/>
    </xf>
    <xf numFmtId="0" fontId="34" fillId="0" borderId="261">
      <alignment horizontal="left" vertical="center" wrapText="1" indent="2"/>
    </xf>
    <xf numFmtId="0" fontId="34" fillId="34" borderId="261">
      <alignment horizontal="left" vertical="center" wrapText="1" indent="2"/>
    </xf>
    <xf numFmtId="0" fontId="32" fillId="34" borderId="269">
      <alignment horizontal="right" vertical="center"/>
    </xf>
    <xf numFmtId="0" fontId="32" fillId="34" borderId="268">
      <alignment horizontal="right" vertical="center"/>
    </xf>
    <xf numFmtId="4" fontId="32" fillId="32" borderId="268">
      <alignment horizontal="right" vertical="center"/>
    </xf>
    <xf numFmtId="4" fontId="34" fillId="33" borderId="274"/>
    <xf numFmtId="0" fontId="46" fillId="56" borderId="289" applyNumberFormat="0" applyAlignment="0" applyProtection="0"/>
    <xf numFmtId="0" fontId="32" fillId="34" borderId="276">
      <alignment horizontal="right" vertical="center"/>
    </xf>
    <xf numFmtId="0" fontId="32" fillId="34" borderId="275">
      <alignment horizontal="right" vertical="center"/>
    </xf>
    <xf numFmtId="0" fontId="12" fillId="25" borderId="0" applyNumberFormat="0" applyBorder="0" applyAlignment="0" applyProtection="0"/>
    <xf numFmtId="0" fontId="5" fillId="59" borderId="281" applyNumberFormat="0" applyFont="0" applyAlignment="0" applyProtection="0"/>
    <xf numFmtId="49" fontId="33" fillId="0" borderId="274" applyNumberFormat="0" applyFill="0" applyBorder="0" applyProtection="0">
      <alignment horizontal="left" vertical="center"/>
    </xf>
    <xf numFmtId="0" fontId="26" fillId="17" borderId="0" applyNumberFormat="0" applyBorder="0" applyAlignment="0" applyProtection="0"/>
    <xf numFmtId="0" fontId="26" fillId="24" borderId="0" applyNumberFormat="0" applyBorder="0" applyAlignment="0" applyProtection="0"/>
    <xf numFmtId="0" fontId="65" fillId="0" borderId="266" applyNumberFormat="0" applyFill="0" applyAlignment="0" applyProtection="0"/>
    <xf numFmtId="0" fontId="36" fillId="32" borderId="282">
      <alignment horizontal="right" vertical="center"/>
    </xf>
    <xf numFmtId="0" fontId="26" fillId="15" borderId="0" applyNumberFormat="0" applyBorder="0" applyAlignment="0" applyProtection="0"/>
    <xf numFmtId="0" fontId="58" fillId="43" borderId="265" applyNumberFormat="0" applyAlignment="0" applyProtection="0"/>
    <xf numFmtId="4" fontId="32" fillId="34" borderId="282">
      <alignment horizontal="right" vertical="center"/>
    </xf>
    <xf numFmtId="0" fontId="32" fillId="34" borderId="275">
      <alignment horizontal="right" vertical="center"/>
    </xf>
    <xf numFmtId="4" fontId="32" fillId="34" borderId="274">
      <alignment horizontal="right" vertical="center"/>
    </xf>
    <xf numFmtId="0" fontId="30" fillId="0" borderId="0" applyNumberFormat="0" applyFill="0" applyBorder="0" applyAlignment="0" applyProtection="0"/>
    <xf numFmtId="0" fontId="46" fillId="56" borderId="265" applyNumberFormat="0" applyAlignment="0" applyProtection="0"/>
    <xf numFmtId="0" fontId="34" fillId="32" borderId="293">
      <alignment horizontal="left" vertical="center"/>
    </xf>
    <xf numFmtId="0" fontId="26" fillId="21" borderId="0" applyNumberFormat="0" applyBorder="0" applyAlignment="0" applyProtection="0"/>
    <xf numFmtId="4" fontId="32" fillId="34" borderId="275">
      <alignment horizontal="right" vertical="center"/>
    </xf>
    <xf numFmtId="0" fontId="34" fillId="33" borderId="292"/>
    <xf numFmtId="0" fontId="12" fillId="22" borderId="0" applyNumberFormat="0" applyBorder="0" applyAlignment="0" applyProtection="0"/>
    <xf numFmtId="4" fontId="36" fillId="32" borderId="274">
      <alignment horizontal="right" vertical="center"/>
    </xf>
    <xf numFmtId="4" fontId="32" fillId="34" borderId="276">
      <alignment horizontal="right" vertical="center"/>
    </xf>
    <xf numFmtId="0" fontId="36" fillId="32" borderId="274">
      <alignment horizontal="right" vertical="center"/>
    </xf>
    <xf numFmtId="0" fontId="29" fillId="13" borderId="13" applyNumberFormat="0" applyAlignment="0" applyProtection="0"/>
    <xf numFmtId="4" fontId="34" fillId="33" borderId="282"/>
    <xf numFmtId="4" fontId="32" fillId="34" borderId="274">
      <alignment horizontal="right" vertical="center"/>
    </xf>
    <xf numFmtId="4" fontId="32" fillId="34" borderId="284">
      <alignment horizontal="right" vertical="center"/>
    </xf>
    <xf numFmtId="0" fontId="58" fillId="43" borderId="287" applyNumberFormat="0" applyAlignment="0" applyProtection="0"/>
    <xf numFmtId="4" fontId="32" fillId="34" borderId="274">
      <alignment horizontal="right" vertical="center"/>
    </xf>
    <xf numFmtId="0" fontId="34" fillId="32" borderId="275">
      <alignment horizontal="left" vertical="center"/>
    </xf>
    <xf numFmtId="4" fontId="32" fillId="32" borderId="274">
      <alignment horizontal="right" vertical="center"/>
    </xf>
    <xf numFmtId="0" fontId="46" fillId="56" borderId="279" applyNumberFormat="0" applyAlignment="0" applyProtection="0"/>
    <xf numFmtId="0" fontId="43" fillId="56" borderId="286" applyNumberFormat="0" applyAlignment="0" applyProtection="0"/>
    <xf numFmtId="0" fontId="26" fillId="20" borderId="0" applyNumberFormat="0" applyBorder="0" applyAlignment="0" applyProtection="0"/>
    <xf numFmtId="0" fontId="65" fillId="0" borderId="266" applyNumberFormat="0" applyFill="0" applyAlignment="0" applyProtection="0"/>
    <xf numFmtId="0" fontId="65" fillId="0" borderId="280" applyNumberFormat="0" applyFill="0" applyAlignment="0" applyProtection="0"/>
    <xf numFmtId="0" fontId="26" fillId="20" borderId="0" applyNumberFormat="0" applyBorder="0" applyAlignment="0" applyProtection="0"/>
    <xf numFmtId="0" fontId="34" fillId="34" borderId="285">
      <alignment horizontal="left" vertical="center" wrapText="1" indent="2"/>
    </xf>
    <xf numFmtId="0" fontId="26" fillId="21" borderId="0" applyNumberFormat="0" applyBorder="0" applyAlignment="0" applyProtection="0"/>
    <xf numFmtId="0" fontId="45" fillId="56" borderId="279" applyNumberFormat="0" applyAlignment="0" applyProtection="0"/>
    <xf numFmtId="0" fontId="29" fillId="13" borderId="13" applyNumberFormat="0" applyAlignment="0" applyProtection="0"/>
    <xf numFmtId="4" fontId="32" fillId="34" borderId="294">
      <alignment horizontal="right" vertical="center"/>
    </xf>
    <xf numFmtId="0" fontId="32" fillId="34" borderId="275">
      <alignment horizontal="right" vertical="center"/>
    </xf>
    <xf numFmtId="0" fontId="34" fillId="32" borderId="283">
      <alignment horizontal="left" vertical="center"/>
    </xf>
    <xf numFmtId="0" fontId="30" fillId="0" borderId="0" applyNumberFormat="0" applyFill="0" applyBorder="0" applyAlignment="0" applyProtection="0"/>
    <xf numFmtId="0" fontId="49" fillId="43" borderId="279" applyNumberFormat="0" applyAlignment="0" applyProtection="0"/>
    <xf numFmtId="0" fontId="34" fillId="32" borderId="275">
      <alignment horizontal="left" vertical="center"/>
    </xf>
    <xf numFmtId="0" fontId="62" fillId="56" borderId="286" applyNumberFormat="0" applyAlignment="0" applyProtection="0"/>
    <xf numFmtId="0" fontId="34" fillId="0" borderId="282">
      <alignment horizontal="right" vertical="center"/>
    </xf>
    <xf numFmtId="0" fontId="58" fillId="43" borderId="265" applyNumberFormat="0" applyAlignment="0" applyProtection="0"/>
    <xf numFmtId="0" fontId="43" fillId="56" borderId="272" applyNumberFormat="0" applyAlignment="0" applyProtection="0"/>
    <xf numFmtId="4" fontId="36" fillId="32" borderId="268">
      <alignment horizontal="right" vertical="center"/>
    </xf>
    <xf numFmtId="4" fontId="32" fillId="34" borderId="274">
      <alignment horizontal="right" vertical="center"/>
    </xf>
    <xf numFmtId="0" fontId="58" fillId="43" borderId="279" applyNumberFormat="0" applyAlignment="0" applyProtection="0"/>
    <xf numFmtId="4" fontId="32" fillId="34" borderId="274">
      <alignment horizontal="right" vertical="center"/>
    </xf>
    <xf numFmtId="0" fontId="34" fillId="34" borderId="277">
      <alignment horizontal="left" vertical="center" wrapText="1" indent="2"/>
    </xf>
    <xf numFmtId="0" fontId="30" fillId="0" borderId="0" applyNumberFormat="0" applyFill="0" applyBorder="0" applyAlignment="0" applyProtection="0"/>
    <xf numFmtId="0" fontId="32" fillId="34" borderId="282">
      <alignment horizontal="right" vertical="center"/>
    </xf>
    <xf numFmtId="0" fontId="5" fillId="59" borderId="273" applyNumberFormat="0" applyFont="0" applyAlignment="0" applyProtection="0"/>
    <xf numFmtId="0" fontId="40" fillId="59" borderId="281" applyNumberFormat="0" applyFont="0" applyAlignment="0" applyProtection="0"/>
    <xf numFmtId="0" fontId="12" fillId="19" borderId="0" applyNumberFormat="0" applyBorder="0" applyAlignment="0" applyProtection="0"/>
    <xf numFmtId="0" fontId="32" fillId="34" borderId="268">
      <alignment horizontal="right" vertical="center"/>
    </xf>
    <xf numFmtId="4" fontId="32" fillId="32" borderId="268">
      <alignment horizontal="right" vertical="center"/>
    </xf>
    <xf numFmtId="0" fontId="34" fillId="0" borderId="271">
      <alignment horizontal="left" vertical="center" wrapText="1" indent="2"/>
    </xf>
    <xf numFmtId="0" fontId="62" fillId="56" borderId="272" applyNumberFormat="0" applyAlignment="0" applyProtection="0"/>
    <xf numFmtId="0" fontId="34" fillId="0" borderId="268">
      <alignment horizontal="right" vertical="center"/>
    </xf>
    <xf numFmtId="0" fontId="65" fillId="0" borderId="266" applyNumberFormat="0" applyFill="0" applyAlignment="0" applyProtection="0"/>
    <xf numFmtId="0" fontId="12" fillId="28" borderId="0" applyNumberFormat="0" applyBorder="0" applyAlignment="0" applyProtection="0"/>
    <xf numFmtId="0" fontId="62" fillId="56" borderId="272" applyNumberFormat="0" applyAlignment="0" applyProtection="0"/>
    <xf numFmtId="0" fontId="58" fillId="43" borderId="265" applyNumberFormat="0" applyAlignment="0" applyProtection="0"/>
    <xf numFmtId="0" fontId="34" fillId="34" borderId="271">
      <alignment horizontal="left" vertical="center" wrapText="1" indent="2"/>
    </xf>
    <xf numFmtId="4" fontId="34" fillId="0" borderId="274" applyFill="0" applyBorder="0" applyProtection="0">
      <alignment horizontal="right" vertical="center"/>
    </xf>
    <xf numFmtId="0" fontId="34" fillId="32" borderId="269">
      <alignment horizontal="left" vertical="center"/>
    </xf>
    <xf numFmtId="0" fontId="34" fillId="34" borderId="295">
      <alignment horizontal="left" vertical="center" wrapText="1" indent="2"/>
    </xf>
    <xf numFmtId="49" fontId="33" fillId="0" borderId="268" applyNumberFormat="0" applyFill="0" applyBorder="0" applyProtection="0">
      <alignment horizontal="left" vertical="center"/>
    </xf>
    <xf numFmtId="0" fontId="34" fillId="0" borderId="274">
      <alignment horizontal="right" vertical="center"/>
    </xf>
    <xf numFmtId="0" fontId="26" fillId="24" borderId="0" applyNumberFormat="0" applyBorder="0" applyAlignment="0" applyProtection="0"/>
    <xf numFmtId="173" fontId="34" fillId="60" borderId="274" applyNumberFormat="0" applyFont="0" applyBorder="0" applyAlignment="0" applyProtection="0">
      <alignment horizontal="right" vertical="center"/>
    </xf>
    <xf numFmtId="4" fontId="34" fillId="0" borderId="282">
      <alignment horizontal="right" vertical="center"/>
    </xf>
    <xf numFmtId="0" fontId="65" fillId="0" borderId="266" applyNumberFormat="0" applyFill="0" applyAlignment="0" applyProtection="0"/>
    <xf numFmtId="49" fontId="34" fillId="0" borderId="268" applyNumberFormat="0" applyFont="0" applyFill="0" applyBorder="0" applyProtection="0">
      <alignment horizontal="left" vertical="center" indent="2"/>
    </xf>
    <xf numFmtId="0" fontId="65" fillId="0" borderId="280" applyNumberFormat="0" applyFill="0" applyAlignment="0" applyProtection="0"/>
    <xf numFmtId="0" fontId="34" fillId="0" borderId="271">
      <alignment horizontal="left" vertical="center" wrapText="1" indent="2"/>
    </xf>
    <xf numFmtId="4" fontId="34" fillId="0" borderId="268" applyFill="0" applyBorder="0" applyProtection="0">
      <alignment horizontal="right" vertical="center"/>
    </xf>
    <xf numFmtId="0" fontId="34" fillId="32" borderId="269">
      <alignment horizontal="left" vertical="center"/>
    </xf>
    <xf numFmtId="0" fontId="32" fillId="34" borderId="268">
      <alignment horizontal="right" vertical="center"/>
    </xf>
    <xf numFmtId="0" fontId="34" fillId="0" borderId="268" applyNumberFormat="0" applyFill="0" applyAlignment="0" applyProtection="0"/>
    <xf numFmtId="0" fontId="62" fillId="56" borderId="278" applyNumberFormat="0" applyAlignment="0" applyProtection="0"/>
    <xf numFmtId="0" fontId="26" fillId="30" borderId="0" applyNumberFormat="0" applyBorder="0" applyAlignment="0" applyProtection="0"/>
    <xf numFmtId="4" fontId="34" fillId="33" borderId="274"/>
    <xf numFmtId="0" fontId="32" fillId="34" borderId="274">
      <alignment horizontal="right" vertical="center"/>
    </xf>
    <xf numFmtId="0" fontId="65" fillId="0" borderId="290" applyNumberFormat="0" applyFill="0" applyAlignment="0" applyProtection="0"/>
    <xf numFmtId="0" fontId="32" fillId="34" borderId="282">
      <alignment horizontal="right" vertical="center"/>
    </xf>
    <xf numFmtId="49" fontId="34" fillId="0" borderId="268" applyNumberFormat="0" applyFont="0" applyFill="0" applyBorder="0" applyProtection="0">
      <alignment horizontal="left" vertical="center" indent="2"/>
    </xf>
    <xf numFmtId="0" fontId="34" fillId="0" borderId="274" applyNumberFormat="0" applyFill="0" applyAlignment="0" applyProtection="0"/>
    <xf numFmtId="0" fontId="34" fillId="33" borderId="274"/>
    <xf numFmtId="49" fontId="33" fillId="0" borderId="274" applyNumberFormat="0" applyFill="0" applyBorder="0" applyProtection="0">
      <alignment horizontal="left" vertical="center"/>
    </xf>
    <xf numFmtId="0" fontId="26" fillId="26" borderId="0" applyNumberFormat="0" applyBorder="0" applyAlignment="0" applyProtection="0"/>
    <xf numFmtId="4" fontId="34" fillId="33" borderId="274"/>
    <xf numFmtId="0" fontId="28" fillId="13" borderId="14" applyNumberFormat="0" applyAlignment="0" applyProtection="0"/>
    <xf numFmtId="0" fontId="34" fillId="0" borderId="271">
      <alignment horizontal="left" vertical="center" wrapText="1" indent="2"/>
    </xf>
    <xf numFmtId="0" fontId="46" fillId="56" borderId="289" applyNumberFormat="0" applyAlignment="0" applyProtection="0"/>
    <xf numFmtId="0" fontId="40" fillId="59" borderId="267" applyNumberFormat="0" applyFont="0" applyAlignment="0" applyProtection="0"/>
    <xf numFmtId="0" fontId="34" fillId="0" borderId="268">
      <alignment horizontal="right" vertical="center"/>
    </xf>
    <xf numFmtId="0" fontId="32" fillId="34" borderId="268">
      <alignment horizontal="right" vertical="center"/>
    </xf>
    <xf numFmtId="4" fontId="32" fillId="34" borderId="268">
      <alignment horizontal="right" vertical="center"/>
    </xf>
    <xf numFmtId="4" fontId="34" fillId="33" borderId="274"/>
    <xf numFmtId="0" fontId="2" fillId="0" borderId="15" applyNumberFormat="0" applyFill="0" applyAlignment="0" applyProtection="0"/>
    <xf numFmtId="0" fontId="34" fillId="34" borderId="271">
      <alignment horizontal="left" vertical="center" wrapText="1" indent="2"/>
    </xf>
    <xf numFmtId="0" fontId="46" fillId="56" borderId="279" applyNumberFormat="0" applyAlignment="0" applyProtection="0"/>
    <xf numFmtId="0" fontId="26" fillId="21" borderId="0" applyNumberFormat="0" applyBorder="0" applyAlignment="0" applyProtection="0"/>
    <xf numFmtId="0" fontId="32" fillId="34" borderId="284">
      <alignment horizontal="right" vertical="center"/>
    </xf>
    <xf numFmtId="4" fontId="34" fillId="33" borderId="282"/>
    <xf numFmtId="0" fontId="46" fillId="56" borderId="279" applyNumberFormat="0" applyAlignment="0" applyProtection="0"/>
    <xf numFmtId="0" fontId="32" fillId="32" borderId="268">
      <alignment horizontal="right" vertical="center"/>
    </xf>
    <xf numFmtId="4" fontId="32" fillId="34" borderId="284">
      <alignment horizontal="right" vertical="center"/>
    </xf>
    <xf numFmtId="0" fontId="34" fillId="0" borderId="282">
      <alignment horizontal="right" vertical="center"/>
    </xf>
    <xf numFmtId="0" fontId="50" fillId="0" borderId="266" applyNumberFormat="0" applyFill="0" applyAlignment="0" applyProtection="0"/>
    <xf numFmtId="49" fontId="33" fillId="0" borderId="274" applyNumberFormat="0" applyFill="0" applyBorder="0" applyProtection="0">
      <alignment horizontal="left" vertical="center"/>
    </xf>
    <xf numFmtId="0" fontId="45" fillId="56" borderId="265" applyNumberFormat="0" applyAlignment="0" applyProtection="0"/>
    <xf numFmtId="0" fontId="65" fillId="0" borderId="266" applyNumberFormat="0" applyFill="0" applyAlignment="0" applyProtection="0"/>
    <xf numFmtId="49" fontId="33" fillId="0" borderId="268" applyNumberFormat="0" applyFill="0" applyBorder="0" applyProtection="0">
      <alignment horizontal="left" vertical="center"/>
    </xf>
    <xf numFmtId="0" fontId="58" fillId="43" borderId="279" applyNumberFormat="0" applyAlignment="0" applyProtection="0"/>
    <xf numFmtId="4" fontId="32" fillId="32" borderId="282">
      <alignment horizontal="right" vertical="center"/>
    </xf>
    <xf numFmtId="0" fontId="12" fillId="22" borderId="0" applyNumberFormat="0" applyBorder="0" applyAlignment="0" applyProtection="0"/>
    <xf numFmtId="4" fontId="34" fillId="0" borderId="274">
      <alignment horizontal="right" vertical="center"/>
    </xf>
    <xf numFmtId="0" fontId="58" fillId="43" borderId="265" applyNumberFormat="0" applyAlignment="0" applyProtection="0"/>
    <xf numFmtId="0" fontId="26" fillId="29" borderId="0" applyNumberFormat="0" applyBorder="0" applyAlignment="0" applyProtection="0"/>
    <xf numFmtId="0" fontId="49" fillId="43" borderId="287" applyNumberFormat="0" applyAlignment="0" applyProtection="0"/>
    <xf numFmtId="0" fontId="65" fillId="0" borderId="280" applyNumberFormat="0" applyFill="0" applyAlignment="0" applyProtection="0"/>
    <xf numFmtId="0" fontId="5" fillId="59" borderId="267" applyNumberFormat="0" applyFont="0" applyAlignment="0" applyProtection="0"/>
    <xf numFmtId="0" fontId="32" fillId="32" borderId="268">
      <alignment horizontal="right" vertical="center"/>
    </xf>
    <xf numFmtId="0" fontId="62" fillId="56" borderId="272" applyNumberFormat="0" applyAlignment="0" applyProtection="0"/>
    <xf numFmtId="4" fontId="32" fillId="34" borderId="268">
      <alignment horizontal="right" vertical="center"/>
    </xf>
    <xf numFmtId="4" fontId="34" fillId="33" borderId="268"/>
    <xf numFmtId="0" fontId="65" fillId="0" borderId="266" applyNumberFormat="0" applyFill="0" applyAlignment="0" applyProtection="0"/>
    <xf numFmtId="0" fontId="50" fillId="0" borderId="290" applyNumberFormat="0" applyFill="0" applyAlignment="0" applyProtection="0"/>
    <xf numFmtId="0" fontId="43" fillId="56" borderId="272" applyNumberFormat="0" applyAlignment="0" applyProtection="0"/>
    <xf numFmtId="0" fontId="45" fillId="56" borderId="265" applyNumberFormat="0" applyAlignment="0" applyProtection="0"/>
    <xf numFmtId="0" fontId="65" fillId="0" borderId="266" applyNumberFormat="0" applyFill="0" applyAlignment="0" applyProtection="0"/>
    <xf numFmtId="49" fontId="33" fillId="0" borderId="268" applyNumberFormat="0" applyFill="0" applyBorder="0" applyProtection="0">
      <alignment horizontal="left" vertical="center"/>
    </xf>
    <xf numFmtId="0" fontId="32" fillId="34" borderId="269">
      <alignment horizontal="right" vertical="center"/>
    </xf>
    <xf numFmtId="0" fontId="34" fillId="0" borderId="268">
      <alignment horizontal="right" vertical="center"/>
    </xf>
    <xf numFmtId="0" fontId="50" fillId="0" borderId="266" applyNumberFormat="0" applyFill="0" applyAlignment="0" applyProtection="0"/>
    <xf numFmtId="0" fontId="5" fillId="59" borderId="267" applyNumberFormat="0" applyFont="0" applyAlignment="0" applyProtection="0"/>
    <xf numFmtId="0" fontId="65" fillId="0" borderId="266" applyNumberFormat="0" applyFill="0" applyAlignment="0" applyProtection="0"/>
    <xf numFmtId="4" fontId="34" fillId="0" borderId="282" applyFill="0" applyBorder="0" applyProtection="0">
      <alignment horizontal="right" vertical="center"/>
    </xf>
    <xf numFmtId="0" fontId="50" fillId="0" borderId="280" applyNumberFormat="0" applyFill="0" applyAlignment="0" applyProtection="0"/>
    <xf numFmtId="0" fontId="34" fillId="34" borderId="277">
      <alignment horizontal="left" vertical="center" wrapText="1" indent="2"/>
    </xf>
    <xf numFmtId="4" fontId="32" fillId="34" borderId="274">
      <alignment horizontal="right" vertical="center"/>
    </xf>
    <xf numFmtId="0" fontId="40" fillId="59" borderId="273" applyNumberFormat="0" applyFont="0" applyAlignment="0" applyProtection="0"/>
    <xf numFmtId="0" fontId="26" fillId="21" borderId="0" applyNumberFormat="0" applyBorder="0" applyAlignment="0" applyProtection="0"/>
    <xf numFmtId="0" fontId="62" fillId="56" borderId="278" applyNumberFormat="0" applyAlignment="0" applyProtection="0"/>
    <xf numFmtId="0" fontId="46" fillId="56" borderId="265" applyNumberFormat="0" applyAlignment="0" applyProtection="0"/>
    <xf numFmtId="49" fontId="34" fillId="0" borderId="292" applyNumberFormat="0" applyFont="0" applyFill="0" applyBorder="0" applyProtection="0">
      <alignment horizontal="left" vertical="center" indent="2"/>
    </xf>
    <xf numFmtId="0" fontId="26" fillId="30" borderId="0" applyNumberFormat="0" applyBorder="0" applyAlignment="0" applyProtection="0"/>
    <xf numFmtId="0" fontId="45" fillId="56" borderId="279" applyNumberFormat="0" applyAlignment="0" applyProtection="0"/>
    <xf numFmtId="4" fontId="32" fillId="32" borderId="282">
      <alignment horizontal="right" vertical="center"/>
    </xf>
    <xf numFmtId="0" fontId="12" fillId="31" borderId="0" applyNumberFormat="0" applyBorder="0" applyAlignment="0" applyProtection="0"/>
    <xf numFmtId="0" fontId="26" fillId="17" borderId="0" applyNumberFormat="0" applyBorder="0" applyAlignment="0" applyProtection="0"/>
    <xf numFmtId="0" fontId="29" fillId="13" borderId="13" applyNumberFormat="0" applyAlignment="0" applyProtection="0"/>
    <xf numFmtId="0" fontId="34" fillId="0" borderId="274">
      <alignment horizontal="right" vertical="center"/>
    </xf>
    <xf numFmtId="4" fontId="32" fillId="34" borderId="292">
      <alignment horizontal="right" vertical="center"/>
    </xf>
    <xf numFmtId="173" fontId="34" fillId="60" borderId="268" applyNumberFormat="0" applyFont="0" applyBorder="0" applyAlignment="0" applyProtection="0">
      <alignment horizontal="right" vertical="center"/>
    </xf>
    <xf numFmtId="0" fontId="34" fillId="0" borderId="277">
      <alignment horizontal="left" vertical="center" wrapText="1" indent="2"/>
    </xf>
    <xf numFmtId="4" fontId="32" fillId="32" borderId="268">
      <alignment horizontal="right" vertical="center"/>
    </xf>
    <xf numFmtId="0" fontId="1" fillId="0" borderId="0" applyNumberFormat="0" applyFill="0" applyBorder="0" applyAlignment="0" applyProtection="0"/>
    <xf numFmtId="0" fontId="62" fillId="56" borderId="272" applyNumberFormat="0" applyAlignment="0" applyProtection="0"/>
    <xf numFmtId="49" fontId="34" fillId="0" borderId="269" applyNumberFormat="0" applyFont="0" applyFill="0" applyBorder="0" applyProtection="0">
      <alignment horizontal="left" vertical="center" indent="5"/>
    </xf>
    <xf numFmtId="4" fontId="34" fillId="0" borderId="268">
      <alignment horizontal="right" vertical="center"/>
    </xf>
    <xf numFmtId="0" fontId="58" fillId="43" borderId="289" applyNumberFormat="0" applyAlignment="0" applyProtection="0"/>
    <xf numFmtId="0" fontId="46" fillId="56" borderId="265" applyNumberFormat="0" applyAlignment="0" applyProtection="0"/>
    <xf numFmtId="4" fontId="34" fillId="33" borderId="274"/>
    <xf numFmtId="0" fontId="26" fillId="20" borderId="0" applyNumberFormat="0" applyBorder="0" applyAlignment="0" applyProtection="0"/>
    <xf numFmtId="4" fontId="34" fillId="0" borderId="268" applyFill="0" applyBorder="0" applyProtection="0">
      <alignment horizontal="right" vertical="center"/>
    </xf>
    <xf numFmtId="0" fontId="12" fillId="28" borderId="0" applyNumberFormat="0" applyBorder="0" applyAlignment="0" applyProtection="0"/>
    <xf numFmtId="0" fontId="34" fillId="32" borderId="269">
      <alignment horizontal="left" vertical="center"/>
    </xf>
    <xf numFmtId="0" fontId="49" fillId="43" borderId="265" applyNumberFormat="0" applyAlignment="0" applyProtection="0"/>
    <xf numFmtId="4" fontId="32" fillId="34" borderId="268">
      <alignment horizontal="right" vertical="center"/>
    </xf>
    <xf numFmtId="4" fontId="34" fillId="33" borderId="268"/>
    <xf numFmtId="0" fontId="34" fillId="34" borderId="271">
      <alignment horizontal="left" vertical="center" wrapText="1" indent="2"/>
    </xf>
    <xf numFmtId="0" fontId="32" fillId="32" borderId="274">
      <alignment horizontal="right" vertical="center"/>
    </xf>
    <xf numFmtId="0" fontId="34" fillId="0" borderId="277">
      <alignment horizontal="left" vertical="center" wrapText="1" indent="2"/>
    </xf>
    <xf numFmtId="49" fontId="34" fillId="0" borderId="268" applyNumberFormat="0" applyFont="0" applyFill="0" applyBorder="0" applyProtection="0">
      <alignment horizontal="left" vertical="center" indent="2"/>
    </xf>
    <xf numFmtId="0" fontId="5" fillId="59" borderId="267" applyNumberFormat="0" applyFont="0" applyAlignment="0" applyProtection="0"/>
    <xf numFmtId="4" fontId="32" fillId="34" borderId="275">
      <alignment horizontal="right" vertical="center"/>
    </xf>
    <xf numFmtId="0" fontId="26" fillId="15" borderId="0" applyNumberFormat="0" applyBorder="0" applyAlignment="0" applyProtection="0"/>
    <xf numFmtId="0" fontId="28" fillId="13" borderId="14" applyNumberFormat="0" applyAlignment="0" applyProtection="0"/>
    <xf numFmtId="0" fontId="2" fillId="0" borderId="15" applyNumberFormat="0" applyFill="0" applyAlignment="0" applyProtection="0"/>
    <xf numFmtId="0" fontId="50" fillId="0" borderId="280" applyNumberFormat="0" applyFill="0" applyAlignment="0" applyProtection="0"/>
    <xf numFmtId="0" fontId="12" fillId="25" borderId="0" applyNumberFormat="0" applyBorder="0" applyAlignment="0" applyProtection="0"/>
    <xf numFmtId="0" fontId="40" fillId="59" borderId="273" applyNumberFormat="0" applyFont="0" applyAlignment="0" applyProtection="0"/>
    <xf numFmtId="0" fontId="36" fillId="32" borderId="268">
      <alignment horizontal="right" vertical="center"/>
    </xf>
    <xf numFmtId="0" fontId="49" fillId="43" borderId="265" applyNumberFormat="0" applyAlignment="0" applyProtection="0"/>
    <xf numFmtId="173" fontId="34" fillId="60" borderId="268" applyNumberFormat="0" applyFont="0" applyBorder="0" applyAlignment="0" applyProtection="0">
      <alignment horizontal="right" vertical="center"/>
    </xf>
    <xf numFmtId="0" fontId="58" fillId="43" borderId="265" applyNumberFormat="0" applyAlignment="0" applyProtection="0"/>
    <xf numFmtId="49" fontId="33" fillId="0" borderId="268" applyNumberFormat="0" applyFill="0" applyBorder="0" applyProtection="0">
      <alignment horizontal="left" vertical="center"/>
    </xf>
    <xf numFmtId="49" fontId="34" fillId="0" borderId="268" applyNumberFormat="0" applyFont="0" applyFill="0" applyBorder="0" applyProtection="0">
      <alignment horizontal="left" vertical="center" indent="2"/>
    </xf>
    <xf numFmtId="4" fontId="34" fillId="0" borderId="268" applyFill="0" applyBorder="0" applyProtection="0">
      <alignment horizontal="right" vertical="center"/>
    </xf>
    <xf numFmtId="0" fontId="49" fillId="43" borderId="279" applyNumberFormat="0" applyAlignment="0" applyProtection="0"/>
    <xf numFmtId="173" fontId="34" fillId="60" borderId="268" applyNumberFormat="0" applyFont="0" applyBorder="0" applyAlignment="0" applyProtection="0">
      <alignment horizontal="right" vertical="center"/>
    </xf>
    <xf numFmtId="0" fontId="65" fillId="0" borderId="290" applyNumberFormat="0" applyFill="0" applyAlignment="0" applyProtection="0"/>
    <xf numFmtId="0" fontId="58" fillId="43" borderId="287" applyNumberFormat="0" applyAlignment="0" applyProtection="0"/>
    <xf numFmtId="0" fontId="26" fillId="21" borderId="0" applyNumberFormat="0" applyBorder="0" applyAlignment="0" applyProtection="0"/>
    <xf numFmtId="4" fontId="32" fillId="34" borderId="268">
      <alignment horizontal="right" vertical="center"/>
    </xf>
    <xf numFmtId="0" fontId="26" fillId="27" borderId="0" applyNumberFormat="0" applyBorder="0" applyAlignment="0" applyProtection="0"/>
    <xf numFmtId="4" fontId="32" fillId="34" borderId="294">
      <alignment horizontal="right" vertical="center"/>
    </xf>
    <xf numFmtId="0" fontId="34" fillId="0" borderId="292" applyNumberFormat="0" applyFill="0" applyAlignment="0" applyProtection="0"/>
    <xf numFmtId="0" fontId="34" fillId="34" borderId="277">
      <alignment horizontal="left" vertical="center" wrapText="1" indent="2"/>
    </xf>
    <xf numFmtId="0" fontId="32" fillId="34" borderId="268">
      <alignment horizontal="right" vertical="center"/>
    </xf>
    <xf numFmtId="0" fontId="34" fillId="0" borderId="268">
      <alignment horizontal="right" vertical="center"/>
    </xf>
    <xf numFmtId="0" fontId="34" fillId="0" borderId="268">
      <alignment horizontal="right" vertical="center"/>
    </xf>
    <xf numFmtId="0" fontId="32" fillId="34" borderId="274">
      <alignment horizontal="right" vertical="center"/>
    </xf>
    <xf numFmtId="0" fontId="5" fillId="59" borderId="273" applyNumberFormat="0" applyFont="0" applyAlignment="0" applyProtection="0"/>
    <xf numFmtId="0" fontId="49" fillId="43" borderId="279" applyNumberFormat="0" applyAlignment="0" applyProtection="0"/>
    <xf numFmtId="0" fontId="36" fillId="32" borderId="274">
      <alignment horizontal="right" vertical="center"/>
    </xf>
    <xf numFmtId="0" fontId="12" fillId="28" borderId="0" applyNumberFormat="0" applyBorder="0" applyAlignment="0" applyProtection="0"/>
    <xf numFmtId="0" fontId="26" fillId="23" borderId="0" applyNumberFormat="0" applyBorder="0" applyAlignment="0" applyProtection="0"/>
    <xf numFmtId="49" fontId="34" fillId="0" borderId="275" applyNumberFormat="0" applyFont="0" applyFill="0" applyBorder="0" applyProtection="0">
      <alignment horizontal="left" vertical="center" indent="5"/>
    </xf>
    <xf numFmtId="0" fontId="36" fillId="32" borderId="274">
      <alignment horizontal="right" vertical="center"/>
    </xf>
    <xf numFmtId="0" fontId="12" fillId="19" borderId="0" applyNumberFormat="0" applyBorder="0" applyAlignment="0" applyProtection="0"/>
    <xf numFmtId="0" fontId="12" fillId="25" borderId="0" applyNumberFormat="0" applyBorder="0" applyAlignment="0" applyProtection="0"/>
    <xf numFmtId="0" fontId="36" fillId="32" borderId="268">
      <alignment horizontal="right" vertical="center"/>
    </xf>
    <xf numFmtId="4" fontId="32" fillId="34" borderId="270">
      <alignment horizontal="right" vertical="center"/>
    </xf>
    <xf numFmtId="0" fontId="34" fillId="34" borderId="271">
      <alignment horizontal="left" vertical="center" wrapText="1" indent="2"/>
    </xf>
    <xf numFmtId="0" fontId="58" fillId="43" borderId="265" applyNumberFormat="0" applyAlignment="0" applyProtection="0"/>
    <xf numFmtId="0" fontId="58" fillId="43" borderId="265" applyNumberFormat="0" applyAlignment="0" applyProtection="0"/>
    <xf numFmtId="0" fontId="26" fillId="14" borderId="0" applyNumberFormat="0" applyBorder="0" applyAlignment="0" applyProtection="0"/>
    <xf numFmtId="0" fontId="40" fillId="59" borderId="267" applyNumberFormat="0" applyFont="0" applyAlignment="0" applyProtection="0"/>
    <xf numFmtId="0" fontId="1" fillId="0" borderId="0" applyNumberFormat="0" applyFill="0" applyBorder="0" applyAlignment="0" applyProtection="0"/>
    <xf numFmtId="173" fontId="34" fillId="60" borderId="268" applyNumberFormat="0" applyFont="0" applyBorder="0" applyAlignment="0" applyProtection="0">
      <alignment horizontal="right" vertical="center"/>
    </xf>
    <xf numFmtId="0" fontId="40" fillId="59" borderId="267" applyNumberFormat="0" applyFont="0" applyAlignment="0" applyProtection="0"/>
    <xf numFmtId="0" fontId="34" fillId="0" borderId="268" applyNumberFormat="0" applyFill="0" applyAlignment="0" applyProtection="0"/>
    <xf numFmtId="0" fontId="34" fillId="33" borderId="268"/>
    <xf numFmtId="4" fontId="32" fillId="34" borderId="268">
      <alignment horizontal="right" vertical="center"/>
    </xf>
    <xf numFmtId="0" fontId="34" fillId="33" borderId="268"/>
    <xf numFmtId="0" fontId="58" fillId="43" borderId="265" applyNumberFormat="0" applyAlignment="0" applyProtection="0"/>
    <xf numFmtId="0" fontId="50" fillId="0" borderId="280" applyNumberFormat="0" applyFill="0" applyAlignment="0" applyProtection="0"/>
    <xf numFmtId="0" fontId="36" fillId="32" borderId="268">
      <alignment horizontal="right" vertical="center"/>
    </xf>
    <xf numFmtId="0" fontId="34" fillId="0" borderId="271">
      <alignment horizontal="left" vertical="center" wrapText="1" indent="2"/>
    </xf>
    <xf numFmtId="0" fontId="46" fillId="56" borderId="265" applyNumberFormat="0" applyAlignment="0" applyProtection="0"/>
    <xf numFmtId="0" fontId="62" fillId="56" borderId="272" applyNumberFormat="0" applyAlignment="0" applyProtection="0"/>
    <xf numFmtId="0" fontId="26" fillId="30" borderId="0" applyNumberFormat="0" applyBorder="0" applyAlignment="0" applyProtection="0"/>
    <xf numFmtId="0" fontId="32" fillId="34" borderId="274">
      <alignment horizontal="right" vertical="center"/>
    </xf>
    <xf numFmtId="0" fontId="26" fillId="14" borderId="0" applyNumberFormat="0" applyBorder="0" applyAlignment="0" applyProtection="0"/>
    <xf numFmtId="0" fontId="12" fillId="31" borderId="0" applyNumberFormat="0" applyBorder="0" applyAlignment="0" applyProtection="0"/>
    <xf numFmtId="0" fontId="43" fillId="56" borderId="278" applyNumberFormat="0" applyAlignment="0" applyProtection="0"/>
    <xf numFmtId="0" fontId="26" fillId="15" borderId="0" applyNumberFormat="0" applyBorder="0" applyAlignment="0" applyProtection="0"/>
    <xf numFmtId="0" fontId="40" fillId="59" borderId="281" applyNumberFormat="0" applyFont="0" applyAlignment="0" applyProtection="0"/>
    <xf numFmtId="0" fontId="58" fillId="43" borderId="287" applyNumberFormat="0" applyAlignment="0" applyProtection="0"/>
    <xf numFmtId="0" fontId="34" fillId="0" borderId="277">
      <alignment horizontal="left" vertical="center" wrapText="1" indent="2"/>
    </xf>
    <xf numFmtId="4" fontId="34" fillId="0" borderId="292">
      <alignment horizontal="right" vertical="center"/>
    </xf>
    <xf numFmtId="0" fontId="58" fillId="43" borderId="265" applyNumberFormat="0" applyAlignment="0" applyProtection="0"/>
    <xf numFmtId="0" fontId="36" fillId="32" borderId="268">
      <alignment horizontal="right" vertical="center"/>
    </xf>
    <xf numFmtId="0" fontId="26" fillId="18" borderId="0" applyNumberFormat="0" applyBorder="0" applyAlignment="0" applyProtection="0"/>
    <xf numFmtId="49" fontId="34" fillId="0" borderId="282" applyNumberFormat="0" applyFont="0" applyFill="0" applyBorder="0" applyProtection="0">
      <alignment horizontal="left" vertical="center" indent="2"/>
    </xf>
    <xf numFmtId="0" fontId="34" fillId="0" borderId="277">
      <alignment horizontal="left" vertical="center" wrapText="1" indent="2"/>
    </xf>
    <xf numFmtId="0" fontId="26" fillId="14" borderId="0" applyNumberFormat="0" applyBorder="0" applyAlignment="0" applyProtection="0"/>
    <xf numFmtId="0" fontId="58" fillId="43" borderId="287" applyNumberFormat="0" applyAlignment="0" applyProtection="0"/>
    <xf numFmtId="0" fontId="46" fillId="56" borderId="287" applyNumberFormat="0" applyAlignment="0" applyProtection="0"/>
    <xf numFmtId="4" fontId="34" fillId="0" borderId="292" applyFill="0" applyBorder="0" applyProtection="0">
      <alignment horizontal="right" vertical="center"/>
    </xf>
    <xf numFmtId="0" fontId="46" fillId="56" borderId="289" applyNumberFormat="0" applyAlignment="0" applyProtection="0"/>
    <xf numFmtId="4" fontId="34" fillId="0" borderId="292">
      <alignment horizontal="right" vertical="center"/>
    </xf>
    <xf numFmtId="0" fontId="32" fillId="34" borderId="292">
      <alignment horizontal="right" vertical="center"/>
    </xf>
    <xf numFmtId="0" fontId="65" fillId="0" borderId="266" applyNumberFormat="0" applyFill="0" applyAlignment="0" applyProtection="0"/>
    <xf numFmtId="4" fontId="34" fillId="0" borderId="268" applyFill="0" applyBorder="0" applyProtection="0">
      <alignment horizontal="right" vertical="center"/>
    </xf>
    <xf numFmtId="0" fontId="34" fillId="34" borderId="271">
      <alignment horizontal="left" vertical="center" wrapText="1" indent="2"/>
    </xf>
    <xf numFmtId="0" fontId="40" fillId="59" borderId="267" applyNumberFormat="0" applyFont="0" applyAlignment="0" applyProtection="0"/>
    <xf numFmtId="0" fontId="49" fillId="43" borderId="265" applyNumberFormat="0" applyAlignment="0" applyProtection="0"/>
    <xf numFmtId="4" fontId="34" fillId="33" borderId="268"/>
    <xf numFmtId="0" fontId="5" fillId="59" borderId="267" applyNumberFormat="0" applyFont="0" applyAlignment="0" applyProtection="0"/>
    <xf numFmtId="0" fontId="34" fillId="32" borderId="269">
      <alignment horizontal="left" vertical="center"/>
    </xf>
    <xf numFmtId="0" fontId="65" fillId="0" borderId="280" applyNumberFormat="0" applyFill="0" applyAlignment="0" applyProtection="0"/>
    <xf numFmtId="0" fontId="34" fillId="0" borderId="274" applyNumberFormat="0" applyFill="0" applyAlignment="0" applyProtection="0"/>
    <xf numFmtId="0" fontId="65" fillId="0" borderId="266" applyNumberFormat="0" applyFill="0" applyAlignment="0" applyProtection="0"/>
    <xf numFmtId="0" fontId="5" fillId="59" borderId="273" applyNumberFormat="0" applyFont="0" applyAlignment="0" applyProtection="0"/>
    <xf numFmtId="0" fontId="58" fillId="43" borderId="265" applyNumberFormat="0" applyAlignment="0" applyProtection="0"/>
    <xf numFmtId="0" fontId="58" fillId="43" borderId="287" applyNumberFormat="0" applyAlignment="0" applyProtection="0"/>
    <xf numFmtId="4" fontId="36" fillId="32" borderId="274">
      <alignment horizontal="right" vertical="center"/>
    </xf>
    <xf numFmtId="0" fontId="32" fillId="34" borderId="274">
      <alignment horizontal="right" vertical="center"/>
    </xf>
    <xf numFmtId="49" fontId="34" fillId="0" borderId="275" applyNumberFormat="0" applyFont="0" applyFill="0" applyBorder="0" applyProtection="0">
      <alignment horizontal="left" vertical="center" indent="5"/>
    </xf>
    <xf numFmtId="0" fontId="50" fillId="0" borderId="266" applyNumberFormat="0" applyFill="0" applyAlignment="0" applyProtection="0"/>
    <xf numFmtId="0" fontId="32" fillId="32" borderId="268">
      <alignment horizontal="right" vertical="center"/>
    </xf>
    <xf numFmtId="4" fontId="32" fillId="32" borderId="274">
      <alignment horizontal="right" vertical="center"/>
    </xf>
    <xf numFmtId="0" fontId="40" fillId="59" borderId="267" applyNumberFormat="0" applyFont="0" applyAlignment="0" applyProtection="0"/>
    <xf numFmtId="0" fontId="49" fillId="43" borderId="265" applyNumberFormat="0" applyAlignment="0" applyProtection="0"/>
    <xf numFmtId="0" fontId="34" fillId="0" borderId="271">
      <alignment horizontal="left" vertical="center" wrapText="1" indent="2"/>
    </xf>
    <xf numFmtId="4" fontId="32" fillId="34" borderId="268">
      <alignment horizontal="right" vertical="center"/>
    </xf>
    <xf numFmtId="0" fontId="40" fillId="59" borderId="267" applyNumberFormat="0" applyFont="0" applyAlignment="0" applyProtection="0"/>
    <xf numFmtId="0" fontId="32" fillId="34" borderId="282">
      <alignment horizontal="right" vertical="center"/>
    </xf>
    <xf numFmtId="0" fontId="5" fillId="59" borderId="281" applyNumberFormat="0" applyFont="0" applyAlignment="0" applyProtection="0"/>
    <xf numFmtId="0" fontId="45" fillId="56" borderId="279" applyNumberFormat="0" applyAlignment="0" applyProtection="0"/>
    <xf numFmtId="0" fontId="12" fillId="22" borderId="0" applyNumberFormat="0" applyBorder="0" applyAlignment="0" applyProtection="0"/>
    <xf numFmtId="49" fontId="34" fillId="0" borderId="274" applyNumberFormat="0" applyFont="0" applyFill="0" applyBorder="0" applyProtection="0">
      <alignment horizontal="left" vertical="center" indent="2"/>
    </xf>
    <xf numFmtId="0" fontId="58" fillId="43" borderId="279" applyNumberFormat="0" applyAlignment="0" applyProtection="0"/>
    <xf numFmtId="0" fontId="32" fillId="32" borderId="274">
      <alignment horizontal="right" vertical="center"/>
    </xf>
    <xf numFmtId="0" fontId="43" fillId="56" borderId="272" applyNumberFormat="0" applyAlignment="0" applyProtection="0"/>
    <xf numFmtId="0" fontId="43" fillId="56" borderId="278" applyNumberFormat="0" applyAlignment="0" applyProtection="0"/>
    <xf numFmtId="0" fontId="65" fillId="0" borderId="288" applyNumberFormat="0" applyFill="0" applyAlignment="0" applyProtection="0"/>
    <xf numFmtId="4" fontId="36" fillId="32" borderId="274">
      <alignment horizontal="right" vertical="center"/>
    </xf>
    <xf numFmtId="173" fontId="34" fillId="60" borderId="292" applyNumberFormat="0" applyFont="0" applyBorder="0" applyAlignment="0" applyProtection="0">
      <alignment horizontal="right" vertical="center"/>
    </xf>
    <xf numFmtId="0" fontId="32" fillId="34" borderId="292">
      <alignment horizontal="right" vertical="center"/>
    </xf>
    <xf numFmtId="0" fontId="34" fillId="34" borderId="271">
      <alignment horizontal="left" vertical="center" wrapText="1" indent="2"/>
    </xf>
    <xf numFmtId="173" fontId="34" fillId="60" borderId="274" applyNumberFormat="0" applyFont="0" applyBorder="0" applyAlignment="0" applyProtection="0">
      <alignment horizontal="right" vertical="center"/>
    </xf>
    <xf numFmtId="0" fontId="58" fillId="43" borderId="265" applyNumberFormat="0" applyAlignment="0" applyProtection="0"/>
    <xf numFmtId="4" fontId="34" fillId="0" borderId="268">
      <alignment horizontal="right" vertical="center"/>
    </xf>
    <xf numFmtId="4" fontId="36" fillId="32" borderId="268">
      <alignment horizontal="right" vertical="center"/>
    </xf>
    <xf numFmtId="0" fontId="26" fillId="26" borderId="0" applyNumberFormat="0" applyBorder="0" applyAlignment="0" applyProtection="0"/>
    <xf numFmtId="0" fontId="65" fillId="0" borderId="280" applyNumberFormat="0" applyFill="0" applyAlignment="0" applyProtection="0"/>
    <xf numFmtId="0" fontId="32" fillId="34" borderId="282">
      <alignment horizontal="right" vertical="center"/>
    </xf>
    <xf numFmtId="0" fontId="46" fillId="56" borderId="265" applyNumberFormat="0" applyAlignment="0" applyProtection="0"/>
    <xf numFmtId="0" fontId="5" fillId="59" borderId="273" applyNumberFormat="0" applyFont="0" applyAlignment="0" applyProtection="0"/>
    <xf numFmtId="0" fontId="2" fillId="0" borderId="15" applyNumberFormat="0" applyFill="0" applyAlignment="0" applyProtection="0"/>
    <xf numFmtId="0" fontId="12" fillId="16" borderId="0" applyNumberFormat="0" applyBorder="0" applyAlignment="0" applyProtection="0"/>
    <xf numFmtId="0" fontId="26" fillId="17" borderId="0" applyNumberFormat="0" applyBorder="0" applyAlignment="0" applyProtection="0"/>
    <xf numFmtId="0" fontId="12" fillId="31" borderId="0" applyNumberFormat="0" applyBorder="0" applyAlignment="0" applyProtection="0"/>
    <xf numFmtId="0" fontId="45" fillId="56" borderId="265" applyNumberFormat="0" applyAlignment="0" applyProtection="0"/>
    <xf numFmtId="0" fontId="26" fillId="26" borderId="0" applyNumberFormat="0" applyBorder="0" applyAlignment="0" applyProtection="0"/>
    <xf numFmtId="0" fontId="26" fillId="14" borderId="0" applyNumberFormat="0" applyBorder="0" applyAlignment="0" applyProtection="0"/>
    <xf numFmtId="4" fontId="32" fillId="32" borderId="268">
      <alignment horizontal="right" vertical="center"/>
    </xf>
    <xf numFmtId="0" fontId="65" fillId="0" borderId="288" applyNumberFormat="0" applyFill="0" applyAlignment="0" applyProtection="0"/>
    <xf numFmtId="0" fontId="34" fillId="33" borderId="268"/>
    <xf numFmtId="0" fontId="62" fillId="56" borderId="272" applyNumberFormat="0" applyAlignment="0" applyProtection="0"/>
    <xf numFmtId="4" fontId="34" fillId="0" borderId="268" applyFill="0" applyBorder="0" applyProtection="0">
      <alignment horizontal="right" vertical="center"/>
    </xf>
    <xf numFmtId="0" fontId="34" fillId="0" borderId="285">
      <alignment horizontal="left" vertical="center" wrapText="1" indent="2"/>
    </xf>
    <xf numFmtId="49" fontId="34" fillId="0" borderId="274" applyNumberFormat="0" applyFont="0" applyFill="0" applyBorder="0" applyProtection="0">
      <alignment horizontal="left" vertical="center" indent="2"/>
    </xf>
    <xf numFmtId="0" fontId="26" fillId="21" borderId="0" applyNumberFormat="0" applyBorder="0" applyAlignment="0" applyProtection="0"/>
    <xf numFmtId="0" fontId="50" fillId="0" borderId="280" applyNumberFormat="0" applyFill="0" applyAlignment="0" applyProtection="0"/>
    <xf numFmtId="0" fontId="62" fillId="56" borderId="272" applyNumberFormat="0" applyAlignment="0" applyProtection="0"/>
    <xf numFmtId="4" fontId="34" fillId="33" borderId="282"/>
    <xf numFmtId="0" fontId="26" fillId="26" borderId="0" applyNumberFormat="0" applyBorder="0" applyAlignment="0" applyProtection="0"/>
    <xf numFmtId="0" fontId="65" fillId="0" borderId="266" applyNumberFormat="0" applyFill="0" applyAlignment="0" applyProtection="0"/>
    <xf numFmtId="4" fontId="36" fillId="32" borderId="268">
      <alignment horizontal="right" vertical="center"/>
    </xf>
    <xf numFmtId="0" fontId="58" fillId="43" borderId="265" applyNumberFormat="0" applyAlignment="0" applyProtection="0"/>
    <xf numFmtId="0" fontId="32" fillId="34" borderId="268">
      <alignment horizontal="right" vertical="center"/>
    </xf>
    <xf numFmtId="0" fontId="34" fillId="33" borderId="268"/>
    <xf numFmtId="0" fontId="62" fillId="56" borderId="272" applyNumberFormat="0" applyAlignment="0" applyProtection="0"/>
    <xf numFmtId="0" fontId="46" fillId="56" borderId="265" applyNumberFormat="0" applyAlignment="0" applyProtection="0"/>
    <xf numFmtId="0" fontId="45" fillId="56" borderId="265" applyNumberFormat="0" applyAlignment="0" applyProtection="0"/>
    <xf numFmtId="0" fontId="49" fillId="43" borderId="265" applyNumberFormat="0" applyAlignment="0" applyProtection="0"/>
    <xf numFmtId="0" fontId="50" fillId="0" borderId="266" applyNumberFormat="0" applyFill="0" applyAlignment="0" applyProtection="0"/>
    <xf numFmtId="4" fontId="34" fillId="0" borderId="268" applyFill="0" applyBorder="0" applyProtection="0">
      <alignment horizontal="right" vertical="center"/>
    </xf>
    <xf numFmtId="4" fontId="32" fillId="34" borderId="268">
      <alignment horizontal="right" vertical="center"/>
    </xf>
    <xf numFmtId="0" fontId="58" fillId="43" borderId="265" applyNumberFormat="0" applyAlignment="0" applyProtection="0"/>
    <xf numFmtId="4" fontId="32" fillId="32" borderId="268">
      <alignment horizontal="right" vertical="center"/>
    </xf>
    <xf numFmtId="0" fontId="32" fillId="34" borderId="268">
      <alignment horizontal="right" vertical="center"/>
    </xf>
    <xf numFmtId="0" fontId="46" fillId="56" borderId="265" applyNumberFormat="0" applyAlignment="0" applyProtection="0"/>
    <xf numFmtId="0" fontId="12" fillId="28" borderId="0" applyNumberFormat="0" applyBorder="0" applyAlignment="0" applyProtection="0"/>
    <xf numFmtId="0" fontId="46" fillId="56" borderId="289" applyNumberFormat="0" applyAlignment="0" applyProtection="0"/>
    <xf numFmtId="0" fontId="26" fillId="30" borderId="0" applyNumberFormat="0" applyBorder="0" applyAlignment="0" applyProtection="0"/>
    <xf numFmtId="4" fontId="32" fillId="32" borderId="292">
      <alignment horizontal="right" vertical="center"/>
    </xf>
    <xf numFmtId="0" fontId="26" fillId="26" borderId="0" applyNumberFormat="0" applyBorder="0" applyAlignment="0" applyProtection="0"/>
    <xf numFmtId="0" fontId="45" fillId="56" borderId="289" applyNumberFormat="0" applyAlignment="0" applyProtection="0"/>
    <xf numFmtId="0" fontId="34" fillId="34" borderId="271">
      <alignment horizontal="left" vertical="center" wrapText="1" indent="2"/>
    </xf>
    <xf numFmtId="0" fontId="2" fillId="0" borderId="15" applyNumberFormat="0" applyFill="0" applyAlignment="0" applyProtection="0"/>
    <xf numFmtId="173" fontId="34" fillId="60" borderId="274" applyNumberFormat="0" applyFont="0" applyBorder="0" applyAlignment="0" applyProtection="0">
      <alignment horizontal="right" vertical="center"/>
    </xf>
    <xf numFmtId="0" fontId="12" fillId="19" borderId="0" applyNumberFormat="0" applyBorder="0" applyAlignment="0" applyProtection="0"/>
    <xf numFmtId="0" fontId="26" fillId="27" borderId="0" applyNumberFormat="0" applyBorder="0" applyAlignment="0" applyProtection="0"/>
    <xf numFmtId="0" fontId="26" fillId="30" borderId="0" applyNumberFormat="0" applyBorder="0" applyAlignment="0" applyProtection="0"/>
    <xf numFmtId="0" fontId="34" fillId="34" borderId="295">
      <alignment horizontal="left" vertical="center" wrapText="1" indent="2"/>
    </xf>
    <xf numFmtId="0" fontId="34" fillId="0" borderId="277">
      <alignment horizontal="left" vertical="center" wrapText="1" indent="2"/>
    </xf>
    <xf numFmtId="0" fontId="58" fillId="43" borderId="287" applyNumberFormat="0" applyAlignment="0" applyProtection="0"/>
    <xf numFmtId="0" fontId="58" fillId="43" borderId="265" applyNumberFormat="0" applyAlignment="0" applyProtection="0"/>
    <xf numFmtId="4" fontId="34" fillId="0" borderId="274">
      <alignment horizontal="right" vertical="center"/>
    </xf>
    <xf numFmtId="0" fontId="32" fillId="32" borderId="268">
      <alignment horizontal="right" vertical="center"/>
    </xf>
    <xf numFmtId="0" fontId="32" fillId="34" borderId="282">
      <alignment horizontal="right" vertical="center"/>
    </xf>
    <xf numFmtId="4" fontId="32" fillId="34" borderId="282">
      <alignment horizontal="right" vertical="center"/>
    </xf>
    <xf numFmtId="0" fontId="34" fillId="0" borderId="268" applyNumberFormat="0" applyFill="0" applyAlignment="0" applyProtection="0"/>
    <xf numFmtId="49" fontId="33" fillId="0" borderId="268" applyNumberFormat="0" applyFill="0" applyBorder="0" applyProtection="0">
      <alignment horizontal="left" vertical="center"/>
    </xf>
    <xf numFmtId="0" fontId="34" fillId="0" borderId="268">
      <alignment horizontal="right" vertical="center"/>
    </xf>
    <xf numFmtId="0" fontId="58" fillId="43" borderId="265" applyNumberFormat="0" applyAlignment="0" applyProtection="0"/>
    <xf numFmtId="0" fontId="28" fillId="13" borderId="14" applyNumberFormat="0" applyAlignment="0" applyProtection="0"/>
    <xf numFmtId="0" fontId="43" fillId="56" borderId="286" applyNumberFormat="0" applyAlignment="0" applyProtection="0"/>
    <xf numFmtId="0" fontId="34" fillId="0" borderId="268" applyNumberFormat="0" applyFill="0" applyAlignment="0" applyProtection="0"/>
    <xf numFmtId="0" fontId="34" fillId="0" borderId="271">
      <alignment horizontal="left" vertical="center" wrapText="1" indent="2"/>
    </xf>
    <xf numFmtId="49" fontId="34" fillId="0" borderId="269" applyNumberFormat="0" applyFont="0" applyFill="0" applyBorder="0" applyProtection="0">
      <alignment horizontal="left" vertical="center" indent="5"/>
    </xf>
    <xf numFmtId="0" fontId="32" fillId="34" borderId="270">
      <alignment horizontal="right" vertical="center"/>
    </xf>
    <xf numFmtId="4" fontId="32" fillId="32" borderId="268">
      <alignment horizontal="right" vertical="center"/>
    </xf>
    <xf numFmtId="0" fontId="65" fillId="0" borderId="266" applyNumberFormat="0" applyFill="0" applyAlignment="0" applyProtection="0"/>
    <xf numFmtId="0" fontId="45" fillId="56" borderId="265" applyNumberFormat="0" applyAlignment="0" applyProtection="0"/>
    <xf numFmtId="49" fontId="33" fillId="0" borderId="274" applyNumberFormat="0" applyFill="0" applyBorder="0" applyProtection="0">
      <alignment horizontal="left" vertical="center"/>
    </xf>
    <xf numFmtId="0" fontId="46" fillId="56" borderId="289" applyNumberFormat="0" applyAlignment="0" applyProtection="0"/>
    <xf numFmtId="4" fontId="34" fillId="0" borderId="292">
      <alignment horizontal="right" vertical="center"/>
    </xf>
    <xf numFmtId="49" fontId="34" fillId="0" borderId="269" applyNumberFormat="0" applyFont="0" applyFill="0" applyBorder="0" applyProtection="0">
      <alignment horizontal="left" vertical="center" indent="5"/>
    </xf>
    <xf numFmtId="0" fontId="40" fillId="59" borderId="267" applyNumberFormat="0" applyFont="0" applyAlignment="0" applyProtection="0"/>
    <xf numFmtId="4" fontId="32" fillId="32" borderId="282">
      <alignment horizontal="right" vertical="center"/>
    </xf>
    <xf numFmtId="0" fontId="34" fillId="33" borderId="274"/>
    <xf numFmtId="0" fontId="5" fillId="59" borderId="273" applyNumberFormat="0" applyFont="0" applyAlignment="0" applyProtection="0"/>
    <xf numFmtId="0" fontId="26" fillId="24" borderId="0" applyNumberFormat="0" applyBorder="0" applyAlignment="0" applyProtection="0"/>
    <xf numFmtId="0" fontId="26" fillId="15" borderId="0" applyNumberFormat="0" applyBorder="0" applyAlignment="0" applyProtection="0"/>
    <xf numFmtId="4" fontId="32" fillId="34" borderId="268">
      <alignment horizontal="right" vertical="center"/>
    </xf>
    <xf numFmtId="4" fontId="36" fillId="32" borderId="268">
      <alignment horizontal="right" vertical="center"/>
    </xf>
    <xf numFmtId="0" fontId="34" fillId="33" borderId="268"/>
    <xf numFmtId="0" fontId="50" fillId="0" borderId="266" applyNumberFormat="0" applyFill="0" applyAlignment="0" applyProtection="0"/>
    <xf numFmtId="4" fontId="34" fillId="0" borderId="268" applyFill="0" applyBorder="0" applyProtection="0">
      <alignment horizontal="right" vertical="center"/>
    </xf>
    <xf numFmtId="0" fontId="50" fillId="0" borderId="266" applyNumberFormat="0" applyFill="0" applyAlignment="0" applyProtection="0"/>
    <xf numFmtId="0" fontId="34" fillId="0" borderId="268" applyNumberFormat="0" applyFill="0" applyAlignment="0" applyProtection="0"/>
    <xf numFmtId="0" fontId="12" fillId="16" borderId="0" applyNumberFormat="0" applyBorder="0" applyAlignment="0" applyProtection="0"/>
    <xf numFmtId="0" fontId="34" fillId="0" borderId="268" applyNumberFormat="0" applyFill="0" applyAlignment="0" applyProtection="0"/>
    <xf numFmtId="0" fontId="50" fillId="0" borderId="280" applyNumberFormat="0" applyFill="0" applyAlignment="0" applyProtection="0"/>
    <xf numFmtId="0" fontId="34" fillId="0" borderId="274">
      <alignment horizontal="right" vertical="center"/>
    </xf>
    <xf numFmtId="4" fontId="32" fillId="34" borderId="270">
      <alignment horizontal="right" vertical="center"/>
    </xf>
    <xf numFmtId="0" fontId="26" fillId="29" borderId="0" applyNumberFormat="0" applyBorder="0" applyAlignment="0" applyProtection="0"/>
    <xf numFmtId="0" fontId="40" fillId="59" borderId="291" applyNumberFormat="0" applyFont="0" applyAlignment="0" applyProtection="0"/>
    <xf numFmtId="0" fontId="26" fillId="17" borderId="0" applyNumberFormat="0" applyBorder="0" applyAlignment="0" applyProtection="0"/>
    <xf numFmtId="0" fontId="46" fillId="56" borderId="279" applyNumberFormat="0" applyAlignment="0" applyProtection="0"/>
    <xf numFmtId="0" fontId="49" fillId="43" borderId="265" applyNumberFormat="0" applyAlignment="0" applyProtection="0"/>
    <xf numFmtId="0" fontId="46" fillId="56" borderId="265" applyNumberFormat="0" applyAlignment="0" applyProtection="0"/>
    <xf numFmtId="4" fontId="34" fillId="0" borderId="268">
      <alignment horizontal="right" vertical="center"/>
    </xf>
    <xf numFmtId="0" fontId="34" fillId="34" borderId="271">
      <alignment horizontal="left" vertical="center" wrapText="1" indent="2"/>
    </xf>
    <xf numFmtId="0" fontId="34" fillId="0" borderId="271">
      <alignment horizontal="left" vertical="center" wrapText="1" indent="2"/>
    </xf>
    <xf numFmtId="0" fontId="62" fillId="56" borderId="272" applyNumberFormat="0" applyAlignment="0" applyProtection="0"/>
    <xf numFmtId="0" fontId="58" fillId="43" borderId="265" applyNumberFormat="0" applyAlignment="0" applyProtection="0"/>
    <xf numFmtId="0" fontId="45" fillId="56" borderId="265" applyNumberFormat="0" applyAlignment="0" applyProtection="0"/>
    <xf numFmtId="0" fontId="43" fillId="56" borderId="272" applyNumberFormat="0" applyAlignment="0" applyProtection="0"/>
    <xf numFmtId="0" fontId="32" fillId="34" borderId="270">
      <alignment horizontal="right" vertical="center"/>
    </xf>
    <xf numFmtId="0" fontId="36" fillId="32" borderId="268">
      <alignment horizontal="right" vertical="center"/>
    </xf>
    <xf numFmtId="4" fontId="32" fillId="32" borderId="268">
      <alignment horizontal="right" vertical="center"/>
    </xf>
    <xf numFmtId="4" fontId="32" fillId="34" borderId="268">
      <alignment horizontal="right" vertical="center"/>
    </xf>
    <xf numFmtId="49" fontId="34" fillId="0" borderId="269" applyNumberFormat="0" applyFont="0" applyFill="0" applyBorder="0" applyProtection="0">
      <alignment horizontal="left" vertical="center" indent="5"/>
    </xf>
    <xf numFmtId="4" fontId="34" fillId="0" borderId="268" applyFill="0" applyBorder="0" applyProtection="0">
      <alignment horizontal="right" vertical="center"/>
    </xf>
    <xf numFmtId="4" fontId="32" fillId="32" borderId="268">
      <alignment horizontal="right" vertical="center"/>
    </xf>
    <xf numFmtId="0" fontId="58" fillId="43" borderId="265" applyNumberFormat="0" applyAlignment="0" applyProtection="0"/>
    <xf numFmtId="0" fontId="49" fillId="43" borderId="265" applyNumberFormat="0" applyAlignment="0" applyProtection="0"/>
    <xf numFmtId="0" fontId="45" fillId="56" borderId="265" applyNumberFormat="0" applyAlignment="0" applyProtection="0"/>
    <xf numFmtId="0" fontId="34" fillId="34" borderId="271">
      <alignment horizontal="left" vertical="center" wrapText="1" indent="2"/>
    </xf>
    <xf numFmtId="0" fontId="34" fillId="0" borderId="271">
      <alignment horizontal="left" vertical="center" wrapText="1" indent="2"/>
    </xf>
    <xf numFmtId="0" fontId="34" fillId="34" borderId="271">
      <alignment horizontal="left" vertical="center" wrapText="1" indent="2"/>
    </xf>
    <xf numFmtId="0" fontId="26" fillId="17" borderId="0" applyNumberFormat="0" applyBorder="0" applyAlignment="0" applyProtection="0"/>
    <xf numFmtId="0" fontId="28" fillId="13" borderId="14" applyNumberFormat="0" applyAlignment="0" applyProtection="0"/>
    <xf numFmtId="0" fontId="45" fillId="56" borderId="279" applyNumberFormat="0" applyAlignment="0" applyProtection="0"/>
    <xf numFmtId="4" fontId="32" fillId="34" borderId="275">
      <alignment horizontal="right" vertical="center"/>
    </xf>
    <xf numFmtId="0" fontId="34" fillId="32" borderId="275">
      <alignment horizontal="left" vertical="center"/>
    </xf>
    <xf numFmtId="4" fontId="32" fillId="32" borderId="274">
      <alignment horizontal="right" vertical="center"/>
    </xf>
    <xf numFmtId="0" fontId="62" fillId="56" borderId="278" applyNumberFormat="0" applyAlignment="0" applyProtection="0"/>
    <xf numFmtId="0" fontId="36" fillId="32" borderId="274">
      <alignment horizontal="right" vertical="center"/>
    </xf>
    <xf numFmtId="0" fontId="40" fillId="59" borderId="273" applyNumberFormat="0" applyFont="0" applyAlignment="0" applyProtection="0"/>
    <xf numFmtId="0" fontId="49" fillId="43" borderId="287" applyNumberFormat="0" applyAlignment="0" applyProtection="0"/>
    <xf numFmtId="4" fontId="34" fillId="0" borderId="274" applyFill="0" applyBorder="0" applyProtection="0">
      <alignment horizontal="right" vertical="center"/>
    </xf>
    <xf numFmtId="0" fontId="34" fillId="0" borderId="274" applyNumberFormat="0" applyFill="0" applyAlignment="0" applyProtection="0"/>
    <xf numFmtId="0" fontId="45" fillId="56" borderId="279" applyNumberFormat="0" applyAlignment="0" applyProtection="0"/>
    <xf numFmtId="0" fontId="34" fillId="0" borderId="282" applyNumberFormat="0" applyFill="0" applyAlignment="0" applyProtection="0"/>
    <xf numFmtId="0" fontId="65" fillId="0" borderId="280" applyNumberFormat="0" applyFill="0" applyAlignment="0" applyProtection="0"/>
    <xf numFmtId="0" fontId="65" fillId="0" borderId="280" applyNumberFormat="0" applyFill="0" applyAlignment="0" applyProtection="0"/>
    <xf numFmtId="0" fontId="34" fillId="34" borderId="277">
      <alignment horizontal="left" vertical="center" wrapText="1" indent="2"/>
    </xf>
    <xf numFmtId="0" fontId="45" fillId="56" borderId="279" applyNumberFormat="0" applyAlignment="0" applyProtection="0"/>
    <xf numFmtId="0" fontId="49" fillId="43" borderId="279" applyNumberFormat="0" applyAlignment="0" applyProtection="0"/>
    <xf numFmtId="0" fontId="36" fillId="32" borderId="274">
      <alignment horizontal="right" vertical="center"/>
    </xf>
    <xf numFmtId="0" fontId="49" fillId="43" borderId="287" applyNumberFormat="0" applyAlignment="0" applyProtection="0"/>
    <xf numFmtId="173" fontId="34" fillId="60" borderId="274" applyNumberFormat="0" applyFont="0" applyBorder="0" applyAlignment="0" applyProtection="0">
      <alignment horizontal="right" vertical="center"/>
    </xf>
    <xf numFmtId="0" fontId="65" fillId="0" borderId="288" applyNumberFormat="0" applyFill="0" applyAlignment="0" applyProtection="0"/>
    <xf numFmtId="0" fontId="46" fillId="56" borderId="287" applyNumberFormat="0" applyAlignment="0" applyProtection="0"/>
    <xf numFmtId="4" fontId="32" fillId="34" borderId="274">
      <alignment horizontal="right" vertical="center"/>
    </xf>
    <xf numFmtId="4" fontId="36" fillId="32" borderId="282">
      <alignment horizontal="right" vertical="center"/>
    </xf>
    <xf numFmtId="0" fontId="34" fillId="0" borderId="277">
      <alignment horizontal="left" vertical="center" wrapText="1" indent="2"/>
    </xf>
    <xf numFmtId="0" fontId="34" fillId="0" borderId="277">
      <alignment horizontal="left" vertical="center" wrapText="1" indent="2"/>
    </xf>
    <xf numFmtId="173" fontId="34" fillId="60" borderId="282" applyNumberFormat="0" applyFont="0" applyBorder="0" applyAlignment="0" applyProtection="0">
      <alignment horizontal="right" vertical="center"/>
    </xf>
    <xf numFmtId="0" fontId="34" fillId="34" borderId="295">
      <alignment horizontal="left" vertical="center" wrapText="1" indent="2"/>
    </xf>
    <xf numFmtId="0" fontId="26" fillId="17" borderId="0" applyNumberFormat="0" applyBorder="0" applyAlignment="0" applyProtection="0"/>
    <xf numFmtId="0" fontId="26" fillId="27" borderId="0" applyNumberFormat="0" applyBorder="0" applyAlignment="0" applyProtection="0"/>
    <xf numFmtId="0" fontId="40" fillId="59" borderId="273" applyNumberFormat="0" applyFont="0" applyAlignment="0" applyProtection="0"/>
    <xf numFmtId="0" fontId="34" fillId="0" borderId="274" applyNumberFormat="0" applyFill="0" applyAlignment="0" applyProtection="0"/>
    <xf numFmtId="0" fontId="32" fillId="34" borderId="275">
      <alignment horizontal="right" vertical="center"/>
    </xf>
    <xf numFmtId="0" fontId="32" fillId="32" borderId="282">
      <alignment horizontal="right" vertical="center"/>
    </xf>
    <xf numFmtId="0" fontId="29" fillId="13" borderId="13" applyNumberFormat="0" applyAlignment="0" applyProtection="0"/>
    <xf numFmtId="0" fontId="40" fillId="59" borderId="291" applyNumberFormat="0" applyFont="0" applyAlignment="0" applyProtection="0"/>
    <xf numFmtId="0" fontId="46" fillId="56" borderId="287" applyNumberFormat="0" applyAlignment="0" applyProtection="0"/>
    <xf numFmtId="49" fontId="33" fillId="0" borderId="282" applyNumberFormat="0" applyFill="0" applyBorder="0" applyProtection="0">
      <alignment horizontal="left" vertical="center"/>
    </xf>
    <xf numFmtId="4" fontId="34" fillId="33" borderId="274"/>
    <xf numFmtId="4" fontId="32" fillId="34" borderId="294">
      <alignment horizontal="right" vertical="center"/>
    </xf>
    <xf numFmtId="0" fontId="46" fillId="56" borderId="289" applyNumberFormat="0" applyAlignment="0" applyProtection="0"/>
    <xf numFmtId="0" fontId="65" fillId="0" borderId="280" applyNumberFormat="0" applyFill="0" applyAlignment="0" applyProtection="0"/>
    <xf numFmtId="0" fontId="50" fillId="0" borderId="288" applyNumberFormat="0" applyFill="0" applyAlignment="0" applyProtection="0"/>
    <xf numFmtId="0" fontId="32" fillId="34" borderId="284">
      <alignment horizontal="right" vertical="center"/>
    </xf>
    <xf numFmtId="4" fontId="36" fillId="32" borderId="292">
      <alignment horizontal="right" vertical="center"/>
    </xf>
    <xf numFmtId="0" fontId="34" fillId="34" borderId="285">
      <alignment horizontal="left" vertical="center" wrapText="1" indent="2"/>
    </xf>
    <xf numFmtId="0" fontId="28" fillId="13" borderId="14" applyNumberFormat="0" applyAlignment="0" applyProtection="0"/>
    <xf numFmtId="0" fontId="32" fillId="34" borderId="276">
      <alignment horizontal="right" vertical="center"/>
    </xf>
    <xf numFmtId="0" fontId="45" fillId="56" borderId="287" applyNumberFormat="0" applyAlignment="0" applyProtection="0"/>
    <xf numFmtId="0" fontId="46" fillId="56" borderId="279" applyNumberFormat="0" applyAlignment="0" applyProtection="0"/>
    <xf numFmtId="4" fontId="36" fillId="32" borderId="292">
      <alignment horizontal="right" vertical="center"/>
    </xf>
    <xf numFmtId="4" fontId="34" fillId="0" borderId="274">
      <alignment horizontal="right" vertical="center"/>
    </xf>
    <xf numFmtId="0" fontId="32" fillId="34" borderId="283">
      <alignment horizontal="right" vertical="center"/>
    </xf>
    <xf numFmtId="0" fontId="40" fillId="59" borderId="281" applyNumberFormat="0" applyFont="0" applyAlignment="0" applyProtection="0"/>
    <xf numFmtId="0" fontId="30" fillId="0" borderId="0" applyNumberFormat="0" applyFill="0" applyBorder="0" applyAlignment="0" applyProtection="0"/>
    <xf numFmtId="0" fontId="32" fillId="32" borderId="282">
      <alignment horizontal="right" vertical="center"/>
    </xf>
    <xf numFmtId="0" fontId="32" fillId="34" borderId="275">
      <alignment horizontal="right" vertical="center"/>
    </xf>
    <xf numFmtId="0" fontId="49" fillId="43" borderId="289" applyNumberFormat="0" applyAlignment="0" applyProtection="0"/>
    <xf numFmtId="0" fontId="46" fillId="56" borderId="289" applyNumberFormat="0" applyAlignment="0" applyProtection="0"/>
    <xf numFmtId="173" fontId="34" fillId="60" borderId="274" applyNumberFormat="0" applyFont="0" applyBorder="0" applyAlignment="0" applyProtection="0">
      <alignment horizontal="right" vertical="center"/>
    </xf>
    <xf numFmtId="0" fontId="62" fillId="56" borderId="278" applyNumberFormat="0" applyAlignment="0" applyProtection="0"/>
    <xf numFmtId="0" fontId="26" fillId="18" borderId="0" applyNumberFormat="0" applyBorder="0" applyAlignment="0" applyProtection="0"/>
    <xf numFmtId="0" fontId="32" fillId="34" borderId="274">
      <alignment horizontal="right" vertical="center"/>
    </xf>
    <xf numFmtId="4" fontId="34" fillId="0" borderId="274" applyFill="0" applyBorder="0" applyProtection="0">
      <alignment horizontal="right" vertical="center"/>
    </xf>
    <xf numFmtId="0" fontId="34" fillId="34" borderId="277">
      <alignment horizontal="left" vertical="center" wrapText="1" indent="2"/>
    </xf>
    <xf numFmtId="0" fontId="58" fillId="43" borderId="279" applyNumberFormat="0" applyAlignment="0" applyProtection="0"/>
    <xf numFmtId="0" fontId="46" fillId="56" borderId="279" applyNumberFormat="0" applyAlignment="0" applyProtection="0"/>
    <xf numFmtId="4" fontId="32" fillId="32" borderId="274">
      <alignment horizontal="right" vertical="center"/>
    </xf>
    <xf numFmtId="0" fontId="50" fillId="0" borderId="290" applyNumberFormat="0" applyFill="0" applyAlignment="0" applyProtection="0"/>
    <xf numFmtId="0" fontId="62" fillId="56" borderId="278" applyNumberFormat="0" applyAlignment="0" applyProtection="0"/>
    <xf numFmtId="0" fontId="34" fillId="0" borderId="274">
      <alignment horizontal="right" vertical="center"/>
    </xf>
    <xf numFmtId="0" fontId="58" fillId="43" borderId="279" applyNumberFormat="0" applyAlignment="0" applyProtection="0"/>
    <xf numFmtId="0" fontId="58" fillId="43" borderId="279" applyNumberFormat="0" applyAlignment="0" applyProtection="0"/>
    <xf numFmtId="0" fontId="26" fillId="21" borderId="0" applyNumberFormat="0" applyBorder="0" applyAlignment="0" applyProtection="0"/>
    <xf numFmtId="49" fontId="34" fillId="0" borderId="275" applyNumberFormat="0" applyFont="0" applyFill="0" applyBorder="0" applyProtection="0">
      <alignment horizontal="left" vertical="center" indent="5"/>
    </xf>
    <xf numFmtId="0" fontId="34" fillId="0" borderId="274">
      <alignment horizontal="right" vertical="center"/>
    </xf>
    <xf numFmtId="0" fontId="46" fillId="56" borderId="279" applyNumberFormat="0" applyAlignment="0" applyProtection="0"/>
    <xf numFmtId="0" fontId="32" fillId="34" borderId="274">
      <alignment horizontal="right" vertical="center"/>
    </xf>
    <xf numFmtId="4" fontId="34" fillId="33" borderId="274"/>
    <xf numFmtId="0" fontId="36" fillId="32" borderId="282">
      <alignment horizontal="right" vertical="center"/>
    </xf>
    <xf numFmtId="4" fontId="32" fillId="34" borderId="282">
      <alignment horizontal="right" vertical="center"/>
    </xf>
    <xf numFmtId="4" fontId="32" fillId="34" borderId="276">
      <alignment horizontal="right" vertical="center"/>
    </xf>
    <xf numFmtId="4" fontId="32" fillId="34" borderId="274">
      <alignment horizontal="right" vertical="center"/>
    </xf>
    <xf numFmtId="4" fontId="32" fillId="34" borderId="293">
      <alignment horizontal="right" vertical="center"/>
    </xf>
    <xf numFmtId="4" fontId="32" fillId="34" borderId="282">
      <alignment horizontal="right" vertical="center"/>
    </xf>
    <xf numFmtId="0" fontId="32" fillId="32" borderId="274">
      <alignment horizontal="right" vertical="center"/>
    </xf>
    <xf numFmtId="4" fontId="32" fillId="34" borderId="282">
      <alignment horizontal="right" vertical="center"/>
    </xf>
    <xf numFmtId="49" fontId="34" fillId="0" borderId="274" applyNumberFormat="0" applyFont="0" applyFill="0" applyBorder="0" applyProtection="0">
      <alignment horizontal="left" vertical="center" indent="2"/>
    </xf>
    <xf numFmtId="0" fontId="28" fillId="13" borderId="14" applyNumberFormat="0" applyAlignment="0" applyProtection="0"/>
    <xf numFmtId="0" fontId="26" fillId="26" borderId="0" applyNumberFormat="0" applyBorder="0" applyAlignment="0" applyProtection="0"/>
    <xf numFmtId="0" fontId="12" fillId="19" borderId="0" applyNumberFormat="0" applyBorder="0" applyAlignment="0" applyProtection="0"/>
    <xf numFmtId="0" fontId="46" fillId="56" borderId="289" applyNumberFormat="0" applyAlignment="0" applyProtection="0"/>
    <xf numFmtId="0" fontId="34" fillId="34" borderId="277">
      <alignment horizontal="left" vertical="center" wrapText="1" indent="2"/>
    </xf>
    <xf numFmtId="0" fontId="12" fillId="19" borderId="0" applyNumberFormat="0" applyBorder="0" applyAlignment="0" applyProtection="0"/>
    <xf numFmtId="0" fontId="34" fillId="33" borderId="274"/>
    <xf numFmtId="0" fontId="65" fillId="0" borderId="280" applyNumberFormat="0" applyFill="0" applyAlignment="0" applyProtection="0"/>
    <xf numFmtId="0" fontId="62" fillId="56" borderId="278" applyNumberFormat="0" applyAlignment="0" applyProtection="0"/>
    <xf numFmtId="4" fontId="34" fillId="33" borderId="292"/>
    <xf numFmtId="0" fontId="43" fillId="56" borderId="278" applyNumberFormat="0" applyAlignment="0" applyProtection="0"/>
    <xf numFmtId="0" fontId="43" fillId="56" borderId="286" applyNumberFormat="0" applyAlignment="0" applyProtection="0"/>
    <xf numFmtId="173" fontId="34" fillId="60" borderId="274" applyNumberFormat="0" applyFont="0" applyBorder="0" applyAlignment="0" applyProtection="0">
      <alignment horizontal="right" vertical="center"/>
    </xf>
    <xf numFmtId="0" fontId="26" fillId="27" borderId="0" applyNumberFormat="0" applyBorder="0" applyAlignment="0" applyProtection="0"/>
    <xf numFmtId="4" fontId="32" fillId="34" borderId="282">
      <alignment horizontal="right" vertical="center"/>
    </xf>
    <xf numFmtId="0" fontId="12" fillId="16" borderId="0" applyNumberFormat="0" applyBorder="0" applyAlignment="0" applyProtection="0"/>
    <xf numFmtId="0" fontId="58" fillId="43" borderId="279" applyNumberFormat="0" applyAlignment="0" applyProtection="0"/>
    <xf numFmtId="0" fontId="26" fillId="14" borderId="0" applyNumberFormat="0" applyBorder="0" applyAlignment="0" applyProtection="0"/>
    <xf numFmtId="0" fontId="65" fillId="0" borderId="290" applyNumberFormat="0" applyFill="0" applyAlignment="0" applyProtection="0"/>
    <xf numFmtId="0" fontId="32" fillId="32" borderId="282">
      <alignment horizontal="right" vertical="center"/>
    </xf>
    <xf numFmtId="4" fontId="32" fillId="34" borderId="284">
      <alignment horizontal="right" vertical="center"/>
    </xf>
    <xf numFmtId="0" fontId="65" fillId="0" borderId="280" applyNumberFormat="0" applyFill="0" applyAlignment="0" applyProtection="0"/>
    <xf numFmtId="0" fontId="34" fillId="0" borderId="274">
      <alignment horizontal="right" vertical="center"/>
    </xf>
    <xf numFmtId="49" fontId="33" fillId="0" borderId="292" applyNumberFormat="0" applyFill="0" applyBorder="0" applyProtection="0">
      <alignment horizontal="left" vertical="center"/>
    </xf>
    <xf numFmtId="0" fontId="34" fillId="0" borderId="292">
      <alignment horizontal="right" vertical="center"/>
    </xf>
    <xf numFmtId="0" fontId="34" fillId="0" borderId="277">
      <alignment horizontal="left" vertical="center" wrapText="1" indent="2"/>
    </xf>
    <xf numFmtId="0" fontId="12" fillId="22" borderId="0" applyNumberFormat="0" applyBorder="0" applyAlignment="0" applyProtection="0"/>
    <xf numFmtId="0" fontId="32" fillId="34" borderId="294">
      <alignment horizontal="right" vertical="center"/>
    </xf>
    <xf numFmtId="4" fontId="32" fillId="34" borderId="282">
      <alignment horizontal="right" vertical="center"/>
    </xf>
    <xf numFmtId="0" fontId="26" fillId="29" borderId="0" applyNumberFormat="0" applyBorder="0" applyAlignment="0" applyProtection="0"/>
    <xf numFmtId="0" fontId="32" fillId="34" borderId="283">
      <alignment horizontal="right" vertical="center"/>
    </xf>
    <xf numFmtId="0" fontId="62" fillId="56" borderId="278" applyNumberFormat="0" applyAlignment="0" applyProtection="0"/>
    <xf numFmtId="0" fontId="26" fillId="30" borderId="0" applyNumberFormat="0" applyBorder="0" applyAlignment="0" applyProtection="0"/>
    <xf numFmtId="0" fontId="62" fillId="56" borderId="278" applyNumberFormat="0" applyAlignment="0" applyProtection="0"/>
    <xf numFmtId="0" fontId="46" fillId="56" borderId="279" applyNumberFormat="0" applyAlignment="0" applyProtection="0"/>
    <xf numFmtId="0" fontId="50" fillId="0" borderId="290" applyNumberFormat="0" applyFill="0" applyAlignment="0" applyProtection="0"/>
    <xf numFmtId="4" fontId="32" fillId="34" borderId="274">
      <alignment horizontal="right" vertical="center"/>
    </xf>
    <xf numFmtId="0" fontId="58" fillId="43" borderId="279" applyNumberFormat="0" applyAlignment="0" applyProtection="0"/>
    <xf numFmtId="0" fontId="58" fillId="43" borderId="279" applyNumberFormat="0" applyAlignment="0" applyProtection="0"/>
    <xf numFmtId="0" fontId="5" fillId="59" borderId="273" applyNumberFormat="0" applyFont="0" applyAlignment="0" applyProtection="0"/>
    <xf numFmtId="0" fontId="32" fillId="34" borderId="293">
      <alignment horizontal="right" vertical="center"/>
    </xf>
    <xf numFmtId="0" fontId="46" fillId="56" borderId="287" applyNumberFormat="0" applyAlignment="0" applyProtection="0"/>
    <xf numFmtId="0" fontId="12" fillId="25" borderId="0" applyNumberFormat="0" applyBorder="0" applyAlignment="0" applyProtection="0"/>
    <xf numFmtId="49" fontId="34" fillId="0" borderId="292" applyNumberFormat="0" applyFont="0" applyFill="0" applyBorder="0" applyProtection="0">
      <alignment horizontal="left" vertical="center" indent="2"/>
    </xf>
    <xf numFmtId="0" fontId="32" fillId="32" borderId="274">
      <alignment horizontal="right" vertical="center"/>
    </xf>
    <xf numFmtId="4" fontId="34" fillId="0" borderId="282">
      <alignment horizontal="right" vertical="center"/>
    </xf>
    <xf numFmtId="4" fontId="34" fillId="33" borderId="282"/>
    <xf numFmtId="0" fontId="49" fillId="43" borderId="279" applyNumberFormat="0" applyAlignment="0" applyProtection="0"/>
    <xf numFmtId="0" fontId="65" fillId="0" borderId="288" applyNumberFormat="0" applyFill="0" applyAlignment="0" applyProtection="0"/>
    <xf numFmtId="0" fontId="58" fillId="43" borderId="289" applyNumberFormat="0" applyAlignment="0" applyProtection="0"/>
    <xf numFmtId="0" fontId="40" fillId="59" borderId="273" applyNumberFormat="0" applyFont="0" applyAlignment="0" applyProtection="0"/>
    <xf numFmtId="0" fontId="34" fillId="0" borderId="274" applyNumberFormat="0" applyFill="0" applyAlignment="0" applyProtection="0"/>
    <xf numFmtId="0" fontId="26" fillId="26" borderId="0" applyNumberFormat="0" applyBorder="0" applyAlignment="0" applyProtection="0"/>
    <xf numFmtId="4" fontId="34" fillId="0" borderId="274" applyFill="0" applyBorder="0" applyProtection="0">
      <alignment horizontal="right" vertical="center"/>
    </xf>
    <xf numFmtId="0" fontId="34" fillId="0" borderId="277">
      <alignment horizontal="left" vertical="center" wrapText="1" indent="2"/>
    </xf>
    <xf numFmtId="4" fontId="32" fillId="34" borderId="275">
      <alignment horizontal="right" vertical="center"/>
    </xf>
    <xf numFmtId="0" fontId="34" fillId="33" borderId="274"/>
    <xf numFmtId="0" fontId="12" fillId="31" borderId="0" applyNumberFormat="0" applyBorder="0" applyAlignment="0" applyProtection="0"/>
    <xf numFmtId="0" fontId="36" fillId="32" borderId="274">
      <alignment horizontal="right" vertical="center"/>
    </xf>
    <xf numFmtId="0" fontId="65" fillId="0" borderId="290" applyNumberFormat="0" applyFill="0" applyAlignment="0" applyProtection="0"/>
    <xf numFmtId="0" fontId="43" fillId="56" borderId="278" applyNumberFormat="0" applyAlignment="0" applyProtection="0"/>
    <xf numFmtId="49" fontId="34" fillId="0" borderId="274" applyNumberFormat="0" applyFont="0" applyFill="0" applyBorder="0" applyProtection="0">
      <alignment horizontal="left" vertical="center" indent="2"/>
    </xf>
    <xf numFmtId="0" fontId="43" fillId="56" borderId="286" applyNumberFormat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1" fillId="0" borderId="0" applyNumberFormat="0" applyFill="0" applyBorder="0" applyAlignment="0" applyProtection="0"/>
    <xf numFmtId="0" fontId="32" fillId="34" borderId="283">
      <alignment horizontal="right" vertical="center"/>
    </xf>
    <xf numFmtId="4" fontId="32" fillId="34" borderId="276">
      <alignment horizontal="right" vertical="center"/>
    </xf>
    <xf numFmtId="0" fontId="45" fillId="56" borderId="289" applyNumberFormat="0" applyAlignment="0" applyProtection="0"/>
    <xf numFmtId="4" fontId="32" fillId="34" borderId="282">
      <alignment horizontal="right" vertical="center"/>
    </xf>
    <xf numFmtId="0" fontId="34" fillId="0" borderId="285">
      <alignment horizontal="left" vertical="center" wrapText="1" indent="2"/>
    </xf>
    <xf numFmtId="4" fontId="34" fillId="0" borderId="282">
      <alignment horizontal="right" vertical="center"/>
    </xf>
    <xf numFmtId="0" fontId="26" fillId="20" borderId="0" applyNumberFormat="0" applyBorder="0" applyAlignment="0" applyProtection="0"/>
    <xf numFmtId="0" fontId="34" fillId="0" borderId="282">
      <alignment horizontal="right" vertical="center"/>
    </xf>
    <xf numFmtId="0" fontId="45" fillId="56" borderId="279" applyNumberFormat="0" applyAlignment="0" applyProtection="0"/>
    <xf numFmtId="4" fontId="34" fillId="0" borderId="274">
      <alignment horizontal="right" vertical="center"/>
    </xf>
    <xf numFmtId="0" fontId="65" fillId="0" borderId="288" applyNumberFormat="0" applyFill="0" applyAlignment="0" applyProtection="0"/>
    <xf numFmtId="49" fontId="34" fillId="0" borderId="283" applyNumberFormat="0" applyFont="0" applyFill="0" applyBorder="0" applyProtection="0">
      <alignment horizontal="left" vertical="center" indent="5"/>
    </xf>
    <xf numFmtId="0" fontId="32" fillId="34" borderId="274">
      <alignment horizontal="right" vertical="center"/>
    </xf>
    <xf numFmtId="4" fontId="36" fillId="32" borderId="274">
      <alignment horizontal="right" vertical="center"/>
    </xf>
    <xf numFmtId="0" fontId="49" fillId="43" borderId="279" applyNumberFormat="0" applyAlignment="0" applyProtection="0"/>
    <xf numFmtId="0" fontId="32" fillId="32" borderId="282">
      <alignment horizontal="right" vertical="center"/>
    </xf>
    <xf numFmtId="0" fontId="34" fillId="32" borderId="275">
      <alignment horizontal="left" vertical="center"/>
    </xf>
    <xf numFmtId="0" fontId="26" fillId="14" borderId="0" applyNumberFormat="0" applyBorder="0" applyAlignment="0" applyProtection="0"/>
    <xf numFmtId="0" fontId="26" fillId="27" borderId="0" applyNumberFormat="0" applyBorder="0" applyAlignment="0" applyProtection="0"/>
    <xf numFmtId="4" fontId="34" fillId="0" borderId="274" applyFill="0" applyBorder="0" applyProtection="0">
      <alignment horizontal="right" vertical="center"/>
    </xf>
    <xf numFmtId="0" fontId="32" fillId="32" borderId="274">
      <alignment horizontal="right" vertical="center"/>
    </xf>
    <xf numFmtId="0" fontId="34" fillId="33" borderId="282"/>
    <xf numFmtId="0" fontId="45" fillId="56" borderId="279" applyNumberFormat="0" applyAlignment="0" applyProtection="0"/>
    <xf numFmtId="0" fontId="32" fillId="32" borderId="274">
      <alignment horizontal="right" vertical="center"/>
    </xf>
    <xf numFmtId="0" fontId="12" fillId="25" borderId="0" applyNumberFormat="0" applyBorder="0" applyAlignment="0" applyProtection="0"/>
    <xf numFmtId="0" fontId="50" fillId="0" borderId="290" applyNumberFormat="0" applyFill="0" applyAlignment="0" applyProtection="0"/>
    <xf numFmtId="0" fontId="12" fillId="16" borderId="0" applyNumberFormat="0" applyBorder="0" applyAlignment="0" applyProtection="0"/>
    <xf numFmtId="0" fontId="32" fillId="34" borderId="274">
      <alignment horizontal="right" vertical="center"/>
    </xf>
    <xf numFmtId="0" fontId="26" fillId="18" borderId="0" applyNumberFormat="0" applyBorder="0" applyAlignment="0" applyProtection="0"/>
    <xf numFmtId="0" fontId="1" fillId="0" borderId="0" applyNumberFormat="0" applyFill="0" applyBorder="0" applyAlignment="0" applyProtection="0"/>
    <xf numFmtId="0" fontId="26" fillId="17" borderId="0" applyNumberFormat="0" applyBorder="0" applyAlignment="0" applyProtection="0"/>
    <xf numFmtId="4" fontId="32" fillId="34" borderId="274">
      <alignment horizontal="right" vertical="center"/>
    </xf>
    <xf numFmtId="0" fontId="26" fillId="14" borderId="0" applyNumberFormat="0" applyBorder="0" applyAlignment="0" applyProtection="0"/>
    <xf numFmtId="4" fontId="34" fillId="33" borderId="292"/>
    <xf numFmtId="0" fontId="26" fillId="20" borderId="0" applyNumberFormat="0" applyBorder="0" applyAlignment="0" applyProtection="0"/>
    <xf numFmtId="0" fontId="32" fillId="34" borderId="276">
      <alignment horizontal="right" vertical="center"/>
    </xf>
    <xf numFmtId="0" fontId="2" fillId="0" borderId="15" applyNumberFormat="0" applyFill="0" applyAlignment="0" applyProtection="0"/>
    <xf numFmtId="0" fontId="50" fillId="0" borderId="280" applyNumberFormat="0" applyFill="0" applyAlignment="0" applyProtection="0"/>
    <xf numFmtId="0" fontId="34" fillId="32" borderId="275">
      <alignment horizontal="left" vertical="center"/>
    </xf>
    <xf numFmtId="0" fontId="5" fillId="59" borderId="273" applyNumberFormat="0" applyFont="0" applyAlignment="0" applyProtection="0"/>
    <xf numFmtId="0" fontId="32" fillId="32" borderId="274">
      <alignment horizontal="right" vertical="center"/>
    </xf>
    <xf numFmtId="4" fontId="36" fillId="32" borderId="274">
      <alignment horizontal="right" vertical="center"/>
    </xf>
    <xf numFmtId="0" fontId="50" fillId="0" borderId="280" applyNumberFormat="0" applyFill="0" applyAlignment="0" applyProtection="0"/>
    <xf numFmtId="0" fontId="62" fillId="56" borderId="286" applyNumberFormat="0" applyAlignment="0" applyProtection="0"/>
    <xf numFmtId="0" fontId="32" fillId="34" borderId="294">
      <alignment horizontal="right" vertical="center"/>
    </xf>
    <xf numFmtId="0" fontId="46" fillId="56" borderId="279" applyNumberFormat="0" applyAlignment="0" applyProtection="0"/>
    <xf numFmtId="49" fontId="33" fillId="0" borderId="274" applyNumberFormat="0" applyFill="0" applyBorder="0" applyProtection="0">
      <alignment horizontal="left" vertical="center"/>
    </xf>
    <xf numFmtId="0" fontId="12" fillId="28" borderId="0" applyNumberFormat="0" applyBorder="0" applyAlignment="0" applyProtection="0"/>
    <xf numFmtId="0" fontId="26" fillId="23" borderId="0" applyNumberFormat="0" applyBorder="0" applyAlignment="0" applyProtection="0"/>
    <xf numFmtId="0" fontId="12" fillId="31" borderId="0" applyNumberFormat="0" applyBorder="0" applyAlignment="0" applyProtection="0"/>
    <xf numFmtId="0" fontId="49" fillId="43" borderId="279" applyNumberFormat="0" applyAlignment="0" applyProtection="0"/>
    <xf numFmtId="0" fontId="12" fillId="28" borderId="0" applyNumberFormat="0" applyBorder="0" applyAlignment="0" applyProtection="0"/>
    <xf numFmtId="0" fontId="32" fillId="34" borderId="275">
      <alignment horizontal="right" vertical="center"/>
    </xf>
    <xf numFmtId="0" fontId="12" fillId="19" borderId="0" applyNumberFormat="0" applyBorder="0" applyAlignment="0" applyProtection="0"/>
    <xf numFmtId="4" fontId="36" fillId="32" borderId="274">
      <alignment horizontal="right" vertical="center"/>
    </xf>
    <xf numFmtId="0" fontId="26" fillId="23" borderId="0" applyNumberFormat="0" applyBorder="0" applyAlignment="0" applyProtection="0"/>
    <xf numFmtId="4" fontId="32" fillId="34" borderId="283">
      <alignment horizontal="right" vertical="center"/>
    </xf>
    <xf numFmtId="0" fontId="36" fillId="32" borderId="292">
      <alignment horizontal="right" vertical="center"/>
    </xf>
    <xf numFmtId="0" fontId="1" fillId="0" borderId="0" applyNumberFormat="0" applyFill="0" applyBorder="0" applyAlignment="0" applyProtection="0"/>
    <xf numFmtId="4" fontId="36" fillId="32" borderId="274">
      <alignment horizontal="right" vertical="center"/>
    </xf>
    <xf numFmtId="0" fontId="12" fillId="19" borderId="0" applyNumberFormat="0" applyBorder="0" applyAlignment="0" applyProtection="0"/>
    <xf numFmtId="0" fontId="46" fillId="56" borderId="279" applyNumberFormat="0" applyAlignment="0" applyProtection="0"/>
    <xf numFmtId="0" fontId="29" fillId="13" borderId="13" applyNumberFormat="0" applyAlignment="0" applyProtection="0"/>
    <xf numFmtId="0" fontId="50" fillId="0" borderId="290" applyNumberFormat="0" applyFill="0" applyAlignment="0" applyProtection="0"/>
    <xf numFmtId="4" fontId="32" fillId="34" borderId="284">
      <alignment horizontal="right" vertical="center"/>
    </xf>
    <xf numFmtId="0" fontId="26" fillId="15" borderId="0" applyNumberFormat="0" applyBorder="0" applyAlignment="0" applyProtection="0"/>
    <xf numFmtId="0" fontId="58" fillId="43" borderId="279" applyNumberFormat="0" applyAlignment="0" applyProtection="0"/>
    <xf numFmtId="0" fontId="32" fillId="32" borderId="282">
      <alignment horizontal="right" vertical="center"/>
    </xf>
    <xf numFmtId="0" fontId="29" fillId="13" borderId="13" applyNumberFormat="0" applyAlignment="0" applyProtection="0"/>
    <xf numFmtId="0" fontId="58" fillId="43" borderId="279" applyNumberFormat="0" applyAlignment="0" applyProtection="0"/>
    <xf numFmtId="0" fontId="12" fillId="22" borderId="0" applyNumberFormat="0" applyBorder="0" applyAlignment="0" applyProtection="0"/>
    <xf numFmtId="0" fontId="26" fillId="24" borderId="0" applyNumberFormat="0" applyBorder="0" applyAlignment="0" applyProtection="0"/>
    <xf numFmtId="0" fontId="45" fillId="56" borderId="279" applyNumberFormat="0" applyAlignment="0" applyProtection="0"/>
    <xf numFmtId="4" fontId="34" fillId="0" borderId="282" applyFill="0" applyBorder="0" applyProtection="0">
      <alignment horizontal="right" vertical="center"/>
    </xf>
    <xf numFmtId="0" fontId="58" fillId="43" borderId="287" applyNumberFormat="0" applyAlignment="0" applyProtection="0"/>
    <xf numFmtId="4" fontId="32" fillId="34" borderId="275">
      <alignment horizontal="right" vertical="center"/>
    </xf>
    <xf numFmtId="0" fontId="26" fillId="20" borderId="0" applyNumberFormat="0" applyBorder="0" applyAlignment="0" applyProtection="0"/>
    <xf numFmtId="4" fontId="34" fillId="0" borderId="292">
      <alignment horizontal="right" vertical="center"/>
    </xf>
    <xf numFmtId="0" fontId="40" fillId="59" borderId="273" applyNumberFormat="0" applyFont="0" applyAlignment="0" applyProtection="0"/>
    <xf numFmtId="0" fontId="62" fillId="56" borderId="278" applyNumberFormat="0" applyAlignment="0" applyProtection="0"/>
    <xf numFmtId="0" fontId="65" fillId="0" borderId="288" applyNumberFormat="0" applyFill="0" applyAlignment="0" applyProtection="0"/>
    <xf numFmtId="0" fontId="43" fillId="56" borderId="278" applyNumberFormat="0" applyAlignment="0" applyProtection="0"/>
    <xf numFmtId="0" fontId="34" fillId="0" borderId="282">
      <alignment horizontal="right" vertical="center"/>
    </xf>
    <xf numFmtId="0" fontId="45" fillId="56" borderId="279" applyNumberFormat="0" applyAlignment="0" applyProtection="0"/>
    <xf numFmtId="0" fontId="26" fillId="15" borderId="0" applyNumberFormat="0" applyBorder="0" applyAlignment="0" applyProtection="0"/>
    <xf numFmtId="0" fontId="34" fillId="0" borderId="277">
      <alignment horizontal="left" vertical="center" wrapText="1" indent="2"/>
    </xf>
    <xf numFmtId="0" fontId="32" fillId="34" borderId="282">
      <alignment horizontal="right" vertical="center"/>
    </xf>
    <xf numFmtId="0" fontId="49" fillId="43" borderId="279" applyNumberFormat="0" applyAlignment="0" applyProtection="0"/>
    <xf numFmtId="4" fontId="32" fillId="34" borderId="284">
      <alignment horizontal="right" vertical="center"/>
    </xf>
    <xf numFmtId="0" fontId="12" fillId="31" borderId="0" applyNumberFormat="0" applyBorder="0" applyAlignment="0" applyProtection="0"/>
    <xf numFmtId="0" fontId="40" fillId="59" borderId="281" applyNumberFormat="0" applyFont="0" applyAlignment="0" applyProtection="0"/>
    <xf numFmtId="0" fontId="26" fillId="27" borderId="0" applyNumberFormat="0" applyBorder="0" applyAlignment="0" applyProtection="0"/>
    <xf numFmtId="0" fontId="2" fillId="0" borderId="15" applyNumberFormat="0" applyFill="0" applyAlignment="0" applyProtection="0"/>
    <xf numFmtId="49" fontId="33" fillId="0" borderId="274" applyNumberFormat="0" applyFill="0" applyBorder="0" applyProtection="0">
      <alignment horizontal="left" vertical="center"/>
    </xf>
    <xf numFmtId="0" fontId="34" fillId="33" borderId="274"/>
    <xf numFmtId="0" fontId="32" fillId="34" borderId="274">
      <alignment horizontal="right" vertical="center"/>
    </xf>
    <xf numFmtId="4" fontId="34" fillId="33" borderId="282"/>
    <xf numFmtId="0" fontId="32" fillId="34" borderId="274">
      <alignment horizontal="right" vertical="center"/>
    </xf>
    <xf numFmtId="0" fontId="34" fillId="33" borderId="292"/>
    <xf numFmtId="0" fontId="32" fillId="34" borderId="292">
      <alignment horizontal="right" vertical="center"/>
    </xf>
    <xf numFmtId="0" fontId="62" fillId="56" borderId="286" applyNumberFormat="0" applyAlignment="0" applyProtection="0"/>
    <xf numFmtId="0" fontId="36" fillId="32" borderId="274">
      <alignment horizontal="right" vertical="center"/>
    </xf>
    <xf numFmtId="0" fontId="40" fillId="59" borderId="273" applyNumberFormat="0" applyFont="0" applyAlignment="0" applyProtection="0"/>
    <xf numFmtId="0" fontId="32" fillId="34" borderId="294">
      <alignment horizontal="right" vertical="center"/>
    </xf>
    <xf numFmtId="0" fontId="32" fillId="34" borderId="284">
      <alignment horizontal="right" vertical="center"/>
    </xf>
    <xf numFmtId="0" fontId="29" fillId="13" borderId="13" applyNumberFormat="0" applyAlignment="0" applyProtection="0"/>
    <xf numFmtId="4" fontId="32" fillId="34" borderId="282">
      <alignment horizontal="right" vertical="center"/>
    </xf>
    <xf numFmtId="0" fontId="49" fillId="43" borderId="279" applyNumberFormat="0" applyAlignment="0" applyProtection="0"/>
    <xf numFmtId="0" fontId="43" fillId="56" borderId="278" applyNumberFormat="0" applyAlignment="0" applyProtection="0"/>
    <xf numFmtId="4" fontId="34" fillId="0" borderId="274">
      <alignment horizontal="right" vertical="center"/>
    </xf>
    <xf numFmtId="0" fontId="26" fillId="30" borderId="0" applyNumberFormat="0" applyBorder="0" applyAlignment="0" applyProtection="0"/>
    <xf numFmtId="0" fontId="46" fillId="56" borderId="279" applyNumberFormat="0" applyAlignment="0" applyProtection="0"/>
    <xf numFmtId="0" fontId="34" fillId="0" borderId="295">
      <alignment horizontal="left" vertical="center" wrapText="1" indent="2"/>
    </xf>
    <xf numFmtId="0" fontId="32" fillId="32" borderId="274">
      <alignment horizontal="right" vertical="center"/>
    </xf>
    <xf numFmtId="4" fontId="34" fillId="0" borderId="274" applyFill="0" applyBorder="0" applyProtection="0">
      <alignment horizontal="right" vertical="center"/>
    </xf>
    <xf numFmtId="0" fontId="5" fillId="59" borderId="281" applyNumberFormat="0" applyFont="0" applyAlignment="0" applyProtection="0"/>
    <xf numFmtId="0" fontId="50" fillId="0" borderId="288" applyNumberFormat="0" applyFill="0" applyAlignment="0" applyProtection="0"/>
    <xf numFmtId="0" fontId="26" fillId="30" borderId="0" applyNumberFormat="0" applyBorder="0" applyAlignment="0" applyProtection="0"/>
    <xf numFmtId="0" fontId="34" fillId="33" borderId="274"/>
    <xf numFmtId="0" fontId="32" fillId="34" borderId="292">
      <alignment horizontal="right" vertical="center"/>
    </xf>
    <xf numFmtId="0" fontId="34" fillId="34" borderId="285">
      <alignment horizontal="left" vertical="center" wrapText="1" indent="2"/>
    </xf>
    <xf numFmtId="0" fontId="26" fillId="24" borderId="0" applyNumberFormat="0" applyBorder="0" applyAlignment="0" applyProtection="0"/>
    <xf numFmtId="0" fontId="45" fillId="56" borderId="289" applyNumberFormat="0" applyAlignment="0" applyProtection="0"/>
    <xf numFmtId="4" fontId="32" fillId="34" borderId="292">
      <alignment horizontal="right" vertical="center"/>
    </xf>
    <xf numFmtId="0" fontId="34" fillId="0" borderId="277">
      <alignment horizontal="left" vertical="center" wrapText="1" indent="2"/>
    </xf>
    <xf numFmtId="0" fontId="43" fillId="56" borderId="278" applyNumberFormat="0" applyAlignment="0" applyProtection="0"/>
    <xf numFmtId="0" fontId="29" fillId="13" borderId="13" applyNumberFormat="0" applyAlignment="0" applyProtection="0"/>
    <xf numFmtId="0" fontId="58" fillId="43" borderId="287" applyNumberFormat="0" applyAlignment="0" applyProtection="0"/>
    <xf numFmtId="0" fontId="45" fillId="56" borderId="289" applyNumberFormat="0" applyAlignment="0" applyProtection="0"/>
    <xf numFmtId="0" fontId="65" fillId="0" borderId="280" applyNumberFormat="0" applyFill="0" applyAlignment="0" applyProtection="0"/>
    <xf numFmtId="4" fontId="34" fillId="33" borderId="274"/>
    <xf numFmtId="0" fontId="34" fillId="0" borderId="277">
      <alignment horizontal="left" vertical="center" wrapText="1" indent="2"/>
    </xf>
    <xf numFmtId="0" fontId="32" fillId="34" borderId="276">
      <alignment horizontal="right" vertical="center"/>
    </xf>
    <xf numFmtId="0" fontId="34" fillId="32" borderId="275">
      <alignment horizontal="left" vertical="center"/>
    </xf>
    <xf numFmtId="0" fontId="34" fillId="33" borderId="274"/>
    <xf numFmtId="0" fontId="58" fillId="43" borderId="279" applyNumberFormat="0" applyAlignment="0" applyProtection="0"/>
    <xf numFmtId="0" fontId="32" fillId="34" borderId="274">
      <alignment horizontal="right" vertical="center"/>
    </xf>
    <xf numFmtId="0" fontId="34" fillId="0" borderId="295">
      <alignment horizontal="left" vertical="center" wrapText="1" indent="2"/>
    </xf>
    <xf numFmtId="4" fontId="32" fillId="34" borderId="275">
      <alignment horizontal="right" vertical="center"/>
    </xf>
    <xf numFmtId="0" fontId="49" fillId="43" borderId="279" applyNumberFormat="0" applyAlignment="0" applyProtection="0"/>
    <xf numFmtId="0" fontId="28" fillId="13" borderId="14" applyNumberFormat="0" applyAlignment="0" applyProtection="0"/>
    <xf numFmtId="0" fontId="34" fillId="0" borderId="282" applyNumberFormat="0" applyFill="0" applyAlignment="0" applyProtection="0"/>
    <xf numFmtId="4" fontId="32" fillId="32" borderId="282">
      <alignment horizontal="right" vertical="center"/>
    </xf>
    <xf numFmtId="49" fontId="34" fillId="0" borderId="283" applyNumberFormat="0" applyFont="0" applyFill="0" applyBorder="0" applyProtection="0">
      <alignment horizontal="left" vertical="center" indent="5"/>
    </xf>
    <xf numFmtId="0" fontId="65" fillId="0" borderId="288" applyNumberFormat="0" applyFill="0" applyAlignment="0" applyProtection="0"/>
    <xf numFmtId="0" fontId="12" fillId="16" borderId="0" applyNumberFormat="0" applyBorder="0" applyAlignment="0" applyProtection="0"/>
    <xf numFmtId="4" fontId="32" fillId="32" borderId="274">
      <alignment horizontal="right" vertical="center"/>
    </xf>
    <xf numFmtId="0" fontId="34" fillId="34" borderId="277">
      <alignment horizontal="left" vertical="center" wrapText="1" indent="2"/>
    </xf>
    <xf numFmtId="0" fontId="12" fillId="31" borderId="0" applyNumberFormat="0" applyBorder="0" applyAlignment="0" applyProtection="0"/>
    <xf numFmtId="0" fontId="65" fillId="0" borderId="288" applyNumberFormat="0" applyFill="0" applyAlignment="0" applyProtection="0"/>
    <xf numFmtId="0" fontId="5" fillId="59" borderId="291" applyNumberFormat="0" applyFont="0" applyAlignment="0" applyProtection="0"/>
    <xf numFmtId="0" fontId="26" fillId="21" borderId="0" applyNumberFormat="0" applyBorder="0" applyAlignment="0" applyProtection="0"/>
    <xf numFmtId="0" fontId="65" fillId="0" borderId="280" applyNumberFormat="0" applyFill="0" applyAlignment="0" applyProtection="0"/>
    <xf numFmtId="0" fontId="62" fillId="56" borderId="296" applyNumberFormat="0" applyAlignment="0" applyProtection="0"/>
    <xf numFmtId="0" fontId="32" fillId="34" borderId="276">
      <alignment horizontal="right" vertical="center"/>
    </xf>
    <xf numFmtId="0" fontId="26" fillId="21" borderId="0" applyNumberFormat="0" applyBorder="0" applyAlignment="0" applyProtection="0"/>
    <xf numFmtId="49" fontId="34" fillId="0" borderId="274" applyNumberFormat="0" applyFont="0" applyFill="0" applyBorder="0" applyProtection="0">
      <alignment horizontal="left" vertical="center" indent="2"/>
    </xf>
    <xf numFmtId="0" fontId="26" fillId="24" borderId="0" applyNumberFormat="0" applyBorder="0" applyAlignment="0" applyProtection="0"/>
    <xf numFmtId="173" fontId="34" fillId="60" borderId="282" applyNumberFormat="0" applyFont="0" applyBorder="0" applyAlignment="0" applyProtection="0">
      <alignment horizontal="right" vertical="center"/>
    </xf>
    <xf numFmtId="49" fontId="33" fillId="0" borderId="282" applyNumberFormat="0" applyFill="0" applyBorder="0" applyProtection="0">
      <alignment horizontal="left" vertical="center"/>
    </xf>
    <xf numFmtId="0" fontId="32" fillId="34" borderId="274">
      <alignment horizontal="right" vertical="center"/>
    </xf>
    <xf numFmtId="0" fontId="65" fillId="0" borderId="280" applyNumberFormat="0" applyFill="0" applyAlignment="0" applyProtection="0"/>
    <xf numFmtId="0" fontId="46" fillId="56" borderId="287" applyNumberFormat="0" applyAlignment="0" applyProtection="0"/>
    <xf numFmtId="0" fontId="58" fillId="43" borderId="279" applyNumberFormat="0" applyAlignment="0" applyProtection="0"/>
    <xf numFmtId="0" fontId="26" fillId="23" borderId="0" applyNumberFormat="0" applyBorder="0" applyAlignment="0" applyProtection="0"/>
    <xf numFmtId="0" fontId="50" fillId="0" borderId="290" applyNumberFormat="0" applyFill="0" applyAlignment="0" applyProtection="0"/>
    <xf numFmtId="4" fontId="34" fillId="33" borderId="274"/>
    <xf numFmtId="0" fontId="62" fillId="56" borderId="286" applyNumberFormat="0" applyAlignment="0" applyProtection="0"/>
    <xf numFmtId="49" fontId="34" fillId="0" borderId="283" applyNumberFormat="0" applyFont="0" applyFill="0" applyBorder="0" applyProtection="0">
      <alignment horizontal="left" vertical="center" indent="5"/>
    </xf>
    <xf numFmtId="0" fontId="43" fillId="56" borderId="286" applyNumberFormat="0" applyAlignment="0" applyProtection="0"/>
    <xf numFmtId="49" fontId="33" fillId="0" borderId="274" applyNumberFormat="0" applyFill="0" applyBorder="0" applyProtection="0">
      <alignment horizontal="left" vertical="center"/>
    </xf>
    <xf numFmtId="0" fontId="30" fillId="0" borderId="0" applyNumberFormat="0" applyFill="0" applyBorder="0" applyAlignment="0" applyProtection="0"/>
    <xf numFmtId="0" fontId="12" fillId="25" borderId="0" applyNumberFormat="0" applyBorder="0" applyAlignment="0" applyProtection="0"/>
    <xf numFmtId="0" fontId="36" fillId="32" borderId="274">
      <alignment horizontal="right" vertical="center"/>
    </xf>
    <xf numFmtId="0" fontId="34" fillId="0" borderId="274" applyNumberFormat="0" applyFill="0" applyAlignment="0" applyProtection="0"/>
    <xf numFmtId="0" fontId="43" fillId="56" borderId="278" applyNumberFormat="0" applyAlignment="0" applyProtection="0"/>
    <xf numFmtId="4" fontId="34" fillId="0" borderId="282" applyFill="0" applyBorder="0" applyProtection="0">
      <alignment horizontal="right" vertical="center"/>
    </xf>
    <xf numFmtId="0" fontId="43" fillId="56" borderId="278" applyNumberFormat="0" applyAlignment="0" applyProtection="0"/>
    <xf numFmtId="4" fontId="36" fillId="32" borderId="274">
      <alignment horizontal="right" vertical="center"/>
    </xf>
    <xf numFmtId="0" fontId="40" fillId="59" borderId="273" applyNumberFormat="0" applyFont="0" applyAlignment="0" applyProtection="0"/>
    <xf numFmtId="4" fontId="34" fillId="0" borderId="274">
      <alignment horizontal="right" vertical="center"/>
    </xf>
    <xf numFmtId="4" fontId="34" fillId="0" borderId="274">
      <alignment horizontal="right" vertical="center"/>
    </xf>
    <xf numFmtId="0" fontId="2" fillId="0" borderId="15" applyNumberFormat="0" applyFill="0" applyAlignment="0" applyProtection="0"/>
    <xf numFmtId="4" fontId="36" fillId="32" borderId="282">
      <alignment horizontal="right" vertical="center"/>
    </xf>
    <xf numFmtId="0" fontId="2" fillId="0" borderId="15" applyNumberFormat="0" applyFill="0" applyAlignment="0" applyProtection="0"/>
    <xf numFmtId="0" fontId="12" fillId="31" borderId="0" applyNumberFormat="0" applyBorder="0" applyAlignment="0" applyProtection="0"/>
    <xf numFmtId="0" fontId="26" fillId="30" borderId="0" applyNumberFormat="0" applyBorder="0" applyAlignment="0" applyProtection="0"/>
    <xf numFmtId="0" fontId="2" fillId="0" borderId="15" applyNumberFormat="0" applyFill="0" applyAlignment="0" applyProtection="0"/>
    <xf numFmtId="49" fontId="34" fillId="0" borderId="283" applyNumberFormat="0" applyFont="0" applyFill="0" applyBorder="0" applyProtection="0">
      <alignment horizontal="left" vertical="center" indent="5"/>
    </xf>
    <xf numFmtId="173" fontId="34" fillId="60" borderId="292" applyNumberFormat="0" applyFont="0" applyBorder="0" applyAlignment="0" applyProtection="0">
      <alignment horizontal="right" vertical="center"/>
    </xf>
    <xf numFmtId="0" fontId="58" fillId="43" borderId="287" applyNumberFormat="0" applyAlignment="0" applyProtection="0"/>
    <xf numFmtId="4" fontId="32" fillId="34" borderId="284">
      <alignment horizontal="right" vertical="center"/>
    </xf>
    <xf numFmtId="173" fontId="34" fillId="60" borderId="274" applyNumberFormat="0" applyFont="0" applyBorder="0" applyAlignment="0" applyProtection="0">
      <alignment horizontal="right" vertical="center"/>
    </xf>
    <xf numFmtId="0" fontId="32" fillId="34" borderId="274">
      <alignment horizontal="right" vertical="center"/>
    </xf>
    <xf numFmtId="0" fontId="32" fillId="34" borderId="292">
      <alignment horizontal="right" vertical="center"/>
    </xf>
    <xf numFmtId="0" fontId="40" fillId="59" borderId="273" applyNumberFormat="0" applyFont="0" applyAlignment="0" applyProtection="0"/>
    <xf numFmtId="4" fontId="34" fillId="0" borderId="274" applyFill="0" applyBorder="0" applyProtection="0">
      <alignment horizontal="right" vertical="center"/>
    </xf>
    <xf numFmtId="0" fontId="32" fillId="34" borderId="284">
      <alignment horizontal="right" vertical="center"/>
    </xf>
    <xf numFmtId="4" fontId="32" fillId="34" borderId="282">
      <alignment horizontal="right" vertical="center"/>
    </xf>
    <xf numFmtId="0" fontId="34" fillId="34" borderId="277">
      <alignment horizontal="left" vertical="center" wrapText="1" indent="2"/>
    </xf>
    <xf numFmtId="0" fontId="62" fillId="56" borderId="278" applyNumberFormat="0" applyAlignment="0" applyProtection="0"/>
    <xf numFmtId="0" fontId="62" fillId="56" borderId="278" applyNumberFormat="0" applyAlignment="0" applyProtection="0"/>
    <xf numFmtId="0" fontId="58" fillId="43" borderId="279" applyNumberFormat="0" applyAlignment="0" applyProtection="0"/>
    <xf numFmtId="0" fontId="50" fillId="0" borderId="280" applyNumberFormat="0" applyFill="0" applyAlignment="0" applyProtection="0"/>
    <xf numFmtId="0" fontId="12" fillId="19" borderId="0" applyNumberFormat="0" applyBorder="0" applyAlignment="0" applyProtection="0"/>
    <xf numFmtId="0" fontId="34" fillId="0" borderId="285">
      <alignment horizontal="left" vertical="center" wrapText="1" indent="2"/>
    </xf>
    <xf numFmtId="0" fontId="40" fillId="59" borderId="281" applyNumberFormat="0" applyFont="0" applyAlignment="0" applyProtection="0"/>
    <xf numFmtId="0" fontId="40" fillId="59" borderId="281" applyNumberFormat="0" applyFont="0" applyAlignment="0" applyProtection="0"/>
    <xf numFmtId="49" fontId="34" fillId="0" borderId="275" applyNumberFormat="0" applyFont="0" applyFill="0" applyBorder="0" applyProtection="0">
      <alignment horizontal="left" vertical="center" indent="5"/>
    </xf>
    <xf numFmtId="0" fontId="40" fillId="59" borderId="273" applyNumberFormat="0" applyFont="0" applyAlignment="0" applyProtection="0"/>
    <xf numFmtId="0" fontId="65" fillId="0" borderId="280" applyNumberFormat="0" applyFill="0" applyAlignment="0" applyProtection="0"/>
    <xf numFmtId="0" fontId="28" fillId="13" borderId="14" applyNumberFormat="0" applyAlignment="0" applyProtection="0"/>
    <xf numFmtId="0" fontId="65" fillId="0" borderId="288" applyNumberFormat="0" applyFill="0" applyAlignment="0" applyProtection="0"/>
    <xf numFmtId="0" fontId="2" fillId="0" borderId="15" applyNumberFormat="0" applyFill="0" applyAlignment="0" applyProtection="0"/>
    <xf numFmtId="0" fontId="34" fillId="32" borderId="275">
      <alignment horizontal="left" vertical="center"/>
    </xf>
    <xf numFmtId="0" fontId="58" fillId="43" borderId="289" applyNumberFormat="0" applyAlignment="0" applyProtection="0"/>
    <xf numFmtId="0" fontId="26" fillId="24" borderId="0" applyNumberFormat="0" applyBorder="0" applyAlignment="0" applyProtection="0"/>
    <xf numFmtId="0" fontId="50" fillId="0" borderId="280" applyNumberFormat="0" applyFill="0" applyAlignment="0" applyProtection="0"/>
    <xf numFmtId="0" fontId="40" fillId="59" borderId="281" applyNumberFormat="0" applyFont="0" applyAlignment="0" applyProtection="0"/>
    <xf numFmtId="0" fontId="26" fillId="30" borderId="0" applyNumberFormat="0" applyBorder="0" applyAlignment="0" applyProtection="0"/>
    <xf numFmtId="0" fontId="36" fillId="32" borderId="274">
      <alignment horizontal="right" vertical="center"/>
    </xf>
    <xf numFmtId="0" fontId="46" fillId="56" borderId="279" applyNumberFormat="0" applyAlignment="0" applyProtection="0"/>
    <xf numFmtId="0" fontId="46" fillId="56" borderId="279" applyNumberFormat="0" applyAlignment="0" applyProtection="0"/>
    <xf numFmtId="0" fontId="26" fillId="18" borderId="0" applyNumberFormat="0" applyBorder="0" applyAlignment="0" applyProtection="0"/>
    <xf numFmtId="0" fontId="49" fillId="43" borderId="279" applyNumberFormat="0" applyAlignment="0" applyProtection="0"/>
    <xf numFmtId="49" fontId="34" fillId="0" borderId="275" applyNumberFormat="0" applyFont="0" applyFill="0" applyBorder="0" applyProtection="0">
      <alignment horizontal="left" vertical="center" indent="5"/>
    </xf>
    <xf numFmtId="0" fontId="1" fillId="0" borderId="0" applyNumberFormat="0" applyFill="0" applyBorder="0" applyAlignment="0" applyProtection="0"/>
    <xf numFmtId="0" fontId="46" fillId="56" borderId="287" applyNumberFormat="0" applyAlignment="0" applyProtection="0"/>
    <xf numFmtId="4" fontId="32" fillId="34" borderId="274">
      <alignment horizontal="right" vertical="center"/>
    </xf>
    <xf numFmtId="0" fontId="34" fillId="0" borderId="285">
      <alignment horizontal="left" vertical="center" wrapText="1" indent="2"/>
    </xf>
    <xf numFmtId="4" fontId="34" fillId="0" borderId="274">
      <alignment horizontal="right" vertical="center"/>
    </xf>
    <xf numFmtId="4" fontId="34" fillId="0" borderId="274">
      <alignment horizontal="right" vertical="center"/>
    </xf>
    <xf numFmtId="49" fontId="34" fillId="0" borderId="282" applyNumberFormat="0" applyFont="0" applyFill="0" applyBorder="0" applyProtection="0">
      <alignment horizontal="left" vertical="center" indent="2"/>
    </xf>
    <xf numFmtId="0" fontId="58" fillId="43" borderId="279" applyNumberFormat="0" applyAlignment="0" applyProtection="0"/>
    <xf numFmtId="4" fontId="36" fillId="32" borderId="282">
      <alignment horizontal="right" vertical="center"/>
    </xf>
    <xf numFmtId="0" fontId="26" fillId="18" borderId="0" applyNumberFormat="0" applyBorder="0" applyAlignment="0" applyProtection="0"/>
    <xf numFmtId="4" fontId="32" fillId="34" borderId="293">
      <alignment horizontal="right" vertical="center"/>
    </xf>
    <xf numFmtId="0" fontId="26" fillId="23" borderId="0" applyNumberFormat="0" applyBorder="0" applyAlignment="0" applyProtection="0"/>
    <xf numFmtId="0" fontId="45" fillId="56" borderId="279" applyNumberFormat="0" applyAlignment="0" applyProtection="0"/>
    <xf numFmtId="173" fontId="34" fillId="60" borderId="274" applyNumberFormat="0" applyFont="0" applyBorder="0" applyAlignment="0" applyProtection="0">
      <alignment horizontal="right" vertical="center"/>
    </xf>
    <xf numFmtId="49" fontId="33" fillId="0" borderId="282" applyNumberFormat="0" applyFill="0" applyBorder="0" applyProtection="0">
      <alignment horizontal="left" vertical="center"/>
    </xf>
    <xf numFmtId="0" fontId="43" fillId="56" borderId="296" applyNumberFormat="0" applyAlignment="0" applyProtection="0"/>
    <xf numFmtId="0" fontId="26" fillId="23" borderId="0" applyNumberFormat="0" applyBorder="0" applyAlignment="0" applyProtection="0"/>
    <xf numFmtId="0" fontId="1" fillId="0" borderId="0" applyNumberFormat="0" applyFill="0" applyBorder="0" applyAlignment="0" applyProtection="0"/>
    <xf numFmtId="0" fontId="12" fillId="16" borderId="0" applyNumberFormat="0" applyBorder="0" applyAlignment="0" applyProtection="0"/>
    <xf numFmtId="0" fontId="46" fillId="56" borderId="279" applyNumberFormat="0" applyAlignment="0" applyProtection="0"/>
    <xf numFmtId="0" fontId="12" fillId="22" borderId="0" applyNumberFormat="0" applyBorder="0" applyAlignment="0" applyProtection="0"/>
    <xf numFmtId="0" fontId="32" fillId="34" borderId="276">
      <alignment horizontal="right" vertical="center"/>
    </xf>
    <xf numFmtId="0" fontId="30" fillId="0" borderId="0" applyNumberFormat="0" applyFill="0" applyBorder="0" applyAlignment="0" applyProtection="0"/>
    <xf numFmtId="0" fontId="34" fillId="0" borderId="274">
      <alignment horizontal="right" vertical="center"/>
    </xf>
    <xf numFmtId="0" fontId="65" fillId="0" borderId="290" applyNumberFormat="0" applyFill="0" applyAlignment="0" applyProtection="0"/>
    <xf numFmtId="0" fontId="30" fillId="0" borderId="0" applyNumberFormat="0" applyFill="0" applyBorder="0" applyAlignment="0" applyProtection="0"/>
    <xf numFmtId="0" fontId="50" fillId="0" borderId="288" applyNumberFormat="0" applyFill="0" applyAlignment="0" applyProtection="0"/>
    <xf numFmtId="0" fontId="32" fillId="34" borderId="292">
      <alignment horizontal="right" vertical="center"/>
    </xf>
    <xf numFmtId="0" fontId="34" fillId="0" borderId="285">
      <alignment horizontal="left" vertical="center" wrapText="1" indent="2"/>
    </xf>
    <xf numFmtId="4" fontId="32" fillId="34" borderId="283">
      <alignment horizontal="right" vertical="center"/>
    </xf>
    <xf numFmtId="0" fontId="26" fillId="30" borderId="0" applyNumberFormat="0" applyBorder="0" applyAlignment="0" applyProtection="0"/>
    <xf numFmtId="0" fontId="26" fillId="24" borderId="0" applyNumberFormat="0" applyBorder="0" applyAlignment="0" applyProtection="0"/>
    <xf numFmtId="0" fontId="46" fillId="56" borderId="287" applyNumberFormat="0" applyAlignment="0" applyProtection="0"/>
    <xf numFmtId="0" fontId="34" fillId="0" borderId="277">
      <alignment horizontal="left" vertical="center" wrapText="1" indent="2"/>
    </xf>
    <xf numFmtId="0" fontId="32" fillId="34" borderId="282">
      <alignment horizontal="right" vertical="center"/>
    </xf>
    <xf numFmtId="4" fontId="32" fillId="34" borderId="292">
      <alignment horizontal="right" vertical="center"/>
    </xf>
    <xf numFmtId="0" fontId="12" fillId="28" borderId="0" applyNumberFormat="0" applyBorder="0" applyAlignment="0" applyProtection="0"/>
    <xf numFmtId="0" fontId="32" fillId="34" borderId="282">
      <alignment horizontal="right" vertical="center"/>
    </xf>
    <xf numFmtId="0" fontId="62" fillId="56" borderId="286" applyNumberFormat="0" applyAlignment="0" applyProtection="0"/>
    <xf numFmtId="0" fontId="26" fillId="29" borderId="0" applyNumberFormat="0" applyBorder="0" applyAlignment="0" applyProtection="0"/>
    <xf numFmtId="0" fontId="34" fillId="0" borderId="282" applyNumberFormat="0" applyFill="0" applyAlignment="0" applyProtection="0"/>
    <xf numFmtId="0" fontId="32" fillId="34" borderId="274">
      <alignment horizontal="right" vertical="center"/>
    </xf>
    <xf numFmtId="0" fontId="40" fillId="59" borderId="281" applyNumberFormat="0" applyFont="0" applyAlignment="0" applyProtection="0"/>
    <xf numFmtId="0" fontId="58" fillId="43" borderId="289" applyNumberFormat="0" applyAlignment="0" applyProtection="0"/>
    <xf numFmtId="0" fontId="32" fillId="34" borderId="292">
      <alignment horizontal="right" vertical="center"/>
    </xf>
    <xf numFmtId="49" fontId="34" fillId="0" borderId="282" applyNumberFormat="0" applyFont="0" applyFill="0" applyBorder="0" applyProtection="0">
      <alignment horizontal="left" vertical="center" indent="2"/>
    </xf>
    <xf numFmtId="0" fontId="34" fillId="32" borderId="293">
      <alignment horizontal="left" vertical="center"/>
    </xf>
    <xf numFmtId="4" fontId="32" fillId="34" borderId="282">
      <alignment horizontal="right" vertical="center"/>
    </xf>
    <xf numFmtId="0" fontId="34" fillId="0" borderId="285">
      <alignment horizontal="left" vertical="center" wrapText="1" indent="2"/>
    </xf>
    <xf numFmtId="0" fontId="26" fillId="24" borderId="0" applyNumberFormat="0" applyBorder="0" applyAlignment="0" applyProtection="0"/>
    <xf numFmtId="0" fontId="12" fillId="25" borderId="0" applyNumberFormat="0" applyBorder="0" applyAlignment="0" applyProtection="0"/>
    <xf numFmtId="4" fontId="32" fillId="34" borderId="274">
      <alignment horizontal="right" vertical="center"/>
    </xf>
    <xf numFmtId="4" fontId="36" fillId="32" borderId="274">
      <alignment horizontal="right" vertical="center"/>
    </xf>
    <xf numFmtId="0" fontId="34" fillId="33" borderId="274"/>
    <xf numFmtId="0" fontId="50" fillId="0" borderId="280" applyNumberFormat="0" applyFill="0" applyAlignment="0" applyProtection="0"/>
    <xf numFmtId="4" fontId="34" fillId="0" borderId="274" applyFill="0" applyBorder="0" applyProtection="0">
      <alignment horizontal="right" vertical="center"/>
    </xf>
    <xf numFmtId="0" fontId="50" fillId="0" borderId="280" applyNumberFormat="0" applyFill="0" applyAlignment="0" applyProtection="0"/>
    <xf numFmtId="0" fontId="34" fillId="0" borderId="274" applyNumberFormat="0" applyFill="0" applyAlignment="0" applyProtection="0"/>
    <xf numFmtId="0" fontId="46" fillId="56" borderId="287" applyNumberFormat="0" applyAlignment="0" applyProtection="0"/>
    <xf numFmtId="0" fontId="34" fillId="0" borderId="274" applyNumberFormat="0" applyFill="0" applyAlignment="0" applyProtection="0"/>
    <xf numFmtId="0" fontId="28" fillId="13" borderId="14" applyNumberFormat="0" applyAlignment="0" applyProtection="0"/>
    <xf numFmtId="0" fontId="62" fillId="56" borderId="286" applyNumberFormat="0" applyAlignment="0" applyProtection="0"/>
    <xf numFmtId="4" fontId="32" fillId="34" borderId="276">
      <alignment horizontal="right" vertical="center"/>
    </xf>
    <xf numFmtId="0" fontId="12" fillId="16" borderId="0" applyNumberFormat="0" applyBorder="0" applyAlignment="0" applyProtection="0"/>
    <xf numFmtId="0" fontId="26" fillId="20" borderId="0" applyNumberFormat="0" applyBorder="0" applyAlignment="0" applyProtection="0"/>
    <xf numFmtId="4" fontId="36" fillId="32" borderId="292">
      <alignment horizontal="right" vertical="center"/>
    </xf>
    <xf numFmtId="0" fontId="49" fillId="43" borderId="279" applyNumberFormat="0" applyAlignment="0" applyProtection="0"/>
    <xf numFmtId="0" fontId="46" fillId="56" borderId="279" applyNumberFormat="0" applyAlignment="0" applyProtection="0"/>
    <xf numFmtId="4" fontId="34" fillId="0" borderId="274">
      <alignment horizontal="right" vertical="center"/>
    </xf>
    <xf numFmtId="0" fontId="34" fillId="34" borderId="277">
      <alignment horizontal="left" vertical="center" wrapText="1" indent="2"/>
    </xf>
    <xf numFmtId="0" fontId="34" fillId="0" borderId="277">
      <alignment horizontal="left" vertical="center" wrapText="1" indent="2"/>
    </xf>
    <xf numFmtId="0" fontId="62" fillId="56" borderId="278" applyNumberFormat="0" applyAlignment="0" applyProtection="0"/>
    <xf numFmtId="0" fontId="58" fillId="43" borderId="279" applyNumberFormat="0" applyAlignment="0" applyProtection="0"/>
    <xf numFmtId="0" fontId="45" fillId="56" borderId="279" applyNumberFormat="0" applyAlignment="0" applyProtection="0"/>
    <xf numFmtId="0" fontId="43" fillId="56" borderId="278" applyNumberFormat="0" applyAlignment="0" applyProtection="0"/>
    <xf numFmtId="0" fontId="32" fillId="34" borderId="276">
      <alignment horizontal="right" vertical="center"/>
    </xf>
    <xf numFmtId="0" fontId="36" fillId="32" borderId="274">
      <alignment horizontal="right" vertical="center"/>
    </xf>
    <xf numFmtId="4" fontId="32" fillId="32" borderId="274">
      <alignment horizontal="right" vertical="center"/>
    </xf>
    <xf numFmtId="4" fontId="32" fillId="34" borderId="274">
      <alignment horizontal="right" vertical="center"/>
    </xf>
    <xf numFmtId="49" fontId="34" fillId="0" borderId="275" applyNumberFormat="0" applyFont="0" applyFill="0" applyBorder="0" applyProtection="0">
      <alignment horizontal="left" vertical="center" indent="5"/>
    </xf>
    <xf numFmtId="4" fontId="34" fillId="0" borderId="274" applyFill="0" applyBorder="0" applyProtection="0">
      <alignment horizontal="right" vertical="center"/>
    </xf>
    <xf numFmtId="4" fontId="32" fillId="32" borderId="274">
      <alignment horizontal="right" vertical="center"/>
    </xf>
    <xf numFmtId="0" fontId="58" fillId="43" borderId="279" applyNumberFormat="0" applyAlignment="0" applyProtection="0"/>
    <xf numFmtId="0" fontId="49" fillId="43" borderId="279" applyNumberFormat="0" applyAlignment="0" applyProtection="0"/>
    <xf numFmtId="0" fontId="45" fillId="56" borderId="279" applyNumberFormat="0" applyAlignment="0" applyProtection="0"/>
    <xf numFmtId="0" fontId="34" fillId="34" borderId="277">
      <alignment horizontal="left" vertical="center" wrapText="1" indent="2"/>
    </xf>
    <xf numFmtId="0" fontId="34" fillId="0" borderId="277">
      <alignment horizontal="left" vertical="center" wrapText="1" indent="2"/>
    </xf>
    <xf numFmtId="0" fontId="34" fillId="34" borderId="277">
      <alignment horizontal="left" vertical="center" wrapText="1" indent="2"/>
    </xf>
    <xf numFmtId="4" fontId="34" fillId="33" borderId="282"/>
    <xf numFmtId="0" fontId="34" fillId="0" borderId="285">
      <alignment horizontal="left" vertical="center" wrapText="1" indent="2"/>
    </xf>
    <xf numFmtId="0" fontId="34" fillId="0" borderId="292">
      <alignment horizontal="right" vertical="center"/>
    </xf>
    <xf numFmtId="49" fontId="34" fillId="0" borderId="293" applyNumberFormat="0" applyFont="0" applyFill="0" applyBorder="0" applyProtection="0">
      <alignment horizontal="left" vertical="center" indent="5"/>
    </xf>
    <xf numFmtId="0" fontId="34" fillId="0" borderId="292">
      <alignment horizontal="right" vertical="center"/>
    </xf>
    <xf numFmtId="0" fontId="32" fillId="34" borderId="282">
      <alignment horizontal="right" vertical="center"/>
    </xf>
    <xf numFmtId="0" fontId="40" fillId="59" borderId="291" applyNumberFormat="0" applyFont="0" applyAlignment="0" applyProtection="0"/>
    <xf numFmtId="0" fontId="32" fillId="34" borderId="283">
      <alignment horizontal="right" vertical="center"/>
    </xf>
    <xf numFmtId="49" fontId="33" fillId="0" borderId="282" applyNumberFormat="0" applyFill="0" applyBorder="0" applyProtection="0">
      <alignment horizontal="left" vertical="center"/>
    </xf>
    <xf numFmtId="0" fontId="26" fillId="14" borderId="0" applyNumberFormat="0" applyBorder="0" applyAlignment="0" applyProtection="0"/>
    <xf numFmtId="0" fontId="26" fillId="29" borderId="0" applyNumberFormat="0" applyBorder="0" applyAlignment="0" applyProtection="0"/>
    <xf numFmtId="0" fontId="46" fillId="56" borderId="287" applyNumberFormat="0" applyAlignment="0" applyProtection="0"/>
    <xf numFmtId="0" fontId="34" fillId="0" borderId="282" applyNumberFormat="0" applyFill="0" applyAlignment="0" applyProtection="0"/>
    <xf numFmtId="0" fontId="26" fillId="27" borderId="0" applyNumberFormat="0" applyBorder="0" applyAlignment="0" applyProtection="0"/>
    <xf numFmtId="0" fontId="26" fillId="18" borderId="0" applyNumberFormat="0" applyBorder="0" applyAlignment="0" applyProtection="0"/>
    <xf numFmtId="0" fontId="36" fillId="32" borderId="282">
      <alignment horizontal="right" vertical="center"/>
    </xf>
    <xf numFmtId="4" fontId="32" fillId="34" borderId="293">
      <alignment horizontal="right" vertical="center"/>
    </xf>
    <xf numFmtId="0" fontId="1" fillId="0" borderId="0" applyNumberFormat="0" applyFill="0" applyBorder="0" applyAlignment="0" applyProtection="0"/>
    <xf numFmtId="4" fontId="32" fillId="34" borderId="292">
      <alignment horizontal="right" vertical="center"/>
    </xf>
    <xf numFmtId="0" fontId="36" fillId="32" borderId="282">
      <alignment horizontal="right" vertical="center"/>
    </xf>
    <xf numFmtId="4" fontId="36" fillId="32" borderId="282">
      <alignment horizontal="right" vertical="center"/>
    </xf>
    <xf numFmtId="0" fontId="12" fillId="28" borderId="0" applyNumberFormat="0" applyBorder="0" applyAlignment="0" applyProtection="0"/>
    <xf numFmtId="0" fontId="40" fillId="59" borderId="291" applyNumberFormat="0" applyFont="0" applyAlignment="0" applyProtection="0"/>
    <xf numFmtId="0" fontId="49" fillId="43" borderId="287" applyNumberFormat="0" applyAlignment="0" applyProtection="0"/>
    <xf numFmtId="0" fontId="58" fillId="43" borderId="287" applyNumberFormat="0" applyAlignment="0" applyProtection="0"/>
    <xf numFmtId="0" fontId="62" fillId="56" borderId="296" applyNumberFormat="0" applyAlignment="0" applyProtection="0"/>
    <xf numFmtId="0" fontId="5" fillId="59" borderId="281" applyNumberFormat="0" applyFont="0" applyAlignment="0" applyProtection="0"/>
    <xf numFmtId="0" fontId="26" fillId="18" borderId="0" applyNumberFormat="0" applyBorder="0" applyAlignment="0" applyProtection="0"/>
    <xf numFmtId="0" fontId="65" fillId="0" borderId="290" applyNumberFormat="0" applyFill="0" applyAlignment="0" applyProtection="0"/>
    <xf numFmtId="0" fontId="36" fillId="32" borderId="282">
      <alignment horizontal="right" vertical="center"/>
    </xf>
    <xf numFmtId="0" fontId="58" fillId="43" borderId="287" applyNumberFormat="0" applyAlignment="0" applyProtection="0"/>
    <xf numFmtId="0" fontId="26" fillId="27" borderId="0" applyNumberFormat="0" applyBorder="0" applyAlignment="0" applyProtection="0"/>
    <xf numFmtId="0" fontId="32" fillId="34" borderId="284">
      <alignment horizontal="right" vertical="center"/>
    </xf>
    <xf numFmtId="0" fontId="32" fillId="34" borderId="282">
      <alignment horizontal="right" vertical="center"/>
    </xf>
    <xf numFmtId="4" fontId="34" fillId="33" borderId="282"/>
    <xf numFmtId="4" fontId="32" fillId="34" borderId="282">
      <alignment horizontal="right" vertical="center"/>
    </xf>
    <xf numFmtId="0" fontId="46" fillId="56" borderId="287" applyNumberFormat="0" applyAlignment="0" applyProtection="0"/>
    <xf numFmtId="0" fontId="12" fillId="22" borderId="0" applyNumberFormat="0" applyBorder="0" applyAlignment="0" applyProtection="0"/>
    <xf numFmtId="4" fontId="32" fillId="34" borderId="283">
      <alignment horizontal="right" vertical="center"/>
    </xf>
    <xf numFmtId="0" fontId="30" fillId="0" borderId="0" applyNumberFormat="0" applyFill="0" applyBorder="0" applyAlignment="0" applyProtection="0"/>
    <xf numFmtId="0" fontId="43" fillId="56" borderId="296" applyNumberFormat="0" applyAlignment="0" applyProtection="0"/>
    <xf numFmtId="0" fontId="34" fillId="34" borderId="285">
      <alignment horizontal="left" vertical="center" wrapText="1" indent="2"/>
    </xf>
    <xf numFmtId="0" fontId="32" fillId="34" borderId="292">
      <alignment horizontal="right" vertical="center"/>
    </xf>
    <xf numFmtId="0" fontId="5" fillId="59" borderId="291" applyNumberFormat="0" applyFont="0" applyAlignment="0" applyProtection="0"/>
    <xf numFmtId="0" fontId="34" fillId="33" borderId="292"/>
    <xf numFmtId="0" fontId="26" fillId="30" borderId="0" applyNumberFormat="0" applyBorder="0" applyAlignment="0" applyProtection="0"/>
    <xf numFmtId="0" fontId="12" fillId="19" borderId="0" applyNumberFormat="0" applyBorder="0" applyAlignment="0" applyProtection="0"/>
    <xf numFmtId="0" fontId="49" fillId="43" borderId="287" applyNumberFormat="0" applyAlignment="0" applyProtection="0"/>
    <xf numFmtId="4" fontId="34" fillId="33" borderId="292"/>
    <xf numFmtId="0" fontId="34" fillId="33" borderId="292"/>
    <xf numFmtId="0" fontId="26" fillId="26" borderId="0" applyNumberFormat="0" applyBorder="0" applyAlignment="0" applyProtection="0"/>
    <xf numFmtId="0" fontId="58" fillId="43" borderId="287" applyNumberFormat="0" applyAlignment="0" applyProtection="0"/>
    <xf numFmtId="0" fontId="36" fillId="32" borderId="292">
      <alignment horizontal="right" vertical="center"/>
    </xf>
    <xf numFmtId="0" fontId="34" fillId="0" borderId="292">
      <alignment horizontal="right" vertical="center"/>
    </xf>
    <xf numFmtId="0" fontId="32" fillId="32" borderId="282">
      <alignment horizontal="right" vertical="center"/>
    </xf>
    <xf numFmtId="0" fontId="34" fillId="32" borderId="283">
      <alignment horizontal="left" vertical="center"/>
    </xf>
    <xf numFmtId="0" fontId="36" fillId="32" borderId="282">
      <alignment horizontal="right" vertical="center"/>
    </xf>
    <xf numFmtId="49" fontId="34" fillId="0" borderId="282" applyNumberFormat="0" applyFont="0" applyFill="0" applyBorder="0" applyProtection="0">
      <alignment horizontal="left" vertical="center" indent="2"/>
    </xf>
    <xf numFmtId="4" fontId="36" fillId="32" borderId="292">
      <alignment horizontal="right" vertical="center"/>
    </xf>
    <xf numFmtId="0" fontId="26" fillId="26" borderId="0" applyNumberFormat="0" applyBorder="0" applyAlignment="0" applyProtection="0"/>
    <xf numFmtId="49" fontId="34" fillId="0" borderId="282" applyNumberFormat="0" applyFont="0" applyFill="0" applyBorder="0" applyProtection="0">
      <alignment horizontal="left" vertical="center" indent="2"/>
    </xf>
    <xf numFmtId="0" fontId="32" fillId="32" borderId="282">
      <alignment horizontal="right" vertical="center"/>
    </xf>
    <xf numFmtId="0" fontId="58" fillId="43" borderId="289" applyNumberFormat="0" applyAlignment="0" applyProtection="0"/>
    <xf numFmtId="0" fontId="32" fillId="34" borderId="282">
      <alignment horizontal="right" vertical="center"/>
    </xf>
    <xf numFmtId="0" fontId="62" fillId="56" borderId="286" applyNumberFormat="0" applyAlignment="0" applyProtection="0"/>
    <xf numFmtId="0" fontId="34" fillId="34" borderId="285">
      <alignment horizontal="left" vertical="center" wrapText="1" indent="2"/>
    </xf>
    <xf numFmtId="4" fontId="34" fillId="0" borderId="282" applyFill="0" applyBorder="0" applyProtection="0">
      <alignment horizontal="right" vertical="center"/>
    </xf>
    <xf numFmtId="0" fontId="30" fillId="0" borderId="0" applyNumberFormat="0" applyFill="0" applyBorder="0" applyAlignment="0" applyProtection="0"/>
    <xf numFmtId="0" fontId="29" fillId="13" borderId="13" applyNumberFormat="0" applyAlignment="0" applyProtection="0"/>
    <xf numFmtId="0" fontId="65" fillId="0" borderId="290" applyNumberFormat="0" applyFill="0" applyAlignment="0" applyProtection="0"/>
    <xf numFmtId="0" fontId="32" fillId="34" borderId="284">
      <alignment horizontal="right" vertical="center"/>
    </xf>
    <xf numFmtId="0" fontId="32" fillId="34" borderId="282">
      <alignment horizontal="right" vertical="center"/>
    </xf>
    <xf numFmtId="0" fontId="32" fillId="34" borderId="292">
      <alignment horizontal="right" vertical="center"/>
    </xf>
    <xf numFmtId="0" fontId="58" fillId="43" borderId="287" applyNumberFormat="0" applyAlignment="0" applyProtection="0"/>
    <xf numFmtId="0" fontId="43" fillId="56" borderId="296" applyNumberFormat="0" applyAlignment="0" applyProtection="0"/>
    <xf numFmtId="0" fontId="65" fillId="0" borderId="288" applyNumberFormat="0" applyFill="0" applyAlignment="0" applyProtection="0"/>
    <xf numFmtId="49" fontId="33" fillId="0" borderId="292" applyNumberFormat="0" applyFill="0" applyBorder="0" applyProtection="0">
      <alignment horizontal="left" vertical="center"/>
    </xf>
    <xf numFmtId="0" fontId="26" fillId="26" borderId="0" applyNumberFormat="0" applyBorder="0" applyAlignment="0" applyProtection="0"/>
    <xf numFmtId="4" fontId="32" fillId="32" borderId="292">
      <alignment horizontal="right" vertical="center"/>
    </xf>
    <xf numFmtId="0" fontId="32" fillId="34" borderId="293">
      <alignment horizontal="right" vertical="center"/>
    </xf>
    <xf numFmtId="0" fontId="62" fillId="56" borderId="286" applyNumberFormat="0" applyAlignment="0" applyProtection="0"/>
    <xf numFmtId="4" fontId="34" fillId="0" borderId="292">
      <alignment horizontal="right" vertical="center"/>
    </xf>
    <xf numFmtId="0" fontId="62" fillId="56" borderId="296" applyNumberFormat="0" applyAlignment="0" applyProtection="0"/>
    <xf numFmtId="4" fontId="32" fillId="34" borderId="282">
      <alignment horizontal="right" vertical="center"/>
    </xf>
    <xf numFmtId="0" fontId="50" fillId="0" borderId="288" applyNumberFormat="0" applyFill="0" applyAlignment="0" applyProtection="0"/>
    <xf numFmtId="0" fontId="49" fillId="43" borderId="287" applyNumberFormat="0" applyAlignment="0" applyProtection="0"/>
    <xf numFmtId="4" fontId="32" fillId="32" borderId="282">
      <alignment horizontal="right" vertical="center"/>
    </xf>
    <xf numFmtId="0" fontId="26" fillId="18" borderId="0" applyNumberFormat="0" applyBorder="0" applyAlignment="0" applyProtection="0"/>
    <xf numFmtId="0" fontId="26" fillId="15" borderId="0" applyNumberFormat="0" applyBorder="0" applyAlignment="0" applyProtection="0"/>
    <xf numFmtId="173" fontId="34" fillId="60" borderId="282" applyNumberFormat="0" applyFont="0" applyBorder="0" applyAlignment="0" applyProtection="0">
      <alignment horizontal="right" vertical="center"/>
    </xf>
    <xf numFmtId="0" fontId="26" fillId="30" borderId="0" applyNumberFormat="0" applyBorder="0" applyAlignment="0" applyProtection="0"/>
    <xf numFmtId="0" fontId="34" fillId="0" borderId="282" applyNumberFormat="0" applyFill="0" applyAlignment="0" applyProtection="0"/>
    <xf numFmtId="0" fontId="43" fillId="56" borderId="286" applyNumberFormat="0" applyAlignment="0" applyProtection="0"/>
    <xf numFmtId="4" fontId="32" fillId="34" borderId="283">
      <alignment horizontal="right" vertical="center"/>
    </xf>
    <xf numFmtId="0" fontId="58" fillId="43" borderId="289" applyNumberFormat="0" applyAlignment="0" applyProtection="0"/>
    <xf numFmtId="0" fontId="12" fillId="22" borderId="0" applyNumberFormat="0" applyBorder="0" applyAlignment="0" applyProtection="0"/>
    <xf numFmtId="0" fontId="36" fillId="32" borderId="292">
      <alignment horizontal="right" vertical="center"/>
    </xf>
    <xf numFmtId="0" fontId="34" fillId="0" borderId="292" applyNumberFormat="0" applyFill="0" applyAlignment="0" applyProtection="0"/>
    <xf numFmtId="0" fontId="26" fillId="29" borderId="0" applyNumberFormat="0" applyBorder="0" applyAlignment="0" applyProtection="0"/>
    <xf numFmtId="0" fontId="12" fillId="16" borderId="0" applyNumberFormat="0" applyBorder="0" applyAlignment="0" applyProtection="0"/>
    <xf numFmtId="0" fontId="49" fillId="43" borderId="287" applyNumberFormat="0" applyAlignment="0" applyProtection="0"/>
    <xf numFmtId="0" fontId="12" fillId="31" borderId="0" applyNumberFormat="0" applyBorder="0" applyAlignment="0" applyProtection="0"/>
    <xf numFmtId="49" fontId="34" fillId="0" borderId="283" applyNumberFormat="0" applyFont="0" applyFill="0" applyBorder="0" applyProtection="0">
      <alignment horizontal="left" vertical="center" indent="5"/>
    </xf>
    <xf numFmtId="4" fontId="32" fillId="34" borderId="294">
      <alignment horizontal="right" vertical="center"/>
    </xf>
    <xf numFmtId="4" fontId="34" fillId="0" borderId="292" applyFill="0" applyBorder="0" applyProtection="0">
      <alignment horizontal="right" vertical="center"/>
    </xf>
    <xf numFmtId="0" fontId="5" fillId="59" borderId="281" applyNumberFormat="0" applyFont="0" applyAlignment="0" applyProtection="0"/>
    <xf numFmtId="0" fontId="34" fillId="0" borderId="295">
      <alignment horizontal="left" vertical="center" wrapText="1" indent="2"/>
    </xf>
    <xf numFmtId="4" fontId="32" fillId="34" borderId="294">
      <alignment horizontal="right" vertical="center"/>
    </xf>
    <xf numFmtId="0" fontId="5" fillId="59" borderId="281" applyNumberFormat="0" applyFont="0" applyAlignment="0" applyProtection="0"/>
    <xf numFmtId="0" fontId="62" fillId="56" borderId="286" applyNumberFormat="0" applyAlignment="0" applyProtection="0"/>
    <xf numFmtId="0" fontId="26" fillId="15" borderId="0" applyNumberFormat="0" applyBorder="0" applyAlignment="0" applyProtection="0"/>
    <xf numFmtId="0" fontId="65" fillId="0" borderId="288" applyNumberFormat="0" applyFill="0" applyAlignment="0" applyProtection="0"/>
    <xf numFmtId="0" fontId="36" fillId="32" borderId="292">
      <alignment horizontal="right" vertical="center"/>
    </xf>
    <xf numFmtId="0" fontId="26" fillId="29" borderId="0" applyNumberFormat="0" applyBorder="0" applyAlignment="0" applyProtection="0"/>
    <xf numFmtId="0" fontId="36" fillId="32" borderId="282">
      <alignment horizontal="right" vertical="center"/>
    </xf>
    <xf numFmtId="0" fontId="32" fillId="34" borderId="284">
      <alignment horizontal="right" vertical="center"/>
    </xf>
    <xf numFmtId="0" fontId="32" fillId="32" borderId="292">
      <alignment horizontal="right" vertical="center"/>
    </xf>
    <xf numFmtId="0" fontId="62" fillId="56" borderId="286" applyNumberFormat="0" applyAlignment="0" applyProtection="0"/>
    <xf numFmtId="0" fontId="26" fillId="17" borderId="0" applyNumberFormat="0" applyBorder="0" applyAlignment="0" applyProtection="0"/>
    <xf numFmtId="173" fontId="34" fillId="60" borderId="292" applyNumberFormat="0" applyFont="0" applyBorder="0" applyAlignment="0" applyProtection="0">
      <alignment horizontal="right" vertical="center"/>
    </xf>
    <xf numFmtId="0" fontId="65" fillId="0" borderId="288" applyNumberFormat="0" applyFill="0" applyAlignment="0" applyProtection="0"/>
    <xf numFmtId="0" fontId="46" fillId="56" borderId="289" applyNumberFormat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12" fillId="31" borderId="0" applyNumberFormat="0" applyBorder="0" applyAlignment="0" applyProtection="0"/>
    <xf numFmtId="0" fontId="32" fillId="32" borderId="282">
      <alignment horizontal="right" vertical="center"/>
    </xf>
    <xf numFmtId="0" fontId="65" fillId="0" borderId="288" applyNumberFormat="0" applyFill="0" applyAlignment="0" applyProtection="0"/>
    <xf numFmtId="0" fontId="45" fillId="56" borderId="287" applyNumberFormat="0" applyAlignment="0" applyProtection="0"/>
    <xf numFmtId="0" fontId="46" fillId="56" borderId="289" applyNumberFormat="0" applyAlignment="0" applyProtection="0"/>
    <xf numFmtId="0" fontId="30" fillId="0" borderId="0" applyNumberFormat="0" applyFill="0" applyBorder="0" applyAlignment="0" applyProtection="0"/>
    <xf numFmtId="4" fontId="32" fillId="34" borderId="282">
      <alignment horizontal="right" vertical="center"/>
    </xf>
    <xf numFmtId="0" fontId="1" fillId="0" borderId="0" applyNumberFormat="0" applyFill="0" applyBorder="0" applyAlignment="0" applyProtection="0"/>
    <xf numFmtId="4" fontId="32" fillId="34" borderId="292">
      <alignment horizontal="right" vertical="center"/>
    </xf>
    <xf numFmtId="0" fontId="26" fillId="14" borderId="0" applyNumberFormat="0" applyBorder="0" applyAlignment="0" applyProtection="0"/>
    <xf numFmtId="0" fontId="29" fillId="13" borderId="13" applyNumberFormat="0" applyAlignment="0" applyProtection="0"/>
    <xf numFmtId="0" fontId="40" fillId="59" borderId="281" applyNumberFormat="0" applyFont="0" applyAlignment="0" applyProtection="0"/>
    <xf numFmtId="0" fontId="29" fillId="13" borderId="13" applyNumberFormat="0" applyAlignment="0" applyProtection="0"/>
    <xf numFmtId="0" fontId="32" fillId="34" borderId="294">
      <alignment horizontal="right" vertical="center"/>
    </xf>
    <xf numFmtId="0" fontId="26" fillId="20" borderId="0" applyNumberFormat="0" applyBorder="0" applyAlignment="0" applyProtection="0"/>
    <xf numFmtId="0" fontId="34" fillId="0" borderId="285">
      <alignment horizontal="left" vertical="center" wrapText="1" indent="2"/>
    </xf>
    <xf numFmtId="0" fontId="32" fillId="34" borderId="282">
      <alignment horizontal="right" vertical="center"/>
    </xf>
    <xf numFmtId="0" fontId="32" fillId="34" borderId="282">
      <alignment horizontal="right" vertical="center"/>
    </xf>
    <xf numFmtId="0" fontId="28" fillId="13" borderId="14" applyNumberFormat="0" applyAlignment="0" applyProtection="0"/>
    <xf numFmtId="0" fontId="26" fillId="21" borderId="0" applyNumberFormat="0" applyBorder="0" applyAlignment="0" applyProtection="0"/>
    <xf numFmtId="0" fontId="12" fillId="28" borderId="0" applyNumberFormat="0" applyBorder="0" applyAlignment="0" applyProtection="0"/>
    <xf numFmtId="4" fontId="34" fillId="0" borderId="282">
      <alignment horizontal="right" vertical="center"/>
    </xf>
    <xf numFmtId="0" fontId="12" fillId="19" borderId="0" applyNumberFormat="0" applyBorder="0" applyAlignment="0" applyProtection="0"/>
    <xf numFmtId="0" fontId="43" fillId="56" borderId="286" applyNumberFormat="0" applyAlignment="0" applyProtection="0"/>
    <xf numFmtId="0" fontId="45" fillId="56" borderId="287" applyNumberFormat="0" applyAlignment="0" applyProtection="0"/>
    <xf numFmtId="0" fontId="46" fillId="56" borderId="287" applyNumberFormat="0" applyAlignment="0" applyProtection="0"/>
    <xf numFmtId="0" fontId="12" fillId="25" borderId="0" applyNumberFormat="0" applyBorder="0" applyAlignment="0" applyProtection="0"/>
    <xf numFmtId="0" fontId="26" fillId="23" borderId="0" applyNumberFormat="0" applyBorder="0" applyAlignment="0" applyProtection="0"/>
    <xf numFmtId="0" fontId="26" fillId="21" borderId="0" applyNumberFormat="0" applyBorder="0" applyAlignment="0" applyProtection="0"/>
    <xf numFmtId="0" fontId="46" fillId="56" borderId="287" applyNumberFormat="0" applyAlignment="0" applyProtection="0"/>
    <xf numFmtId="0" fontId="34" fillId="0" borderId="295">
      <alignment horizontal="left" vertical="center" wrapText="1" indent="2"/>
    </xf>
    <xf numFmtId="0" fontId="45" fillId="56" borderId="289" applyNumberFormat="0" applyAlignment="0" applyProtection="0"/>
    <xf numFmtId="0" fontId="62" fillId="56" borderId="286" applyNumberFormat="0" applyAlignment="0" applyProtection="0"/>
    <xf numFmtId="0" fontId="26" fillId="15" borderId="0" applyNumberFormat="0" applyBorder="0" applyAlignment="0" applyProtection="0"/>
    <xf numFmtId="0" fontId="34" fillId="0" borderId="282" applyNumberFormat="0" applyFill="0" applyAlignment="0" applyProtection="0"/>
    <xf numFmtId="0" fontId="36" fillId="32" borderId="282">
      <alignment horizontal="right" vertical="center"/>
    </xf>
    <xf numFmtId="0" fontId="50" fillId="0" borderId="288" applyNumberFormat="0" applyFill="0" applyAlignment="0" applyProtection="0"/>
    <xf numFmtId="0" fontId="12" fillId="25" borderId="0" applyNumberFormat="0" applyBorder="0" applyAlignment="0" applyProtection="0"/>
    <xf numFmtId="4" fontId="34" fillId="0" borderId="282" applyFill="0" applyBorder="0" applyProtection="0">
      <alignment horizontal="right" vertical="center"/>
    </xf>
    <xf numFmtId="0" fontId="34" fillId="33" borderId="282"/>
    <xf numFmtId="0" fontId="32" fillId="34" borderId="293">
      <alignment horizontal="right" vertical="center"/>
    </xf>
    <xf numFmtId="4" fontId="34" fillId="33" borderId="282"/>
    <xf numFmtId="0" fontId="32" fillId="34" borderId="292">
      <alignment horizontal="right" vertical="center"/>
    </xf>
    <xf numFmtId="0" fontId="36" fillId="32" borderId="292">
      <alignment horizontal="right" vertical="center"/>
    </xf>
    <xf numFmtId="0" fontId="12" fillId="28" borderId="0" applyNumberFormat="0" applyBorder="0" applyAlignment="0" applyProtection="0"/>
    <xf numFmtId="0" fontId="26" fillId="23" borderId="0" applyNumberFormat="0" applyBorder="0" applyAlignment="0" applyProtection="0"/>
    <xf numFmtId="0" fontId="32" fillId="32" borderId="292">
      <alignment horizontal="right" vertical="center"/>
    </xf>
    <xf numFmtId="0" fontId="62" fillId="56" borderId="296" applyNumberFormat="0" applyAlignment="0" applyProtection="0"/>
    <xf numFmtId="0" fontId="12" fillId="19" borderId="0" applyNumberFormat="0" applyBorder="0" applyAlignment="0" applyProtection="0"/>
    <xf numFmtId="0" fontId="62" fillId="56" borderId="286" applyNumberFormat="0" applyAlignment="0" applyProtection="0"/>
    <xf numFmtId="0" fontId="32" fillId="34" borderId="293">
      <alignment horizontal="right" vertical="center"/>
    </xf>
    <xf numFmtId="4" fontId="32" fillId="34" borderId="293">
      <alignment horizontal="right" vertical="center"/>
    </xf>
    <xf numFmtId="0" fontId="49" fillId="43" borderId="287" applyNumberFormat="0" applyAlignment="0" applyProtection="0"/>
    <xf numFmtId="0" fontId="34" fillId="0" borderId="285">
      <alignment horizontal="left" vertical="center" wrapText="1" indent="2"/>
    </xf>
    <xf numFmtId="0" fontId="45" fillId="56" borderId="287" applyNumberFormat="0" applyAlignment="0" applyProtection="0"/>
    <xf numFmtId="0" fontId="49" fillId="43" borderId="289" applyNumberFormat="0" applyAlignment="0" applyProtection="0"/>
    <xf numFmtId="4" fontId="34" fillId="33" borderId="292"/>
    <xf numFmtId="0" fontId="34" fillId="32" borderId="283">
      <alignment horizontal="left" vertical="center"/>
    </xf>
    <xf numFmtId="0" fontId="12" fillId="16" borderId="0" applyNumberFormat="0" applyBorder="0" applyAlignment="0" applyProtection="0"/>
    <xf numFmtId="0" fontId="2" fillId="0" borderId="15" applyNumberFormat="0" applyFill="0" applyAlignment="0" applyProtection="0"/>
    <xf numFmtId="0" fontId="58" fillId="43" borderId="289" applyNumberFormat="0" applyAlignment="0" applyProtection="0"/>
    <xf numFmtId="0" fontId="58" fillId="43" borderId="287" applyNumberFormat="0" applyAlignment="0" applyProtection="0"/>
    <xf numFmtId="0" fontId="12" fillId="25" borderId="0" applyNumberFormat="0" applyBorder="0" applyAlignment="0" applyProtection="0"/>
    <xf numFmtId="4" fontId="34" fillId="33" borderId="292"/>
    <xf numFmtId="0" fontId="26" fillId="20" borderId="0" applyNumberFormat="0" applyBorder="0" applyAlignment="0" applyProtection="0"/>
    <xf numFmtId="0" fontId="46" fillId="56" borderId="287" applyNumberFormat="0" applyAlignment="0" applyProtection="0"/>
    <xf numFmtId="0" fontId="40" fillId="59" borderId="281" applyNumberFormat="0" applyFont="0" applyAlignment="0" applyProtection="0"/>
    <xf numFmtId="4" fontId="32" fillId="34" borderId="292">
      <alignment horizontal="right" vertical="center"/>
    </xf>
    <xf numFmtId="4" fontId="32" fillId="34" borderId="292">
      <alignment horizontal="right" vertical="center"/>
    </xf>
    <xf numFmtId="0" fontId="26" fillId="15" borderId="0" applyNumberFormat="0" applyBorder="0" applyAlignment="0" applyProtection="0"/>
    <xf numFmtId="0" fontId="65" fillId="0" borderId="288" applyNumberFormat="0" applyFill="0" applyAlignment="0" applyProtection="0"/>
    <xf numFmtId="0" fontId="62" fillId="56" borderId="286" applyNumberFormat="0" applyAlignment="0" applyProtection="0"/>
    <xf numFmtId="4" fontId="34" fillId="0" borderId="282">
      <alignment horizontal="right" vertical="center"/>
    </xf>
    <xf numFmtId="4" fontId="32" fillId="34" borderId="284">
      <alignment horizontal="right" vertical="center"/>
    </xf>
    <xf numFmtId="0" fontId="32" fillId="34" borderId="283">
      <alignment horizontal="right" vertical="center"/>
    </xf>
    <xf numFmtId="49" fontId="34" fillId="0" borderId="292" applyNumberFormat="0" applyFont="0" applyFill="0" applyBorder="0" applyProtection="0">
      <alignment horizontal="left" vertical="center" indent="2"/>
    </xf>
    <xf numFmtId="0" fontId="50" fillId="0" borderId="290" applyNumberFormat="0" applyFill="0" applyAlignment="0" applyProtection="0"/>
    <xf numFmtId="0" fontId="34" fillId="34" borderId="295">
      <alignment horizontal="left" vertical="center" wrapText="1" indent="2"/>
    </xf>
    <xf numFmtId="0" fontId="34" fillId="0" borderId="282">
      <alignment horizontal="right" vertical="center"/>
    </xf>
    <xf numFmtId="0" fontId="58" fillId="43" borderId="287" applyNumberFormat="0" applyAlignment="0" applyProtection="0"/>
    <xf numFmtId="0" fontId="65" fillId="0" borderId="288" applyNumberFormat="0" applyFill="0" applyAlignment="0" applyProtection="0"/>
    <xf numFmtId="49" fontId="33" fillId="0" borderId="282" applyNumberFormat="0" applyFill="0" applyBorder="0" applyProtection="0">
      <alignment horizontal="left" vertical="center"/>
    </xf>
    <xf numFmtId="0" fontId="58" fillId="43" borderId="287" applyNumberFormat="0" applyAlignment="0" applyProtection="0"/>
    <xf numFmtId="0" fontId="49" fillId="43" borderId="287" applyNumberFormat="0" applyAlignment="0" applyProtection="0"/>
    <xf numFmtId="4" fontId="34" fillId="0" borderId="282">
      <alignment horizontal="right" vertical="center"/>
    </xf>
    <xf numFmtId="0" fontId="32" fillId="34" borderId="294">
      <alignment horizontal="right" vertical="center"/>
    </xf>
    <xf numFmtId="4" fontId="36" fillId="32" borderId="282">
      <alignment horizontal="right" vertical="center"/>
    </xf>
    <xf numFmtId="0" fontId="65" fillId="0" borderId="290" applyNumberFormat="0" applyFill="0" applyAlignment="0" applyProtection="0"/>
    <xf numFmtId="0" fontId="12" fillId="28" borderId="0" applyNumberFormat="0" applyBorder="0" applyAlignment="0" applyProtection="0"/>
    <xf numFmtId="49" fontId="34" fillId="0" borderId="282" applyNumberFormat="0" applyFont="0" applyFill="0" applyBorder="0" applyProtection="0">
      <alignment horizontal="left" vertical="center" indent="2"/>
    </xf>
    <xf numFmtId="4" fontId="36" fillId="32" borderId="292">
      <alignment horizontal="right" vertical="center"/>
    </xf>
    <xf numFmtId="173" fontId="34" fillId="60" borderId="292" applyNumberFormat="0" applyFont="0" applyBorder="0" applyAlignment="0" applyProtection="0">
      <alignment horizontal="right" vertical="center"/>
    </xf>
    <xf numFmtId="0" fontId="45" fillId="56" borderId="289" applyNumberFormat="0" applyAlignment="0" applyProtection="0"/>
    <xf numFmtId="0" fontId="34" fillId="32" borderId="293">
      <alignment horizontal="left" vertical="center"/>
    </xf>
    <xf numFmtId="0" fontId="49" fillId="43" borderId="287" applyNumberFormat="0" applyAlignment="0" applyProtection="0"/>
    <xf numFmtId="4" fontId="32" fillId="32" borderId="282">
      <alignment horizontal="right" vertical="center"/>
    </xf>
    <xf numFmtId="0" fontId="40" fillId="59" borderId="281" applyNumberFormat="0" applyFont="0" applyAlignment="0" applyProtection="0"/>
    <xf numFmtId="0" fontId="34" fillId="34" borderId="285">
      <alignment horizontal="left" vertical="center" wrapText="1" indent="2"/>
    </xf>
    <xf numFmtId="4" fontId="34" fillId="33" borderId="282"/>
    <xf numFmtId="0" fontId="32" fillId="34" borderId="292">
      <alignment horizontal="right" vertical="center"/>
    </xf>
    <xf numFmtId="0" fontId="50" fillId="0" borderId="290" applyNumberFormat="0" applyFill="0" applyAlignment="0" applyProtection="0"/>
    <xf numFmtId="0" fontId="32" fillId="34" borderId="283">
      <alignment horizontal="right" vertical="center"/>
    </xf>
    <xf numFmtId="0" fontId="34" fillId="33" borderId="282"/>
    <xf numFmtId="0" fontId="40" fillId="59" borderId="291" applyNumberFormat="0" applyFont="0" applyAlignment="0" applyProtection="0"/>
    <xf numFmtId="0" fontId="46" fillId="56" borderId="287" applyNumberFormat="0" applyAlignment="0" applyProtection="0"/>
    <xf numFmtId="0" fontId="65" fillId="0" borderId="288" applyNumberFormat="0" applyFill="0" applyAlignment="0" applyProtection="0"/>
    <xf numFmtId="0" fontId="34" fillId="33" borderId="282"/>
    <xf numFmtId="0" fontId="12" fillId="31" borderId="0" applyNumberFormat="0" applyBorder="0" applyAlignment="0" applyProtection="0"/>
    <xf numFmtId="0" fontId="32" fillId="34" borderId="282">
      <alignment horizontal="right" vertical="center"/>
    </xf>
    <xf numFmtId="4" fontId="36" fillId="32" borderId="292">
      <alignment horizontal="right" vertical="center"/>
    </xf>
    <xf numFmtId="0" fontId="34" fillId="34" borderId="285">
      <alignment horizontal="left" vertical="center" wrapText="1" indent="2"/>
    </xf>
    <xf numFmtId="0" fontId="45" fillId="56" borderId="287" applyNumberFormat="0" applyAlignment="0" applyProtection="0"/>
    <xf numFmtId="0" fontId="34" fillId="0" borderId="282">
      <alignment horizontal="right" vertical="center"/>
    </xf>
    <xf numFmtId="0" fontId="26" fillId="21" borderId="0" applyNumberFormat="0" applyBorder="0" applyAlignment="0" applyProtection="0"/>
    <xf numFmtId="0" fontId="34" fillId="33" borderId="292"/>
    <xf numFmtId="0" fontId="50" fillId="0" borderId="288" applyNumberFormat="0" applyFill="0" applyAlignment="0" applyProtection="0"/>
    <xf numFmtId="0" fontId="50" fillId="0" borderId="288" applyNumberFormat="0" applyFill="0" applyAlignment="0" applyProtection="0"/>
    <xf numFmtId="0" fontId="58" fillId="43" borderId="287" applyNumberFormat="0" applyAlignment="0" applyProtection="0"/>
    <xf numFmtId="0" fontId="34" fillId="0" borderId="285">
      <alignment horizontal="left" vertical="center" wrapText="1" indent="2"/>
    </xf>
    <xf numFmtId="0" fontId="12" fillId="16" borderId="0" applyNumberFormat="0" applyBorder="0" applyAlignment="0" applyProtection="0"/>
    <xf numFmtId="0" fontId="34" fillId="33" borderId="282"/>
    <xf numFmtId="0" fontId="32" fillId="34" borderId="284">
      <alignment horizontal="right" vertical="center"/>
    </xf>
    <xf numFmtId="0" fontId="34" fillId="34" borderId="295">
      <alignment horizontal="left" vertical="center" wrapText="1" indent="2"/>
    </xf>
    <xf numFmtId="0" fontId="32" fillId="32" borderId="282">
      <alignment horizontal="right" vertical="center"/>
    </xf>
    <xf numFmtId="0" fontId="34" fillId="0" borderId="282">
      <alignment horizontal="right" vertical="center"/>
    </xf>
    <xf numFmtId="4" fontId="34" fillId="33" borderId="282"/>
    <xf numFmtId="0" fontId="40" fillId="59" borderId="281" applyNumberFormat="0" applyFont="0" applyAlignment="0" applyProtection="0"/>
    <xf numFmtId="0" fontId="12" fillId="22" borderId="0" applyNumberFormat="0" applyBorder="0" applyAlignment="0" applyProtection="0"/>
    <xf numFmtId="0" fontId="26" fillId="21" borderId="0" applyNumberFormat="0" applyBorder="0" applyAlignment="0" applyProtection="0"/>
    <xf numFmtId="0" fontId="26" fillId="18" borderId="0" applyNumberFormat="0" applyBorder="0" applyAlignment="0" applyProtection="0"/>
    <xf numFmtId="0" fontId="12" fillId="25" borderId="0" applyNumberFormat="0" applyBorder="0" applyAlignment="0" applyProtection="0"/>
    <xf numFmtId="0" fontId="46" fillId="56" borderId="287" applyNumberFormat="0" applyAlignment="0" applyProtection="0"/>
    <xf numFmtId="4" fontId="32" fillId="34" borderId="284">
      <alignment horizontal="right" vertical="center"/>
    </xf>
    <xf numFmtId="0" fontId="26" fillId="23" borderId="0" applyNumberFormat="0" applyBorder="0" applyAlignment="0" applyProtection="0"/>
    <xf numFmtId="0" fontId="58" fillId="43" borderId="289" applyNumberFormat="0" applyAlignment="0" applyProtection="0"/>
    <xf numFmtId="0" fontId="26" fillId="23" borderId="0" applyNumberFormat="0" applyBorder="0" applyAlignment="0" applyProtection="0"/>
    <xf numFmtId="49" fontId="34" fillId="0" borderId="282" applyNumberFormat="0" applyFont="0" applyFill="0" applyBorder="0" applyProtection="0">
      <alignment horizontal="left" vertical="center" indent="2"/>
    </xf>
    <xf numFmtId="4" fontId="32" fillId="34" borderId="284">
      <alignment horizontal="right" vertical="center"/>
    </xf>
    <xf numFmtId="0" fontId="58" fillId="43" borderId="289" applyNumberFormat="0" applyAlignment="0" applyProtection="0"/>
    <xf numFmtId="0" fontId="62" fillId="56" borderId="296" applyNumberFormat="0" applyAlignment="0" applyProtection="0"/>
    <xf numFmtId="0" fontId="12" fillId="22" borderId="0" applyNumberFormat="0" applyBorder="0" applyAlignment="0" applyProtection="0"/>
    <xf numFmtId="0" fontId="34" fillId="34" borderId="285">
      <alignment horizontal="left" vertical="center" wrapText="1" indent="2"/>
    </xf>
    <xf numFmtId="0" fontId="45" fillId="56" borderId="287" applyNumberFormat="0" applyAlignment="0" applyProtection="0"/>
    <xf numFmtId="4" fontId="32" fillId="34" borderId="282">
      <alignment horizontal="right" vertical="center"/>
    </xf>
    <xf numFmtId="0" fontId="5" fillId="59" borderId="291" applyNumberFormat="0" applyFont="0" applyAlignment="0" applyProtection="0"/>
    <xf numFmtId="0" fontId="1" fillId="0" borderId="0" applyNumberFormat="0" applyFill="0" applyBorder="0" applyAlignment="0" applyProtection="0"/>
    <xf numFmtId="0" fontId="32" fillId="34" borderId="294">
      <alignment horizontal="right" vertical="center"/>
    </xf>
    <xf numFmtId="0" fontId="58" fillId="43" borderId="287" applyNumberFormat="0" applyAlignment="0" applyProtection="0"/>
    <xf numFmtId="0" fontId="5" fillId="59" borderId="281" applyNumberFormat="0" applyFont="0" applyAlignment="0" applyProtection="0"/>
    <xf numFmtId="4" fontId="32" fillId="32" borderId="282">
      <alignment horizontal="right" vertical="center"/>
    </xf>
    <xf numFmtId="0" fontId="65" fillId="0" borderId="288" applyNumberFormat="0" applyFill="0" applyAlignment="0" applyProtection="0"/>
    <xf numFmtId="0" fontId="2" fillId="0" borderId="15" applyNumberFormat="0" applyFill="0" applyAlignment="0" applyProtection="0"/>
    <xf numFmtId="4" fontId="32" fillId="34" borderId="283">
      <alignment horizontal="right" vertical="center"/>
    </xf>
    <xf numFmtId="0" fontId="26" fillId="24" borderId="0" applyNumberFormat="0" applyBorder="0" applyAlignment="0" applyProtection="0"/>
    <xf numFmtId="0" fontId="26" fillId="30" borderId="0" applyNumberFormat="0" applyBorder="0" applyAlignment="0" applyProtection="0"/>
    <xf numFmtId="4" fontId="34" fillId="0" borderId="282">
      <alignment horizontal="right" vertical="center"/>
    </xf>
    <xf numFmtId="0" fontId="26" fillId="17" borderId="0" applyNumberFormat="0" applyBorder="0" applyAlignment="0" applyProtection="0"/>
    <xf numFmtId="0" fontId="32" fillId="34" borderId="282">
      <alignment horizontal="right" vertical="center"/>
    </xf>
    <xf numFmtId="0" fontId="65" fillId="0" borderId="288" applyNumberFormat="0" applyFill="0" applyAlignment="0" applyProtection="0"/>
    <xf numFmtId="0" fontId="34" fillId="34" borderId="285">
      <alignment horizontal="left" vertical="center" wrapText="1" indent="2"/>
    </xf>
    <xf numFmtId="0" fontId="45" fillId="56" borderId="287" applyNumberFormat="0" applyAlignment="0" applyProtection="0"/>
    <xf numFmtId="0" fontId="34" fillId="33" borderId="282"/>
    <xf numFmtId="0" fontId="32" fillId="32" borderId="292">
      <alignment horizontal="right" vertical="center"/>
    </xf>
    <xf numFmtId="0" fontId="34" fillId="32" borderId="283">
      <alignment horizontal="left" vertical="center"/>
    </xf>
    <xf numFmtId="0" fontId="5" fillId="59" borderId="291" applyNumberFormat="0" applyFont="0" applyAlignment="0" applyProtection="0"/>
    <xf numFmtId="0" fontId="45" fillId="56" borderId="287" applyNumberFormat="0" applyAlignment="0" applyProtection="0"/>
    <xf numFmtId="173" fontId="34" fillId="60" borderId="282" applyNumberFormat="0" applyFont="0" applyBorder="0" applyAlignment="0" applyProtection="0">
      <alignment horizontal="right" vertical="center"/>
    </xf>
    <xf numFmtId="4" fontId="34" fillId="0" borderId="282" applyFill="0" applyBorder="0" applyProtection="0">
      <alignment horizontal="right" vertical="center"/>
    </xf>
    <xf numFmtId="49" fontId="33" fillId="0" borderId="292" applyNumberFormat="0" applyFill="0" applyBorder="0" applyProtection="0">
      <alignment horizontal="left" vertical="center"/>
    </xf>
    <xf numFmtId="0" fontId="34" fillId="34" borderId="295">
      <alignment horizontal="left" vertical="center" wrapText="1" indent="2"/>
    </xf>
    <xf numFmtId="4" fontId="32" fillId="34" borderId="294">
      <alignment horizontal="right" vertical="center"/>
    </xf>
    <xf numFmtId="0" fontId="45" fillId="56" borderId="289" applyNumberFormat="0" applyAlignment="0" applyProtection="0"/>
    <xf numFmtId="0" fontId="36" fillId="32" borderId="292">
      <alignment horizontal="right" vertical="center"/>
    </xf>
    <xf numFmtId="0" fontId="34" fillId="32" borderId="283">
      <alignment horizontal="left" vertical="center"/>
    </xf>
    <xf numFmtId="0" fontId="32" fillId="34" borderId="282">
      <alignment horizontal="right" vertical="center"/>
    </xf>
    <xf numFmtId="4" fontId="32" fillId="32" borderId="282">
      <alignment horizontal="right" vertical="center"/>
    </xf>
    <xf numFmtId="4" fontId="32" fillId="34" borderId="283">
      <alignment horizontal="right" vertical="center"/>
    </xf>
    <xf numFmtId="173" fontId="34" fillId="60" borderId="292" applyNumberFormat="0" applyFont="0" applyBorder="0" applyAlignment="0" applyProtection="0">
      <alignment horizontal="right" vertical="center"/>
    </xf>
    <xf numFmtId="0" fontId="34" fillId="32" borderId="283">
      <alignment horizontal="left" vertical="center"/>
    </xf>
    <xf numFmtId="49" fontId="34" fillId="0" borderId="292" applyNumberFormat="0" applyFont="0" applyFill="0" applyBorder="0" applyProtection="0">
      <alignment horizontal="left" vertical="center" indent="2"/>
    </xf>
    <xf numFmtId="0" fontId="5" fillId="59" borderId="291" applyNumberFormat="0" applyFont="0" applyAlignment="0" applyProtection="0"/>
    <xf numFmtId="0" fontId="26" fillId="24" borderId="0" applyNumberFormat="0" applyBorder="0" applyAlignment="0" applyProtection="0"/>
    <xf numFmtId="0" fontId="49" fillId="43" borderId="289" applyNumberFormat="0" applyAlignment="0" applyProtection="0"/>
    <xf numFmtId="4" fontId="32" fillId="34" borderId="292">
      <alignment horizontal="right" vertical="center"/>
    </xf>
    <xf numFmtId="4" fontId="32" fillId="34" borderId="293">
      <alignment horizontal="right" vertical="center"/>
    </xf>
    <xf numFmtId="0" fontId="65" fillId="0" borderId="288" applyNumberFormat="0" applyFill="0" applyAlignment="0" applyProtection="0"/>
    <xf numFmtId="173" fontId="34" fillId="60" borderId="282" applyNumberFormat="0" applyFont="0" applyBorder="0" applyAlignment="0" applyProtection="0">
      <alignment horizontal="right" vertical="center"/>
    </xf>
    <xf numFmtId="4" fontId="34" fillId="0" borderId="282">
      <alignment horizontal="right" vertical="center"/>
    </xf>
    <xf numFmtId="0" fontId="45" fillId="56" borderId="289" applyNumberFormat="0" applyAlignment="0" applyProtection="0"/>
    <xf numFmtId="0" fontId="45" fillId="56" borderId="287" applyNumberFormat="0" applyAlignment="0" applyProtection="0"/>
    <xf numFmtId="0" fontId="32" fillId="34" borderId="292">
      <alignment horizontal="right" vertical="center"/>
    </xf>
    <xf numFmtId="0" fontId="46" fillId="56" borderId="287" applyNumberFormat="0" applyAlignment="0" applyProtection="0"/>
    <xf numFmtId="0" fontId="34" fillId="0" borderId="285">
      <alignment horizontal="left" vertical="center" wrapText="1" indent="2"/>
    </xf>
    <xf numFmtId="4" fontId="34" fillId="0" borderId="292">
      <alignment horizontal="right" vertical="center"/>
    </xf>
    <xf numFmtId="4" fontId="36" fillId="32" borderId="282">
      <alignment horizontal="right" vertical="center"/>
    </xf>
    <xf numFmtId="0" fontId="32" fillId="34" borderId="282">
      <alignment horizontal="right" vertical="center"/>
    </xf>
    <xf numFmtId="0" fontId="46" fillId="56" borderId="289" applyNumberFormat="0" applyAlignment="0" applyProtection="0"/>
    <xf numFmtId="0" fontId="34" fillId="33" borderId="282"/>
    <xf numFmtId="0" fontId="65" fillId="0" borderId="290" applyNumberFormat="0" applyFill="0" applyAlignment="0" applyProtection="0"/>
    <xf numFmtId="0" fontId="45" fillId="56" borderId="287" applyNumberFormat="0" applyAlignment="0" applyProtection="0"/>
    <xf numFmtId="0" fontId="26" fillId="24" borderId="0" applyNumberFormat="0" applyBorder="0" applyAlignment="0" applyProtection="0"/>
    <xf numFmtId="0" fontId="36" fillId="32" borderId="282">
      <alignment horizontal="right" vertical="center"/>
    </xf>
    <xf numFmtId="0" fontId="26" fillId="14" borderId="0" applyNumberFormat="0" applyBorder="0" applyAlignment="0" applyProtection="0"/>
    <xf numFmtId="49" fontId="33" fillId="0" borderId="282" applyNumberFormat="0" applyFill="0" applyBorder="0" applyProtection="0">
      <alignment horizontal="left" vertical="center"/>
    </xf>
    <xf numFmtId="0" fontId="34" fillId="33" borderId="292"/>
    <xf numFmtId="0" fontId="46" fillId="56" borderId="287" applyNumberFormat="0" applyAlignment="0" applyProtection="0"/>
    <xf numFmtId="0" fontId="34" fillId="0" borderId="282">
      <alignment horizontal="right" vertical="center"/>
    </xf>
    <xf numFmtId="0" fontId="45" fillId="56" borderId="287" applyNumberFormat="0" applyAlignment="0" applyProtection="0"/>
    <xf numFmtId="4" fontId="32" fillId="34" borderId="283">
      <alignment horizontal="right" vertical="center"/>
    </xf>
    <xf numFmtId="0" fontId="32" fillId="34" borderId="283">
      <alignment horizontal="right" vertical="center"/>
    </xf>
    <xf numFmtId="0" fontId="32" fillId="34" borderId="282">
      <alignment horizontal="right" vertical="center"/>
    </xf>
    <xf numFmtId="0" fontId="40" fillId="59" borderId="281" applyNumberFormat="0" applyFont="0" applyAlignment="0" applyProtection="0"/>
    <xf numFmtId="0" fontId="65" fillId="0" borderId="290" applyNumberFormat="0" applyFill="0" applyAlignment="0" applyProtection="0"/>
    <xf numFmtId="49" fontId="34" fillId="0" borderId="282" applyNumberFormat="0" applyFont="0" applyFill="0" applyBorder="0" applyProtection="0">
      <alignment horizontal="left" vertical="center" indent="2"/>
    </xf>
    <xf numFmtId="0" fontId="32" fillId="32" borderId="292">
      <alignment horizontal="right" vertical="center"/>
    </xf>
    <xf numFmtId="4" fontId="36" fillId="32" borderId="282">
      <alignment horizontal="right" vertical="center"/>
    </xf>
    <xf numFmtId="4" fontId="36" fillId="32" borderId="292">
      <alignment horizontal="right" vertical="center"/>
    </xf>
    <xf numFmtId="0" fontId="34" fillId="33" borderId="282"/>
    <xf numFmtId="0" fontId="58" fillId="43" borderId="287" applyNumberFormat="0" applyAlignment="0" applyProtection="0"/>
    <xf numFmtId="0" fontId="26" fillId="17" borderId="0" applyNumberFormat="0" applyBorder="0" applyAlignment="0" applyProtection="0"/>
    <xf numFmtId="0" fontId="32" fillId="34" borderId="292">
      <alignment horizontal="right" vertical="center"/>
    </xf>
    <xf numFmtId="49" fontId="34" fillId="0" borderId="292" applyNumberFormat="0" applyFont="0" applyFill="0" applyBorder="0" applyProtection="0">
      <alignment horizontal="left" vertical="center" indent="2"/>
    </xf>
    <xf numFmtId="0" fontId="12" fillId="31" borderId="0" applyNumberFormat="0" applyBorder="0" applyAlignment="0" applyProtection="0"/>
    <xf numFmtId="0" fontId="26" fillId="30" borderId="0" applyNumberFormat="0" applyBorder="0" applyAlignment="0" applyProtection="0"/>
    <xf numFmtId="0" fontId="45" fillId="56" borderId="287" applyNumberFormat="0" applyAlignment="0" applyProtection="0"/>
    <xf numFmtId="0" fontId="29" fillId="13" borderId="13" applyNumberFormat="0" applyAlignment="0" applyProtection="0"/>
    <xf numFmtId="49" fontId="33" fillId="0" borderId="282" applyNumberFormat="0" applyFill="0" applyBorder="0" applyProtection="0">
      <alignment horizontal="left" vertical="center"/>
    </xf>
    <xf numFmtId="0" fontId="58" fillId="43" borderId="289" applyNumberFormat="0" applyAlignment="0" applyProtection="0"/>
    <xf numFmtId="0" fontId="43" fillId="56" borderId="296" applyNumberFormat="0" applyAlignment="0" applyProtection="0"/>
    <xf numFmtId="4" fontId="32" fillId="34" borderId="294">
      <alignment horizontal="right" vertical="center"/>
    </xf>
    <xf numFmtId="0" fontId="49" fillId="43" borderId="289" applyNumberFormat="0" applyAlignment="0" applyProtection="0"/>
    <xf numFmtId="0" fontId="32" fillId="32" borderId="282">
      <alignment horizontal="right" vertical="center"/>
    </xf>
    <xf numFmtId="0" fontId="50" fillId="0" borderId="288" applyNumberFormat="0" applyFill="0" applyAlignment="0" applyProtection="0"/>
    <xf numFmtId="0" fontId="34" fillId="0" borderId="282" applyNumberFormat="0" applyFill="0" applyAlignment="0" applyProtection="0"/>
    <xf numFmtId="0" fontId="50" fillId="0" borderId="288" applyNumberFormat="0" applyFill="0" applyAlignment="0" applyProtection="0"/>
    <xf numFmtId="4" fontId="34" fillId="0" borderId="282" applyFill="0" applyBorder="0" applyProtection="0">
      <alignment horizontal="right" vertical="center"/>
    </xf>
    <xf numFmtId="49" fontId="34" fillId="0" borderId="283" applyNumberFormat="0" applyFont="0" applyFill="0" applyBorder="0" applyProtection="0">
      <alignment horizontal="left" vertical="center" indent="5"/>
    </xf>
    <xf numFmtId="0" fontId="34" fillId="0" borderId="282" applyNumberFormat="0" applyFill="0" applyAlignment="0" applyProtection="0"/>
    <xf numFmtId="0" fontId="34" fillId="0" borderId="282" applyNumberFormat="0" applyFill="0" applyAlignment="0" applyProtection="0"/>
    <xf numFmtId="0" fontId="5" fillId="59" borderId="291" applyNumberFormat="0" applyFont="0" applyAlignment="0" applyProtection="0"/>
    <xf numFmtId="4" fontId="32" fillId="34" borderId="282">
      <alignment horizontal="right" vertical="center"/>
    </xf>
    <xf numFmtId="0" fontId="43" fillId="56" borderId="296" applyNumberFormat="0" applyAlignment="0" applyProtection="0"/>
    <xf numFmtId="0" fontId="26" fillId="21" borderId="0" applyNumberFormat="0" applyBorder="0" applyAlignment="0" applyProtection="0"/>
    <xf numFmtId="0" fontId="34" fillId="0" borderId="292">
      <alignment horizontal="right" vertical="center"/>
    </xf>
    <xf numFmtId="0" fontId="49" fillId="43" borderId="287" applyNumberFormat="0" applyAlignment="0" applyProtection="0"/>
    <xf numFmtId="0" fontId="46" fillId="56" borderId="287" applyNumberFormat="0" applyAlignment="0" applyProtection="0"/>
    <xf numFmtId="4" fontId="34" fillId="0" borderId="282">
      <alignment horizontal="right" vertical="center"/>
    </xf>
    <xf numFmtId="0" fontId="34" fillId="34" borderId="285">
      <alignment horizontal="left" vertical="center" wrapText="1" indent="2"/>
    </xf>
    <xf numFmtId="0" fontId="34" fillId="0" borderId="285">
      <alignment horizontal="left" vertical="center" wrapText="1" indent="2"/>
    </xf>
    <xf numFmtId="0" fontId="62" fillId="56" borderId="286" applyNumberFormat="0" applyAlignment="0" applyProtection="0"/>
    <xf numFmtId="0" fontId="58" fillId="43" borderId="287" applyNumberFormat="0" applyAlignment="0" applyProtection="0"/>
    <xf numFmtId="0" fontId="45" fillId="56" borderId="287" applyNumberFormat="0" applyAlignment="0" applyProtection="0"/>
    <xf numFmtId="0" fontId="43" fillId="56" borderId="286" applyNumberFormat="0" applyAlignment="0" applyProtection="0"/>
    <xf numFmtId="0" fontId="32" fillId="34" borderId="284">
      <alignment horizontal="right" vertical="center"/>
    </xf>
    <xf numFmtId="0" fontId="36" fillId="32" borderId="282">
      <alignment horizontal="right" vertical="center"/>
    </xf>
    <xf numFmtId="4" fontId="32" fillId="32" borderId="282">
      <alignment horizontal="right" vertical="center"/>
    </xf>
    <xf numFmtId="4" fontId="32" fillId="34" borderId="282">
      <alignment horizontal="right" vertical="center"/>
    </xf>
    <xf numFmtId="49" fontId="34" fillId="0" borderId="283" applyNumberFormat="0" applyFont="0" applyFill="0" applyBorder="0" applyProtection="0">
      <alignment horizontal="left" vertical="center" indent="5"/>
    </xf>
    <xf numFmtId="4" fontId="34" fillId="0" borderId="282" applyFill="0" applyBorder="0" applyProtection="0">
      <alignment horizontal="right" vertical="center"/>
    </xf>
    <xf numFmtId="4" fontId="32" fillId="32" borderId="282">
      <alignment horizontal="right" vertical="center"/>
    </xf>
    <xf numFmtId="0" fontId="58" fillId="43" borderId="287" applyNumberFormat="0" applyAlignment="0" applyProtection="0"/>
    <xf numFmtId="0" fontId="49" fillId="43" borderId="287" applyNumberFormat="0" applyAlignment="0" applyProtection="0"/>
    <xf numFmtId="0" fontId="45" fillId="56" borderId="287" applyNumberFormat="0" applyAlignment="0" applyProtection="0"/>
    <xf numFmtId="0" fontId="34" fillId="34" borderId="285">
      <alignment horizontal="left" vertical="center" wrapText="1" indent="2"/>
    </xf>
    <xf numFmtId="0" fontId="34" fillId="0" borderId="285">
      <alignment horizontal="left" vertical="center" wrapText="1" indent="2"/>
    </xf>
    <xf numFmtId="0" fontId="34" fillId="34" borderId="285">
      <alignment horizontal="left" vertical="center" wrapText="1" indent="2"/>
    </xf>
    <xf numFmtId="0" fontId="34" fillId="32" borderId="293">
      <alignment horizontal="left" vertical="center"/>
    </xf>
    <xf numFmtId="0" fontId="40" fillId="59" borderId="291" applyNumberFormat="0" applyFont="0" applyAlignment="0" applyProtection="0"/>
    <xf numFmtId="0" fontId="46" fillId="56" borderId="289" applyNumberFormat="0" applyAlignment="0" applyProtection="0"/>
    <xf numFmtId="0" fontId="28" fillId="13" borderId="14" applyNumberFormat="0" applyAlignment="0" applyProtection="0"/>
    <xf numFmtId="0" fontId="40" fillId="59" borderId="291" applyNumberFormat="0" applyFont="0" applyAlignment="0" applyProtection="0"/>
    <xf numFmtId="0" fontId="58" fillId="43" borderId="289" applyNumberFormat="0" applyAlignment="0" applyProtection="0"/>
    <xf numFmtId="0" fontId="34" fillId="34" borderId="295">
      <alignment horizontal="left" vertical="center" wrapText="1" indent="2"/>
    </xf>
    <xf numFmtId="4" fontId="36" fillId="32" borderId="292">
      <alignment horizontal="right" vertical="center"/>
    </xf>
    <xf numFmtId="0" fontId="26" fillId="15" borderId="0" applyNumberFormat="0" applyBorder="0" applyAlignment="0" applyProtection="0"/>
    <xf numFmtId="4" fontId="36" fillId="32" borderId="292">
      <alignment horizontal="right" vertical="center"/>
    </xf>
    <xf numFmtId="4" fontId="32" fillId="32" borderId="292">
      <alignment horizontal="right" vertical="center"/>
    </xf>
    <xf numFmtId="0" fontId="34" fillId="0" borderId="295">
      <alignment horizontal="left" vertical="center" wrapText="1" indent="2"/>
    </xf>
    <xf numFmtId="0" fontId="62" fillId="56" borderId="296" applyNumberFormat="0" applyAlignment="0" applyProtection="0"/>
    <xf numFmtId="0" fontId="34" fillId="0" borderId="292">
      <alignment horizontal="right" vertical="center"/>
    </xf>
    <xf numFmtId="0" fontId="65" fillId="0" borderId="290" applyNumberFormat="0" applyFill="0" applyAlignment="0" applyProtection="0"/>
    <xf numFmtId="49" fontId="33" fillId="0" borderId="292" applyNumberFormat="0" applyFill="0" applyBorder="0" applyProtection="0">
      <alignment horizontal="left" vertical="center"/>
    </xf>
    <xf numFmtId="4" fontId="34" fillId="33" borderId="292"/>
    <xf numFmtId="0" fontId="58" fillId="43" borderId="289" applyNumberFormat="0" applyAlignment="0" applyProtection="0"/>
    <xf numFmtId="173" fontId="34" fillId="60" borderId="292" applyNumberFormat="0" applyFont="0" applyBorder="0" applyAlignment="0" applyProtection="0">
      <alignment horizontal="right" vertical="center"/>
    </xf>
    <xf numFmtId="0" fontId="46" fillId="56" borderId="289" applyNumberFormat="0" applyAlignment="0" applyProtection="0"/>
    <xf numFmtId="0" fontId="58" fillId="43" borderId="289" applyNumberFormat="0" applyAlignment="0" applyProtection="0"/>
    <xf numFmtId="0" fontId="43" fillId="56" borderId="296" applyNumberFormat="0" applyAlignment="0" applyProtection="0"/>
    <xf numFmtId="49" fontId="33" fillId="0" borderId="292" applyNumberFormat="0" applyFill="0" applyBorder="0" applyProtection="0">
      <alignment horizontal="left" vertical="center"/>
    </xf>
    <xf numFmtId="0" fontId="65" fillId="0" borderId="290" applyNumberFormat="0" applyFill="0" applyAlignment="0" applyProtection="0"/>
    <xf numFmtId="0" fontId="34" fillId="0" borderId="292">
      <alignment horizontal="right" vertical="center"/>
    </xf>
    <xf numFmtId="0" fontId="32" fillId="34" borderId="293">
      <alignment horizontal="right" vertical="center"/>
    </xf>
    <xf numFmtId="0" fontId="65" fillId="0" borderId="290" applyNumberFormat="0" applyFill="0" applyAlignment="0" applyProtection="0"/>
    <xf numFmtId="0" fontId="26" fillId="17" borderId="0" applyNumberFormat="0" applyBorder="0" applyAlignment="0" applyProtection="0"/>
    <xf numFmtId="0" fontId="46" fillId="56" borderId="289" applyNumberFormat="0" applyAlignment="0" applyProtection="0"/>
    <xf numFmtId="4" fontId="34" fillId="0" borderId="292" applyFill="0" applyBorder="0" applyProtection="0">
      <alignment horizontal="right" vertical="center"/>
    </xf>
    <xf numFmtId="0" fontId="26" fillId="29" borderId="0" applyNumberFormat="0" applyBorder="0" applyAlignment="0" applyProtection="0"/>
    <xf numFmtId="0" fontId="34" fillId="0" borderId="295">
      <alignment horizontal="left" vertical="center" wrapText="1" indent="2"/>
    </xf>
    <xf numFmtId="0" fontId="65" fillId="0" borderId="290" applyNumberFormat="0" applyFill="0" applyAlignment="0" applyProtection="0"/>
    <xf numFmtId="0" fontId="43" fillId="56" borderId="296" applyNumberFormat="0" applyAlignment="0" applyProtection="0"/>
    <xf numFmtId="0" fontId="32" fillId="34" borderId="292">
      <alignment horizontal="right" vertical="center"/>
    </xf>
    <xf numFmtId="0" fontId="45" fillId="56" borderId="289" applyNumberFormat="0" applyAlignment="0" applyProtection="0"/>
    <xf numFmtId="0" fontId="34" fillId="32" borderId="293">
      <alignment horizontal="left" vertical="center"/>
    </xf>
    <xf numFmtId="0" fontId="32" fillId="32" borderId="292">
      <alignment horizontal="right" vertical="center"/>
    </xf>
    <xf numFmtId="0" fontId="50" fillId="0" borderId="290" applyNumberFormat="0" applyFill="0" applyAlignment="0" applyProtection="0"/>
    <xf numFmtId="0" fontId="34" fillId="0" borderId="292">
      <alignment horizontal="right" vertical="center"/>
    </xf>
    <xf numFmtId="0" fontId="5" fillId="59" borderId="291" applyNumberFormat="0" applyFont="0" applyAlignment="0" applyProtection="0"/>
    <xf numFmtId="0" fontId="12" fillId="25" borderId="0" applyNumberFormat="0" applyBorder="0" applyAlignment="0" applyProtection="0"/>
    <xf numFmtId="0" fontId="58" fillId="43" borderId="289" applyNumberFormat="0" applyAlignment="0" applyProtection="0"/>
    <xf numFmtId="49" fontId="34" fillId="0" borderId="293" applyNumberFormat="0" applyFont="0" applyFill="0" applyBorder="0" applyProtection="0">
      <alignment horizontal="left" vertical="center" indent="5"/>
    </xf>
    <xf numFmtId="0" fontId="34" fillId="0" borderId="292" applyNumberFormat="0" applyFill="0" applyAlignment="0" applyProtection="0"/>
    <xf numFmtId="0" fontId="50" fillId="0" borderId="290" applyNumberFormat="0" applyFill="0" applyAlignment="0" applyProtection="0"/>
    <xf numFmtId="0" fontId="62" fillId="56" borderId="296" applyNumberFormat="0" applyAlignment="0" applyProtection="0"/>
    <xf numFmtId="4" fontId="32" fillId="34" borderId="292">
      <alignment horizontal="right" vertical="center"/>
    </xf>
    <xf numFmtId="4" fontId="34" fillId="33" borderId="292"/>
    <xf numFmtId="0" fontId="65" fillId="0" borderId="290" applyNumberFormat="0" applyFill="0" applyAlignment="0" applyProtection="0"/>
    <xf numFmtId="0" fontId="43" fillId="56" borderId="296" applyNumberFormat="0" applyAlignment="0" applyProtection="0"/>
    <xf numFmtId="0" fontId="45" fillId="56" borderId="289" applyNumberFormat="0" applyAlignment="0" applyProtection="0"/>
    <xf numFmtId="0" fontId="46" fillId="56" borderId="289" applyNumberFormat="0" applyAlignment="0" applyProtection="0"/>
    <xf numFmtId="0" fontId="62" fillId="56" borderId="296" applyNumberFormat="0" applyAlignment="0" applyProtection="0"/>
    <xf numFmtId="0" fontId="32" fillId="34" borderId="294">
      <alignment horizontal="right" vertical="center"/>
    </xf>
    <xf numFmtId="0" fontId="34" fillId="0" borderId="292" applyNumberFormat="0" applyFill="0" applyAlignment="0" applyProtection="0"/>
    <xf numFmtId="49" fontId="34" fillId="0" borderId="293" applyNumberFormat="0" applyFont="0" applyFill="0" applyBorder="0" applyProtection="0">
      <alignment horizontal="left" vertical="center" indent="5"/>
    </xf>
    <xf numFmtId="0" fontId="65" fillId="0" borderId="290" applyNumberFormat="0" applyFill="0" applyAlignment="0" applyProtection="0"/>
    <xf numFmtId="0" fontId="34" fillId="0" borderId="292" applyNumberFormat="0" applyFill="0" applyAlignment="0" applyProtection="0"/>
    <xf numFmtId="0" fontId="12" fillId="22" borderId="0" applyNumberFormat="0" applyBorder="0" applyAlignment="0" applyProtection="0"/>
    <xf numFmtId="0" fontId="40" fillId="59" borderId="291" applyNumberFormat="0" applyFont="0" applyAlignment="0" applyProtection="0"/>
    <xf numFmtId="0" fontId="34" fillId="0" borderId="295">
      <alignment horizontal="left" vertical="center" wrapText="1" indent="2"/>
    </xf>
    <xf numFmtId="4" fontId="32" fillId="32" borderId="292">
      <alignment horizontal="right" vertical="center"/>
    </xf>
    <xf numFmtId="0" fontId="62" fillId="56" borderId="296" applyNumberFormat="0" applyAlignment="0" applyProtection="0"/>
    <xf numFmtId="49" fontId="34" fillId="0" borderId="293" applyNumberFormat="0" applyFont="0" applyFill="0" applyBorder="0" applyProtection="0">
      <alignment horizontal="left" vertical="center" indent="5"/>
    </xf>
    <xf numFmtId="4" fontId="34" fillId="0" borderId="292">
      <alignment horizontal="right" vertical="center"/>
    </xf>
    <xf numFmtId="0" fontId="26" fillId="23" borderId="0" applyNumberFormat="0" applyBorder="0" applyAlignment="0" applyProtection="0"/>
    <xf numFmtId="0" fontId="50" fillId="0" borderId="290" applyNumberFormat="0" applyFill="0" applyAlignment="0" applyProtection="0"/>
    <xf numFmtId="4" fontId="32" fillId="34" borderId="294">
      <alignment horizontal="right" vertical="center"/>
    </xf>
    <xf numFmtId="4" fontId="32" fillId="34" borderId="292">
      <alignment horizontal="right" vertical="center"/>
    </xf>
    <xf numFmtId="4" fontId="32" fillId="34" borderId="292">
      <alignment horizontal="right" vertical="center"/>
    </xf>
    <xf numFmtId="0" fontId="65" fillId="0" borderId="290" applyNumberFormat="0" applyFill="0" applyAlignment="0" applyProtection="0"/>
    <xf numFmtId="0" fontId="46" fillId="56" borderId="289" applyNumberFormat="0" applyAlignment="0" applyProtection="0"/>
    <xf numFmtId="0" fontId="49" fillId="43" borderId="289" applyNumberFormat="0" applyAlignment="0" applyProtection="0"/>
    <xf numFmtId="49" fontId="33" fillId="0" borderId="292" applyNumberFormat="0" applyFill="0" applyBorder="0" applyProtection="0">
      <alignment horizontal="left" vertical="center"/>
    </xf>
    <xf numFmtId="0" fontId="5" fillId="59" borderId="291" applyNumberFormat="0" applyFont="0" applyAlignment="0" applyProtection="0"/>
    <xf numFmtId="4" fontId="32" fillId="34" borderId="292">
      <alignment horizontal="right" vertical="center"/>
    </xf>
    <xf numFmtId="0" fontId="26" fillId="24" borderId="0" applyNumberFormat="0" applyBorder="0" applyAlignment="0" applyProtection="0"/>
    <xf numFmtId="0" fontId="1" fillId="0" borderId="0" applyNumberFormat="0" applyFill="0" applyBorder="0" applyAlignment="0" applyProtection="0"/>
    <xf numFmtId="0" fontId="12" fillId="28" borderId="0" applyNumberFormat="0" applyBorder="0" applyAlignment="0" applyProtection="0"/>
    <xf numFmtId="49" fontId="34" fillId="0" borderId="292" applyNumberFormat="0" applyFont="0" applyFill="0" applyBorder="0" applyProtection="0">
      <alignment horizontal="left" vertical="center" indent="2"/>
    </xf>
    <xf numFmtId="0" fontId="65" fillId="0" borderId="290" applyNumberFormat="0" applyFill="0" applyAlignment="0" applyProtection="0"/>
    <xf numFmtId="4" fontId="34" fillId="0" borderId="292" applyFill="0" applyBorder="0" applyProtection="0">
      <alignment horizontal="right" vertical="center"/>
    </xf>
    <xf numFmtId="0" fontId="58" fillId="43" borderId="289" applyNumberFormat="0" applyAlignment="0" applyProtection="0"/>
    <xf numFmtId="49" fontId="33" fillId="0" borderId="292" applyNumberFormat="0" applyFill="0" applyBorder="0" applyProtection="0">
      <alignment horizontal="left" vertical="center"/>
    </xf>
    <xf numFmtId="49" fontId="34" fillId="0" borderId="292" applyNumberFormat="0" applyFont="0" applyFill="0" applyBorder="0" applyProtection="0">
      <alignment horizontal="left" vertical="center" indent="2"/>
    </xf>
    <xf numFmtId="4" fontId="34" fillId="0" borderId="292" applyFill="0" applyBorder="0" applyProtection="0">
      <alignment horizontal="right" vertical="center"/>
    </xf>
    <xf numFmtId="173" fontId="34" fillId="60" borderId="292" applyNumberFormat="0" applyFont="0" applyBorder="0" applyAlignment="0" applyProtection="0">
      <alignment horizontal="right" vertical="center"/>
    </xf>
    <xf numFmtId="0" fontId="36" fillId="32" borderId="292">
      <alignment horizontal="right" vertical="center"/>
    </xf>
    <xf numFmtId="0" fontId="49" fillId="43" borderId="289" applyNumberFormat="0" applyAlignment="0" applyProtection="0"/>
    <xf numFmtId="4" fontId="32" fillId="34" borderId="292">
      <alignment horizontal="right" vertical="center"/>
    </xf>
    <xf numFmtId="0" fontId="34" fillId="32" borderId="293">
      <alignment horizontal="left" vertical="center"/>
    </xf>
    <xf numFmtId="0" fontId="26" fillId="20" borderId="0" applyNumberFormat="0" applyBorder="0" applyAlignment="0" applyProtection="0"/>
    <xf numFmtId="0" fontId="12" fillId="31" borderId="0" applyNumberFormat="0" applyBorder="0" applyAlignment="0" applyProtection="0"/>
    <xf numFmtId="0" fontId="26" fillId="26" borderId="0" applyNumberFormat="0" applyBorder="0" applyAlignment="0" applyProtection="0"/>
    <xf numFmtId="0" fontId="12" fillId="22" borderId="0" applyNumberFormat="0" applyBorder="0" applyAlignment="0" applyProtection="0"/>
    <xf numFmtId="0" fontId="32" fillId="34" borderId="292">
      <alignment horizontal="right" vertical="center"/>
    </xf>
    <xf numFmtId="0" fontId="34" fillId="34" borderId="295">
      <alignment horizontal="left" vertical="center" wrapText="1" indent="2"/>
    </xf>
    <xf numFmtId="173" fontId="34" fillId="60" borderId="292" applyNumberFormat="0" applyFont="0" applyBorder="0" applyAlignment="0" applyProtection="0">
      <alignment horizontal="right" vertical="center"/>
    </xf>
    <xf numFmtId="0" fontId="40" fillId="59" borderId="291" applyNumberFormat="0" applyFont="0" applyAlignment="0" applyProtection="0"/>
    <xf numFmtId="49" fontId="34" fillId="0" borderId="292" applyNumberFormat="0" applyFont="0" applyFill="0" applyBorder="0" applyProtection="0">
      <alignment horizontal="left" vertical="center" indent="2"/>
    </xf>
    <xf numFmtId="0" fontId="30" fillId="0" borderId="0" applyNumberFormat="0" applyFill="0" applyBorder="0" applyAlignment="0" applyProtection="0"/>
    <xf numFmtId="49" fontId="33" fillId="0" borderId="292" applyNumberFormat="0" applyFill="0" applyBorder="0" applyProtection="0">
      <alignment horizontal="left" vertical="center"/>
    </xf>
    <xf numFmtId="173" fontId="34" fillId="60" borderId="292" applyNumberFormat="0" applyFont="0" applyBorder="0" applyAlignment="0" applyProtection="0">
      <alignment horizontal="right" vertical="center"/>
    </xf>
    <xf numFmtId="0" fontId="62" fillId="56" borderId="296" applyNumberFormat="0" applyAlignment="0" applyProtection="0"/>
    <xf numFmtId="0" fontId="34" fillId="0" borderId="292">
      <alignment horizontal="right" vertical="center"/>
    </xf>
    <xf numFmtId="0" fontId="34" fillId="33" borderId="292"/>
    <xf numFmtId="4" fontId="32" fillId="34" borderId="292">
      <alignment horizontal="right" vertical="center"/>
    </xf>
    <xf numFmtId="0" fontId="34" fillId="33" borderId="292"/>
    <xf numFmtId="0" fontId="58" fillId="43" borderId="289" applyNumberFormat="0" applyAlignment="0" applyProtection="0"/>
    <xf numFmtId="0" fontId="36" fillId="32" borderId="292">
      <alignment horizontal="right" vertical="center"/>
    </xf>
    <xf numFmtId="0" fontId="34" fillId="0" borderId="295">
      <alignment horizontal="left" vertical="center" wrapText="1" indent="2"/>
    </xf>
    <xf numFmtId="0" fontId="32" fillId="32" borderId="292">
      <alignment horizontal="right" vertical="center"/>
    </xf>
    <xf numFmtId="0" fontId="49" fillId="43" borderId="289" applyNumberFormat="0" applyAlignment="0" applyProtection="0"/>
    <xf numFmtId="0" fontId="34" fillId="34" borderId="295">
      <alignment horizontal="left" vertical="center" wrapText="1" indent="2"/>
    </xf>
    <xf numFmtId="0" fontId="26" fillId="20" borderId="0" applyNumberFormat="0" applyBorder="0" applyAlignment="0" applyProtection="0"/>
    <xf numFmtId="0" fontId="26" fillId="18" borderId="0" applyNumberFormat="0" applyBorder="0" applyAlignment="0" applyProtection="0"/>
    <xf numFmtId="0" fontId="45" fillId="56" borderId="289" applyNumberFormat="0" applyAlignment="0" applyProtection="0"/>
    <xf numFmtId="0" fontId="36" fillId="32" borderId="292">
      <alignment horizontal="right" vertical="center"/>
    </xf>
    <xf numFmtId="0" fontId="29" fillId="13" borderId="13" applyNumberFormat="0" applyAlignment="0" applyProtection="0"/>
    <xf numFmtId="0" fontId="26" fillId="14" borderId="0" applyNumberFormat="0" applyBorder="0" applyAlignment="0" applyProtection="0"/>
    <xf numFmtId="0" fontId="32" fillId="34" borderId="292">
      <alignment horizontal="right" vertical="center"/>
    </xf>
    <xf numFmtId="4" fontId="34" fillId="0" borderId="292" applyFill="0" applyBorder="0" applyProtection="0">
      <alignment horizontal="right" vertical="center"/>
    </xf>
    <xf numFmtId="0" fontId="34" fillId="34" borderId="295">
      <alignment horizontal="left" vertical="center" wrapText="1" indent="2"/>
    </xf>
    <xf numFmtId="0" fontId="40" fillId="59" borderId="291" applyNumberFormat="0" applyFont="0" applyAlignment="0" applyProtection="0"/>
    <xf numFmtId="0" fontId="49" fillId="43" borderId="289" applyNumberFormat="0" applyAlignment="0" applyProtection="0"/>
    <xf numFmtId="4" fontId="34" fillId="33" borderId="292"/>
    <xf numFmtId="4" fontId="34" fillId="0" borderId="292" applyFill="0" applyBorder="0" applyProtection="0">
      <alignment horizontal="right" vertical="center"/>
    </xf>
    <xf numFmtId="0" fontId="65" fillId="0" borderId="290" applyNumberFormat="0" applyFill="0" applyAlignment="0" applyProtection="0"/>
    <xf numFmtId="0" fontId="34" fillId="32" borderId="293">
      <alignment horizontal="left" vertical="center"/>
    </xf>
    <xf numFmtId="0" fontId="34" fillId="0" borderId="295">
      <alignment horizontal="left" vertical="center" wrapText="1" indent="2"/>
    </xf>
    <xf numFmtId="0" fontId="58" fillId="43" borderId="289" applyNumberFormat="0" applyAlignment="0" applyProtection="0"/>
    <xf numFmtId="0" fontId="34" fillId="34" borderId="295">
      <alignment horizontal="left" vertical="center" wrapText="1" indent="2"/>
    </xf>
    <xf numFmtId="0" fontId="12" fillId="16" borderId="0" applyNumberFormat="0" applyBorder="0" applyAlignment="0" applyProtection="0"/>
    <xf numFmtId="0" fontId="40" fillId="59" borderId="291" applyNumberFormat="0" applyFont="0" applyAlignment="0" applyProtection="0"/>
    <xf numFmtId="0" fontId="58" fillId="43" borderId="289" applyNumberFormat="0" applyAlignment="0" applyProtection="0"/>
    <xf numFmtId="4" fontId="34" fillId="33" borderId="292"/>
    <xf numFmtId="0" fontId="46" fillId="56" borderId="289" applyNumberFormat="0" applyAlignment="0" applyProtection="0"/>
    <xf numFmtId="0" fontId="58" fillId="43" borderId="289" applyNumberFormat="0" applyAlignment="0" applyProtection="0"/>
    <xf numFmtId="4" fontId="32" fillId="34" borderId="292">
      <alignment horizontal="right" vertical="center"/>
    </xf>
    <xf numFmtId="0" fontId="50" fillId="0" borderId="290" applyNumberFormat="0" applyFill="0" applyAlignment="0" applyProtection="0"/>
    <xf numFmtId="0" fontId="49" fillId="43" borderId="289" applyNumberFormat="0" applyAlignment="0" applyProtection="0"/>
    <xf numFmtId="0" fontId="34" fillId="34" borderId="295">
      <alignment horizontal="left" vertical="center" wrapText="1" indent="2"/>
    </xf>
    <xf numFmtId="0" fontId="62" fillId="56" borderId="296" applyNumberFormat="0" applyAlignment="0" applyProtection="0"/>
    <xf numFmtId="0" fontId="58" fillId="43" borderId="289" applyNumberFormat="0" applyAlignment="0" applyProtection="0"/>
    <xf numFmtId="4" fontId="32" fillId="34" borderId="292">
      <alignment horizontal="right" vertical="center"/>
    </xf>
    <xf numFmtId="0" fontId="34" fillId="33" borderId="292"/>
    <xf numFmtId="0" fontId="34" fillId="0" borderId="295">
      <alignment horizontal="left" vertical="center" wrapText="1" indent="2"/>
    </xf>
    <xf numFmtId="0" fontId="12" fillId="19" borderId="0" applyNumberFormat="0" applyBorder="0" applyAlignment="0" applyProtection="0"/>
    <xf numFmtId="0" fontId="45" fillId="56" borderId="289" applyNumberFormat="0" applyAlignment="0" applyProtection="0"/>
    <xf numFmtId="4" fontId="32" fillId="32" borderId="292">
      <alignment horizontal="right" vertical="center"/>
    </xf>
    <xf numFmtId="0" fontId="32" fillId="32" borderId="292">
      <alignment horizontal="right" vertical="center"/>
    </xf>
    <xf numFmtId="0" fontId="32" fillId="34" borderId="292">
      <alignment horizontal="right" vertical="center"/>
    </xf>
    <xf numFmtId="0" fontId="26" fillId="24" borderId="0" applyNumberFormat="0" applyBorder="0" applyAlignment="0" applyProtection="0"/>
    <xf numFmtId="0" fontId="62" fillId="56" borderId="296" applyNumberFormat="0" applyAlignment="0" applyProtection="0"/>
    <xf numFmtId="49" fontId="34" fillId="0" borderId="292" applyNumberFormat="0" applyFont="0" applyFill="0" applyBorder="0" applyProtection="0">
      <alignment horizontal="left" vertical="center" indent="2"/>
    </xf>
    <xf numFmtId="0" fontId="40" fillId="59" borderId="291" applyNumberFormat="0" applyFont="0" applyAlignment="0" applyProtection="0"/>
    <xf numFmtId="173" fontId="34" fillId="60" borderId="292" applyNumberFormat="0" applyFont="0" applyBorder="0" applyAlignment="0" applyProtection="0">
      <alignment horizontal="right" vertical="center"/>
    </xf>
    <xf numFmtId="0" fontId="58" fillId="43" borderId="289" applyNumberFormat="0" applyAlignment="0" applyProtection="0"/>
    <xf numFmtId="0" fontId="32" fillId="34" borderId="292">
      <alignment horizontal="right" vertical="center"/>
    </xf>
    <xf numFmtId="0" fontId="34" fillId="33" borderId="292"/>
    <xf numFmtId="0" fontId="62" fillId="56" borderId="296" applyNumberFormat="0" applyAlignment="0" applyProtection="0"/>
    <xf numFmtId="0" fontId="46" fillId="56" borderId="289" applyNumberFormat="0" applyAlignment="0" applyProtection="0"/>
    <xf numFmtId="0" fontId="45" fillId="56" borderId="289" applyNumberFormat="0" applyAlignment="0" applyProtection="0"/>
    <xf numFmtId="0" fontId="49" fillId="43" borderId="289" applyNumberFormat="0" applyAlignment="0" applyProtection="0"/>
    <xf numFmtId="0" fontId="49" fillId="43" borderId="289" applyNumberFormat="0" applyAlignment="0" applyProtection="0"/>
    <xf numFmtId="0" fontId="34" fillId="0" borderId="295">
      <alignment horizontal="left" vertical="center" wrapText="1" indent="2"/>
    </xf>
    <xf numFmtId="4" fontId="32" fillId="34" borderId="293">
      <alignment horizontal="right" vertical="center"/>
    </xf>
    <xf numFmtId="4" fontId="34" fillId="0" borderId="292">
      <alignment horizontal="right" vertical="center"/>
    </xf>
    <xf numFmtId="49" fontId="33" fillId="0" borderId="292" applyNumberFormat="0" applyFill="0" applyBorder="0" applyProtection="0">
      <alignment horizontal="left" vertical="center"/>
    </xf>
    <xf numFmtId="4" fontId="34" fillId="0" borderId="292">
      <alignment horizontal="right" vertical="center"/>
    </xf>
    <xf numFmtId="0" fontId="62" fillId="56" borderId="296" applyNumberFormat="0" applyAlignment="0" applyProtection="0"/>
    <xf numFmtId="0" fontId="34" fillId="0" borderId="295">
      <alignment horizontal="left" vertical="center" wrapText="1" indent="2"/>
    </xf>
    <xf numFmtId="0" fontId="12" fillId="16" borderId="0" applyNumberFormat="0" applyBorder="0" applyAlignment="0" applyProtection="0"/>
    <xf numFmtId="0" fontId="40" fillId="59" borderId="291" applyNumberFormat="0" applyFont="0" applyAlignment="0" applyProtection="0"/>
    <xf numFmtId="0" fontId="32" fillId="32" borderId="292">
      <alignment horizontal="right" vertical="center"/>
    </xf>
    <xf numFmtId="0" fontId="2" fillId="0" borderId="15" applyNumberFormat="0" applyFill="0" applyAlignment="0" applyProtection="0"/>
    <xf numFmtId="0" fontId="34" fillId="0" borderId="292" applyNumberFormat="0" applyFill="0" applyAlignment="0" applyProtection="0"/>
    <xf numFmtId="49" fontId="33" fillId="0" borderId="292" applyNumberFormat="0" applyFill="0" applyBorder="0" applyProtection="0">
      <alignment horizontal="left" vertical="center"/>
    </xf>
    <xf numFmtId="0" fontId="34" fillId="0" borderId="292">
      <alignment horizontal="right" vertical="center"/>
    </xf>
    <xf numFmtId="4" fontId="32" fillId="32" borderId="292">
      <alignment horizontal="right" vertical="center"/>
    </xf>
    <xf numFmtId="0" fontId="46" fillId="56" borderId="289" applyNumberFormat="0" applyAlignment="0" applyProtection="0"/>
    <xf numFmtId="0" fontId="32" fillId="34" borderId="294">
      <alignment horizontal="right" vertical="center"/>
    </xf>
    <xf numFmtId="4" fontId="32" fillId="32" borderId="292">
      <alignment horizontal="right" vertical="center"/>
    </xf>
    <xf numFmtId="0" fontId="32" fillId="34" borderId="292">
      <alignment horizontal="right" vertical="center"/>
    </xf>
    <xf numFmtId="0" fontId="46" fillId="56" borderId="289" applyNumberFormat="0" applyAlignment="0" applyProtection="0"/>
    <xf numFmtId="4" fontId="34" fillId="0" borderId="292" applyFill="0" applyBorder="0" applyProtection="0">
      <alignment horizontal="right" vertical="center"/>
    </xf>
    <xf numFmtId="0" fontId="40" fillId="59" borderId="291" applyNumberFormat="0" applyFont="0" applyAlignment="0" applyProtection="0"/>
    <xf numFmtId="0" fontId="26" fillId="29" borderId="0" applyNumberFormat="0" applyBorder="0" applyAlignment="0" applyProtection="0"/>
    <xf numFmtId="0" fontId="26" fillId="27" borderId="0" applyNumberFormat="0" applyBorder="0" applyAlignment="0" applyProtection="0"/>
    <xf numFmtId="0" fontId="32" fillId="32" borderId="292">
      <alignment horizontal="right" vertical="center"/>
    </xf>
    <xf numFmtId="0" fontId="50" fillId="0" borderId="290" applyNumberFormat="0" applyFill="0" applyAlignment="0" applyProtection="0"/>
    <xf numFmtId="0" fontId="34" fillId="0" borderId="292" applyNumberFormat="0" applyFill="0" applyAlignment="0" applyProtection="0"/>
    <xf numFmtId="0" fontId="50" fillId="0" borderId="290" applyNumberFormat="0" applyFill="0" applyAlignment="0" applyProtection="0"/>
    <xf numFmtId="4" fontId="34" fillId="0" borderId="292" applyFill="0" applyBorder="0" applyProtection="0">
      <alignment horizontal="right" vertical="center"/>
    </xf>
    <xf numFmtId="49" fontId="34" fillId="0" borderId="293" applyNumberFormat="0" applyFont="0" applyFill="0" applyBorder="0" applyProtection="0">
      <alignment horizontal="left" vertical="center" indent="5"/>
    </xf>
    <xf numFmtId="0" fontId="34" fillId="0" borderId="292" applyNumberFormat="0" applyFill="0" applyAlignment="0" applyProtection="0"/>
    <xf numFmtId="0" fontId="58" fillId="43" borderId="289" applyNumberFormat="0" applyAlignment="0" applyProtection="0"/>
    <xf numFmtId="0" fontId="34" fillId="0" borderId="292" applyNumberFormat="0" applyFill="0" applyAlignment="0" applyProtection="0"/>
    <xf numFmtId="4" fontId="32" fillId="34" borderId="292">
      <alignment horizontal="right" vertical="center"/>
    </xf>
    <xf numFmtId="0" fontId="49" fillId="43" borderId="289" applyNumberFormat="0" applyAlignment="0" applyProtection="0"/>
    <xf numFmtId="0" fontId="46" fillId="56" borderId="289" applyNumberFormat="0" applyAlignment="0" applyProtection="0"/>
    <xf numFmtId="4" fontId="34" fillId="0" borderId="292">
      <alignment horizontal="right" vertical="center"/>
    </xf>
    <xf numFmtId="0" fontId="34" fillId="34" borderId="295">
      <alignment horizontal="left" vertical="center" wrapText="1" indent="2"/>
    </xf>
    <xf numFmtId="0" fontId="34" fillId="0" borderId="295">
      <alignment horizontal="left" vertical="center" wrapText="1" indent="2"/>
    </xf>
    <xf numFmtId="0" fontId="62" fillId="56" borderId="296" applyNumberFormat="0" applyAlignment="0" applyProtection="0"/>
    <xf numFmtId="0" fontId="58" fillId="43" borderId="289" applyNumberFormat="0" applyAlignment="0" applyProtection="0"/>
    <xf numFmtId="0" fontId="45" fillId="56" borderId="289" applyNumberFormat="0" applyAlignment="0" applyProtection="0"/>
    <xf numFmtId="0" fontId="43" fillId="56" borderId="296" applyNumberFormat="0" applyAlignment="0" applyProtection="0"/>
    <xf numFmtId="0" fontId="32" fillId="34" borderId="294">
      <alignment horizontal="right" vertical="center"/>
    </xf>
    <xf numFmtId="0" fontId="36" fillId="32" borderId="292">
      <alignment horizontal="right" vertical="center"/>
    </xf>
    <xf numFmtId="4" fontId="32" fillId="32" borderId="292">
      <alignment horizontal="right" vertical="center"/>
    </xf>
    <xf numFmtId="4" fontId="32" fillId="34" borderId="292">
      <alignment horizontal="right" vertical="center"/>
    </xf>
    <xf numFmtId="49" fontId="34" fillId="0" borderId="293" applyNumberFormat="0" applyFont="0" applyFill="0" applyBorder="0" applyProtection="0">
      <alignment horizontal="left" vertical="center" indent="5"/>
    </xf>
    <xf numFmtId="4" fontId="34" fillId="0" borderId="292" applyFill="0" applyBorder="0" applyProtection="0">
      <alignment horizontal="right" vertical="center"/>
    </xf>
    <xf numFmtId="4" fontId="32" fillId="32" borderId="292">
      <alignment horizontal="right" vertical="center"/>
    </xf>
    <xf numFmtId="0" fontId="58" fillId="43" borderId="289" applyNumberFormat="0" applyAlignment="0" applyProtection="0"/>
    <xf numFmtId="0" fontId="49" fillId="43" borderId="289" applyNumberFormat="0" applyAlignment="0" applyProtection="0"/>
    <xf numFmtId="0" fontId="45" fillId="56" borderId="289" applyNumberFormat="0" applyAlignment="0" applyProtection="0"/>
    <xf numFmtId="0" fontId="34" fillId="34" borderId="295">
      <alignment horizontal="left" vertical="center" wrapText="1" indent="2"/>
    </xf>
    <xf numFmtId="0" fontId="34" fillId="0" borderId="295">
      <alignment horizontal="left" vertical="center" wrapText="1" indent="2"/>
    </xf>
    <xf numFmtId="0" fontId="34" fillId="34" borderId="295">
      <alignment horizontal="left" vertical="center" wrapText="1" indent="2"/>
    </xf>
    <xf numFmtId="0" fontId="26" fillId="15" borderId="0" applyNumberFormat="0" applyBorder="0" applyAlignment="0" applyProtection="0"/>
    <xf numFmtId="0" fontId="26" fillId="29" borderId="0" applyNumberFormat="0" applyBorder="0" applyAlignment="0" applyProtection="0"/>
    <xf numFmtId="0" fontId="12" fillId="25" borderId="0" applyNumberFormat="0" applyBorder="0" applyAlignment="0" applyProtection="0"/>
    <xf numFmtId="0" fontId="26" fillId="23" borderId="0" applyNumberFormat="0" applyBorder="0" applyAlignment="0" applyProtection="0"/>
    <xf numFmtId="0" fontId="12" fillId="28" borderId="0" applyNumberFormat="0" applyBorder="0" applyAlignment="0" applyProtection="0"/>
    <xf numFmtId="0" fontId="12" fillId="31" borderId="0" applyNumberFormat="0" applyBorder="0" applyAlignment="0" applyProtection="0"/>
    <xf numFmtId="0" fontId="26" fillId="26" borderId="0" applyNumberFormat="0" applyBorder="0" applyAlignment="0" applyProtection="0"/>
    <xf numFmtId="0" fontId="12" fillId="22" borderId="0" applyNumberFormat="0" applyBorder="0" applyAlignment="0" applyProtection="0"/>
    <xf numFmtId="0" fontId="26" fillId="18" borderId="0" applyNumberFormat="0" applyBorder="0" applyAlignment="0" applyProtection="0"/>
    <xf numFmtId="0" fontId="26" fillId="14" borderId="0" applyNumberFormat="0" applyBorder="0" applyAlignment="0" applyProtection="0"/>
    <xf numFmtId="0" fontId="12" fillId="19" borderId="0" applyNumberFormat="0" applyBorder="0" applyAlignment="0" applyProtection="0"/>
    <xf numFmtId="0" fontId="26" fillId="24" borderId="0" applyNumberFormat="0" applyBorder="0" applyAlignment="0" applyProtection="0"/>
    <xf numFmtId="0" fontId="12" fillId="16" borderId="0" applyNumberFormat="0" applyBorder="0" applyAlignment="0" applyProtection="0"/>
    <xf numFmtId="0" fontId="2" fillId="0" borderId="15" applyNumberFormat="0" applyFill="0" applyAlignment="0" applyProtection="0"/>
    <xf numFmtId="0" fontId="26" fillId="27" borderId="0" applyNumberFormat="0" applyBorder="0" applyAlignment="0" applyProtection="0"/>
    <xf numFmtId="0" fontId="34" fillId="33" borderId="309"/>
    <xf numFmtId="0" fontId="2" fillId="0" borderId="15" applyNumberFormat="0" applyFill="0" applyAlignment="0" applyProtection="0"/>
    <xf numFmtId="0" fontId="34" fillId="0" borderId="312">
      <alignment horizontal="left" vertical="center" wrapText="1" indent="2"/>
    </xf>
    <xf numFmtId="4" fontId="32" fillId="34" borderId="310">
      <alignment horizontal="right" vertical="center"/>
    </xf>
    <xf numFmtId="4" fontId="34" fillId="0" borderId="333">
      <alignment horizontal="right" vertical="center"/>
    </xf>
    <xf numFmtId="4" fontId="36" fillId="32" borderId="324">
      <alignment horizontal="right" vertical="center"/>
    </xf>
    <xf numFmtId="0" fontId="26" fillId="26" borderId="0" applyNumberFormat="0" applyBorder="0" applyAlignment="0" applyProtection="0"/>
    <xf numFmtId="0" fontId="34" fillId="0" borderId="309" applyNumberFormat="0" applyFill="0" applyAlignment="0" applyProtection="0"/>
    <xf numFmtId="4" fontId="32" fillId="34" borderId="311">
      <alignment horizontal="right" vertical="center"/>
    </xf>
    <xf numFmtId="0" fontId="34" fillId="0" borderId="314">
      <alignment horizontal="right" vertical="center"/>
    </xf>
    <xf numFmtId="0" fontId="32" fillId="34" borderId="309">
      <alignment horizontal="right" vertical="center"/>
    </xf>
    <xf numFmtId="0" fontId="65" fillId="0" borderId="331" applyNumberFormat="0" applyFill="0" applyAlignment="0" applyProtection="0"/>
    <xf numFmtId="0" fontId="36" fillId="32" borderId="324">
      <alignment horizontal="right" vertical="center"/>
    </xf>
    <xf numFmtId="0" fontId="26" fillId="21" borderId="0" applyNumberFormat="0" applyBorder="0" applyAlignment="0" applyProtection="0"/>
    <xf numFmtId="0" fontId="65" fillId="0" borderId="320" applyNumberFormat="0" applyFill="0" applyAlignment="0" applyProtection="0"/>
    <xf numFmtId="0" fontId="32" fillId="32" borderId="324">
      <alignment horizontal="right" vertical="center"/>
    </xf>
    <xf numFmtId="0" fontId="34" fillId="0" borderId="324" applyNumberFormat="0" applyFill="0" applyAlignment="0" applyProtection="0"/>
    <xf numFmtId="0" fontId="43" fillId="56" borderId="305" applyNumberFormat="0" applyAlignment="0" applyProtection="0"/>
    <xf numFmtId="0" fontId="34" fillId="0" borderId="314">
      <alignment horizontal="right" vertical="center"/>
    </xf>
    <xf numFmtId="0" fontId="49" fillId="43" borderId="306" applyNumberFormat="0" applyAlignment="0" applyProtection="0"/>
    <xf numFmtId="173" fontId="34" fillId="60" borderId="324" applyNumberFormat="0" applyFont="0" applyBorder="0" applyAlignment="0" applyProtection="0">
      <alignment horizontal="right" vertical="center"/>
    </xf>
    <xf numFmtId="0" fontId="34" fillId="33" borderId="314"/>
    <xf numFmtId="4" fontId="34" fillId="33" borderId="309"/>
    <xf numFmtId="0" fontId="32" fillId="34" borderId="309">
      <alignment horizontal="right" vertical="center"/>
    </xf>
    <xf numFmtId="0" fontId="26" fillId="15" borderId="0" applyNumberFormat="0" applyBorder="0" applyAlignment="0" applyProtection="0"/>
    <xf numFmtId="49" fontId="34" fillId="0" borderId="309" applyNumberFormat="0" applyFont="0" applyFill="0" applyBorder="0" applyProtection="0">
      <alignment horizontal="left" vertical="center" indent="2"/>
    </xf>
    <xf numFmtId="0" fontId="32" fillId="32" borderId="309">
      <alignment horizontal="right" vertical="center"/>
    </xf>
    <xf numFmtId="0" fontId="5" fillId="59" borderId="308" applyNumberFormat="0" applyFont="0" applyAlignment="0" applyProtection="0"/>
    <xf numFmtId="0" fontId="45" fillId="56" borderId="319" applyNumberFormat="0" applyAlignment="0" applyProtection="0"/>
    <xf numFmtId="0" fontId="26" fillId="23" borderId="0" applyNumberFormat="0" applyBorder="0" applyAlignment="0" applyProtection="0"/>
    <xf numFmtId="4" fontId="36" fillId="32" borderId="309">
      <alignment horizontal="right" vertical="center"/>
    </xf>
    <xf numFmtId="4" fontId="34" fillId="0" borderId="333" applyFill="0" applyBorder="0" applyProtection="0">
      <alignment horizontal="right" vertical="center"/>
    </xf>
    <xf numFmtId="0" fontId="26" fillId="15" borderId="0" applyNumberFormat="0" applyBorder="0" applyAlignment="0" applyProtection="0"/>
    <xf numFmtId="0" fontId="30" fillId="0" borderId="0" applyNumberFormat="0" applyFill="0" applyBorder="0" applyAlignment="0" applyProtection="0"/>
    <xf numFmtId="0" fontId="32" fillId="34" borderId="341">
      <alignment horizontal="right" vertical="center"/>
    </xf>
    <xf numFmtId="0" fontId="40" fillId="59" borderId="313" applyNumberFormat="0" applyFont="0" applyAlignment="0" applyProtection="0"/>
    <xf numFmtId="0" fontId="34" fillId="0" borderId="324">
      <alignment horizontal="right" vertical="center"/>
    </xf>
    <xf numFmtId="0" fontId="12" fillId="16" borderId="0" applyNumberFormat="0" applyBorder="0" applyAlignment="0" applyProtection="0"/>
    <xf numFmtId="4" fontId="32" fillId="34" borderId="314">
      <alignment horizontal="right" vertical="center"/>
    </xf>
    <xf numFmtId="0" fontId="5" fillId="59" borderId="308" applyNumberFormat="0" applyFont="0" applyAlignment="0" applyProtection="0"/>
    <xf numFmtId="0" fontId="46" fillId="56" borderId="306" applyNumberFormat="0" applyAlignment="0" applyProtection="0"/>
    <xf numFmtId="0" fontId="62" fillId="56" borderId="305" applyNumberFormat="0" applyAlignment="0" applyProtection="0"/>
    <xf numFmtId="4" fontId="36" fillId="32" borderId="324">
      <alignment horizontal="right" vertical="center"/>
    </xf>
    <xf numFmtId="0" fontId="40" fillId="59" borderId="308" applyNumberFormat="0" applyFont="0" applyAlignment="0" applyProtection="0"/>
    <xf numFmtId="4" fontId="32" fillId="32" borderId="333">
      <alignment horizontal="right" vertical="center"/>
    </xf>
    <xf numFmtId="0" fontId="46" fillId="56" borderId="319" applyNumberFormat="0" applyAlignment="0" applyProtection="0"/>
    <xf numFmtId="0" fontId="46" fillId="56" borderId="319" applyNumberFormat="0" applyAlignment="0" applyProtection="0"/>
    <xf numFmtId="0" fontId="12" fillId="28" borderId="0" applyNumberFormat="0" applyBorder="0" applyAlignment="0" applyProtection="0"/>
    <xf numFmtId="4" fontId="34" fillId="33" borderId="309"/>
    <xf numFmtId="0" fontId="65" fillId="0" borderId="307" applyNumberFormat="0" applyFill="0" applyAlignment="0" applyProtection="0"/>
    <xf numFmtId="0" fontId="28" fillId="13" borderId="14" applyNumberFormat="0" applyAlignment="0" applyProtection="0"/>
    <xf numFmtId="0" fontId="29" fillId="13" borderId="13" applyNumberFormat="0" applyAlignment="0" applyProtection="0"/>
    <xf numFmtId="0" fontId="34" fillId="0" borderId="314">
      <alignment horizontal="right" vertical="center"/>
    </xf>
    <xf numFmtId="0" fontId="58" fillId="43" borderId="306" applyNumberFormat="0" applyAlignment="0" applyProtection="0"/>
    <xf numFmtId="0" fontId="1" fillId="0" borderId="0" applyNumberFormat="0" applyFill="0" applyBorder="0" applyAlignment="0" applyProtection="0"/>
    <xf numFmtId="4" fontId="32" fillId="34" borderId="309">
      <alignment horizontal="right" vertical="center"/>
    </xf>
    <xf numFmtId="0" fontId="30" fillId="0" borderId="0" applyNumberFormat="0" applyFill="0" applyBorder="0" applyAlignment="0" applyProtection="0"/>
    <xf numFmtId="0" fontId="2" fillId="0" borderId="15" applyNumberFormat="0" applyFill="0" applyAlignment="0" applyProtection="0"/>
    <xf numFmtId="0" fontId="34" fillId="34" borderId="327">
      <alignment horizontal="left" vertical="center" wrapText="1" indent="2"/>
    </xf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12" fillId="16" borderId="0" applyNumberFormat="0" applyBorder="0" applyAlignment="0" applyProtection="0"/>
    <xf numFmtId="4" fontId="32" fillId="32" borderId="314">
      <alignment horizontal="right"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12" fillId="19" borderId="0" applyNumberFormat="0" applyBorder="0" applyAlignment="0" applyProtection="0"/>
    <xf numFmtId="0" fontId="32" fillId="34" borderId="324">
      <alignment horizontal="right" vertical="center"/>
    </xf>
    <xf numFmtId="0" fontId="26" fillId="20" borderId="0" applyNumberFormat="0" applyBorder="0" applyAlignment="0" applyProtection="0"/>
    <xf numFmtId="0" fontId="26" fillId="21" borderId="0" applyNumberFormat="0" applyBorder="0" applyAlignment="0" applyProtection="0"/>
    <xf numFmtId="0" fontId="12" fillId="22" borderId="0" applyNumberFormat="0" applyBorder="0" applyAlignment="0" applyProtection="0"/>
    <xf numFmtId="0" fontId="34" fillId="34" borderId="317">
      <alignment horizontal="left" vertical="center" wrapText="1" indent="2"/>
    </xf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12" fillId="25" borderId="0" applyNumberFormat="0" applyBorder="0" applyAlignment="0" applyProtection="0"/>
    <xf numFmtId="0" fontId="34" fillId="33" borderId="324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12" fillId="28" borderId="0" applyNumberFormat="0" applyBorder="0" applyAlignment="0" applyProtection="0"/>
    <xf numFmtId="0" fontId="2" fillId="0" borderId="15" applyNumberFormat="0" applyFill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12" fillId="31" borderId="0" applyNumberFormat="0" applyBorder="0" applyAlignment="0" applyProtection="0"/>
    <xf numFmtId="0" fontId="34" fillId="0" borderId="292" applyNumberFormat="0" applyFill="0" applyAlignment="0" applyProtection="0"/>
    <xf numFmtId="0" fontId="32" fillId="34" borderId="292">
      <alignment horizontal="right" vertical="center"/>
    </xf>
    <xf numFmtId="0" fontId="32" fillId="34" borderId="292">
      <alignment horizontal="right" vertical="center"/>
    </xf>
    <xf numFmtId="0" fontId="34" fillId="34" borderId="317">
      <alignment horizontal="left" vertical="center" wrapText="1" indent="2"/>
    </xf>
    <xf numFmtId="0" fontId="32" fillId="34" borderId="311">
      <alignment horizontal="right" vertical="center"/>
    </xf>
    <xf numFmtId="0" fontId="34" fillId="0" borderId="292">
      <alignment horizontal="right" vertical="center"/>
    </xf>
    <xf numFmtId="0" fontId="36" fillId="32" borderId="292">
      <alignment horizontal="right" vertical="center"/>
    </xf>
    <xf numFmtId="0" fontId="34" fillId="33" borderId="292"/>
    <xf numFmtId="0" fontId="32" fillId="32" borderId="292">
      <alignment horizontal="right" vertical="center"/>
    </xf>
    <xf numFmtId="0" fontId="36" fillId="32" borderId="346">
      <alignment horizontal="right" vertical="center"/>
    </xf>
    <xf numFmtId="0" fontId="36" fillId="32" borderId="309">
      <alignment horizontal="right" vertical="center"/>
    </xf>
    <xf numFmtId="0" fontId="34" fillId="0" borderId="309">
      <alignment horizontal="right" vertical="center"/>
    </xf>
    <xf numFmtId="0" fontId="46" fillId="56" borderId="306" applyNumberFormat="0" applyAlignment="0" applyProtection="0"/>
    <xf numFmtId="0" fontId="50" fillId="0" borderId="320" applyNumberFormat="0" applyFill="0" applyAlignment="0" applyProtection="0"/>
    <xf numFmtId="0" fontId="34" fillId="0" borderId="317">
      <alignment horizontal="left" vertical="center" wrapText="1" indent="2"/>
    </xf>
    <xf numFmtId="0" fontId="34" fillId="34" borderId="349">
      <alignment horizontal="left" vertical="center" wrapText="1" indent="2"/>
    </xf>
    <xf numFmtId="0" fontId="32" fillId="34" borderId="314">
      <alignment horizontal="right" vertical="center"/>
    </xf>
    <xf numFmtId="4" fontId="34" fillId="33" borderId="309"/>
    <xf numFmtId="0" fontId="65" fillId="0" borderId="307" applyNumberFormat="0" applyFill="0" applyAlignment="0" applyProtection="0"/>
    <xf numFmtId="0" fontId="45" fillId="56" borderId="306" applyNumberFormat="0" applyAlignment="0" applyProtection="0"/>
    <xf numFmtId="0" fontId="34" fillId="33" borderId="309"/>
    <xf numFmtId="0" fontId="26" fillId="27" borderId="0" applyNumberFormat="0" applyBorder="0" applyAlignment="0" applyProtection="0"/>
    <xf numFmtId="0" fontId="32" fillId="34" borderId="335">
      <alignment horizontal="right" vertical="center"/>
    </xf>
    <xf numFmtId="0" fontId="5" fillId="59" borderId="323" applyNumberFormat="0" applyFont="0" applyAlignment="0" applyProtection="0"/>
    <xf numFmtId="0" fontId="26" fillId="14" borderId="0" applyNumberFormat="0" applyBorder="0" applyAlignment="0" applyProtection="0"/>
    <xf numFmtId="0" fontId="46" fillId="56" borderId="319" applyNumberFormat="0" applyAlignment="0" applyProtection="0"/>
    <xf numFmtId="4" fontId="32" fillId="34" borderId="316">
      <alignment horizontal="right" vertical="center"/>
    </xf>
    <xf numFmtId="4" fontId="32" fillId="32" borderId="314">
      <alignment horizontal="right" vertical="center"/>
    </xf>
    <xf numFmtId="0" fontId="34" fillId="33" borderId="324"/>
    <xf numFmtId="0" fontId="34" fillId="0" borderId="324" applyNumberFormat="0" applyFill="0" applyAlignment="0" applyProtection="0"/>
    <xf numFmtId="0" fontId="34" fillId="0" borderId="341" applyNumberFormat="0" applyFill="0" applyAlignment="0" applyProtection="0"/>
    <xf numFmtId="0" fontId="62" fillId="56" borderId="305" applyNumberFormat="0" applyAlignment="0" applyProtection="0"/>
    <xf numFmtId="0" fontId="26" fillId="18" borderId="0" applyNumberFormat="0" applyBorder="0" applyAlignment="0" applyProtection="0"/>
    <xf numFmtId="0" fontId="45" fillId="56" borderId="338" applyNumberFormat="0" applyAlignment="0" applyProtection="0"/>
    <xf numFmtId="0" fontId="46" fillId="56" borderId="319" applyNumberFormat="0" applyAlignment="0" applyProtection="0"/>
    <xf numFmtId="0" fontId="34" fillId="33" borderId="314"/>
    <xf numFmtId="0" fontId="50" fillId="0" borderId="320" applyNumberFormat="0" applyFill="0" applyAlignment="0" applyProtection="0"/>
    <xf numFmtId="0" fontId="26" fillId="29" borderId="0" applyNumberFormat="0" applyBorder="0" applyAlignment="0" applyProtection="0"/>
    <xf numFmtId="0" fontId="43" fillId="56" borderId="318" applyNumberFormat="0" applyAlignment="0" applyProtection="0"/>
    <xf numFmtId="4" fontId="32" fillId="34" borderId="309">
      <alignment horizontal="right" vertical="center"/>
    </xf>
    <xf numFmtId="0" fontId="34" fillId="33" borderId="309"/>
    <xf numFmtId="4" fontId="32" fillId="34" borderId="341">
      <alignment horizontal="right" vertical="center"/>
    </xf>
    <xf numFmtId="0" fontId="32" fillId="34" borderId="314">
      <alignment horizontal="right" vertical="center"/>
    </xf>
    <xf numFmtId="0" fontId="12" fillId="22" borderId="0" applyNumberFormat="0" applyBorder="0" applyAlignment="0" applyProtection="0"/>
    <xf numFmtId="0" fontId="40" fillId="59" borderId="323" applyNumberFormat="0" applyFont="0" applyAlignment="0" applyProtection="0"/>
    <xf numFmtId="4" fontId="32" fillId="34" borderId="324">
      <alignment horizontal="right" vertical="center"/>
    </xf>
    <xf numFmtId="0" fontId="58" fillId="43" borderId="306" applyNumberFormat="0" applyAlignment="0" applyProtection="0"/>
    <xf numFmtId="0" fontId="32" fillId="34" borderId="346">
      <alignment horizontal="right" vertical="center"/>
    </xf>
    <xf numFmtId="0" fontId="32" fillId="32" borderId="314">
      <alignment horizontal="right" vertical="center"/>
    </xf>
    <xf numFmtId="0" fontId="1" fillId="0" borderId="0" applyNumberFormat="0" applyFill="0" applyBorder="0" applyAlignment="0" applyProtection="0"/>
    <xf numFmtId="0" fontId="32" fillId="34" borderId="314">
      <alignment horizontal="right" vertical="center"/>
    </xf>
    <xf numFmtId="0" fontId="34" fillId="0" borderId="314" applyNumberFormat="0" applyFill="0" applyAlignment="0" applyProtection="0"/>
    <xf numFmtId="0" fontId="34" fillId="34" borderId="312">
      <alignment horizontal="left" vertical="center" wrapText="1" indent="2"/>
    </xf>
    <xf numFmtId="0" fontId="32" fillId="34" borderId="311">
      <alignment horizontal="right" vertical="center"/>
    </xf>
    <xf numFmtId="0" fontId="65" fillId="0" borderId="320" applyNumberFormat="0" applyFill="0" applyAlignment="0" applyProtection="0"/>
    <xf numFmtId="0" fontId="46" fillId="56" borderId="306" applyNumberFormat="0" applyAlignment="0" applyProtection="0"/>
    <xf numFmtId="4" fontId="32" fillId="34" borderId="309">
      <alignment horizontal="right" vertical="center"/>
    </xf>
    <xf numFmtId="0" fontId="32" fillId="34" borderId="309">
      <alignment horizontal="right" vertical="center"/>
    </xf>
    <xf numFmtId="0" fontId="65" fillId="0" borderId="307" applyNumberFormat="0" applyFill="0" applyAlignment="0" applyProtection="0"/>
    <xf numFmtId="0" fontId="32" fillId="34" borderId="310">
      <alignment horizontal="right" vertical="center"/>
    </xf>
    <xf numFmtId="0" fontId="46" fillId="56" borderId="298" applyNumberFormat="0" applyAlignment="0" applyProtection="0"/>
    <xf numFmtId="0" fontId="50" fillId="0" borderId="307" applyNumberFormat="0" applyFill="0" applyAlignment="0" applyProtection="0"/>
    <xf numFmtId="43" fontId="37" fillId="0" borderId="0" applyFont="0" applyFill="0" applyBorder="0" applyAlignment="0" applyProtection="0"/>
    <xf numFmtId="4" fontId="32" fillId="34" borderId="309">
      <alignment horizontal="right" vertical="center"/>
    </xf>
    <xf numFmtId="43" fontId="37" fillId="0" borderId="0" applyFont="0" applyFill="0" applyBorder="0" applyAlignment="0" applyProtection="0"/>
    <xf numFmtId="0" fontId="34" fillId="34" borderId="312">
      <alignment horizontal="left" vertical="center" wrapText="1" indent="2"/>
    </xf>
    <xf numFmtId="0" fontId="32" fillId="34" borderId="325">
      <alignment horizontal="right" vertical="center"/>
    </xf>
    <xf numFmtId="0" fontId="26" fillId="21" borderId="0" applyNumberFormat="0" applyBorder="0" applyAlignment="0" applyProtection="0"/>
    <xf numFmtId="0" fontId="34" fillId="34" borderId="317">
      <alignment horizontal="left" vertical="center" wrapText="1" indent="2"/>
    </xf>
    <xf numFmtId="0" fontId="46" fillId="56" borderId="319" applyNumberFormat="0" applyAlignment="0" applyProtection="0"/>
    <xf numFmtId="0" fontId="65" fillId="0" borderId="307" applyNumberFormat="0" applyFill="0" applyAlignment="0" applyProtection="0"/>
    <xf numFmtId="0" fontId="62" fillId="56" borderId="305" applyNumberFormat="0" applyAlignment="0" applyProtection="0"/>
    <xf numFmtId="0" fontId="46" fillId="56" borderId="306" applyNumberFormat="0" applyAlignment="0" applyProtection="0"/>
    <xf numFmtId="0" fontId="65" fillId="0" borderId="307" applyNumberFormat="0" applyFill="0" applyAlignment="0" applyProtection="0"/>
    <xf numFmtId="0" fontId="58" fillId="43" borderId="298" applyNumberFormat="0" applyAlignment="0" applyProtection="0"/>
    <xf numFmtId="4" fontId="34" fillId="0" borderId="309">
      <alignment horizontal="right" vertical="center"/>
    </xf>
    <xf numFmtId="4" fontId="32" fillId="32" borderId="309">
      <alignment horizontal="right" vertical="center"/>
    </xf>
    <xf numFmtId="4" fontId="36" fillId="32" borderId="309">
      <alignment horizontal="right" vertical="center"/>
    </xf>
    <xf numFmtId="49" fontId="33" fillId="0" borderId="309" applyNumberFormat="0" applyFill="0" applyBorder="0" applyProtection="0">
      <alignment horizontal="left" vertical="center"/>
    </xf>
    <xf numFmtId="0" fontId="34" fillId="0" borderId="314">
      <alignment horizontal="right" vertical="center"/>
    </xf>
    <xf numFmtId="4" fontId="32" fillId="34" borderId="315">
      <alignment horizontal="right" vertical="center"/>
    </xf>
    <xf numFmtId="0" fontId="40" fillId="59" borderId="308" applyNumberFormat="0" applyFont="0" applyAlignment="0" applyProtection="0"/>
    <xf numFmtId="0" fontId="34" fillId="0" borderId="309">
      <alignment horizontal="right" vertical="center"/>
    </xf>
    <xf numFmtId="0" fontId="65" fillId="0" borderId="320" applyNumberFormat="0" applyFill="0" applyAlignment="0" applyProtection="0"/>
    <xf numFmtId="0" fontId="65" fillId="0" borderId="352" applyNumberFormat="0" applyFill="0" applyAlignment="0" applyProtection="0"/>
    <xf numFmtId="0" fontId="26" fillId="14" borderId="0" applyNumberFormat="0" applyBorder="0" applyAlignment="0" applyProtection="0"/>
    <xf numFmtId="0" fontId="32" fillId="34" borderId="316">
      <alignment horizontal="right" vertical="center"/>
    </xf>
    <xf numFmtId="0" fontId="50" fillId="0" borderId="352" applyNumberFormat="0" applyFill="0" applyAlignment="0" applyProtection="0"/>
    <xf numFmtId="0" fontId="45" fillId="56" borderId="319" applyNumberFormat="0" applyAlignment="0" applyProtection="0"/>
    <xf numFmtId="49" fontId="33" fillId="0" borderId="314" applyNumberFormat="0" applyFill="0" applyBorder="0" applyProtection="0">
      <alignment horizontal="left" vertical="center"/>
    </xf>
    <xf numFmtId="0" fontId="26" fillId="20" borderId="0" applyNumberFormat="0" applyBorder="0" applyAlignment="0" applyProtection="0"/>
    <xf numFmtId="0" fontId="28" fillId="13" borderId="14" applyNumberFormat="0" applyAlignment="0" applyProtection="0"/>
    <xf numFmtId="4" fontId="32" fillId="34" borderId="316">
      <alignment horizontal="right" vertical="center"/>
    </xf>
    <xf numFmtId="4" fontId="34" fillId="0" borderId="292" applyFill="0" applyBorder="0" applyProtection="0">
      <alignment horizontal="right" vertical="center"/>
    </xf>
    <xf numFmtId="0" fontId="58" fillId="43" borderId="306" applyNumberFormat="0" applyAlignment="0" applyProtection="0"/>
    <xf numFmtId="0" fontId="34" fillId="33" borderId="324"/>
    <xf numFmtId="0" fontId="36" fillId="32" borderId="309">
      <alignment horizontal="right" vertical="center"/>
    </xf>
    <xf numFmtId="0" fontId="40" fillId="59" borderId="345" applyNumberFormat="0" applyFont="0" applyAlignment="0" applyProtection="0"/>
    <xf numFmtId="0" fontId="12" fillId="16" borderId="0" applyNumberFormat="0" applyBorder="0" applyAlignment="0" applyProtection="0"/>
    <xf numFmtId="4" fontId="32" fillId="34" borderId="309">
      <alignment horizontal="right" vertical="center"/>
    </xf>
    <xf numFmtId="0" fontId="36" fillId="32" borderId="309">
      <alignment horizontal="right" vertical="center"/>
    </xf>
    <xf numFmtId="4" fontId="32" fillId="34" borderId="315">
      <alignment horizontal="right" vertical="center"/>
    </xf>
    <xf numFmtId="0" fontId="40" fillId="59" borderId="300" applyNumberFormat="0" applyFont="0" applyAlignment="0" applyProtection="0"/>
    <xf numFmtId="0" fontId="5" fillId="59" borderId="300" applyNumberFormat="0" applyFont="0" applyAlignment="0" applyProtection="0"/>
    <xf numFmtId="0" fontId="62" fillId="56" borderId="297" applyNumberFormat="0" applyAlignment="0" applyProtection="0"/>
    <xf numFmtId="4" fontId="34" fillId="0" borderId="324" applyFill="0" applyBorder="0" applyProtection="0">
      <alignment horizontal="right" vertical="center"/>
    </xf>
    <xf numFmtId="0" fontId="12" fillId="16" borderId="0" applyNumberFormat="0" applyBorder="0" applyAlignment="0" applyProtection="0"/>
    <xf numFmtId="49" fontId="34" fillId="0" borderId="325" applyNumberFormat="0" applyFont="0" applyFill="0" applyBorder="0" applyProtection="0">
      <alignment horizontal="left" vertical="center" indent="5"/>
    </xf>
    <xf numFmtId="0" fontId="34" fillId="33" borderId="309"/>
    <xf numFmtId="0" fontId="65" fillId="0" borderId="307" applyNumberFormat="0" applyFill="0" applyAlignment="0" applyProtection="0"/>
    <xf numFmtId="0" fontId="46" fillId="56" borderId="319" applyNumberFormat="0" applyAlignment="0" applyProtection="0"/>
    <xf numFmtId="0" fontId="65" fillId="0" borderId="299" applyNumberFormat="0" applyFill="0" applyAlignment="0" applyProtection="0"/>
    <xf numFmtId="0" fontId="34" fillId="32" borderId="310">
      <alignment horizontal="left" vertical="center"/>
    </xf>
    <xf numFmtId="0" fontId="45" fillId="56" borderId="306" applyNumberFormat="0" applyAlignment="0" applyProtection="0"/>
    <xf numFmtId="4" fontId="32" fillId="34" borderId="309">
      <alignment horizontal="right" vertical="center"/>
    </xf>
    <xf numFmtId="0" fontId="29" fillId="13" borderId="13" applyNumberFormat="0" applyAlignment="0" applyProtection="0"/>
    <xf numFmtId="4" fontId="32" fillId="34" borderId="314">
      <alignment horizontal="right" vertical="center"/>
    </xf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49" fillId="43" borderId="306" applyNumberFormat="0" applyAlignment="0" applyProtection="0"/>
    <xf numFmtId="0" fontId="36" fillId="32" borderId="309">
      <alignment horizontal="right" vertical="center"/>
    </xf>
    <xf numFmtId="0" fontId="40" fillId="59" borderId="313" applyNumberFormat="0" applyFont="0" applyAlignment="0" applyProtection="0"/>
    <xf numFmtId="0" fontId="34" fillId="0" borderId="317">
      <alignment horizontal="left" vertical="center" wrapText="1" indent="2"/>
    </xf>
    <xf numFmtId="0" fontId="46" fillId="56" borderId="306" applyNumberFormat="0" applyAlignment="0" applyProtection="0"/>
    <xf numFmtId="4" fontId="32" fillId="34" borderId="311">
      <alignment horizontal="right" vertical="center"/>
    </xf>
    <xf numFmtId="0" fontId="32" fillId="34" borderId="309">
      <alignment horizontal="right" vertical="center"/>
    </xf>
    <xf numFmtId="0" fontId="26" fillId="18" borderId="0" applyNumberFormat="0" applyBorder="0" applyAlignment="0" applyProtection="0"/>
    <xf numFmtId="4" fontId="34" fillId="0" borderId="314">
      <alignment horizontal="right" vertical="center"/>
    </xf>
    <xf numFmtId="0" fontId="26" fillId="30" borderId="0" applyNumberFormat="0" applyBorder="0" applyAlignment="0" applyProtection="0"/>
    <xf numFmtId="0" fontId="46" fillId="56" borderId="306" applyNumberFormat="0" applyAlignment="0" applyProtection="0"/>
    <xf numFmtId="4" fontId="34" fillId="0" borderId="309">
      <alignment horizontal="right" vertical="center"/>
    </xf>
    <xf numFmtId="0" fontId="5" fillId="59" borderId="308" applyNumberFormat="0" applyFont="0" applyAlignment="0" applyProtection="0"/>
    <xf numFmtId="0" fontId="62" fillId="56" borderId="328" applyNumberFormat="0" applyAlignment="0" applyProtection="0"/>
    <xf numFmtId="0" fontId="29" fillId="13" borderId="13" applyNumberFormat="0" applyAlignment="0" applyProtection="0"/>
    <xf numFmtId="4" fontId="32" fillId="34" borderId="314">
      <alignment horizontal="right" vertical="center"/>
    </xf>
    <xf numFmtId="4" fontId="32" fillId="34" borderId="310">
      <alignment horizontal="right" vertical="center"/>
    </xf>
    <xf numFmtId="4" fontId="32" fillId="34" borderId="309">
      <alignment horizontal="right" vertical="center"/>
    </xf>
    <xf numFmtId="0" fontId="32" fillId="32" borderId="324">
      <alignment horizontal="right" vertical="center"/>
    </xf>
    <xf numFmtId="0" fontId="65" fillId="0" borderId="320" applyNumberFormat="0" applyFill="0" applyAlignment="0" applyProtection="0"/>
    <xf numFmtId="0" fontId="49" fillId="43" borderId="321" applyNumberFormat="0" applyAlignment="0" applyProtection="0"/>
    <xf numFmtId="0" fontId="58" fillId="43" borderId="319" applyNumberFormat="0" applyAlignment="0" applyProtection="0"/>
    <xf numFmtId="0" fontId="32" fillId="34" borderId="310">
      <alignment horizontal="right" vertical="center"/>
    </xf>
    <xf numFmtId="0" fontId="34" fillId="34" borderId="349">
      <alignment horizontal="left" vertical="center" wrapText="1" indent="2"/>
    </xf>
    <xf numFmtId="0" fontId="65" fillId="0" borderId="339" applyNumberFormat="0" applyFill="0" applyAlignment="0" applyProtection="0"/>
    <xf numFmtId="0" fontId="45" fillId="56" borderId="319" applyNumberFormat="0" applyAlignment="0" applyProtection="0"/>
    <xf numFmtId="0" fontId="26" fillId="27" borderId="0" applyNumberFormat="0" applyBorder="0" applyAlignment="0" applyProtection="0"/>
    <xf numFmtId="0" fontId="12" fillId="31" borderId="0" applyNumberFormat="0" applyBorder="0" applyAlignment="0" applyProtection="0"/>
    <xf numFmtId="0" fontId="49" fillId="43" borderId="351" applyNumberFormat="0" applyAlignment="0" applyProtection="0"/>
    <xf numFmtId="0" fontId="32" fillId="34" borderId="342">
      <alignment horizontal="right" vertical="center"/>
    </xf>
    <xf numFmtId="0" fontId="49" fillId="43" borderId="319" applyNumberFormat="0" applyAlignment="0" applyProtection="0"/>
    <xf numFmtId="0" fontId="26" fillId="23" borderId="0" applyNumberFormat="0" applyBorder="0" applyAlignment="0" applyProtection="0"/>
    <xf numFmtId="4" fontId="36" fillId="32" borderId="309">
      <alignment horizontal="right" vertical="center"/>
    </xf>
    <xf numFmtId="173" fontId="34" fillId="60" borderId="333" applyNumberFormat="0" applyFont="0" applyBorder="0" applyAlignment="0" applyProtection="0">
      <alignment horizontal="right" vertical="center"/>
    </xf>
    <xf numFmtId="0" fontId="58" fillId="43" borderId="306" applyNumberFormat="0" applyAlignment="0" applyProtection="0"/>
    <xf numFmtId="0" fontId="32" fillId="34" borderId="309">
      <alignment horizontal="right" vertical="center"/>
    </xf>
    <xf numFmtId="0" fontId="46" fillId="56" borderId="298" applyNumberFormat="0" applyAlignment="0" applyProtection="0"/>
    <xf numFmtId="4" fontId="32" fillId="34" borderId="310">
      <alignment horizontal="right" vertical="center"/>
    </xf>
    <xf numFmtId="0" fontId="46" fillId="56" borderId="319" applyNumberFormat="0" applyAlignment="0" applyProtection="0"/>
    <xf numFmtId="0" fontId="43" fillId="56" borderId="305" applyNumberFormat="0" applyAlignment="0" applyProtection="0"/>
    <xf numFmtId="0" fontId="32" fillId="34" borderId="309">
      <alignment horizontal="right" vertical="center"/>
    </xf>
    <xf numFmtId="0" fontId="34" fillId="0" borderId="309">
      <alignment horizontal="right" vertical="center"/>
    </xf>
    <xf numFmtId="0" fontId="32" fillId="34" borderId="309">
      <alignment horizontal="right" vertical="center"/>
    </xf>
    <xf numFmtId="0" fontId="58" fillId="43" borderId="306" applyNumberFormat="0" applyAlignment="0" applyProtection="0"/>
    <xf numFmtId="0" fontId="58" fillId="43" borderId="298" applyNumberFormat="0" applyAlignment="0" applyProtection="0"/>
    <xf numFmtId="0" fontId="34" fillId="0" borderId="324">
      <alignment horizontal="right" vertical="center"/>
    </xf>
    <xf numFmtId="173" fontId="34" fillId="60" borderId="314" applyNumberFormat="0" applyFont="0" applyBorder="0" applyAlignment="0" applyProtection="0">
      <alignment horizontal="right" vertical="center"/>
    </xf>
    <xf numFmtId="0" fontId="29" fillId="13" borderId="13" applyNumberFormat="0" applyAlignment="0" applyProtection="0"/>
    <xf numFmtId="0" fontId="40" fillId="59" borderId="300" applyNumberFormat="0" applyFont="0" applyAlignment="0" applyProtection="0"/>
    <xf numFmtId="0" fontId="62" fillId="56" borderId="297" applyNumberFormat="0" applyAlignment="0" applyProtection="0"/>
    <xf numFmtId="0" fontId="50" fillId="0" borderId="307" applyNumberFormat="0" applyFill="0" applyAlignment="0" applyProtection="0"/>
    <xf numFmtId="0" fontId="65" fillId="0" borderId="299" applyNumberFormat="0" applyFill="0" applyAlignment="0" applyProtection="0"/>
    <xf numFmtId="0" fontId="26" fillId="15" borderId="0" applyNumberFormat="0" applyBorder="0" applyAlignment="0" applyProtection="0"/>
    <xf numFmtId="4" fontId="32" fillId="34" borderId="311">
      <alignment horizontal="right" vertical="center"/>
    </xf>
    <xf numFmtId="49" fontId="34" fillId="0" borderId="346" applyNumberFormat="0" applyFont="0" applyFill="0" applyBorder="0" applyProtection="0">
      <alignment horizontal="left" vertical="center" indent="2"/>
    </xf>
    <xf numFmtId="0" fontId="58" fillId="43" borderId="306" applyNumberFormat="0" applyAlignment="0" applyProtection="0"/>
    <xf numFmtId="0" fontId="46" fillId="56" borderId="306" applyNumberFormat="0" applyAlignment="0" applyProtection="0"/>
    <xf numFmtId="49" fontId="34" fillId="0" borderId="309" applyNumberFormat="0" applyFont="0" applyFill="0" applyBorder="0" applyProtection="0">
      <alignment horizontal="left" vertical="center" indent="2"/>
    </xf>
    <xf numFmtId="49" fontId="34" fillId="0" borderId="310" applyNumberFormat="0" applyFont="0" applyFill="0" applyBorder="0" applyProtection="0">
      <alignment horizontal="left" vertical="center" indent="5"/>
    </xf>
    <xf numFmtId="0" fontId="65" fillId="0" borderId="307" applyNumberFormat="0" applyFill="0" applyAlignment="0" applyProtection="0"/>
    <xf numFmtId="0" fontId="34" fillId="34" borderId="312">
      <alignment horizontal="left" vertical="center" wrapText="1" indent="2"/>
    </xf>
    <xf numFmtId="0" fontId="32" fillId="34" borderId="309">
      <alignment horizontal="right" vertical="center"/>
    </xf>
    <xf numFmtId="0" fontId="32" fillId="34" borderId="311">
      <alignment horizontal="right" vertical="center"/>
    </xf>
    <xf numFmtId="0" fontId="34" fillId="0" borderId="312">
      <alignment horizontal="left" vertical="center" wrapText="1" indent="2"/>
    </xf>
    <xf numFmtId="0" fontId="32" fillId="34" borderId="311">
      <alignment horizontal="right" vertical="center"/>
    </xf>
    <xf numFmtId="0" fontId="45" fillId="56" borderId="306" applyNumberFormat="0" applyAlignment="0" applyProtection="0"/>
    <xf numFmtId="0" fontId="65" fillId="0" borderId="307" applyNumberFormat="0" applyFill="0" applyAlignment="0" applyProtection="0"/>
    <xf numFmtId="0" fontId="43" fillId="56" borderId="305" applyNumberFormat="0" applyAlignment="0" applyProtection="0"/>
    <xf numFmtId="0" fontId="32" fillId="34" borderId="310">
      <alignment horizontal="right" vertical="center"/>
    </xf>
    <xf numFmtId="173" fontId="34" fillId="60" borderId="309" applyNumberFormat="0" applyFont="0" applyBorder="0" applyAlignment="0" applyProtection="0">
      <alignment horizontal="right" vertical="center"/>
    </xf>
    <xf numFmtId="0" fontId="46" fillId="56" borderId="319" applyNumberFormat="0" applyAlignment="0" applyProtection="0"/>
    <xf numFmtId="49" fontId="33" fillId="0" borderId="309" applyNumberFormat="0" applyFill="0" applyBorder="0" applyProtection="0">
      <alignment horizontal="left" vertical="center"/>
    </xf>
    <xf numFmtId="0" fontId="32" fillId="32" borderId="301">
      <alignment horizontal="right" vertical="center"/>
    </xf>
    <xf numFmtId="4" fontId="32" fillId="32" borderId="301">
      <alignment horizontal="right" vertical="center"/>
    </xf>
    <xf numFmtId="0" fontId="36" fillId="32" borderId="301">
      <alignment horizontal="right" vertical="center"/>
    </xf>
    <xf numFmtId="4" fontId="36" fillId="32" borderId="301">
      <alignment horizontal="right" vertical="center"/>
    </xf>
    <xf numFmtId="0" fontId="32" fillId="34" borderId="301">
      <alignment horizontal="right" vertical="center"/>
    </xf>
    <xf numFmtId="4" fontId="32" fillId="34" borderId="301">
      <alignment horizontal="right" vertical="center"/>
    </xf>
    <xf numFmtId="0" fontId="32" fillId="34" borderId="301">
      <alignment horizontal="right" vertical="center"/>
    </xf>
    <xf numFmtId="4" fontId="32" fillId="34" borderId="301">
      <alignment horizontal="right" vertical="center"/>
    </xf>
    <xf numFmtId="0" fontId="32" fillId="34" borderId="302">
      <alignment horizontal="right" vertical="center"/>
    </xf>
    <xf numFmtId="4" fontId="32" fillId="34" borderId="302">
      <alignment horizontal="right" vertical="center"/>
    </xf>
    <xf numFmtId="0" fontId="32" fillId="34" borderId="303">
      <alignment horizontal="right" vertical="center"/>
    </xf>
    <xf numFmtId="4" fontId="32" fillId="34" borderId="303">
      <alignment horizontal="right" vertical="center"/>
    </xf>
    <xf numFmtId="0" fontId="46" fillId="56" borderId="298" applyNumberFormat="0" applyAlignment="0" applyProtection="0"/>
    <xf numFmtId="0" fontId="34" fillId="34" borderId="304">
      <alignment horizontal="left" vertical="center" wrapText="1" indent="2"/>
    </xf>
    <xf numFmtId="0" fontId="34" fillId="0" borderId="304">
      <alignment horizontal="left" vertical="center" wrapText="1" indent="2"/>
    </xf>
    <xf numFmtId="0" fontId="34" fillId="32" borderId="302">
      <alignment horizontal="left" vertical="center"/>
    </xf>
    <xf numFmtId="0" fontId="62" fillId="56" borderId="337" applyNumberFormat="0" applyAlignment="0" applyProtection="0"/>
    <xf numFmtId="0" fontId="58" fillId="43" borderId="298" applyNumberFormat="0" applyAlignment="0" applyProtection="0"/>
    <xf numFmtId="0" fontId="34" fillId="0" borderId="301">
      <alignment horizontal="right" vertical="center"/>
    </xf>
    <xf numFmtId="4" fontId="34" fillId="0" borderId="301">
      <alignment horizontal="right" vertical="center"/>
    </xf>
    <xf numFmtId="0" fontId="12" fillId="22" borderId="0" applyNumberFormat="0" applyBorder="0" applyAlignment="0" applyProtection="0"/>
    <xf numFmtId="0" fontId="34" fillId="0" borderId="301" applyNumberFormat="0" applyFill="0" applyAlignment="0" applyProtection="0"/>
    <xf numFmtId="0" fontId="62" fillId="56" borderId="297" applyNumberFormat="0" applyAlignment="0" applyProtection="0"/>
    <xf numFmtId="173" fontId="34" fillId="60" borderId="301" applyNumberFormat="0" applyFont="0" applyBorder="0" applyAlignment="0" applyProtection="0">
      <alignment horizontal="right" vertical="center"/>
    </xf>
    <xf numFmtId="0" fontId="34" fillId="33" borderId="301"/>
    <xf numFmtId="4" fontId="34" fillId="33" borderId="301"/>
    <xf numFmtId="0" fontId="65" fillId="0" borderId="299" applyNumberFormat="0" applyFill="0" applyAlignment="0" applyProtection="0"/>
    <xf numFmtId="4" fontId="34" fillId="0" borderId="324" applyFill="0" applyBorder="0" applyProtection="0">
      <alignment horizontal="right" vertical="center"/>
    </xf>
    <xf numFmtId="0" fontId="32" fillId="34" borderId="324">
      <alignment horizontal="right" vertical="center"/>
    </xf>
    <xf numFmtId="0" fontId="26" fillId="18" borderId="0" applyNumberFormat="0" applyBorder="0" applyAlignment="0" applyProtection="0"/>
    <xf numFmtId="4" fontId="32" fillId="34" borderId="311">
      <alignment horizontal="right" vertical="center"/>
    </xf>
    <xf numFmtId="0" fontId="34" fillId="33" borderId="309"/>
    <xf numFmtId="49" fontId="34" fillId="0" borderId="309" applyNumberFormat="0" applyFont="0" applyFill="0" applyBorder="0" applyProtection="0">
      <alignment horizontal="left" vertical="center" indent="2"/>
    </xf>
    <xf numFmtId="0" fontId="49" fillId="43" borderId="338" applyNumberFormat="0" applyAlignment="0" applyProtection="0"/>
    <xf numFmtId="0" fontId="65" fillId="0" borderId="307" applyNumberFormat="0" applyFill="0" applyAlignment="0" applyProtection="0"/>
    <xf numFmtId="0" fontId="26" fillId="21" borderId="0" applyNumberFormat="0" applyBorder="0" applyAlignment="0" applyProtection="0"/>
    <xf numFmtId="0" fontId="34" fillId="32" borderId="342">
      <alignment horizontal="left" vertical="center"/>
    </xf>
    <xf numFmtId="4" fontId="36" fillId="32" borderId="309">
      <alignment horizontal="right" vertical="center"/>
    </xf>
    <xf numFmtId="4" fontId="34" fillId="33" borderId="324"/>
    <xf numFmtId="0" fontId="46" fillId="56" borderId="306" applyNumberFormat="0" applyAlignment="0" applyProtection="0"/>
    <xf numFmtId="0" fontId="62" fillId="56" borderId="337" applyNumberFormat="0" applyAlignment="0" applyProtection="0"/>
    <xf numFmtId="0" fontId="26" fillId="30" borderId="0" applyNumberFormat="0" applyBorder="0" applyAlignment="0" applyProtection="0"/>
    <xf numFmtId="0" fontId="29" fillId="13" borderId="13" applyNumberFormat="0" applyAlignment="0" applyProtection="0"/>
    <xf numFmtId="0" fontId="65" fillId="0" borderId="320" applyNumberFormat="0" applyFill="0" applyAlignment="0" applyProtection="0"/>
    <xf numFmtId="0" fontId="50" fillId="0" borderId="307" applyNumberFormat="0" applyFill="0" applyAlignment="0" applyProtection="0"/>
    <xf numFmtId="0" fontId="34" fillId="33" borderId="309"/>
    <xf numFmtId="0" fontId="45" fillId="56" borderId="306" applyNumberFormat="0" applyAlignment="0" applyProtection="0"/>
    <xf numFmtId="49" fontId="33" fillId="0" borderId="309" applyNumberFormat="0" applyFill="0" applyBorder="0" applyProtection="0">
      <alignment horizontal="left" vertical="center"/>
    </xf>
    <xf numFmtId="0" fontId="34" fillId="0" borderId="309" applyNumberFormat="0" applyFill="0" applyAlignment="0" applyProtection="0"/>
    <xf numFmtId="0" fontId="5" fillId="59" borderId="308" applyNumberFormat="0" applyFont="0" applyAlignment="0" applyProtection="0"/>
    <xf numFmtId="0" fontId="26" fillId="15" borderId="0" applyNumberFormat="0" applyBorder="0" applyAlignment="0" applyProtection="0"/>
    <xf numFmtId="0" fontId="12" fillId="28" borderId="0" applyNumberFormat="0" applyBorder="0" applyAlignment="0" applyProtection="0"/>
    <xf numFmtId="4" fontId="34" fillId="0" borderId="309">
      <alignment horizontal="right" vertical="center"/>
    </xf>
    <xf numFmtId="0" fontId="26" fillId="20" borderId="0" applyNumberFormat="0" applyBorder="0" applyAlignment="0" applyProtection="0"/>
    <xf numFmtId="0" fontId="45" fillId="56" borderId="306" applyNumberFormat="0" applyAlignment="0" applyProtection="0"/>
    <xf numFmtId="0" fontId="26" fillId="17" borderId="0" applyNumberFormat="0" applyBorder="0" applyAlignment="0" applyProtection="0"/>
    <xf numFmtId="0" fontId="1" fillId="0" borderId="0" applyNumberFormat="0" applyFill="0" applyBorder="0" applyAlignment="0" applyProtection="0"/>
    <xf numFmtId="0" fontId="26" fillId="14" borderId="0" applyNumberFormat="0" applyBorder="0" applyAlignment="0" applyProtection="0"/>
    <xf numFmtId="4" fontId="34" fillId="33" borderId="314"/>
    <xf numFmtId="0" fontId="26" fillId="18" borderId="0" applyNumberFormat="0" applyBorder="0" applyAlignment="0" applyProtection="0"/>
    <xf numFmtId="0" fontId="65" fillId="0" borderId="320" applyNumberFormat="0" applyFill="0" applyAlignment="0" applyProtection="0"/>
    <xf numFmtId="49" fontId="34" fillId="0" borderId="310" applyNumberFormat="0" applyFont="0" applyFill="0" applyBorder="0" applyProtection="0">
      <alignment horizontal="left" vertical="center" indent="5"/>
    </xf>
    <xf numFmtId="0" fontId="65" fillId="0" borderId="307" applyNumberFormat="0" applyFill="0" applyAlignment="0" applyProtection="0"/>
    <xf numFmtId="0" fontId="40" fillId="59" borderId="308" applyNumberFormat="0" applyFont="0" applyAlignment="0" applyProtection="0"/>
    <xf numFmtId="0" fontId="32" fillId="34" borderId="310">
      <alignment horizontal="right" vertical="center"/>
    </xf>
    <xf numFmtId="0" fontId="43" fillId="56" borderId="305" applyNumberFormat="0" applyAlignment="0" applyProtection="0"/>
    <xf numFmtId="4" fontId="32" fillId="34" borderId="311">
      <alignment horizontal="right" vertical="center"/>
    </xf>
    <xf numFmtId="4" fontId="36" fillId="32" borderId="309">
      <alignment horizontal="right" vertical="center"/>
    </xf>
    <xf numFmtId="0" fontId="58" fillId="43" borderId="306" applyNumberFormat="0" applyAlignment="0" applyProtection="0"/>
    <xf numFmtId="0" fontId="46" fillId="56" borderId="306" applyNumberFormat="0" applyAlignment="0" applyProtection="0"/>
    <xf numFmtId="0" fontId="36" fillId="32" borderId="309">
      <alignment horizontal="right" vertical="center"/>
    </xf>
    <xf numFmtId="0" fontId="65" fillId="0" borderId="307" applyNumberFormat="0" applyFill="0" applyAlignment="0" applyProtection="0"/>
    <xf numFmtId="0" fontId="46" fillId="56" borderId="306" applyNumberFormat="0" applyAlignment="0" applyProtection="0"/>
    <xf numFmtId="0" fontId="30" fillId="0" borderId="0" applyNumberFormat="0" applyFill="0" applyBorder="0" applyAlignment="0" applyProtection="0"/>
    <xf numFmtId="0" fontId="12" fillId="25" borderId="0" applyNumberFormat="0" applyBorder="0" applyAlignment="0" applyProtection="0"/>
    <xf numFmtId="0" fontId="26" fillId="30" borderId="0" applyNumberFormat="0" applyBorder="0" applyAlignment="0" applyProtection="0"/>
    <xf numFmtId="0" fontId="5" fillId="59" borderId="308" applyNumberFormat="0" applyFont="0" applyAlignment="0" applyProtection="0"/>
    <xf numFmtId="0" fontId="26" fillId="27" borderId="0" applyNumberFormat="0" applyBorder="0" applyAlignment="0" applyProtection="0"/>
    <xf numFmtId="0" fontId="26" fillId="17" borderId="0" applyNumberFormat="0" applyBorder="0" applyAlignment="0" applyProtection="0"/>
    <xf numFmtId="173" fontId="34" fillId="60" borderId="324" applyNumberFormat="0" applyFont="0" applyBorder="0" applyAlignment="0" applyProtection="0">
      <alignment horizontal="right" vertical="center"/>
    </xf>
    <xf numFmtId="0" fontId="26" fillId="14" borderId="0" applyNumberFormat="0" applyBorder="0" applyAlignment="0" applyProtection="0"/>
    <xf numFmtId="0" fontId="62" fillId="56" borderId="305" applyNumberFormat="0" applyAlignment="0" applyProtection="0"/>
    <xf numFmtId="0" fontId="50" fillId="0" borderId="322" applyNumberFormat="0" applyFill="0" applyAlignment="0" applyProtection="0"/>
    <xf numFmtId="0" fontId="26" fillId="18" borderId="0" applyNumberFormat="0" applyBorder="0" applyAlignment="0" applyProtection="0"/>
    <xf numFmtId="4" fontId="36" fillId="32" borderId="309">
      <alignment horizontal="right" vertical="center"/>
    </xf>
    <xf numFmtId="0" fontId="1" fillId="0" borderId="0" applyNumberFormat="0" applyFill="0" applyBorder="0" applyAlignment="0" applyProtection="0"/>
    <xf numFmtId="49" fontId="34" fillId="0" borderId="301" applyNumberFormat="0" applyFont="0" applyFill="0" applyBorder="0" applyProtection="0">
      <alignment horizontal="left" vertical="center" indent="2"/>
    </xf>
    <xf numFmtId="49" fontId="34" fillId="0" borderId="302" applyNumberFormat="0" applyFont="0" applyFill="0" applyBorder="0" applyProtection="0">
      <alignment horizontal="left" vertical="center" indent="5"/>
    </xf>
    <xf numFmtId="4" fontId="34" fillId="0" borderId="324">
      <alignment horizontal="right" vertical="center"/>
    </xf>
    <xf numFmtId="0" fontId="32" fillId="34" borderId="316">
      <alignment horizontal="right" vertical="center"/>
    </xf>
    <xf numFmtId="0" fontId="58" fillId="43" borderId="338" applyNumberFormat="0" applyAlignment="0" applyProtection="0"/>
    <xf numFmtId="0" fontId="32" fillId="34" borderId="311">
      <alignment horizontal="right" vertical="center"/>
    </xf>
    <xf numFmtId="0" fontId="62" fillId="56" borderId="350" applyNumberFormat="0" applyAlignment="0" applyProtection="0"/>
    <xf numFmtId="0" fontId="32" fillId="32" borderId="309">
      <alignment horizontal="right" vertical="center"/>
    </xf>
    <xf numFmtId="0" fontId="50" fillId="0" borderId="307" applyNumberFormat="0" applyFill="0" applyAlignment="0" applyProtection="0"/>
    <xf numFmtId="0" fontId="26" fillId="27" borderId="0" applyNumberFormat="0" applyBorder="0" applyAlignment="0" applyProtection="0"/>
    <xf numFmtId="4" fontId="32" fillId="34" borderId="343">
      <alignment horizontal="right" vertical="center"/>
    </xf>
    <xf numFmtId="0" fontId="34" fillId="0" borderId="312">
      <alignment horizontal="left" vertical="center" wrapText="1" indent="2"/>
    </xf>
    <xf numFmtId="4" fontId="34" fillId="0" borderId="301" applyFill="0" applyBorder="0" applyProtection="0">
      <alignment horizontal="right" vertical="center"/>
    </xf>
    <xf numFmtId="49" fontId="33" fillId="0" borderId="301" applyNumberFormat="0" applyFill="0" applyBorder="0" applyProtection="0">
      <alignment horizontal="left" vertical="center"/>
    </xf>
    <xf numFmtId="49" fontId="34" fillId="0" borderId="324" applyNumberFormat="0" applyFont="0" applyFill="0" applyBorder="0" applyProtection="0">
      <alignment horizontal="left" vertical="center" indent="2"/>
    </xf>
    <xf numFmtId="4" fontId="32" fillId="34" borderId="311">
      <alignment horizontal="right" vertical="center"/>
    </xf>
    <xf numFmtId="4" fontId="34" fillId="0" borderId="309" applyFill="0" applyBorder="0" applyProtection="0">
      <alignment horizontal="right" vertical="center"/>
    </xf>
    <xf numFmtId="0" fontId="45" fillId="56" borderId="306" applyNumberFormat="0" applyAlignment="0" applyProtection="0"/>
    <xf numFmtId="0" fontId="49" fillId="43" borderId="306" applyNumberFormat="0" applyAlignment="0" applyProtection="0"/>
    <xf numFmtId="0" fontId="34" fillId="34" borderId="312">
      <alignment horizontal="left" vertical="center" wrapText="1" indent="2"/>
    </xf>
    <xf numFmtId="0" fontId="34" fillId="32" borderId="342">
      <alignment horizontal="left" vertical="center"/>
    </xf>
    <xf numFmtId="4" fontId="36" fillId="32" borderId="309">
      <alignment horizontal="right" vertical="center"/>
    </xf>
    <xf numFmtId="0" fontId="45" fillId="56" borderId="306" applyNumberFormat="0" applyAlignment="0" applyProtection="0"/>
    <xf numFmtId="0" fontId="58" fillId="43" borderId="319" applyNumberFormat="0" applyAlignment="0" applyProtection="0"/>
    <xf numFmtId="0" fontId="46" fillId="56" borderId="321" applyNumberFormat="0" applyAlignment="0" applyProtection="0"/>
    <xf numFmtId="0" fontId="12" fillId="25" borderId="0" applyNumberFormat="0" applyBorder="0" applyAlignment="0" applyProtection="0"/>
    <xf numFmtId="0" fontId="32" fillId="32" borderId="309">
      <alignment horizontal="right" vertical="center"/>
    </xf>
    <xf numFmtId="173" fontId="34" fillId="60" borderId="309" applyNumberFormat="0" applyFont="0" applyBorder="0" applyAlignment="0" applyProtection="0">
      <alignment horizontal="right" vertical="center"/>
    </xf>
    <xf numFmtId="0" fontId="32" fillId="34" borderId="309">
      <alignment horizontal="right" vertical="center"/>
    </xf>
    <xf numFmtId="0" fontId="43" fillId="56" borderId="305" applyNumberFormat="0" applyAlignment="0" applyProtection="0"/>
    <xf numFmtId="0" fontId="65" fillId="0" borderId="307" applyNumberFormat="0" applyFill="0" applyAlignment="0" applyProtection="0"/>
    <xf numFmtId="0" fontId="40" fillId="59" borderId="308" applyNumberFormat="0" applyFont="0" applyAlignment="0" applyProtection="0"/>
    <xf numFmtId="0" fontId="32" fillId="34" borderId="309">
      <alignment horizontal="right" vertical="center"/>
    </xf>
    <xf numFmtId="0" fontId="32" fillId="34" borderId="310">
      <alignment horizontal="right" vertical="center"/>
    </xf>
    <xf numFmtId="0" fontId="46" fillId="56" borderId="306" applyNumberFormat="0" applyAlignment="0" applyProtection="0"/>
    <xf numFmtId="0" fontId="32" fillId="34" borderId="311">
      <alignment horizontal="right" vertical="center"/>
    </xf>
    <xf numFmtId="0" fontId="32" fillId="34" borderId="309">
      <alignment horizontal="right" vertical="center"/>
    </xf>
    <xf numFmtId="0" fontId="49" fillId="43" borderId="306" applyNumberFormat="0" applyAlignment="0" applyProtection="0"/>
    <xf numFmtId="4" fontId="34" fillId="0" borderId="309">
      <alignment horizontal="right" vertical="center"/>
    </xf>
    <xf numFmtId="0" fontId="46" fillId="56" borderId="306" applyNumberFormat="0" applyAlignment="0" applyProtection="0"/>
    <xf numFmtId="0" fontId="34" fillId="32" borderId="310">
      <alignment horizontal="left" vertical="center"/>
    </xf>
    <xf numFmtId="0" fontId="29" fillId="13" borderId="13" applyNumberFormat="0" applyAlignment="0" applyProtection="0"/>
    <xf numFmtId="173" fontId="34" fillId="60" borderId="309" applyNumberFormat="0" applyFont="0" applyBorder="0" applyAlignment="0" applyProtection="0">
      <alignment horizontal="right" vertical="center"/>
    </xf>
    <xf numFmtId="0" fontId="43" fillId="56" borderId="297" applyNumberFormat="0" applyAlignment="0" applyProtection="0"/>
    <xf numFmtId="0" fontId="45" fillId="56" borderId="298" applyNumberFormat="0" applyAlignment="0" applyProtection="0"/>
    <xf numFmtId="0" fontId="50" fillId="0" borderId="299" applyNumberFormat="0" applyFill="0" applyAlignment="0" applyProtection="0"/>
    <xf numFmtId="0" fontId="34" fillId="0" borderId="324">
      <alignment horizontal="right" vertical="center"/>
    </xf>
    <xf numFmtId="4" fontId="36" fillId="32" borderId="309">
      <alignment horizontal="right" vertical="center"/>
    </xf>
    <xf numFmtId="0" fontId="43" fillId="56" borderId="305" applyNumberFormat="0" applyAlignment="0" applyProtection="0"/>
    <xf numFmtId="4" fontId="36" fillId="32" borderId="314">
      <alignment horizontal="right" vertical="center"/>
    </xf>
    <xf numFmtId="0" fontId="58" fillId="43" borderId="321" applyNumberFormat="0" applyAlignment="0" applyProtection="0"/>
    <xf numFmtId="0" fontId="65" fillId="0" borderId="322" applyNumberFormat="0" applyFill="0" applyAlignment="0" applyProtection="0"/>
    <xf numFmtId="0" fontId="46" fillId="56" borderId="306" applyNumberFormat="0" applyAlignment="0" applyProtection="0"/>
    <xf numFmtId="0" fontId="46" fillId="56" borderId="319" applyNumberFormat="0" applyAlignment="0" applyProtection="0"/>
    <xf numFmtId="0" fontId="12" fillId="28" borderId="0" applyNumberFormat="0" applyBorder="0" applyAlignment="0" applyProtection="0"/>
    <xf numFmtId="0" fontId="34" fillId="0" borderId="327">
      <alignment horizontal="left" vertical="center" wrapText="1" indent="2"/>
    </xf>
    <xf numFmtId="0" fontId="32" fillId="34" borderId="314">
      <alignment horizontal="right" vertical="center"/>
    </xf>
    <xf numFmtId="0" fontId="46" fillId="56" borderId="306" applyNumberFormat="0" applyAlignment="0" applyProtection="0"/>
    <xf numFmtId="0" fontId="1" fillId="0" borderId="0" applyNumberFormat="0" applyFill="0" applyBorder="0" applyAlignment="0" applyProtection="0"/>
    <xf numFmtId="0" fontId="26" fillId="23" borderId="0" applyNumberFormat="0" applyBorder="0" applyAlignment="0" applyProtection="0"/>
    <xf numFmtId="0" fontId="40" fillId="59" borderId="313" applyNumberFormat="0" applyFont="0" applyAlignment="0" applyProtection="0"/>
    <xf numFmtId="0" fontId="50" fillId="0" borderId="320" applyNumberFormat="0" applyFill="0" applyAlignment="0" applyProtection="0"/>
    <xf numFmtId="4" fontId="34" fillId="0" borderId="314" applyFill="0" applyBorder="0" applyProtection="0">
      <alignment horizontal="right" vertical="center"/>
    </xf>
    <xf numFmtId="0" fontId="34" fillId="32" borderId="310">
      <alignment horizontal="left" vertical="center"/>
    </xf>
    <xf numFmtId="4" fontId="34" fillId="0" borderId="309">
      <alignment horizontal="right" vertical="center"/>
    </xf>
    <xf numFmtId="4" fontId="32" fillId="34" borderId="309">
      <alignment horizontal="right" vertical="center"/>
    </xf>
    <xf numFmtId="0" fontId="62" fillId="56" borderId="305" applyNumberFormat="0" applyAlignment="0" applyProtection="0"/>
    <xf numFmtId="0" fontId="50" fillId="0" borderId="307" applyNumberFormat="0" applyFill="0" applyAlignment="0" applyProtection="0"/>
    <xf numFmtId="0" fontId="49" fillId="43" borderId="298" applyNumberFormat="0" applyAlignment="0" applyProtection="0"/>
    <xf numFmtId="49" fontId="34" fillId="0" borderId="309" applyNumberFormat="0" applyFont="0" applyFill="0" applyBorder="0" applyProtection="0">
      <alignment horizontal="left" vertical="center" indent="2"/>
    </xf>
    <xf numFmtId="173" fontId="34" fillId="60" borderId="309" applyNumberFormat="0" applyFont="0" applyBorder="0" applyAlignment="0" applyProtection="0">
      <alignment horizontal="right" vertical="center"/>
    </xf>
    <xf numFmtId="173" fontId="34" fillId="60" borderId="314" applyNumberFormat="0" applyFont="0" applyBorder="0" applyAlignment="0" applyProtection="0">
      <alignment horizontal="right" vertical="center"/>
    </xf>
    <xf numFmtId="0" fontId="32" fillId="34" borderId="315">
      <alignment horizontal="right" vertical="center"/>
    </xf>
    <xf numFmtId="4" fontId="32" fillId="34" borderId="316">
      <alignment horizontal="right" vertical="center"/>
    </xf>
    <xf numFmtId="0" fontId="26" fillId="14" borderId="0" applyNumberFormat="0" applyBorder="0" applyAlignment="0" applyProtection="0"/>
    <xf numFmtId="4" fontId="32" fillId="34" borderId="311">
      <alignment horizontal="right" vertical="center"/>
    </xf>
    <xf numFmtId="0" fontId="26" fillId="23" borderId="0" applyNumberFormat="0" applyBorder="0" applyAlignment="0" applyProtection="0"/>
    <xf numFmtId="4" fontId="34" fillId="0" borderId="341" applyFill="0" applyBorder="0" applyProtection="0">
      <alignment horizontal="right" vertical="center"/>
    </xf>
    <xf numFmtId="0" fontId="28" fillId="13" borderId="14" applyNumberFormat="0" applyAlignment="0" applyProtection="0"/>
    <xf numFmtId="4" fontId="32" fillId="34" borderId="315">
      <alignment horizontal="right" vertical="center"/>
    </xf>
    <xf numFmtId="4" fontId="34" fillId="33" borderId="314"/>
    <xf numFmtId="4" fontId="34" fillId="33" borderId="341"/>
    <xf numFmtId="0" fontId="58" fillId="43" borderId="306" applyNumberFormat="0" applyAlignment="0" applyProtection="0"/>
    <xf numFmtId="0" fontId="34" fillId="34" borderId="312">
      <alignment horizontal="left" vertical="center" wrapText="1" indent="2"/>
    </xf>
    <xf numFmtId="0" fontId="50" fillId="0" borderId="307" applyNumberFormat="0" applyFill="0" applyAlignment="0" applyProtection="0"/>
    <xf numFmtId="4" fontId="34" fillId="33" borderId="309"/>
    <xf numFmtId="0" fontId="58" fillId="43" borderId="338" applyNumberFormat="0" applyAlignment="0" applyProtection="0"/>
    <xf numFmtId="0" fontId="34" fillId="34" borderId="304">
      <alignment horizontal="left" vertical="center" wrapText="1" indent="2"/>
    </xf>
    <xf numFmtId="0" fontId="34" fillId="0" borderId="304">
      <alignment horizontal="left" vertical="center" wrapText="1" indent="2"/>
    </xf>
    <xf numFmtId="4" fontId="32" fillId="34" borderId="314">
      <alignment horizontal="right" vertical="center"/>
    </xf>
    <xf numFmtId="0" fontId="46" fillId="56" borderId="319" applyNumberFormat="0" applyAlignment="0" applyProtection="0"/>
    <xf numFmtId="0" fontId="26" fillId="27" borderId="0" applyNumberFormat="0" applyBorder="0" applyAlignment="0" applyProtection="0"/>
    <xf numFmtId="0" fontId="26" fillId="18" borderId="0" applyNumberFormat="0" applyBorder="0" applyAlignment="0" applyProtection="0"/>
    <xf numFmtId="0" fontId="46" fillId="56" borderId="319" applyNumberFormat="0" applyAlignment="0" applyProtection="0"/>
    <xf numFmtId="0" fontId="34" fillId="34" borderId="327">
      <alignment horizontal="left" vertical="center" wrapText="1" indent="2"/>
    </xf>
    <xf numFmtId="0" fontId="58" fillId="43" borderId="306" applyNumberFormat="0" applyAlignment="0" applyProtection="0"/>
    <xf numFmtId="0" fontId="40" fillId="59" borderId="313" applyNumberFormat="0" applyFont="0" applyAlignment="0" applyProtection="0"/>
    <xf numFmtId="0" fontId="34" fillId="34" borderId="327">
      <alignment horizontal="left" vertical="center" wrapText="1" indent="2"/>
    </xf>
    <xf numFmtId="0" fontId="49" fillId="43" borderId="321" applyNumberFormat="0" applyAlignment="0" applyProtection="0"/>
    <xf numFmtId="4" fontId="32" fillId="34" borderId="324">
      <alignment horizontal="right" vertical="center"/>
    </xf>
    <xf numFmtId="0" fontId="26" fillId="23" borderId="0" applyNumberFormat="0" applyBorder="0" applyAlignment="0" applyProtection="0"/>
    <xf numFmtId="0" fontId="43" fillId="56" borderId="328" applyNumberFormat="0" applyAlignment="0" applyProtection="0"/>
    <xf numFmtId="0" fontId="65" fillId="0" borderId="320" applyNumberFormat="0" applyFill="0" applyAlignment="0" applyProtection="0"/>
    <xf numFmtId="0" fontId="58" fillId="43" borderId="330" applyNumberFormat="0" applyAlignment="0" applyProtection="0"/>
    <xf numFmtId="173" fontId="34" fillId="60" borderId="314" applyNumberFormat="0" applyFont="0" applyBorder="0" applyAlignment="0" applyProtection="0">
      <alignment horizontal="right" vertical="center"/>
    </xf>
    <xf numFmtId="0" fontId="32" fillId="34" borderId="316">
      <alignment horizontal="right" vertical="center"/>
    </xf>
    <xf numFmtId="0" fontId="32" fillId="34" borderId="314">
      <alignment horizontal="right" vertical="center"/>
    </xf>
    <xf numFmtId="0" fontId="34" fillId="34" borderId="317">
      <alignment horizontal="left" vertical="center" wrapText="1" indent="2"/>
    </xf>
    <xf numFmtId="0" fontId="34" fillId="0" borderId="309">
      <alignment horizontal="right" vertical="center"/>
    </xf>
    <xf numFmtId="0" fontId="32" fillId="34" borderId="316">
      <alignment horizontal="right" vertical="center"/>
    </xf>
    <xf numFmtId="0" fontId="43" fillId="56" borderId="305" applyNumberFormat="0" applyAlignment="0" applyProtection="0"/>
    <xf numFmtId="4" fontId="32" fillId="32" borderId="309">
      <alignment horizontal="right" vertical="center"/>
    </xf>
    <xf numFmtId="0" fontId="50" fillId="0" borderId="307" applyNumberFormat="0" applyFill="0" applyAlignment="0" applyProtection="0"/>
    <xf numFmtId="0" fontId="46" fillId="56" borderId="306" applyNumberFormat="0" applyAlignment="0" applyProtection="0"/>
    <xf numFmtId="4" fontId="32" fillId="34" borderId="310">
      <alignment horizontal="right" vertical="center"/>
    </xf>
    <xf numFmtId="4" fontId="32" fillId="34" borderId="316">
      <alignment horizontal="right" vertical="center"/>
    </xf>
    <xf numFmtId="0" fontId="45" fillId="56" borderId="306" applyNumberFormat="0" applyAlignment="0" applyProtection="0"/>
    <xf numFmtId="0" fontId="34" fillId="0" borderId="312">
      <alignment horizontal="left" vertical="center" wrapText="1" indent="2"/>
    </xf>
    <xf numFmtId="49" fontId="34" fillId="0" borderId="309" applyNumberFormat="0" applyFont="0" applyFill="0" applyBorder="0" applyProtection="0">
      <alignment horizontal="left" vertical="center" indent="2"/>
    </xf>
    <xf numFmtId="0" fontId="58" fillId="43" borderId="306" applyNumberFormat="0" applyAlignment="0" applyProtection="0"/>
    <xf numFmtId="0" fontId="40" fillId="59" borderId="308" applyNumberFormat="0" applyFont="0" applyAlignment="0" applyProtection="0"/>
    <xf numFmtId="4" fontId="32" fillId="34" borderId="310">
      <alignment horizontal="right" vertical="center"/>
    </xf>
    <xf numFmtId="0" fontId="34" fillId="34" borderId="312">
      <alignment horizontal="left" vertical="center" wrapText="1" indent="2"/>
    </xf>
    <xf numFmtId="0" fontId="50" fillId="0" borderId="307" applyNumberFormat="0" applyFill="0" applyAlignment="0" applyProtection="0"/>
    <xf numFmtId="0" fontId="62" fillId="56" borderId="305" applyNumberFormat="0" applyAlignment="0" applyProtection="0"/>
    <xf numFmtId="0" fontId="40" fillId="59" borderId="308" applyNumberFormat="0" applyFont="0" applyAlignment="0" applyProtection="0"/>
    <xf numFmtId="0" fontId="58" fillId="43" borderId="306" applyNumberFormat="0" applyAlignment="0" applyProtection="0"/>
    <xf numFmtId="0" fontId="34" fillId="0" borderId="309" applyNumberFormat="0" applyFill="0" applyAlignment="0" applyProtection="0"/>
    <xf numFmtId="0" fontId="32" fillId="32" borderId="309">
      <alignment horizontal="right" vertical="center"/>
    </xf>
    <xf numFmtId="0" fontId="32" fillId="34" borderId="309">
      <alignment horizontal="right" vertical="center"/>
    </xf>
    <xf numFmtId="0" fontId="40" fillId="59" borderId="308" applyNumberFormat="0" applyFont="0" applyAlignment="0" applyProtection="0"/>
    <xf numFmtId="0" fontId="50" fillId="0" borderId="307" applyNumberFormat="0" applyFill="0" applyAlignment="0" applyProtection="0"/>
    <xf numFmtId="0" fontId="32" fillId="32" borderId="309">
      <alignment horizontal="right" vertical="center"/>
    </xf>
    <xf numFmtId="4" fontId="34" fillId="0" borderId="309" applyFill="0" applyBorder="0" applyProtection="0">
      <alignment horizontal="right" vertical="center"/>
    </xf>
    <xf numFmtId="0" fontId="43" fillId="56" borderId="328" applyNumberFormat="0" applyAlignment="0" applyProtection="0"/>
    <xf numFmtId="49" fontId="34" fillId="0" borderId="309" applyNumberFormat="0" applyFont="0" applyFill="0" applyBorder="0" applyProtection="0">
      <alignment horizontal="left" vertical="center" indent="2"/>
    </xf>
    <xf numFmtId="0" fontId="49" fillId="43" borderId="306" applyNumberFormat="0" applyAlignment="0" applyProtection="0"/>
    <xf numFmtId="0" fontId="65" fillId="0" borderId="322" applyNumberFormat="0" applyFill="0" applyAlignment="0" applyProtection="0"/>
    <xf numFmtId="0" fontId="12" fillId="22" borderId="0" applyNumberFormat="0" applyBorder="0" applyAlignment="0" applyProtection="0"/>
    <xf numFmtId="0" fontId="12" fillId="31" borderId="0" applyNumberFormat="0" applyBorder="0" applyAlignment="0" applyProtection="0"/>
    <xf numFmtId="0" fontId="34" fillId="0" borderId="324" applyNumberFormat="0" applyFill="0" applyAlignment="0" applyProtection="0"/>
    <xf numFmtId="0" fontId="26" fillId="29" borderId="0" applyNumberFormat="0" applyBorder="0" applyAlignment="0" applyProtection="0"/>
    <xf numFmtId="0" fontId="40" fillId="59" borderId="323" applyNumberFormat="0" applyFont="0" applyAlignment="0" applyProtection="0"/>
    <xf numFmtId="0" fontId="26" fillId="26" borderId="0" applyNumberFormat="0" applyBorder="0" applyAlignment="0" applyProtection="0"/>
    <xf numFmtId="0" fontId="26" fillId="24" borderId="0" applyNumberFormat="0" applyBorder="0" applyAlignment="0" applyProtection="0"/>
    <xf numFmtId="0" fontId="34" fillId="34" borderId="344">
      <alignment horizontal="left" vertical="center" wrapText="1" indent="2"/>
    </xf>
    <xf numFmtId="0" fontId="12" fillId="16" borderId="0" applyNumberFormat="0" applyBorder="0" applyAlignment="0" applyProtection="0"/>
    <xf numFmtId="0" fontId="26" fillId="18" borderId="0" applyNumberFormat="0" applyBorder="0" applyAlignment="0" applyProtection="0"/>
    <xf numFmtId="0" fontId="12" fillId="19" borderId="0" applyNumberFormat="0" applyBorder="0" applyAlignment="0" applyProtection="0"/>
    <xf numFmtId="4" fontId="32" fillId="34" borderId="316">
      <alignment horizontal="right" vertical="center"/>
    </xf>
    <xf numFmtId="0" fontId="2" fillId="0" borderId="15" applyNumberFormat="0" applyFill="0" applyAlignment="0" applyProtection="0"/>
    <xf numFmtId="0" fontId="26" fillId="30" borderId="0" applyNumberFormat="0" applyBorder="0" applyAlignment="0" applyProtection="0"/>
    <xf numFmtId="4" fontId="36" fillId="32" borderId="314">
      <alignment horizontal="right" vertical="center"/>
    </xf>
    <xf numFmtId="4" fontId="36" fillId="32" borderId="314">
      <alignment horizontal="right" vertical="center"/>
    </xf>
    <xf numFmtId="0" fontId="40" fillId="59" borderId="323" applyNumberFormat="0" applyFont="0" applyAlignment="0" applyProtection="0"/>
    <xf numFmtId="4" fontId="34" fillId="0" borderId="324">
      <alignment horizontal="right" vertical="center"/>
    </xf>
    <xf numFmtId="0" fontId="49" fillId="43" borderId="306" applyNumberFormat="0" applyAlignment="0" applyProtection="0"/>
    <xf numFmtId="4" fontId="34" fillId="33" borderId="309"/>
    <xf numFmtId="0" fontId="26" fillId="17" borderId="0" applyNumberFormat="0" applyBorder="0" applyAlignment="0" applyProtection="0"/>
    <xf numFmtId="4" fontId="32" fillId="34" borderId="301">
      <alignment horizontal="right" vertical="center"/>
    </xf>
    <xf numFmtId="0" fontId="34" fillId="33" borderId="301"/>
    <xf numFmtId="0" fontId="45" fillId="56" borderId="298" applyNumberFormat="0" applyAlignment="0" applyProtection="0"/>
    <xf numFmtId="0" fontId="32" fillId="32" borderId="301">
      <alignment horizontal="right" vertical="center"/>
    </xf>
    <xf numFmtId="0" fontId="34" fillId="0" borderId="301">
      <alignment horizontal="right" vertical="center"/>
    </xf>
    <xf numFmtId="0" fontId="65" fillId="0" borderId="299" applyNumberFormat="0" applyFill="0" applyAlignment="0" applyProtection="0"/>
    <xf numFmtId="0" fontId="34" fillId="32" borderId="302">
      <alignment horizontal="left" vertical="center"/>
    </xf>
    <xf numFmtId="0" fontId="58" fillId="43" borderId="298" applyNumberFormat="0" applyAlignment="0" applyProtection="0"/>
    <xf numFmtId="173" fontId="34" fillId="60" borderId="301" applyNumberFormat="0" applyFont="0" applyBorder="0" applyAlignment="0" applyProtection="0">
      <alignment horizontal="right" vertical="center"/>
    </xf>
    <xf numFmtId="0" fontId="40" fillId="59" borderId="300" applyNumberFormat="0" applyFont="0" applyAlignment="0" applyProtection="0"/>
    <xf numFmtId="0" fontId="34" fillId="0" borderId="304">
      <alignment horizontal="left" vertical="center" wrapText="1" indent="2"/>
    </xf>
    <xf numFmtId="4" fontId="34" fillId="33" borderId="301"/>
    <xf numFmtId="49" fontId="33" fillId="0" borderId="301" applyNumberFormat="0" applyFill="0" applyBorder="0" applyProtection="0">
      <alignment horizontal="left" vertical="center"/>
    </xf>
    <xf numFmtId="0" fontId="34" fillId="0" borderId="301">
      <alignment horizontal="right" vertical="center"/>
    </xf>
    <xf numFmtId="4" fontId="32" fillId="34" borderId="303">
      <alignment horizontal="right" vertical="center"/>
    </xf>
    <xf numFmtId="4" fontId="32" fillId="34" borderId="301">
      <alignment horizontal="right" vertical="center"/>
    </xf>
    <xf numFmtId="4" fontId="32" fillId="34" borderId="301">
      <alignment horizontal="right" vertical="center"/>
    </xf>
    <xf numFmtId="0" fontId="36" fillId="32" borderId="301">
      <alignment horizontal="right" vertical="center"/>
    </xf>
    <xf numFmtId="0" fontId="32" fillId="32" borderId="301">
      <alignment horizontal="right" vertical="center"/>
    </xf>
    <xf numFmtId="49" fontId="34" fillId="0" borderId="301" applyNumberFormat="0" applyFont="0" applyFill="0" applyBorder="0" applyProtection="0">
      <alignment horizontal="left" vertical="center" indent="2"/>
    </xf>
    <xf numFmtId="0" fontId="58" fillId="43" borderId="298" applyNumberFormat="0" applyAlignment="0" applyProtection="0"/>
    <xf numFmtId="0" fontId="43" fillId="56" borderId="297" applyNumberFormat="0" applyAlignment="0" applyProtection="0"/>
    <xf numFmtId="49" fontId="34" fillId="0" borderId="301" applyNumberFormat="0" applyFont="0" applyFill="0" applyBorder="0" applyProtection="0">
      <alignment horizontal="left" vertical="center" indent="2"/>
    </xf>
    <xf numFmtId="0" fontId="49" fillId="43" borderId="298" applyNumberFormat="0" applyAlignment="0" applyProtection="0"/>
    <xf numFmtId="4" fontId="34" fillId="0" borderId="301" applyFill="0" applyBorder="0" applyProtection="0">
      <alignment horizontal="right" vertical="center"/>
    </xf>
    <xf numFmtId="0" fontId="46" fillId="56" borderId="298" applyNumberFormat="0" applyAlignment="0" applyProtection="0"/>
    <xf numFmtId="0" fontId="65" fillId="0" borderId="299" applyNumberFormat="0" applyFill="0" applyAlignment="0" applyProtection="0"/>
    <xf numFmtId="0" fontId="62" fillId="56" borderId="297" applyNumberFormat="0" applyAlignment="0" applyProtection="0"/>
    <xf numFmtId="0" fontId="34" fillId="0" borderId="301" applyNumberFormat="0" applyFill="0" applyAlignment="0" applyProtection="0"/>
    <xf numFmtId="4" fontId="34" fillId="0" borderId="301">
      <alignment horizontal="right" vertical="center"/>
    </xf>
    <xf numFmtId="0" fontId="34" fillId="0" borderId="301">
      <alignment horizontal="right" vertical="center"/>
    </xf>
    <xf numFmtId="0" fontId="58" fillId="43" borderId="298" applyNumberFormat="0" applyAlignment="0" applyProtection="0"/>
    <xf numFmtId="0" fontId="43" fillId="56" borderId="297" applyNumberFormat="0" applyAlignment="0" applyProtection="0"/>
    <xf numFmtId="0" fontId="45" fillId="56" borderId="298" applyNumberFormat="0" applyAlignment="0" applyProtection="0"/>
    <xf numFmtId="0" fontId="34" fillId="34" borderId="304">
      <alignment horizontal="left" vertical="center" wrapText="1" indent="2"/>
    </xf>
    <xf numFmtId="0" fontId="46" fillId="56" borderId="298" applyNumberFormat="0" applyAlignment="0" applyProtection="0"/>
    <xf numFmtId="0" fontId="46" fillId="56" borderId="298" applyNumberFormat="0" applyAlignment="0" applyProtection="0"/>
    <xf numFmtId="4" fontId="32" fillId="34" borderId="302">
      <alignment horizontal="right" vertical="center"/>
    </xf>
    <xf numFmtId="0" fontId="32" fillId="34" borderId="302">
      <alignment horizontal="right" vertical="center"/>
    </xf>
    <xf numFmtId="0" fontId="32" fillId="34" borderId="301">
      <alignment horizontal="right" vertical="center"/>
    </xf>
    <xf numFmtId="4" fontId="36" fillId="32" borderId="301">
      <alignment horizontal="right" vertical="center"/>
    </xf>
    <xf numFmtId="0" fontId="49" fillId="43" borderId="298" applyNumberFormat="0" applyAlignment="0" applyProtection="0"/>
    <xf numFmtId="0" fontId="50" fillId="0" borderId="299" applyNumberFormat="0" applyFill="0" applyAlignment="0" applyProtection="0"/>
    <xf numFmtId="0" fontId="65" fillId="0" borderId="299" applyNumberFormat="0" applyFill="0" applyAlignment="0" applyProtection="0"/>
    <xf numFmtId="0" fontId="40" fillId="59" borderId="300" applyNumberFormat="0" applyFont="0" applyAlignment="0" applyProtection="0"/>
    <xf numFmtId="0" fontId="58" fillId="43" borderId="298" applyNumberFormat="0" applyAlignment="0" applyProtection="0"/>
    <xf numFmtId="49" fontId="33" fillId="0" borderId="301" applyNumberFormat="0" applyFill="0" applyBorder="0" applyProtection="0">
      <alignment horizontal="left" vertical="center"/>
    </xf>
    <xf numFmtId="0" fontId="34" fillId="34" borderId="304">
      <alignment horizontal="left" vertical="center" wrapText="1" indent="2"/>
    </xf>
    <xf numFmtId="0" fontId="46" fillId="56" borderId="298" applyNumberFormat="0" applyAlignment="0" applyProtection="0"/>
    <xf numFmtId="0" fontId="34" fillId="0" borderId="304">
      <alignment horizontal="left" vertical="center" wrapText="1" indent="2"/>
    </xf>
    <xf numFmtId="0" fontId="40" fillId="59" borderId="300" applyNumberFormat="0" applyFont="0" applyAlignment="0" applyProtection="0"/>
    <xf numFmtId="0" fontId="5" fillId="59" borderId="300" applyNumberFormat="0" applyFont="0" applyAlignment="0" applyProtection="0"/>
    <xf numFmtId="0" fontId="62" fillId="56" borderId="297" applyNumberFormat="0" applyAlignment="0" applyProtection="0"/>
    <xf numFmtId="0" fontId="65" fillId="0" borderId="299" applyNumberFormat="0" applyFill="0" applyAlignment="0" applyProtection="0"/>
    <xf numFmtId="4" fontId="34" fillId="33" borderId="301"/>
    <xf numFmtId="0" fontId="32" fillId="34" borderId="301">
      <alignment horizontal="right" vertical="center"/>
    </xf>
    <xf numFmtId="0" fontId="65" fillId="0" borderId="299" applyNumberFormat="0" applyFill="0" applyAlignment="0" applyProtection="0"/>
    <xf numFmtId="4" fontId="32" fillId="34" borderId="303">
      <alignment horizontal="right" vertical="center"/>
    </xf>
    <xf numFmtId="0" fontId="45" fillId="56" borderId="298" applyNumberFormat="0" applyAlignment="0" applyProtection="0"/>
    <xf numFmtId="0" fontId="32" fillId="34" borderId="302">
      <alignment horizontal="right" vertical="center"/>
    </xf>
    <xf numFmtId="0" fontId="46" fillId="56" borderId="298" applyNumberFormat="0" applyAlignment="0" applyProtection="0"/>
    <xf numFmtId="0" fontId="50" fillId="0" borderId="299" applyNumberFormat="0" applyFill="0" applyAlignment="0" applyProtection="0"/>
    <xf numFmtId="0" fontId="40" fillId="59" borderId="300" applyNumberFormat="0" applyFont="0" applyAlignment="0" applyProtection="0"/>
    <xf numFmtId="4" fontId="32" fillId="34" borderId="302">
      <alignment horizontal="right" vertical="center"/>
    </xf>
    <xf numFmtId="0" fontId="34" fillId="34" borderId="304">
      <alignment horizontal="left" vertical="center" wrapText="1" indent="2"/>
    </xf>
    <xf numFmtId="0" fontId="34" fillId="33" borderId="301"/>
    <xf numFmtId="173" fontId="34" fillId="60" borderId="301" applyNumberFormat="0" applyFont="0" applyBorder="0" applyAlignment="0" applyProtection="0">
      <alignment horizontal="right" vertical="center"/>
    </xf>
    <xf numFmtId="0" fontId="34" fillId="0" borderId="301" applyNumberFormat="0" applyFill="0" applyAlignment="0" applyProtection="0"/>
    <xf numFmtId="4" fontId="34" fillId="0" borderId="301" applyFill="0" applyBorder="0" applyProtection="0">
      <alignment horizontal="right" vertical="center"/>
    </xf>
    <xf numFmtId="4" fontId="32" fillId="32" borderId="301">
      <alignment horizontal="right" vertical="center"/>
    </xf>
    <xf numFmtId="0" fontId="50" fillId="0" borderId="299" applyNumberFormat="0" applyFill="0" applyAlignment="0" applyProtection="0"/>
    <xf numFmtId="49" fontId="33" fillId="0" borderId="301" applyNumberFormat="0" applyFill="0" applyBorder="0" applyProtection="0">
      <alignment horizontal="left" vertical="center"/>
    </xf>
    <xf numFmtId="49" fontId="34" fillId="0" borderId="302" applyNumberFormat="0" applyFont="0" applyFill="0" applyBorder="0" applyProtection="0">
      <alignment horizontal="left" vertical="center" indent="5"/>
    </xf>
    <xf numFmtId="0" fontId="34" fillId="32" borderId="302">
      <alignment horizontal="left" vertical="center"/>
    </xf>
    <xf numFmtId="0" fontId="46" fillId="56" borderId="298" applyNumberFormat="0" applyAlignment="0" applyProtection="0"/>
    <xf numFmtId="4" fontId="32" fillId="34" borderId="303">
      <alignment horizontal="right" vertical="center"/>
    </xf>
    <xf numFmtId="0" fontId="58" fillId="43" borderId="298" applyNumberFormat="0" applyAlignment="0" applyProtection="0"/>
    <xf numFmtId="0" fontId="58" fillId="43" borderId="298" applyNumberFormat="0" applyAlignment="0" applyProtection="0"/>
    <xf numFmtId="0" fontId="40" fillId="59" borderId="300" applyNumberFormat="0" applyFont="0" applyAlignment="0" applyProtection="0"/>
    <xf numFmtId="0" fontId="62" fillId="56" borderId="297" applyNumberFormat="0" applyAlignment="0" applyProtection="0"/>
    <xf numFmtId="0" fontId="65" fillId="0" borderId="299" applyNumberFormat="0" applyFill="0" applyAlignment="0" applyProtection="0"/>
    <xf numFmtId="0" fontId="32" fillId="34" borderId="301">
      <alignment horizontal="right" vertical="center"/>
    </xf>
    <xf numFmtId="0" fontId="5" fillId="59" borderId="300" applyNumberFormat="0" applyFont="0" applyAlignment="0" applyProtection="0"/>
    <xf numFmtId="4" fontId="34" fillId="0" borderId="301">
      <alignment horizontal="right" vertical="center"/>
    </xf>
    <xf numFmtId="0" fontId="65" fillId="0" borderId="299" applyNumberFormat="0" applyFill="0" applyAlignment="0" applyProtection="0"/>
    <xf numFmtId="0" fontId="32" fillId="34" borderId="301">
      <alignment horizontal="right" vertical="center"/>
    </xf>
    <xf numFmtId="0" fontId="32" fillId="34" borderId="301">
      <alignment horizontal="right" vertical="center"/>
    </xf>
    <xf numFmtId="4" fontId="36" fillId="32" borderId="301">
      <alignment horizontal="right" vertical="center"/>
    </xf>
    <xf numFmtId="0" fontId="32" fillId="32" borderId="301">
      <alignment horizontal="right" vertical="center"/>
    </xf>
    <xf numFmtId="4" fontId="32" fillId="32" borderId="301">
      <alignment horizontal="right" vertical="center"/>
    </xf>
    <xf numFmtId="0" fontId="36" fillId="32" borderId="301">
      <alignment horizontal="right" vertical="center"/>
    </xf>
    <xf numFmtId="4" fontId="36" fillId="32" borderId="301">
      <alignment horizontal="right" vertical="center"/>
    </xf>
    <xf numFmtId="0" fontId="32" fillId="34" borderId="301">
      <alignment horizontal="right" vertical="center"/>
    </xf>
    <xf numFmtId="4" fontId="32" fillId="34" borderId="301">
      <alignment horizontal="right" vertical="center"/>
    </xf>
    <xf numFmtId="0" fontId="32" fillId="34" borderId="301">
      <alignment horizontal="right" vertical="center"/>
    </xf>
    <xf numFmtId="4" fontId="32" fillId="34" borderId="301">
      <alignment horizontal="right" vertical="center"/>
    </xf>
    <xf numFmtId="0" fontId="32" fillId="34" borderId="302">
      <alignment horizontal="right" vertical="center"/>
    </xf>
    <xf numFmtId="4" fontId="32" fillId="34" borderId="302">
      <alignment horizontal="right" vertical="center"/>
    </xf>
    <xf numFmtId="0" fontId="32" fillId="34" borderId="303">
      <alignment horizontal="right" vertical="center"/>
    </xf>
    <xf numFmtId="4" fontId="32" fillId="34" borderId="303">
      <alignment horizontal="right" vertical="center"/>
    </xf>
    <xf numFmtId="0" fontId="46" fillId="56" borderId="298" applyNumberFormat="0" applyAlignment="0" applyProtection="0"/>
    <xf numFmtId="0" fontId="34" fillId="34" borderId="304">
      <alignment horizontal="left" vertical="center" wrapText="1" indent="2"/>
    </xf>
    <xf numFmtId="0" fontId="34" fillId="0" borderId="304">
      <alignment horizontal="left" vertical="center" wrapText="1" indent="2"/>
    </xf>
    <xf numFmtId="0" fontId="34" fillId="32" borderId="302">
      <alignment horizontal="left" vertical="center"/>
    </xf>
    <xf numFmtId="0" fontId="58" fillId="43" borderId="298" applyNumberFormat="0" applyAlignment="0" applyProtection="0"/>
    <xf numFmtId="0" fontId="34" fillId="0" borderId="301">
      <alignment horizontal="right" vertical="center"/>
    </xf>
    <xf numFmtId="4" fontId="34" fillId="0" borderId="301">
      <alignment horizontal="right" vertical="center"/>
    </xf>
    <xf numFmtId="0" fontId="34" fillId="0" borderId="301" applyNumberFormat="0" applyFill="0" applyAlignment="0" applyProtection="0"/>
    <xf numFmtId="0" fontId="62" fillId="56" borderId="297" applyNumberFormat="0" applyAlignment="0" applyProtection="0"/>
    <xf numFmtId="173" fontId="34" fillId="60" borderId="301" applyNumberFormat="0" applyFont="0" applyBorder="0" applyAlignment="0" applyProtection="0">
      <alignment horizontal="right" vertical="center"/>
    </xf>
    <xf numFmtId="0" fontId="34" fillId="33" borderId="301"/>
    <xf numFmtId="4" fontId="34" fillId="33" borderId="301"/>
    <xf numFmtId="0" fontId="65" fillId="0" borderId="299" applyNumberFormat="0" applyFill="0" applyAlignment="0" applyProtection="0"/>
    <xf numFmtId="0" fontId="5" fillId="59" borderId="300" applyNumberFormat="0" applyFont="0" applyAlignment="0" applyProtection="0"/>
    <xf numFmtId="0" fontId="40" fillId="59" borderId="300" applyNumberFormat="0" applyFont="0" applyAlignment="0" applyProtection="0"/>
    <xf numFmtId="0" fontId="34" fillId="0" borderId="301" applyNumberFormat="0" applyFill="0" applyAlignment="0" applyProtection="0"/>
    <xf numFmtId="0" fontId="50" fillId="0" borderId="299" applyNumberFormat="0" applyFill="0" applyAlignment="0" applyProtection="0"/>
    <xf numFmtId="0" fontId="65" fillId="0" borderId="299" applyNumberFormat="0" applyFill="0" applyAlignment="0" applyProtection="0"/>
    <xf numFmtId="0" fontId="49" fillId="43" borderId="298" applyNumberFormat="0" applyAlignment="0" applyProtection="0"/>
    <xf numFmtId="0" fontId="46" fillId="56" borderId="298" applyNumberFormat="0" applyAlignment="0" applyProtection="0"/>
    <xf numFmtId="4" fontId="36" fillId="32" borderId="301">
      <alignment horizontal="right" vertical="center"/>
    </xf>
    <xf numFmtId="0" fontId="32" fillId="32" borderId="301">
      <alignment horizontal="right" vertical="center"/>
    </xf>
    <xf numFmtId="173" fontId="34" fillId="60" borderId="301" applyNumberFormat="0" applyFont="0" applyBorder="0" applyAlignment="0" applyProtection="0">
      <alignment horizontal="right" vertical="center"/>
    </xf>
    <xf numFmtId="0" fontId="50" fillId="0" borderId="299" applyNumberFormat="0" applyFill="0" applyAlignment="0" applyProtection="0"/>
    <xf numFmtId="49" fontId="34" fillId="0" borderId="301" applyNumberFormat="0" applyFont="0" applyFill="0" applyBorder="0" applyProtection="0">
      <alignment horizontal="left" vertical="center" indent="2"/>
    </xf>
    <xf numFmtId="49" fontId="34" fillId="0" borderId="302" applyNumberFormat="0" applyFont="0" applyFill="0" applyBorder="0" applyProtection="0">
      <alignment horizontal="left" vertical="center" indent="5"/>
    </xf>
    <xf numFmtId="49" fontId="34" fillId="0" borderId="301" applyNumberFormat="0" applyFont="0" applyFill="0" applyBorder="0" applyProtection="0">
      <alignment horizontal="left" vertical="center" indent="2"/>
    </xf>
    <xf numFmtId="4" fontId="34" fillId="0" borderId="301" applyFill="0" applyBorder="0" applyProtection="0">
      <alignment horizontal="right" vertical="center"/>
    </xf>
    <xf numFmtId="49" fontId="33" fillId="0" borderId="301" applyNumberFormat="0" applyFill="0" applyBorder="0" applyProtection="0">
      <alignment horizontal="left" vertical="center"/>
    </xf>
    <xf numFmtId="0" fontId="34" fillId="0" borderId="304">
      <alignment horizontal="left" vertical="center" wrapText="1" indent="2"/>
    </xf>
    <xf numFmtId="0" fontId="62" fillId="56" borderId="297" applyNumberFormat="0" applyAlignment="0" applyProtection="0"/>
    <xf numFmtId="0" fontId="32" fillId="34" borderId="303">
      <alignment horizontal="right" vertical="center"/>
    </xf>
    <xf numFmtId="0" fontId="49" fillId="43" borderId="298" applyNumberFormat="0" applyAlignment="0" applyProtection="0"/>
    <xf numFmtId="0" fontId="32" fillId="34" borderId="303">
      <alignment horizontal="right" vertical="center"/>
    </xf>
    <xf numFmtId="4" fontId="32" fillId="34" borderId="301">
      <alignment horizontal="right" vertical="center"/>
    </xf>
    <xf numFmtId="0" fontId="32" fillId="34" borderId="301">
      <alignment horizontal="right" vertical="center"/>
    </xf>
    <xf numFmtId="0" fontId="43" fillId="56" borderId="297" applyNumberFormat="0" applyAlignment="0" applyProtection="0"/>
    <xf numFmtId="0" fontId="45" fillId="56" borderId="298" applyNumberFormat="0" applyAlignment="0" applyProtection="0"/>
    <xf numFmtId="0" fontId="50" fillId="0" borderId="299" applyNumberFormat="0" applyFill="0" applyAlignment="0" applyProtection="0"/>
    <xf numFmtId="0" fontId="34" fillId="33" borderId="301"/>
    <xf numFmtId="4" fontId="34" fillId="33" borderId="301"/>
    <xf numFmtId="4" fontId="32" fillId="34" borderId="301">
      <alignment horizontal="right" vertical="center"/>
    </xf>
    <xf numFmtId="0" fontId="36" fillId="32" borderId="301">
      <alignment horizontal="right" vertical="center"/>
    </xf>
    <xf numFmtId="0" fontId="49" fillId="43" borderId="298" applyNumberFormat="0" applyAlignment="0" applyProtection="0"/>
    <xf numFmtId="0" fontId="46" fillId="56" borderId="298" applyNumberFormat="0" applyAlignment="0" applyProtection="0"/>
    <xf numFmtId="4" fontId="34" fillId="0" borderId="301">
      <alignment horizontal="right" vertical="center"/>
    </xf>
    <xf numFmtId="0" fontId="34" fillId="34" borderId="304">
      <alignment horizontal="left" vertical="center" wrapText="1" indent="2"/>
    </xf>
    <xf numFmtId="0" fontId="34" fillId="0" borderId="304">
      <alignment horizontal="left" vertical="center" wrapText="1" indent="2"/>
    </xf>
    <xf numFmtId="0" fontId="62" fillId="56" borderId="297" applyNumberFormat="0" applyAlignment="0" applyProtection="0"/>
    <xf numFmtId="0" fontId="58" fillId="43" borderId="298" applyNumberFormat="0" applyAlignment="0" applyProtection="0"/>
    <xf numFmtId="0" fontId="45" fillId="56" borderId="298" applyNumberFormat="0" applyAlignment="0" applyProtection="0"/>
    <xf numFmtId="0" fontId="43" fillId="56" borderId="297" applyNumberFormat="0" applyAlignment="0" applyProtection="0"/>
    <xf numFmtId="0" fontId="32" fillId="34" borderId="303">
      <alignment horizontal="right" vertical="center"/>
    </xf>
    <xf numFmtId="0" fontId="36" fillId="32" borderId="301">
      <alignment horizontal="right" vertical="center"/>
    </xf>
    <xf numFmtId="4" fontId="32" fillId="32" borderId="301">
      <alignment horizontal="right" vertical="center"/>
    </xf>
    <xf numFmtId="4" fontId="32" fillId="34" borderId="301">
      <alignment horizontal="right" vertical="center"/>
    </xf>
    <xf numFmtId="49" fontId="34" fillId="0" borderId="302" applyNumberFormat="0" applyFont="0" applyFill="0" applyBorder="0" applyProtection="0">
      <alignment horizontal="left" vertical="center" indent="5"/>
    </xf>
    <xf numFmtId="4" fontId="34" fillId="0" borderId="301" applyFill="0" applyBorder="0" applyProtection="0">
      <alignment horizontal="right" vertical="center"/>
    </xf>
    <xf numFmtId="4" fontId="32" fillId="32" borderId="301">
      <alignment horizontal="right" vertical="center"/>
    </xf>
    <xf numFmtId="4" fontId="32" fillId="34" borderId="341">
      <alignment horizontal="right" vertical="center"/>
    </xf>
    <xf numFmtId="0" fontId="58" fillId="43" borderId="298" applyNumberFormat="0" applyAlignment="0" applyProtection="0"/>
    <xf numFmtId="0" fontId="49" fillId="43" borderId="298" applyNumberFormat="0" applyAlignment="0" applyProtection="0"/>
    <xf numFmtId="0" fontId="45" fillId="56" borderId="298" applyNumberFormat="0" applyAlignment="0" applyProtection="0"/>
    <xf numFmtId="0" fontId="34" fillId="34" borderId="304">
      <alignment horizontal="left" vertical="center" wrapText="1" indent="2"/>
    </xf>
    <xf numFmtId="0" fontId="34" fillId="0" borderId="304">
      <alignment horizontal="left" vertical="center" wrapText="1" indent="2"/>
    </xf>
    <xf numFmtId="0" fontId="34" fillId="34" borderId="304">
      <alignment horizontal="left" vertical="center" wrapText="1" indent="2"/>
    </xf>
    <xf numFmtId="0" fontId="34" fillId="0" borderId="304">
      <alignment horizontal="left" vertical="center" wrapText="1" indent="2"/>
    </xf>
    <xf numFmtId="0" fontId="43" fillId="56" borderId="297" applyNumberFormat="0" applyAlignment="0" applyProtection="0"/>
    <xf numFmtId="0" fontId="45" fillId="56" borderId="298" applyNumberFormat="0" applyAlignment="0" applyProtection="0"/>
    <xf numFmtId="0" fontId="46" fillId="56" borderId="298" applyNumberFormat="0" applyAlignment="0" applyProtection="0"/>
    <xf numFmtId="0" fontId="49" fillId="43" borderId="298" applyNumberFormat="0" applyAlignment="0" applyProtection="0"/>
    <xf numFmtId="0" fontId="50" fillId="0" borderId="299" applyNumberFormat="0" applyFill="0" applyAlignment="0" applyProtection="0"/>
    <xf numFmtId="0" fontId="58" fillId="43" borderId="298" applyNumberFormat="0" applyAlignment="0" applyProtection="0"/>
    <xf numFmtId="0" fontId="40" fillId="59" borderId="300" applyNumberFormat="0" applyFont="0" applyAlignment="0" applyProtection="0"/>
    <xf numFmtId="0" fontId="5" fillId="59" borderId="300" applyNumberFormat="0" applyFont="0" applyAlignment="0" applyProtection="0"/>
    <xf numFmtId="0" fontId="62" fillId="56" borderId="297" applyNumberFormat="0" applyAlignment="0" applyProtection="0"/>
    <xf numFmtId="0" fontId="65" fillId="0" borderId="299" applyNumberFormat="0" applyFill="0" applyAlignment="0" applyProtection="0"/>
    <xf numFmtId="0" fontId="46" fillId="56" borderId="298" applyNumberFormat="0" applyAlignment="0" applyProtection="0"/>
    <xf numFmtId="0" fontId="58" fillId="43" borderId="298" applyNumberFormat="0" applyAlignment="0" applyProtection="0"/>
    <xf numFmtId="0" fontId="40" fillId="59" borderId="300" applyNumberFormat="0" applyFont="0" applyAlignment="0" applyProtection="0"/>
    <xf numFmtId="0" fontId="62" fillId="56" borderId="297" applyNumberFormat="0" applyAlignment="0" applyProtection="0"/>
    <xf numFmtId="0" fontId="65" fillId="0" borderId="299" applyNumberFormat="0" applyFill="0" applyAlignment="0" applyProtection="0"/>
    <xf numFmtId="0" fontId="32" fillId="32" borderId="314">
      <alignment horizontal="right" vertical="center"/>
    </xf>
    <xf numFmtId="0" fontId="46" fillId="56" borderId="338" applyNumberFormat="0" applyAlignment="0" applyProtection="0"/>
    <xf numFmtId="4" fontId="32" fillId="34" borderId="311">
      <alignment horizontal="right" vertical="center"/>
    </xf>
    <xf numFmtId="0" fontId="32" fillId="34" borderId="309">
      <alignment horizontal="right" vertical="center"/>
    </xf>
    <xf numFmtId="0" fontId="46" fillId="56" borderId="298" applyNumberFormat="0" applyAlignment="0" applyProtection="0"/>
    <xf numFmtId="4" fontId="32" fillId="34" borderId="309">
      <alignment horizontal="right" vertical="center"/>
    </xf>
    <xf numFmtId="0" fontId="12" fillId="28" borderId="0" applyNumberFormat="0" applyBorder="0" applyAlignment="0" applyProtection="0"/>
    <xf numFmtId="0" fontId="26" fillId="27" borderId="0" applyNumberFormat="0" applyBorder="0" applyAlignment="0" applyProtection="0"/>
    <xf numFmtId="0" fontId="58" fillId="43" borderId="298" applyNumberFormat="0" applyAlignment="0" applyProtection="0"/>
    <xf numFmtId="0" fontId="62" fillId="56" borderId="297" applyNumberFormat="0" applyAlignment="0" applyProtection="0"/>
    <xf numFmtId="0" fontId="65" fillId="0" borderId="299" applyNumberFormat="0" applyFill="0" applyAlignment="0" applyProtection="0"/>
    <xf numFmtId="0" fontId="32" fillId="32" borderId="314">
      <alignment horizontal="right" vertical="center"/>
    </xf>
    <xf numFmtId="0" fontId="43" fillId="56" borderId="297" applyNumberFormat="0" applyAlignment="0" applyProtection="0"/>
    <xf numFmtId="0" fontId="45" fillId="56" borderId="298" applyNumberFormat="0" applyAlignment="0" applyProtection="0"/>
    <xf numFmtId="0" fontId="50" fillId="0" borderId="299" applyNumberFormat="0" applyFill="0" applyAlignment="0" applyProtection="0"/>
    <xf numFmtId="49" fontId="34" fillId="0" borderId="301" applyNumberFormat="0" applyFont="0" applyFill="0" applyBorder="0" applyProtection="0">
      <alignment horizontal="left" vertical="center" indent="2"/>
    </xf>
    <xf numFmtId="0" fontId="32" fillId="32" borderId="301">
      <alignment horizontal="right" vertical="center"/>
    </xf>
    <xf numFmtId="4" fontId="32" fillId="32" borderId="301">
      <alignment horizontal="right" vertical="center"/>
    </xf>
    <xf numFmtId="0" fontId="36" fillId="32" borderId="301">
      <alignment horizontal="right" vertical="center"/>
    </xf>
    <xf numFmtId="4" fontId="36" fillId="32" borderId="301">
      <alignment horizontal="right" vertical="center"/>
    </xf>
    <xf numFmtId="0" fontId="32" fillId="34" borderId="301">
      <alignment horizontal="right" vertical="center"/>
    </xf>
    <xf numFmtId="4" fontId="32" fillId="34" borderId="301">
      <alignment horizontal="right" vertical="center"/>
    </xf>
    <xf numFmtId="0" fontId="32" fillId="34" borderId="301">
      <alignment horizontal="right" vertical="center"/>
    </xf>
    <xf numFmtId="4" fontId="32" fillId="34" borderId="301">
      <alignment horizontal="right" vertical="center"/>
    </xf>
    <xf numFmtId="0" fontId="49" fillId="43" borderId="298" applyNumberFormat="0" applyAlignment="0" applyProtection="0"/>
    <xf numFmtId="0" fontId="34" fillId="0" borderId="301">
      <alignment horizontal="right" vertical="center"/>
    </xf>
    <xf numFmtId="4" fontId="34" fillId="0" borderId="301">
      <alignment horizontal="right" vertical="center"/>
    </xf>
    <xf numFmtId="4" fontId="34" fillId="0" borderId="301" applyFill="0" applyBorder="0" applyProtection="0">
      <alignment horizontal="right" vertical="center"/>
    </xf>
    <xf numFmtId="49" fontId="33" fillId="0" borderId="301" applyNumberFormat="0" applyFill="0" applyBorder="0" applyProtection="0">
      <alignment horizontal="left" vertical="center"/>
    </xf>
    <xf numFmtId="0" fontId="34" fillId="0" borderId="301" applyNumberFormat="0" applyFill="0" applyAlignment="0" applyProtection="0"/>
    <xf numFmtId="173" fontId="34" fillId="60" borderId="301" applyNumberFormat="0" applyFont="0" applyBorder="0" applyAlignment="0" applyProtection="0">
      <alignment horizontal="right" vertical="center"/>
    </xf>
    <xf numFmtId="0" fontId="34" fillId="33" borderId="301"/>
    <xf numFmtId="4" fontId="34" fillId="33" borderId="301"/>
    <xf numFmtId="4" fontId="32" fillId="34" borderId="301">
      <alignment horizontal="right" vertical="center"/>
    </xf>
    <xf numFmtId="0" fontId="34" fillId="33" borderId="301"/>
    <xf numFmtId="0" fontId="45" fillId="56" borderId="298" applyNumberFormat="0" applyAlignment="0" applyProtection="0"/>
    <xf numFmtId="0" fontId="32" fillId="32" borderId="301">
      <alignment horizontal="right" vertical="center"/>
    </xf>
    <xf numFmtId="0" fontId="34" fillId="0" borderId="301">
      <alignment horizontal="right" vertical="center"/>
    </xf>
    <xf numFmtId="0" fontId="65" fillId="0" borderId="299" applyNumberFormat="0" applyFill="0" applyAlignment="0" applyProtection="0"/>
    <xf numFmtId="0" fontId="34" fillId="32" borderId="302">
      <alignment horizontal="left" vertical="center"/>
    </xf>
    <xf numFmtId="0" fontId="58" fillId="43" borderId="298" applyNumberFormat="0" applyAlignment="0" applyProtection="0"/>
    <xf numFmtId="173" fontId="34" fillId="60" borderId="301" applyNumberFormat="0" applyFont="0" applyBorder="0" applyAlignment="0" applyProtection="0">
      <alignment horizontal="right" vertical="center"/>
    </xf>
    <xf numFmtId="0" fontId="40" fillId="59" borderId="300" applyNumberFormat="0" applyFont="0" applyAlignment="0" applyProtection="0"/>
    <xf numFmtId="0" fontId="34" fillId="0" borderId="304">
      <alignment horizontal="left" vertical="center" wrapText="1" indent="2"/>
    </xf>
    <xf numFmtId="4" fontId="34" fillId="33" borderId="301"/>
    <xf numFmtId="49" fontId="33" fillId="0" borderId="301" applyNumberFormat="0" applyFill="0" applyBorder="0" applyProtection="0">
      <alignment horizontal="left" vertical="center"/>
    </xf>
    <xf numFmtId="0" fontId="34" fillId="0" borderId="301">
      <alignment horizontal="right" vertical="center"/>
    </xf>
    <xf numFmtId="4" fontId="32" fillId="34" borderId="303">
      <alignment horizontal="right" vertical="center"/>
    </xf>
    <xf numFmtId="4" fontId="32" fillId="34" borderId="301">
      <alignment horizontal="right" vertical="center"/>
    </xf>
    <xf numFmtId="4" fontId="32" fillId="34" borderId="301">
      <alignment horizontal="right" vertical="center"/>
    </xf>
    <xf numFmtId="0" fontId="36" fillId="32" borderId="301">
      <alignment horizontal="right" vertical="center"/>
    </xf>
    <xf numFmtId="0" fontId="32" fillId="32" borderId="301">
      <alignment horizontal="right" vertical="center"/>
    </xf>
    <xf numFmtId="49" fontId="34" fillId="0" borderId="301" applyNumberFormat="0" applyFont="0" applyFill="0" applyBorder="0" applyProtection="0">
      <alignment horizontal="left" vertical="center" indent="2"/>
    </xf>
    <xf numFmtId="0" fontId="58" fillId="43" borderId="298" applyNumberFormat="0" applyAlignment="0" applyProtection="0"/>
    <xf numFmtId="0" fontId="43" fillId="56" borderId="297" applyNumberFormat="0" applyAlignment="0" applyProtection="0"/>
    <xf numFmtId="49" fontId="34" fillId="0" borderId="301" applyNumberFormat="0" applyFont="0" applyFill="0" applyBorder="0" applyProtection="0">
      <alignment horizontal="left" vertical="center" indent="2"/>
    </xf>
    <xf numFmtId="0" fontId="49" fillId="43" borderId="298" applyNumberFormat="0" applyAlignment="0" applyProtection="0"/>
    <xf numFmtId="4" fontId="34" fillId="0" borderId="301" applyFill="0" applyBorder="0" applyProtection="0">
      <alignment horizontal="right" vertical="center"/>
    </xf>
    <xf numFmtId="0" fontId="46" fillId="56" borderId="298" applyNumberFormat="0" applyAlignment="0" applyProtection="0"/>
    <xf numFmtId="0" fontId="65" fillId="0" borderId="299" applyNumberFormat="0" applyFill="0" applyAlignment="0" applyProtection="0"/>
    <xf numFmtId="0" fontId="62" fillId="56" borderId="297" applyNumberFormat="0" applyAlignment="0" applyProtection="0"/>
    <xf numFmtId="0" fontId="34" fillId="0" borderId="301" applyNumberFormat="0" applyFill="0" applyAlignment="0" applyProtection="0"/>
    <xf numFmtId="4" fontId="34" fillId="0" borderId="301">
      <alignment horizontal="right" vertical="center"/>
    </xf>
    <xf numFmtId="0" fontId="34" fillId="0" borderId="301">
      <alignment horizontal="right" vertical="center"/>
    </xf>
    <xf numFmtId="0" fontId="58" fillId="43" borderId="298" applyNumberFormat="0" applyAlignment="0" applyProtection="0"/>
    <xf numFmtId="0" fontId="43" fillId="56" borderId="297" applyNumberFormat="0" applyAlignment="0" applyProtection="0"/>
    <xf numFmtId="0" fontId="45" fillId="56" borderId="298" applyNumberFormat="0" applyAlignment="0" applyProtection="0"/>
    <xf numFmtId="0" fontId="34" fillId="34" borderId="304">
      <alignment horizontal="left" vertical="center" wrapText="1" indent="2"/>
    </xf>
    <xf numFmtId="0" fontId="46" fillId="56" borderId="298" applyNumberFormat="0" applyAlignment="0" applyProtection="0"/>
    <xf numFmtId="0" fontId="46" fillId="56" borderId="298" applyNumberFormat="0" applyAlignment="0" applyProtection="0"/>
    <xf numFmtId="4" fontId="32" fillId="34" borderId="302">
      <alignment horizontal="right" vertical="center"/>
    </xf>
    <xf numFmtId="0" fontId="32" fillId="34" borderId="302">
      <alignment horizontal="right" vertical="center"/>
    </xf>
    <xf numFmtId="0" fontId="32" fillId="34" borderId="301">
      <alignment horizontal="right" vertical="center"/>
    </xf>
    <xf numFmtId="4" fontId="36" fillId="32" borderId="301">
      <alignment horizontal="right" vertical="center"/>
    </xf>
    <xf numFmtId="0" fontId="49" fillId="43" borderId="298" applyNumberFormat="0" applyAlignment="0" applyProtection="0"/>
    <xf numFmtId="0" fontId="50" fillId="0" borderId="299" applyNumberFormat="0" applyFill="0" applyAlignment="0" applyProtection="0"/>
    <xf numFmtId="0" fontId="65" fillId="0" borderId="299" applyNumberFormat="0" applyFill="0" applyAlignment="0" applyProtection="0"/>
    <xf numFmtId="0" fontId="40" fillId="59" borderId="300" applyNumberFormat="0" applyFont="0" applyAlignment="0" applyProtection="0"/>
    <xf numFmtId="0" fontId="58" fillId="43" borderId="298" applyNumberFormat="0" applyAlignment="0" applyProtection="0"/>
    <xf numFmtId="49" fontId="33" fillId="0" borderId="301" applyNumberFormat="0" applyFill="0" applyBorder="0" applyProtection="0">
      <alignment horizontal="left" vertical="center"/>
    </xf>
    <xf numFmtId="0" fontId="34" fillId="34" borderId="304">
      <alignment horizontal="left" vertical="center" wrapText="1" indent="2"/>
    </xf>
    <xf numFmtId="0" fontId="46" fillId="56" borderId="298" applyNumberFormat="0" applyAlignment="0" applyProtection="0"/>
    <xf numFmtId="0" fontId="34" fillId="0" borderId="304">
      <alignment horizontal="left" vertical="center" wrapText="1" indent="2"/>
    </xf>
    <xf numFmtId="0" fontId="40" fillId="59" borderId="300" applyNumberFormat="0" applyFont="0" applyAlignment="0" applyProtection="0"/>
    <xf numFmtId="0" fontId="5" fillId="59" borderId="300" applyNumberFormat="0" applyFont="0" applyAlignment="0" applyProtection="0"/>
    <xf numFmtId="0" fontId="62" fillId="56" borderId="297" applyNumberFormat="0" applyAlignment="0" applyProtection="0"/>
    <xf numFmtId="0" fontId="65" fillId="0" borderId="299" applyNumberFormat="0" applyFill="0" applyAlignment="0" applyProtection="0"/>
    <xf numFmtId="4" fontId="34" fillId="33" borderId="301"/>
    <xf numFmtId="0" fontId="32" fillId="34" borderId="301">
      <alignment horizontal="right" vertical="center"/>
    </xf>
    <xf numFmtId="0" fontId="65" fillId="0" borderId="299" applyNumberFormat="0" applyFill="0" applyAlignment="0" applyProtection="0"/>
    <xf numFmtId="4" fontId="32" fillId="34" borderId="303">
      <alignment horizontal="right" vertical="center"/>
    </xf>
    <xf numFmtId="0" fontId="45" fillId="56" borderId="298" applyNumberFormat="0" applyAlignment="0" applyProtection="0"/>
    <xf numFmtId="0" fontId="32" fillId="34" borderId="302">
      <alignment horizontal="right" vertical="center"/>
    </xf>
    <xf numFmtId="0" fontId="46" fillId="56" borderId="298" applyNumberFormat="0" applyAlignment="0" applyProtection="0"/>
    <xf numFmtId="0" fontId="50" fillId="0" borderId="299" applyNumberFormat="0" applyFill="0" applyAlignment="0" applyProtection="0"/>
    <xf numFmtId="0" fontId="40" fillId="59" borderId="300" applyNumberFormat="0" applyFont="0" applyAlignment="0" applyProtection="0"/>
    <xf numFmtId="4" fontId="32" fillId="34" borderId="302">
      <alignment horizontal="right" vertical="center"/>
    </xf>
    <xf numFmtId="0" fontId="34" fillId="34" borderId="304">
      <alignment horizontal="left" vertical="center" wrapText="1" indent="2"/>
    </xf>
    <xf numFmtId="0" fontId="34" fillId="33" borderId="301"/>
    <xf numFmtId="173" fontId="34" fillId="60" borderId="301" applyNumberFormat="0" applyFont="0" applyBorder="0" applyAlignment="0" applyProtection="0">
      <alignment horizontal="right" vertical="center"/>
    </xf>
    <xf numFmtId="0" fontId="34" fillId="0" borderId="301" applyNumberFormat="0" applyFill="0" applyAlignment="0" applyProtection="0"/>
    <xf numFmtId="4" fontId="34" fillId="0" borderId="301" applyFill="0" applyBorder="0" applyProtection="0">
      <alignment horizontal="right" vertical="center"/>
    </xf>
    <xf numFmtId="4" fontId="32" fillId="32" borderId="301">
      <alignment horizontal="right" vertical="center"/>
    </xf>
    <xf numFmtId="0" fontId="50" fillId="0" borderId="299" applyNumberFormat="0" applyFill="0" applyAlignment="0" applyProtection="0"/>
    <xf numFmtId="49" fontId="33" fillId="0" borderId="301" applyNumberFormat="0" applyFill="0" applyBorder="0" applyProtection="0">
      <alignment horizontal="left" vertical="center"/>
    </xf>
    <xf numFmtId="49" fontId="34" fillId="0" borderId="302" applyNumberFormat="0" applyFont="0" applyFill="0" applyBorder="0" applyProtection="0">
      <alignment horizontal="left" vertical="center" indent="5"/>
    </xf>
    <xf numFmtId="0" fontId="34" fillId="32" borderId="302">
      <alignment horizontal="left" vertical="center"/>
    </xf>
    <xf numFmtId="0" fontId="46" fillId="56" borderId="298" applyNumberFormat="0" applyAlignment="0" applyProtection="0"/>
    <xf numFmtId="4" fontId="32" fillId="34" borderId="303">
      <alignment horizontal="right" vertical="center"/>
    </xf>
    <xf numFmtId="0" fontId="58" fillId="43" borderId="298" applyNumberFormat="0" applyAlignment="0" applyProtection="0"/>
    <xf numFmtId="0" fontId="58" fillId="43" borderId="298" applyNumberFormat="0" applyAlignment="0" applyProtection="0"/>
    <xf numFmtId="0" fontId="40" fillId="59" borderId="300" applyNumberFormat="0" applyFont="0" applyAlignment="0" applyProtection="0"/>
    <xf numFmtId="0" fontId="62" fillId="56" borderId="297" applyNumberFormat="0" applyAlignment="0" applyProtection="0"/>
    <xf numFmtId="0" fontId="65" fillId="0" borderId="299" applyNumberFormat="0" applyFill="0" applyAlignment="0" applyProtection="0"/>
    <xf numFmtId="0" fontId="32" fillId="34" borderId="301">
      <alignment horizontal="right" vertical="center"/>
    </xf>
    <xf numFmtId="0" fontId="5" fillId="59" borderId="300" applyNumberFormat="0" applyFont="0" applyAlignment="0" applyProtection="0"/>
    <xf numFmtId="4" fontId="34" fillId="0" borderId="301">
      <alignment horizontal="right" vertical="center"/>
    </xf>
    <xf numFmtId="0" fontId="65" fillId="0" borderId="299" applyNumberFormat="0" applyFill="0" applyAlignment="0" applyProtection="0"/>
    <xf numFmtId="0" fontId="32" fillId="34" borderId="301">
      <alignment horizontal="right" vertical="center"/>
    </xf>
    <xf numFmtId="0" fontId="32" fillId="34" borderId="301">
      <alignment horizontal="right" vertical="center"/>
    </xf>
    <xf numFmtId="4" fontId="36" fillId="32" borderId="301">
      <alignment horizontal="right" vertical="center"/>
    </xf>
    <xf numFmtId="0" fontId="32" fillId="32" borderId="301">
      <alignment horizontal="right" vertical="center"/>
    </xf>
    <xf numFmtId="4" fontId="32" fillId="32" borderId="301">
      <alignment horizontal="right" vertical="center"/>
    </xf>
    <xf numFmtId="0" fontId="36" fillId="32" borderId="301">
      <alignment horizontal="right" vertical="center"/>
    </xf>
    <xf numFmtId="4" fontId="36" fillId="32" borderId="301">
      <alignment horizontal="right" vertical="center"/>
    </xf>
    <xf numFmtId="0" fontId="32" fillId="34" borderId="301">
      <alignment horizontal="right" vertical="center"/>
    </xf>
    <xf numFmtId="4" fontId="32" fillId="34" borderId="301">
      <alignment horizontal="right" vertical="center"/>
    </xf>
    <xf numFmtId="0" fontId="32" fillId="34" borderId="301">
      <alignment horizontal="right" vertical="center"/>
    </xf>
    <xf numFmtId="4" fontId="32" fillId="34" borderId="301">
      <alignment horizontal="right" vertical="center"/>
    </xf>
    <xf numFmtId="0" fontId="32" fillId="34" borderId="302">
      <alignment horizontal="right" vertical="center"/>
    </xf>
    <xf numFmtId="4" fontId="32" fillId="34" borderId="302">
      <alignment horizontal="right" vertical="center"/>
    </xf>
    <xf numFmtId="0" fontId="32" fillId="34" borderId="303">
      <alignment horizontal="right" vertical="center"/>
    </xf>
    <xf numFmtId="4" fontId="32" fillId="34" borderId="303">
      <alignment horizontal="right" vertical="center"/>
    </xf>
    <xf numFmtId="0" fontId="46" fillId="56" borderId="298" applyNumberFormat="0" applyAlignment="0" applyProtection="0"/>
    <xf numFmtId="0" fontId="34" fillId="34" borderId="304">
      <alignment horizontal="left" vertical="center" wrapText="1" indent="2"/>
    </xf>
    <xf numFmtId="0" fontId="34" fillId="0" borderId="304">
      <alignment horizontal="left" vertical="center" wrapText="1" indent="2"/>
    </xf>
    <xf numFmtId="0" fontId="34" fillId="32" borderId="302">
      <alignment horizontal="left" vertical="center"/>
    </xf>
    <xf numFmtId="0" fontId="58" fillId="43" borderId="298" applyNumberFormat="0" applyAlignment="0" applyProtection="0"/>
    <xf numFmtId="0" fontId="34" fillId="0" borderId="301">
      <alignment horizontal="right" vertical="center"/>
    </xf>
    <xf numFmtId="4" fontId="34" fillId="0" borderId="301">
      <alignment horizontal="right" vertical="center"/>
    </xf>
    <xf numFmtId="0" fontId="34" fillId="0" borderId="301" applyNumberFormat="0" applyFill="0" applyAlignment="0" applyProtection="0"/>
    <xf numFmtId="0" fontId="62" fillId="56" borderId="297" applyNumberFormat="0" applyAlignment="0" applyProtection="0"/>
    <xf numFmtId="173" fontId="34" fillId="60" borderId="301" applyNumberFormat="0" applyFont="0" applyBorder="0" applyAlignment="0" applyProtection="0">
      <alignment horizontal="right" vertical="center"/>
    </xf>
    <xf numFmtId="0" fontId="34" fillId="33" borderId="301"/>
    <xf numFmtId="4" fontId="34" fillId="33" borderId="301"/>
    <xf numFmtId="0" fontId="65" fillId="0" borderId="299" applyNumberFormat="0" applyFill="0" applyAlignment="0" applyProtection="0"/>
    <xf numFmtId="0" fontId="5" fillId="59" borderId="300" applyNumberFormat="0" applyFont="0" applyAlignment="0" applyProtection="0"/>
    <xf numFmtId="0" fontId="40" fillId="59" borderId="300" applyNumberFormat="0" applyFont="0" applyAlignment="0" applyProtection="0"/>
    <xf numFmtId="0" fontId="34" fillId="0" borderId="301" applyNumberFormat="0" applyFill="0" applyAlignment="0" applyProtection="0"/>
    <xf numFmtId="0" fontId="50" fillId="0" borderId="299" applyNumberFormat="0" applyFill="0" applyAlignment="0" applyProtection="0"/>
    <xf numFmtId="0" fontId="65" fillId="0" borderId="299" applyNumberFormat="0" applyFill="0" applyAlignment="0" applyProtection="0"/>
    <xf numFmtId="0" fontId="49" fillId="43" borderId="298" applyNumberFormat="0" applyAlignment="0" applyProtection="0"/>
    <xf numFmtId="0" fontId="46" fillId="56" borderId="298" applyNumberFormat="0" applyAlignment="0" applyProtection="0"/>
    <xf numFmtId="4" fontId="36" fillId="32" borderId="301">
      <alignment horizontal="right" vertical="center"/>
    </xf>
    <xf numFmtId="0" fontId="32" fillId="32" borderId="301">
      <alignment horizontal="right" vertical="center"/>
    </xf>
    <xf numFmtId="173" fontId="34" fillId="60" borderId="301" applyNumberFormat="0" applyFont="0" applyBorder="0" applyAlignment="0" applyProtection="0">
      <alignment horizontal="right" vertical="center"/>
    </xf>
    <xf numFmtId="0" fontId="50" fillId="0" borderId="299" applyNumberFormat="0" applyFill="0" applyAlignment="0" applyProtection="0"/>
    <xf numFmtId="49" fontId="34" fillId="0" borderId="301" applyNumberFormat="0" applyFont="0" applyFill="0" applyBorder="0" applyProtection="0">
      <alignment horizontal="left" vertical="center" indent="2"/>
    </xf>
    <xf numFmtId="49" fontId="34" fillId="0" borderId="302" applyNumberFormat="0" applyFont="0" applyFill="0" applyBorder="0" applyProtection="0">
      <alignment horizontal="left" vertical="center" indent="5"/>
    </xf>
    <xf numFmtId="49" fontId="34" fillId="0" borderId="301" applyNumberFormat="0" applyFont="0" applyFill="0" applyBorder="0" applyProtection="0">
      <alignment horizontal="left" vertical="center" indent="2"/>
    </xf>
    <xf numFmtId="4" fontId="34" fillId="0" borderId="301" applyFill="0" applyBorder="0" applyProtection="0">
      <alignment horizontal="right" vertical="center"/>
    </xf>
    <xf numFmtId="49" fontId="33" fillId="0" borderId="301" applyNumberFormat="0" applyFill="0" applyBorder="0" applyProtection="0">
      <alignment horizontal="left" vertical="center"/>
    </xf>
    <xf numFmtId="0" fontId="34" fillId="0" borderId="304">
      <alignment horizontal="left" vertical="center" wrapText="1" indent="2"/>
    </xf>
    <xf numFmtId="0" fontId="62" fillId="56" borderId="297" applyNumberFormat="0" applyAlignment="0" applyProtection="0"/>
    <xf numFmtId="0" fontId="32" fillId="34" borderId="303">
      <alignment horizontal="right" vertical="center"/>
    </xf>
    <xf numFmtId="0" fontId="49" fillId="43" borderId="298" applyNumberFormat="0" applyAlignment="0" applyProtection="0"/>
    <xf numFmtId="0" fontId="32" fillId="34" borderId="303">
      <alignment horizontal="right" vertical="center"/>
    </xf>
    <xf numFmtId="4" fontId="32" fillId="34" borderId="301">
      <alignment horizontal="right" vertical="center"/>
    </xf>
    <xf numFmtId="0" fontId="32" fillId="34" borderId="301">
      <alignment horizontal="right" vertical="center"/>
    </xf>
    <xf numFmtId="0" fontId="43" fillId="56" borderId="297" applyNumberFormat="0" applyAlignment="0" applyProtection="0"/>
    <xf numFmtId="0" fontId="45" fillId="56" borderId="298" applyNumberFormat="0" applyAlignment="0" applyProtection="0"/>
    <xf numFmtId="0" fontId="50" fillId="0" borderId="299" applyNumberFormat="0" applyFill="0" applyAlignment="0" applyProtection="0"/>
    <xf numFmtId="0" fontId="34" fillId="33" borderId="301"/>
    <xf numFmtId="4" fontId="34" fillId="33" borderId="301"/>
    <xf numFmtId="4" fontId="32" fillId="34" borderId="301">
      <alignment horizontal="right" vertical="center"/>
    </xf>
    <xf numFmtId="0" fontId="36" fillId="32" borderId="301">
      <alignment horizontal="right" vertical="center"/>
    </xf>
    <xf numFmtId="0" fontId="49" fillId="43" borderId="298" applyNumberFormat="0" applyAlignment="0" applyProtection="0"/>
    <xf numFmtId="0" fontId="46" fillId="56" borderId="298" applyNumberFormat="0" applyAlignment="0" applyProtection="0"/>
    <xf numFmtId="4" fontId="34" fillId="0" borderId="301">
      <alignment horizontal="right" vertical="center"/>
    </xf>
    <xf numFmtId="0" fontId="34" fillId="34" borderId="304">
      <alignment horizontal="left" vertical="center" wrapText="1" indent="2"/>
    </xf>
    <xf numFmtId="0" fontId="34" fillId="0" borderId="304">
      <alignment horizontal="left" vertical="center" wrapText="1" indent="2"/>
    </xf>
    <xf numFmtId="0" fontId="62" fillId="56" borderId="297" applyNumberFormat="0" applyAlignment="0" applyProtection="0"/>
    <xf numFmtId="0" fontId="58" fillId="43" borderId="298" applyNumberFormat="0" applyAlignment="0" applyProtection="0"/>
    <xf numFmtId="0" fontId="45" fillId="56" borderId="298" applyNumberFormat="0" applyAlignment="0" applyProtection="0"/>
    <xf numFmtId="0" fontId="43" fillId="56" borderId="297" applyNumberFormat="0" applyAlignment="0" applyProtection="0"/>
    <xf numFmtId="0" fontId="32" fillId="34" borderId="303">
      <alignment horizontal="right" vertical="center"/>
    </xf>
    <xf numFmtId="0" fontId="36" fillId="32" borderId="301">
      <alignment horizontal="right" vertical="center"/>
    </xf>
    <xf numFmtId="4" fontId="32" fillId="32" borderId="301">
      <alignment horizontal="right" vertical="center"/>
    </xf>
    <xf numFmtId="4" fontId="32" fillId="34" borderId="301">
      <alignment horizontal="right" vertical="center"/>
    </xf>
    <xf numFmtId="49" fontId="34" fillId="0" borderId="302" applyNumberFormat="0" applyFont="0" applyFill="0" applyBorder="0" applyProtection="0">
      <alignment horizontal="left" vertical="center" indent="5"/>
    </xf>
    <xf numFmtId="4" fontId="34" fillId="0" borderId="301" applyFill="0" applyBorder="0" applyProtection="0">
      <alignment horizontal="right" vertical="center"/>
    </xf>
    <xf numFmtId="4" fontId="32" fillId="32" borderId="301">
      <alignment horizontal="right" vertical="center"/>
    </xf>
    <xf numFmtId="0" fontId="58" fillId="43" borderId="298" applyNumberFormat="0" applyAlignment="0" applyProtection="0"/>
    <xf numFmtId="0" fontId="49" fillId="43" borderId="298" applyNumberFormat="0" applyAlignment="0" applyProtection="0"/>
    <xf numFmtId="0" fontId="45" fillId="56" borderId="298" applyNumberFormat="0" applyAlignment="0" applyProtection="0"/>
    <xf numFmtId="0" fontId="34" fillId="34" borderId="304">
      <alignment horizontal="left" vertical="center" wrapText="1" indent="2"/>
    </xf>
    <xf numFmtId="0" fontId="34" fillId="0" borderId="304">
      <alignment horizontal="left" vertical="center" wrapText="1" indent="2"/>
    </xf>
    <xf numFmtId="0" fontId="34" fillId="34" borderId="304">
      <alignment horizontal="left" vertical="center" wrapText="1" indent="2"/>
    </xf>
    <xf numFmtId="0" fontId="34" fillId="0" borderId="304">
      <alignment horizontal="left" vertical="center" wrapText="1" indent="2"/>
    </xf>
    <xf numFmtId="0" fontId="12" fillId="16" borderId="0" applyNumberFormat="0" applyBorder="0" applyAlignment="0" applyProtection="0"/>
    <xf numFmtId="0" fontId="32" fillId="34" borderId="335">
      <alignment horizontal="right" vertical="center"/>
    </xf>
    <xf numFmtId="0" fontId="26" fillId="26" borderId="0" applyNumberFormat="0" applyBorder="0" applyAlignment="0" applyProtection="0"/>
    <xf numFmtId="0" fontId="32" fillId="34" borderId="315">
      <alignment horizontal="right" vertical="center"/>
    </xf>
    <xf numFmtId="0" fontId="62" fillId="56" borderId="318" applyNumberFormat="0" applyAlignment="0" applyProtection="0"/>
    <xf numFmtId="0" fontId="34" fillId="34" borderId="317">
      <alignment horizontal="left" vertical="center" wrapText="1" indent="2"/>
    </xf>
    <xf numFmtId="0" fontId="40" fillId="59" borderId="313" applyNumberFormat="0" applyFont="0" applyAlignment="0" applyProtection="0"/>
    <xf numFmtId="0" fontId="34" fillId="32" borderId="310">
      <alignment horizontal="left" vertical="center"/>
    </xf>
    <xf numFmtId="0" fontId="45" fillId="56" borderId="319" applyNumberFormat="0" applyAlignment="0" applyProtection="0"/>
    <xf numFmtId="0" fontId="40" fillId="59" borderId="308" applyNumberFormat="0" applyFont="0" applyAlignment="0" applyProtection="0"/>
    <xf numFmtId="4" fontId="34" fillId="33" borderId="346"/>
    <xf numFmtId="173" fontId="34" fillId="60" borderId="324" applyNumberFormat="0" applyFont="0" applyBorder="0" applyAlignment="0" applyProtection="0">
      <alignment horizontal="right" vertical="center"/>
    </xf>
    <xf numFmtId="0" fontId="40" fillId="59" borderId="313" applyNumberFormat="0" applyFont="0" applyAlignment="0" applyProtection="0"/>
    <xf numFmtId="0" fontId="40" fillId="59" borderId="345" applyNumberFormat="0" applyFont="0" applyAlignment="0" applyProtection="0"/>
    <xf numFmtId="49" fontId="34" fillId="0" borderId="325" applyNumberFormat="0" applyFont="0" applyFill="0" applyBorder="0" applyProtection="0">
      <alignment horizontal="left" vertical="center" indent="5"/>
    </xf>
    <xf numFmtId="0" fontId="26" fillId="26" borderId="0" applyNumberFormat="0" applyBorder="0" applyAlignment="0" applyProtection="0"/>
    <xf numFmtId="0" fontId="26" fillId="17" borderId="0" applyNumberFormat="0" applyBorder="0" applyAlignment="0" applyProtection="0"/>
    <xf numFmtId="0" fontId="46" fillId="56" borderId="321" applyNumberFormat="0" applyAlignment="0" applyProtection="0"/>
    <xf numFmtId="0" fontId="34" fillId="0" borderId="314" applyNumberFormat="0" applyFill="0" applyAlignment="0" applyProtection="0"/>
    <xf numFmtId="0" fontId="26" fillId="29" borderId="0" applyNumberFormat="0" applyBorder="0" applyAlignment="0" applyProtection="0"/>
    <xf numFmtId="0" fontId="29" fillId="13" borderId="13" applyNumberFormat="0" applyAlignment="0" applyProtection="0"/>
    <xf numFmtId="0" fontId="32" fillId="34" borderId="315">
      <alignment horizontal="right" vertical="center"/>
    </xf>
    <xf numFmtId="0" fontId="34" fillId="34" borderId="312">
      <alignment horizontal="left" vertical="center" wrapText="1" indent="2"/>
    </xf>
    <xf numFmtId="0" fontId="62" fillId="56" borderId="305" applyNumberFormat="0" applyAlignment="0" applyProtection="0"/>
    <xf numFmtId="4" fontId="34" fillId="33" borderId="309"/>
    <xf numFmtId="0" fontId="65" fillId="0" borderId="307" applyNumberFormat="0" applyFill="0" applyAlignment="0" applyProtection="0"/>
    <xf numFmtId="173" fontId="34" fillId="60" borderId="309" applyNumberFormat="0" applyFont="0" applyBorder="0" applyAlignment="0" applyProtection="0">
      <alignment horizontal="right" vertical="center"/>
    </xf>
    <xf numFmtId="0" fontId="34" fillId="0" borderId="309">
      <alignment horizontal="right" vertical="center"/>
    </xf>
    <xf numFmtId="4" fontId="34" fillId="0" borderId="309">
      <alignment horizontal="right" vertical="center"/>
    </xf>
    <xf numFmtId="0" fontId="62" fillId="56" borderId="318" applyNumberFormat="0" applyAlignment="0" applyProtection="0"/>
    <xf numFmtId="0" fontId="34" fillId="0" borderId="312">
      <alignment horizontal="left" vertical="center" wrapText="1" indent="2"/>
    </xf>
    <xf numFmtId="4" fontId="32" fillId="34" borderId="309">
      <alignment horizontal="right" vertical="center"/>
    </xf>
    <xf numFmtId="0" fontId="32" fillId="34" borderId="310">
      <alignment horizontal="right" vertical="center"/>
    </xf>
    <xf numFmtId="4" fontId="32" fillId="34" borderId="310">
      <alignment horizontal="right" vertical="center"/>
    </xf>
    <xf numFmtId="0" fontId="32" fillId="34" borderId="309">
      <alignment horizontal="right" vertical="center"/>
    </xf>
    <xf numFmtId="4" fontId="32" fillId="32" borderId="309">
      <alignment horizontal="right" vertical="center"/>
    </xf>
    <xf numFmtId="0" fontId="36" fillId="32" borderId="309">
      <alignment horizontal="right" vertical="center"/>
    </xf>
    <xf numFmtId="0" fontId="32" fillId="34" borderId="316">
      <alignment horizontal="right" vertical="center"/>
    </xf>
    <xf numFmtId="173" fontId="34" fillId="60" borderId="314" applyNumberFormat="0" applyFont="0" applyBorder="0" applyAlignment="0" applyProtection="0">
      <alignment horizontal="right" vertical="center"/>
    </xf>
    <xf numFmtId="0" fontId="32" fillId="34" borderId="314">
      <alignment horizontal="right" vertical="center"/>
    </xf>
    <xf numFmtId="4" fontId="36" fillId="32" borderId="314">
      <alignment horizontal="right" vertical="center"/>
    </xf>
    <xf numFmtId="4" fontId="32" fillId="34" borderId="324">
      <alignment horizontal="right" vertical="center"/>
    </xf>
    <xf numFmtId="0" fontId="34" fillId="0" borderId="344">
      <alignment horizontal="left" vertical="center" wrapText="1" indent="2"/>
    </xf>
    <xf numFmtId="4" fontId="32" fillId="34" borderId="348">
      <alignment horizontal="right" vertical="center"/>
    </xf>
    <xf numFmtId="0" fontId="65" fillId="0" borderId="307" applyNumberFormat="0" applyFill="0" applyAlignment="0" applyProtection="0"/>
    <xf numFmtId="0" fontId="26" fillId="15" borderId="0" applyNumberFormat="0" applyBorder="0" applyAlignment="0" applyProtection="0"/>
    <xf numFmtId="0" fontId="62" fillId="56" borderId="305" applyNumberFormat="0" applyAlignment="0" applyProtection="0"/>
    <xf numFmtId="0" fontId="26" fillId="17" borderId="0" applyNumberFormat="0" applyBorder="0" applyAlignment="0" applyProtection="0"/>
    <xf numFmtId="4" fontId="32" fillId="34" borderId="334">
      <alignment horizontal="right" vertical="center"/>
    </xf>
    <xf numFmtId="49" fontId="34" fillId="0" borderId="324" applyNumberFormat="0" applyFont="0" applyFill="0" applyBorder="0" applyProtection="0">
      <alignment horizontal="left" vertical="center" indent="2"/>
    </xf>
    <xf numFmtId="0" fontId="26" fillId="18" borderId="0" applyNumberFormat="0" applyBorder="0" applyAlignment="0" applyProtection="0"/>
    <xf numFmtId="0" fontId="62" fillId="56" borderId="328" applyNumberFormat="0" applyAlignment="0" applyProtection="0"/>
    <xf numFmtId="4" fontId="32" fillId="34" borderId="314">
      <alignment horizontal="right" vertical="center"/>
    </xf>
    <xf numFmtId="0" fontId="43" fillId="56" borderId="318" applyNumberFormat="0" applyAlignment="0" applyProtection="0"/>
    <xf numFmtId="0" fontId="34" fillId="32" borderId="315">
      <alignment horizontal="left" vertical="center"/>
    </xf>
    <xf numFmtId="4" fontId="32" fillId="34" borderId="334">
      <alignment horizontal="right" vertical="center"/>
    </xf>
    <xf numFmtId="0" fontId="43" fillId="56" borderId="329" applyNumberFormat="0" applyAlignment="0" applyProtection="0"/>
    <xf numFmtId="0" fontId="34" fillId="0" borderId="324" applyNumberFormat="0" applyFill="0" applyAlignment="0" applyProtection="0"/>
    <xf numFmtId="49" fontId="33" fillId="0" borderId="324" applyNumberFormat="0" applyFill="0" applyBorder="0" applyProtection="0">
      <alignment horizontal="left" vertical="center"/>
    </xf>
    <xf numFmtId="0" fontId="32" fillId="34" borderId="314">
      <alignment horizontal="right" vertical="center"/>
    </xf>
    <xf numFmtId="0" fontId="65" fillId="0" borderId="320" applyNumberFormat="0" applyFill="0" applyAlignment="0" applyProtection="0"/>
    <xf numFmtId="0" fontId="34" fillId="0" borderId="314">
      <alignment horizontal="right" vertical="center"/>
    </xf>
    <xf numFmtId="0" fontId="40" fillId="59" borderId="313" applyNumberFormat="0" applyFont="0" applyAlignment="0" applyProtection="0"/>
    <xf numFmtId="0" fontId="65" fillId="0" borderId="339" applyNumberFormat="0" applyFill="0" applyAlignment="0" applyProtection="0"/>
    <xf numFmtId="0" fontId="26" fillId="26" borderId="0" applyNumberFormat="0" applyBorder="0" applyAlignment="0" applyProtection="0"/>
    <xf numFmtId="0" fontId="12" fillId="22" borderId="0" applyNumberFormat="0" applyBorder="0" applyAlignment="0" applyProtection="0"/>
    <xf numFmtId="0" fontId="36" fillId="32" borderId="324">
      <alignment horizontal="right" vertical="center"/>
    </xf>
    <xf numFmtId="0" fontId="43" fillId="56" borderId="318" applyNumberFormat="0" applyAlignment="0" applyProtection="0"/>
    <xf numFmtId="4" fontId="34" fillId="33" borderId="314"/>
    <xf numFmtId="0" fontId="32" fillId="34" borderId="348">
      <alignment horizontal="right" vertical="center"/>
    </xf>
    <xf numFmtId="0" fontId="45" fillId="56" borderId="351" applyNumberFormat="0" applyAlignment="0" applyProtection="0"/>
    <xf numFmtId="0" fontId="50" fillId="0" borderId="320" applyNumberFormat="0" applyFill="0" applyAlignment="0" applyProtection="0"/>
    <xf numFmtId="0" fontId="34" fillId="32" borderId="315">
      <alignment horizontal="left" vertical="center"/>
    </xf>
    <xf numFmtId="0" fontId="58" fillId="43" borderId="338" applyNumberFormat="0" applyAlignment="0" applyProtection="0"/>
    <xf numFmtId="0" fontId="65" fillId="0" borderId="307" applyNumberFormat="0" applyFill="0" applyAlignment="0" applyProtection="0"/>
    <xf numFmtId="0" fontId="40" fillId="59" borderId="308" applyNumberFormat="0" applyFont="0" applyAlignment="0" applyProtection="0"/>
    <xf numFmtId="4" fontId="32" fillId="34" borderId="314">
      <alignment horizontal="right" vertical="center"/>
    </xf>
    <xf numFmtId="49" fontId="34" fillId="0" borderId="334" applyNumberFormat="0" applyFont="0" applyFill="0" applyBorder="0" applyProtection="0">
      <alignment horizontal="left" vertical="center" indent="5"/>
    </xf>
    <xf numFmtId="0" fontId="5" fillId="59" borderId="308" applyNumberFormat="0" applyFont="0" applyAlignment="0" applyProtection="0"/>
    <xf numFmtId="4" fontId="36" fillId="32" borderId="341">
      <alignment horizontal="right" vertical="center"/>
    </xf>
    <xf numFmtId="0" fontId="62" fillId="56" borderId="328" applyNumberFormat="0" applyAlignment="0" applyProtection="0"/>
    <xf numFmtId="0" fontId="2" fillId="0" borderId="15" applyNumberFormat="0" applyFill="0" applyAlignment="0" applyProtection="0"/>
    <xf numFmtId="0" fontId="50" fillId="0" borderId="320" applyNumberFormat="0" applyFill="0" applyAlignment="0" applyProtection="0"/>
    <xf numFmtId="4" fontId="34" fillId="0" borderId="314">
      <alignment horizontal="right" vertical="center"/>
    </xf>
    <xf numFmtId="0" fontId="43" fillId="56" borderId="318" applyNumberFormat="0" applyAlignment="0" applyProtection="0"/>
    <xf numFmtId="0" fontId="26" fillId="24" borderId="0" applyNumberFormat="0" applyBorder="0" applyAlignment="0" applyProtection="0"/>
    <xf numFmtId="0" fontId="58" fillId="43" borderId="306" applyNumberFormat="0" applyAlignment="0" applyProtection="0"/>
    <xf numFmtId="0" fontId="12" fillId="16" borderId="0" applyNumberFormat="0" applyBorder="0" applyAlignment="0" applyProtection="0"/>
    <xf numFmtId="0" fontId="34" fillId="34" borderId="312">
      <alignment horizontal="left" vertical="center" wrapText="1" indent="2"/>
    </xf>
    <xf numFmtId="4" fontId="36" fillId="32" borderId="309">
      <alignment horizontal="right" vertical="center"/>
    </xf>
    <xf numFmtId="49" fontId="34" fillId="0" borderId="314" applyNumberFormat="0" applyFont="0" applyFill="0" applyBorder="0" applyProtection="0">
      <alignment horizontal="left" vertical="center" indent="2"/>
    </xf>
    <xf numFmtId="0" fontId="62" fillId="56" borderId="328" applyNumberFormat="0" applyAlignment="0" applyProtection="0"/>
    <xf numFmtId="4" fontId="32" fillId="34" borderId="346">
      <alignment horizontal="right" vertical="center"/>
    </xf>
    <xf numFmtId="0" fontId="26" fillId="21" borderId="0" applyNumberFormat="0" applyBorder="0" applyAlignment="0" applyProtection="0"/>
    <xf numFmtId="4" fontId="32" fillId="34" borderId="347">
      <alignment horizontal="right" vertical="center"/>
    </xf>
    <xf numFmtId="0" fontId="34" fillId="0" borderId="317">
      <alignment horizontal="left" vertical="center" wrapText="1" indent="2"/>
    </xf>
    <xf numFmtId="0" fontId="2" fillId="0" borderId="15" applyNumberFormat="0" applyFill="0" applyAlignment="0" applyProtection="0"/>
    <xf numFmtId="0" fontId="12" fillId="31" borderId="0" applyNumberFormat="0" applyBorder="0" applyAlignment="0" applyProtection="0"/>
    <xf numFmtId="0" fontId="49" fillId="43" borderId="319" applyNumberFormat="0" applyAlignment="0" applyProtection="0"/>
    <xf numFmtId="4" fontId="36" fillId="32" borderId="309">
      <alignment horizontal="right" vertical="center"/>
    </xf>
    <xf numFmtId="4" fontId="32" fillId="32" borderId="309">
      <alignment horizontal="right" vertical="center"/>
    </xf>
    <xf numFmtId="0" fontId="34" fillId="0" borderId="312">
      <alignment horizontal="left" vertical="center" wrapText="1" indent="2"/>
    </xf>
    <xf numFmtId="0" fontId="62" fillId="56" borderId="305" applyNumberFormat="0" applyAlignment="0" applyProtection="0"/>
    <xf numFmtId="0" fontId="34" fillId="0" borderId="309">
      <alignment horizontal="right" vertical="center"/>
    </xf>
    <xf numFmtId="0" fontId="65" fillId="0" borderId="307" applyNumberFormat="0" applyFill="0" applyAlignment="0" applyProtection="0"/>
    <xf numFmtId="49" fontId="33" fillId="0" borderId="309" applyNumberFormat="0" applyFill="0" applyBorder="0" applyProtection="0">
      <alignment horizontal="left" vertical="center"/>
    </xf>
    <xf numFmtId="4" fontId="34" fillId="33" borderId="309"/>
    <xf numFmtId="0" fontId="58" fillId="43" borderId="306" applyNumberFormat="0" applyAlignment="0" applyProtection="0"/>
    <xf numFmtId="49" fontId="34" fillId="0" borderId="314" applyNumberFormat="0" applyFont="0" applyFill="0" applyBorder="0" applyProtection="0">
      <alignment horizontal="left" vertical="center" indent="2"/>
    </xf>
    <xf numFmtId="0" fontId="34" fillId="34" borderId="317">
      <alignment horizontal="left" vertical="center" wrapText="1" indent="2"/>
    </xf>
    <xf numFmtId="173" fontId="34" fillId="60" borderId="309" applyNumberFormat="0" applyFont="0" applyBorder="0" applyAlignment="0" applyProtection="0">
      <alignment horizontal="right" vertical="center"/>
    </xf>
    <xf numFmtId="0" fontId="40" fillId="59" borderId="323" applyNumberFormat="0" applyFont="0" applyAlignment="0" applyProtection="0"/>
    <xf numFmtId="0" fontId="46" fillId="56" borderId="306" applyNumberFormat="0" applyAlignment="0" applyProtection="0"/>
    <xf numFmtId="0" fontId="34" fillId="0" borderId="327">
      <alignment horizontal="left" vertical="center" wrapText="1" indent="2"/>
    </xf>
    <xf numFmtId="0" fontId="36" fillId="32" borderId="324">
      <alignment horizontal="right" vertical="center"/>
    </xf>
    <xf numFmtId="4" fontId="36" fillId="32" borderId="314">
      <alignment horizontal="right" vertical="center"/>
    </xf>
    <xf numFmtId="0" fontId="36" fillId="32" borderId="314">
      <alignment horizontal="right" vertical="center"/>
    </xf>
    <xf numFmtId="0" fontId="58" fillId="43" borderId="306" applyNumberFormat="0" applyAlignment="0" applyProtection="0"/>
    <xf numFmtId="0" fontId="43" fillId="56" borderId="305" applyNumberFormat="0" applyAlignment="0" applyProtection="0"/>
    <xf numFmtId="0" fontId="5" fillId="59" borderId="313" applyNumberFormat="0" applyFont="0" applyAlignment="0" applyProtection="0"/>
    <xf numFmtId="49" fontId="33" fillId="0" borderId="309" applyNumberFormat="0" applyFill="0" applyBorder="0" applyProtection="0">
      <alignment horizontal="left" vertical="center"/>
    </xf>
    <xf numFmtId="0" fontId="65" fillId="0" borderId="307" applyNumberFormat="0" applyFill="0" applyAlignment="0" applyProtection="0"/>
    <xf numFmtId="0" fontId="34" fillId="0" borderId="309">
      <alignment horizontal="right" vertical="center"/>
    </xf>
    <xf numFmtId="0" fontId="32" fillId="34" borderId="310">
      <alignment horizontal="right" vertical="center"/>
    </xf>
    <xf numFmtId="0" fontId="65" fillId="0" borderId="307" applyNumberFormat="0" applyFill="0" applyAlignment="0" applyProtection="0"/>
    <xf numFmtId="0" fontId="1" fillId="0" borderId="0" applyNumberFormat="0" applyFill="0" applyBorder="0" applyAlignment="0" applyProtection="0"/>
    <xf numFmtId="0" fontId="29" fillId="13" borderId="13" applyNumberFormat="0" applyAlignment="0" applyProtection="0"/>
    <xf numFmtId="0" fontId="34" fillId="0" borderId="314" applyNumberFormat="0" applyFill="0" applyAlignment="0" applyProtection="0"/>
    <xf numFmtId="4" fontId="32" fillId="34" borderId="325">
      <alignment horizontal="right" vertical="center"/>
    </xf>
    <xf numFmtId="4" fontId="34" fillId="0" borderId="314">
      <alignment horizontal="right" vertical="center"/>
    </xf>
    <xf numFmtId="0" fontId="28" fillId="13" borderId="14" applyNumberFormat="0" applyAlignment="0" applyProtection="0"/>
    <xf numFmtId="0" fontId="58" fillId="43" borderId="319" applyNumberFormat="0" applyAlignment="0" applyProtection="0"/>
    <xf numFmtId="4" fontId="34" fillId="0" borderId="309" applyFill="0" applyBorder="0" applyProtection="0">
      <alignment horizontal="right" vertical="center"/>
    </xf>
    <xf numFmtId="0" fontId="26" fillId="23" borderId="0" applyNumberFormat="0" applyBorder="0" applyAlignment="0" applyProtection="0"/>
    <xf numFmtId="0" fontId="32" fillId="34" borderId="316">
      <alignment horizontal="right" vertical="center"/>
    </xf>
    <xf numFmtId="0" fontId="26" fillId="23" borderId="0" applyNumberFormat="0" applyBorder="0" applyAlignment="0" applyProtection="0"/>
    <xf numFmtId="0" fontId="49" fillId="43" borderId="319" applyNumberFormat="0" applyAlignment="0" applyProtection="0"/>
    <xf numFmtId="0" fontId="34" fillId="33" borderId="314"/>
    <xf numFmtId="0" fontId="26" fillId="29" borderId="0" applyNumberFormat="0" applyBorder="0" applyAlignment="0" applyProtection="0"/>
    <xf numFmtId="0" fontId="34" fillId="0" borderId="312">
      <alignment horizontal="left" vertical="center" wrapText="1" indent="2"/>
    </xf>
    <xf numFmtId="0" fontId="32" fillId="34" borderId="346">
      <alignment horizontal="right" vertical="center"/>
    </xf>
    <xf numFmtId="0" fontId="65" fillId="0" borderId="307" applyNumberFormat="0" applyFill="0" applyAlignment="0" applyProtection="0"/>
    <xf numFmtId="0" fontId="43" fillId="56" borderId="305" applyNumberFormat="0" applyAlignment="0" applyProtection="0"/>
    <xf numFmtId="0" fontId="32" fillId="34" borderId="309">
      <alignment horizontal="right" vertical="center"/>
    </xf>
    <xf numFmtId="0" fontId="45" fillId="56" borderId="306" applyNumberFormat="0" applyAlignment="0" applyProtection="0"/>
    <xf numFmtId="0" fontId="34" fillId="32" borderId="315">
      <alignment horizontal="left" vertical="center"/>
    </xf>
    <xf numFmtId="0" fontId="34" fillId="32" borderId="315">
      <alignment horizontal="left" vertical="center"/>
    </xf>
    <xf numFmtId="0" fontId="34" fillId="32" borderId="310">
      <alignment horizontal="left" vertical="center"/>
    </xf>
    <xf numFmtId="0" fontId="34" fillId="0" borderId="317">
      <alignment horizontal="left" vertical="center" wrapText="1" indent="2"/>
    </xf>
    <xf numFmtId="4" fontId="34" fillId="33" borderId="314"/>
    <xf numFmtId="0" fontId="65" fillId="0" borderId="320" applyNumberFormat="0" applyFill="0" applyAlignment="0" applyProtection="0"/>
    <xf numFmtId="0" fontId="46" fillId="56" borderId="321" applyNumberFormat="0" applyAlignment="0" applyProtection="0"/>
    <xf numFmtId="0" fontId="32" fillId="32" borderId="309">
      <alignment horizontal="right" vertical="center"/>
    </xf>
    <xf numFmtId="4" fontId="32" fillId="34" borderId="314">
      <alignment horizontal="right" vertical="center"/>
    </xf>
    <xf numFmtId="0" fontId="32" fillId="34" borderId="314">
      <alignment horizontal="right" vertical="center"/>
    </xf>
    <xf numFmtId="0" fontId="50" fillId="0" borderId="307" applyNumberFormat="0" applyFill="0" applyAlignment="0" applyProtection="0"/>
    <xf numFmtId="0" fontId="46" fillId="56" borderId="321" applyNumberFormat="0" applyAlignment="0" applyProtection="0"/>
    <xf numFmtId="0" fontId="34" fillId="0" borderId="309">
      <alignment horizontal="right" vertical="center"/>
    </xf>
    <xf numFmtId="0" fontId="5" fillId="59" borderId="308" applyNumberFormat="0" applyFont="0" applyAlignment="0" applyProtection="0"/>
    <xf numFmtId="0" fontId="34" fillId="33" borderId="324"/>
    <xf numFmtId="0" fontId="12" fillId="16" borderId="0" applyNumberFormat="0" applyBorder="0" applyAlignment="0" applyProtection="0"/>
    <xf numFmtId="49" fontId="34" fillId="0" borderId="315" applyNumberFormat="0" applyFont="0" applyFill="0" applyBorder="0" applyProtection="0">
      <alignment horizontal="left" vertical="center" indent="5"/>
    </xf>
    <xf numFmtId="0" fontId="12" fillId="31" borderId="0" applyNumberFormat="0" applyBorder="0" applyAlignment="0" applyProtection="0"/>
    <xf numFmtId="4" fontId="32" fillId="34" borderId="348">
      <alignment horizontal="right" vertical="center"/>
    </xf>
    <xf numFmtId="0" fontId="58" fillId="43" borderId="306" applyNumberFormat="0" applyAlignment="0" applyProtection="0"/>
    <xf numFmtId="0" fontId="26" fillId="14" borderId="0" applyNumberFormat="0" applyBorder="0" applyAlignment="0" applyProtection="0"/>
    <xf numFmtId="49" fontId="34" fillId="0" borderId="310" applyNumberFormat="0" applyFont="0" applyFill="0" applyBorder="0" applyProtection="0">
      <alignment horizontal="left" vertical="center" indent="5"/>
    </xf>
    <xf numFmtId="0" fontId="26" fillId="21" borderId="0" applyNumberFormat="0" applyBorder="0" applyAlignment="0" applyProtection="0"/>
    <xf numFmtId="0" fontId="34" fillId="0" borderId="309" applyNumberFormat="0" applyFill="0" applyAlignment="0" applyProtection="0"/>
    <xf numFmtId="0" fontId="50" fillId="0" borderId="307" applyNumberFormat="0" applyFill="0" applyAlignment="0" applyProtection="0"/>
    <xf numFmtId="0" fontId="62" fillId="56" borderId="305" applyNumberFormat="0" applyAlignment="0" applyProtection="0"/>
    <xf numFmtId="4" fontId="32" fillId="34" borderId="309">
      <alignment horizontal="right" vertical="center"/>
    </xf>
    <xf numFmtId="4" fontId="34" fillId="33" borderId="309"/>
    <xf numFmtId="0" fontId="65" fillId="0" borderId="307" applyNumberFormat="0" applyFill="0" applyAlignment="0" applyProtection="0"/>
    <xf numFmtId="0" fontId="62" fillId="56" borderId="328" applyNumberFormat="0" applyAlignment="0" applyProtection="0"/>
    <xf numFmtId="0" fontId="43" fillId="56" borderId="305" applyNumberFormat="0" applyAlignment="0" applyProtection="0"/>
    <xf numFmtId="0" fontId="45" fillId="56" borderId="306" applyNumberFormat="0" applyAlignment="0" applyProtection="0"/>
    <xf numFmtId="0" fontId="46" fillId="56" borderId="306" applyNumberFormat="0" applyAlignment="0" applyProtection="0"/>
    <xf numFmtId="0" fontId="62" fillId="56" borderId="305" applyNumberFormat="0" applyAlignment="0" applyProtection="0"/>
    <xf numFmtId="0" fontId="32" fillId="34" borderId="311">
      <alignment horizontal="right" vertical="center"/>
    </xf>
    <xf numFmtId="0" fontId="34" fillId="0" borderId="309" applyNumberFormat="0" applyFill="0" applyAlignment="0" applyProtection="0"/>
    <xf numFmtId="49" fontId="34" fillId="0" borderId="310" applyNumberFormat="0" applyFont="0" applyFill="0" applyBorder="0" applyProtection="0">
      <alignment horizontal="left" vertical="center" indent="5"/>
    </xf>
    <xf numFmtId="0" fontId="65" fillId="0" borderId="307" applyNumberFormat="0" applyFill="0" applyAlignment="0" applyProtection="0"/>
    <xf numFmtId="0" fontId="34" fillId="0" borderId="309" applyNumberFormat="0" applyFill="0" applyAlignment="0" applyProtection="0"/>
    <xf numFmtId="0" fontId="36" fillId="32" borderId="314">
      <alignment horizontal="right" vertical="center"/>
    </xf>
    <xf numFmtId="4" fontId="32" fillId="34" borderId="316">
      <alignment horizontal="right" vertical="center"/>
    </xf>
    <xf numFmtId="0" fontId="26" fillId="23" borderId="0" applyNumberFormat="0" applyBorder="0" applyAlignment="0" applyProtection="0"/>
    <xf numFmtId="0" fontId="36" fillId="32" borderId="314">
      <alignment horizontal="right" vertical="center"/>
    </xf>
    <xf numFmtId="0" fontId="26" fillId="21" borderId="0" applyNumberFormat="0" applyBorder="0" applyAlignment="0" applyProtection="0"/>
    <xf numFmtId="4" fontId="36" fillId="32" borderId="333">
      <alignment horizontal="right" vertical="center"/>
    </xf>
    <xf numFmtId="0" fontId="36" fillId="32" borderId="324">
      <alignment horizontal="right" vertical="center"/>
    </xf>
    <xf numFmtId="0" fontId="40" fillId="59" borderId="308" applyNumberFormat="0" applyFont="0" applyAlignment="0" applyProtection="0"/>
    <xf numFmtId="0" fontId="29" fillId="13" borderId="13" applyNumberFormat="0" applyAlignment="0" applyProtection="0"/>
    <xf numFmtId="0" fontId="34" fillId="34" borderId="349">
      <alignment horizontal="left" vertical="center" wrapText="1" indent="2"/>
    </xf>
    <xf numFmtId="0" fontId="58" fillId="43" borderId="319" applyNumberFormat="0" applyAlignment="0" applyProtection="0"/>
    <xf numFmtId="0" fontId="58" fillId="43" borderId="321" applyNumberFormat="0" applyAlignment="0" applyProtection="0"/>
    <xf numFmtId="4" fontId="32" fillId="34" borderId="324">
      <alignment horizontal="right" vertical="center"/>
    </xf>
    <xf numFmtId="0" fontId="36" fillId="32" borderId="341">
      <alignment horizontal="right" vertical="center"/>
    </xf>
    <xf numFmtId="0" fontId="28" fillId="13" borderId="14" applyNumberFormat="0" applyAlignment="0" applyProtection="0"/>
    <xf numFmtId="4" fontId="32" fillId="34" borderId="315">
      <alignment horizontal="right" vertical="center"/>
    </xf>
    <xf numFmtId="0" fontId="5" fillId="59" borderId="313" applyNumberFormat="0" applyFont="0" applyAlignment="0" applyProtection="0"/>
    <xf numFmtId="0" fontId="34" fillId="0" borderId="312">
      <alignment horizontal="left" vertical="center" wrapText="1" indent="2"/>
    </xf>
    <xf numFmtId="4" fontId="32" fillId="34" borderId="333">
      <alignment horizontal="right" vertical="center"/>
    </xf>
    <xf numFmtId="4" fontId="32" fillId="32" borderId="309">
      <alignment horizontal="right" vertical="center"/>
    </xf>
    <xf numFmtId="4" fontId="32" fillId="34" borderId="314">
      <alignment horizontal="right" vertical="center"/>
    </xf>
    <xf numFmtId="49" fontId="34" fillId="0" borderId="314" applyNumberFormat="0" applyFont="0" applyFill="0" applyBorder="0" applyProtection="0">
      <alignment horizontal="left" vertical="center" indent="2"/>
    </xf>
    <xf numFmtId="0" fontId="62" fillId="56" borderId="305" applyNumberFormat="0" applyAlignment="0" applyProtection="0"/>
    <xf numFmtId="49" fontId="34" fillId="0" borderId="310" applyNumberFormat="0" applyFont="0" applyFill="0" applyBorder="0" applyProtection="0">
      <alignment horizontal="left" vertical="center" indent="5"/>
    </xf>
    <xf numFmtId="4" fontId="34" fillId="0" borderId="309">
      <alignment horizontal="right" vertical="center"/>
    </xf>
    <xf numFmtId="0" fontId="32" fillId="34" borderId="314">
      <alignment horizontal="right" vertical="center"/>
    </xf>
    <xf numFmtId="4" fontId="36" fillId="32" borderId="314">
      <alignment horizontal="right" vertical="center"/>
    </xf>
    <xf numFmtId="0" fontId="65" fillId="0" borderId="322" applyNumberFormat="0" applyFill="0" applyAlignment="0" applyProtection="0"/>
    <xf numFmtId="0" fontId="26" fillId="29" borderId="0" applyNumberFormat="0" applyBorder="0" applyAlignment="0" applyProtection="0"/>
    <xf numFmtId="0" fontId="50" fillId="0" borderId="307" applyNumberFormat="0" applyFill="0" applyAlignment="0" applyProtection="0"/>
    <xf numFmtId="4" fontId="32" fillId="34" borderId="341">
      <alignment horizontal="right" vertical="center"/>
    </xf>
    <xf numFmtId="4" fontId="32" fillId="34" borderId="311">
      <alignment horizontal="right" vertical="center"/>
    </xf>
    <xf numFmtId="4" fontId="32" fillId="34" borderId="309">
      <alignment horizontal="right" vertical="center"/>
    </xf>
    <xf numFmtId="4" fontId="32" fillId="34" borderId="309">
      <alignment horizontal="right" vertical="center"/>
    </xf>
    <xf numFmtId="0" fontId="65" fillId="0" borderId="307" applyNumberFormat="0" applyFill="0" applyAlignment="0" applyProtection="0"/>
    <xf numFmtId="0" fontId="46" fillId="56" borderId="306" applyNumberFormat="0" applyAlignment="0" applyProtection="0"/>
    <xf numFmtId="0" fontId="49" fillId="43" borderId="306" applyNumberFormat="0" applyAlignment="0" applyProtection="0"/>
    <xf numFmtId="0" fontId="40" fillId="59" borderId="332" applyNumberFormat="0" applyFont="0" applyAlignment="0" applyProtection="0"/>
    <xf numFmtId="0" fontId="29" fillId="13" borderId="13" applyNumberFormat="0" applyAlignment="0" applyProtection="0"/>
    <xf numFmtId="49" fontId="33" fillId="0" borderId="309" applyNumberFormat="0" applyFill="0" applyBorder="0" applyProtection="0">
      <alignment horizontal="left" vertical="center"/>
    </xf>
    <xf numFmtId="0" fontId="5" fillId="59" borderId="308" applyNumberFormat="0" applyFont="0" applyAlignment="0" applyProtection="0"/>
    <xf numFmtId="173" fontId="34" fillId="60" borderId="324" applyNumberFormat="0" applyFont="0" applyBorder="0" applyAlignment="0" applyProtection="0">
      <alignment horizontal="right" vertical="center"/>
    </xf>
    <xf numFmtId="4" fontId="32" fillId="34" borderId="309">
      <alignment horizontal="right" vertical="center"/>
    </xf>
    <xf numFmtId="0" fontId="26" fillId="23" borderId="0" applyNumberFormat="0" applyBorder="0" applyAlignment="0" applyProtection="0"/>
    <xf numFmtId="4" fontId="36" fillId="32" borderId="314">
      <alignment horizontal="right" vertical="center"/>
    </xf>
    <xf numFmtId="0" fontId="43" fillId="56" borderId="318" applyNumberFormat="0" applyAlignment="0" applyProtection="0"/>
    <xf numFmtId="0" fontId="32" fillId="34" borderId="314">
      <alignment horizontal="right" vertical="center"/>
    </xf>
    <xf numFmtId="173" fontId="34" fillId="60" borderId="314" applyNumberFormat="0" applyFont="0" applyBorder="0" applyAlignment="0" applyProtection="0">
      <alignment horizontal="right" vertical="center"/>
    </xf>
    <xf numFmtId="49" fontId="34" fillId="0" borderId="309" applyNumberFormat="0" applyFont="0" applyFill="0" applyBorder="0" applyProtection="0">
      <alignment horizontal="left" vertical="center" indent="2"/>
    </xf>
    <xf numFmtId="0" fontId="65" fillId="0" borderId="307" applyNumberFormat="0" applyFill="0" applyAlignment="0" applyProtection="0"/>
    <xf numFmtId="4" fontId="34" fillId="0" borderId="309" applyFill="0" applyBorder="0" applyProtection="0">
      <alignment horizontal="right" vertical="center"/>
    </xf>
    <xf numFmtId="0" fontId="58" fillId="43" borderId="306" applyNumberFormat="0" applyAlignment="0" applyProtection="0"/>
    <xf numFmtId="49" fontId="33" fillId="0" borderId="309" applyNumberFormat="0" applyFill="0" applyBorder="0" applyProtection="0">
      <alignment horizontal="left" vertical="center"/>
    </xf>
    <xf numFmtId="49" fontId="34" fillId="0" borderId="309" applyNumberFormat="0" applyFont="0" applyFill="0" applyBorder="0" applyProtection="0">
      <alignment horizontal="left" vertical="center" indent="2"/>
    </xf>
    <xf numFmtId="4" fontId="34" fillId="0" borderId="309" applyFill="0" applyBorder="0" applyProtection="0">
      <alignment horizontal="right" vertical="center"/>
    </xf>
    <xf numFmtId="0" fontId="62" fillId="56" borderId="318" applyNumberFormat="0" applyAlignment="0" applyProtection="0"/>
    <xf numFmtId="173" fontId="34" fillId="60" borderId="309" applyNumberFormat="0" applyFont="0" applyBorder="0" applyAlignment="0" applyProtection="0">
      <alignment horizontal="right" vertical="center"/>
    </xf>
    <xf numFmtId="4" fontId="32" fillId="34" borderId="315">
      <alignment horizontal="right" vertical="center"/>
    </xf>
    <xf numFmtId="0" fontId="26" fillId="23" borderId="0" applyNumberFormat="0" applyBorder="0" applyAlignment="0" applyProtection="0"/>
    <xf numFmtId="0" fontId="36" fillId="32" borderId="309">
      <alignment horizontal="right" vertical="center"/>
    </xf>
    <xf numFmtId="0" fontId="65" fillId="0" borderId="339" applyNumberFormat="0" applyFill="0" applyAlignment="0" applyProtection="0"/>
    <xf numFmtId="49" fontId="34" fillId="0" borderId="314" applyNumberFormat="0" applyFont="0" applyFill="0" applyBorder="0" applyProtection="0">
      <alignment horizontal="left" vertical="center" indent="2"/>
    </xf>
    <xf numFmtId="0" fontId="12" fillId="31" borderId="0" applyNumberFormat="0" applyBorder="0" applyAlignment="0" applyProtection="0"/>
    <xf numFmtId="0" fontId="46" fillId="56" borderId="319" applyNumberFormat="0" applyAlignment="0" applyProtection="0"/>
    <xf numFmtId="0" fontId="49" fillId="43" borderId="306" applyNumberFormat="0" applyAlignment="0" applyProtection="0"/>
    <xf numFmtId="4" fontId="32" fillId="34" borderId="309">
      <alignment horizontal="right" vertical="center"/>
    </xf>
    <xf numFmtId="0" fontId="34" fillId="32" borderId="310">
      <alignment horizontal="left" vertical="center"/>
    </xf>
    <xf numFmtId="0" fontId="65" fillId="0" borderId="322" applyNumberFormat="0" applyFill="0" applyAlignment="0" applyProtection="0"/>
    <xf numFmtId="4" fontId="34" fillId="33" borderId="314"/>
    <xf numFmtId="173" fontId="34" fillId="60" borderId="324" applyNumberFormat="0" applyFont="0" applyBorder="0" applyAlignment="0" applyProtection="0">
      <alignment horizontal="right" vertical="center"/>
    </xf>
    <xf numFmtId="4" fontId="34" fillId="0" borderId="314">
      <alignment horizontal="right" vertical="center"/>
    </xf>
    <xf numFmtId="4" fontId="34" fillId="33" borderId="314"/>
    <xf numFmtId="4" fontId="32" fillId="34" borderId="316">
      <alignment horizontal="right" vertical="center"/>
    </xf>
    <xf numFmtId="4" fontId="32" fillId="34" borderId="325">
      <alignment horizontal="right" vertical="center"/>
    </xf>
    <xf numFmtId="0" fontId="32" fillId="34" borderId="314">
      <alignment horizontal="right" vertical="center"/>
    </xf>
    <xf numFmtId="0" fontId="65" fillId="0" borderId="320" applyNumberFormat="0" applyFill="0" applyAlignment="0" applyProtection="0"/>
    <xf numFmtId="0" fontId="30" fillId="0" borderId="0" applyNumberFormat="0" applyFill="0" applyBorder="0" applyAlignment="0" applyProtection="0"/>
    <xf numFmtId="0" fontId="12" fillId="28" borderId="0" applyNumberFormat="0" applyBorder="0" applyAlignment="0" applyProtection="0"/>
    <xf numFmtId="0" fontId="5" fillId="59" borderId="313" applyNumberFormat="0" applyFont="0" applyAlignment="0" applyProtection="0"/>
    <xf numFmtId="0" fontId="32" fillId="34" borderId="309">
      <alignment horizontal="right" vertical="center"/>
    </xf>
    <xf numFmtId="0" fontId="34" fillId="34" borderId="312">
      <alignment horizontal="left" vertical="center" wrapText="1" indent="2"/>
    </xf>
    <xf numFmtId="173" fontId="34" fillId="60" borderId="309" applyNumberFormat="0" applyFont="0" applyBorder="0" applyAlignment="0" applyProtection="0">
      <alignment horizontal="right" vertical="center"/>
    </xf>
    <xf numFmtId="0" fontId="40" fillId="59" borderId="308" applyNumberFormat="0" applyFont="0" applyAlignment="0" applyProtection="0"/>
    <xf numFmtId="49" fontId="34" fillId="0" borderId="309" applyNumberFormat="0" applyFont="0" applyFill="0" applyBorder="0" applyProtection="0">
      <alignment horizontal="left" vertical="center" indent="2"/>
    </xf>
    <xf numFmtId="0" fontId="50" fillId="0" borderId="320" applyNumberFormat="0" applyFill="0" applyAlignment="0" applyProtection="0"/>
    <xf numFmtId="4" fontId="32" fillId="34" borderId="326">
      <alignment horizontal="right" vertical="center"/>
    </xf>
    <xf numFmtId="0" fontId="32" fillId="34" borderId="343">
      <alignment horizontal="right" vertical="center"/>
    </xf>
    <xf numFmtId="0" fontId="32" fillId="34" borderId="325">
      <alignment horizontal="right" vertical="center"/>
    </xf>
    <xf numFmtId="49" fontId="33" fillId="0" borderId="309" applyNumberFormat="0" applyFill="0" applyBorder="0" applyProtection="0">
      <alignment horizontal="left" vertical="center"/>
    </xf>
    <xf numFmtId="4" fontId="36" fillId="32" borderId="314">
      <alignment horizontal="right" vertical="center"/>
    </xf>
    <xf numFmtId="173" fontId="34" fillId="60" borderId="309" applyNumberFormat="0" applyFont="0" applyBorder="0" applyAlignment="0" applyProtection="0">
      <alignment horizontal="right" vertical="center"/>
    </xf>
    <xf numFmtId="0" fontId="62" fillId="56" borderId="305" applyNumberFormat="0" applyAlignment="0" applyProtection="0"/>
    <xf numFmtId="0" fontId="34" fillId="0" borderId="309">
      <alignment horizontal="right" vertical="center"/>
    </xf>
    <xf numFmtId="0" fontId="65" fillId="0" borderId="331" applyNumberFormat="0" applyFill="0" applyAlignment="0" applyProtection="0"/>
    <xf numFmtId="0" fontId="34" fillId="33" borderId="309"/>
    <xf numFmtId="4" fontId="32" fillId="34" borderId="309">
      <alignment horizontal="right" vertical="center"/>
    </xf>
    <xf numFmtId="0" fontId="34" fillId="33" borderId="309"/>
    <xf numFmtId="0" fontId="58" fillId="43" borderId="306" applyNumberFormat="0" applyAlignment="0" applyProtection="0"/>
    <xf numFmtId="0" fontId="50" fillId="0" borderId="320" applyNumberFormat="0" applyFill="0" applyAlignment="0" applyProtection="0"/>
    <xf numFmtId="0" fontId="36" fillId="32" borderId="309">
      <alignment horizontal="right" vertical="center"/>
    </xf>
    <xf numFmtId="0" fontId="34" fillId="0" borderId="312">
      <alignment horizontal="left" vertical="center" wrapText="1" indent="2"/>
    </xf>
    <xf numFmtId="0" fontId="32" fillId="32" borderId="309">
      <alignment horizontal="right" vertical="center"/>
    </xf>
    <xf numFmtId="0" fontId="49" fillId="43" borderId="306" applyNumberFormat="0" applyAlignment="0" applyProtection="0"/>
    <xf numFmtId="0" fontId="34" fillId="34" borderId="312">
      <alignment horizontal="left" vertical="center" wrapText="1" indent="2"/>
    </xf>
    <xf numFmtId="0" fontId="34" fillId="34" borderId="327">
      <alignment horizontal="left" vertical="center" wrapText="1" indent="2"/>
    </xf>
    <xf numFmtId="4" fontId="36" fillId="32" borderId="324">
      <alignment horizontal="right" vertical="center"/>
    </xf>
    <xf numFmtId="0" fontId="49" fillId="43" borderId="319" applyNumberFormat="0" applyAlignment="0" applyProtection="0"/>
    <xf numFmtId="0" fontId="49" fillId="43" borderId="319" applyNumberFormat="0" applyAlignment="0" applyProtection="0"/>
    <xf numFmtId="0" fontId="5" fillId="59" borderId="313" applyNumberFormat="0" applyFont="0" applyAlignment="0" applyProtection="0"/>
    <xf numFmtId="0" fontId="26" fillId="24" borderId="0" applyNumberFormat="0" applyBorder="0" applyAlignment="0" applyProtection="0"/>
    <xf numFmtId="173" fontId="34" fillId="60" borderId="324" applyNumberFormat="0" applyFont="0" applyBorder="0" applyAlignment="0" applyProtection="0">
      <alignment horizontal="right" vertical="center"/>
    </xf>
    <xf numFmtId="49" fontId="33" fillId="0" borderId="341" applyNumberFormat="0" applyFill="0" applyBorder="0" applyProtection="0">
      <alignment horizontal="left" vertical="center"/>
    </xf>
    <xf numFmtId="4" fontId="34" fillId="33" borderId="341"/>
    <xf numFmtId="0" fontId="34" fillId="33" borderId="314"/>
    <xf numFmtId="0" fontId="45" fillId="56" borderId="306" applyNumberFormat="0" applyAlignment="0" applyProtection="0"/>
    <xf numFmtId="0" fontId="36" fillId="32" borderId="309">
      <alignment horizontal="right" vertical="center"/>
    </xf>
    <xf numFmtId="0" fontId="34" fillId="33" borderId="314"/>
    <xf numFmtId="0" fontId="32" fillId="34" borderId="343">
      <alignment horizontal="right" vertical="center"/>
    </xf>
    <xf numFmtId="0" fontId="36" fillId="32" borderId="324">
      <alignment horizontal="right" vertical="center"/>
    </xf>
    <xf numFmtId="0" fontId="28" fillId="13" borderId="14" applyNumberFormat="0" applyAlignment="0" applyProtection="0"/>
    <xf numFmtId="0" fontId="26" fillId="20" borderId="0" applyNumberFormat="0" applyBorder="0" applyAlignment="0" applyProtection="0"/>
    <xf numFmtId="0" fontId="5" fillId="59" borderId="313" applyNumberFormat="0" applyFont="0" applyAlignment="0" applyProtection="0"/>
    <xf numFmtId="0" fontId="58" fillId="43" borderId="319" applyNumberFormat="0" applyAlignment="0" applyProtection="0"/>
    <xf numFmtId="0" fontId="30" fillId="0" borderId="0" applyNumberFormat="0" applyFill="0" applyBorder="0" applyAlignment="0" applyProtection="0"/>
    <xf numFmtId="0" fontId="43" fillId="56" borderId="318" applyNumberFormat="0" applyAlignment="0" applyProtection="0"/>
    <xf numFmtId="49" fontId="34" fillId="0" borderId="315" applyNumberFormat="0" applyFont="0" applyFill="0" applyBorder="0" applyProtection="0">
      <alignment horizontal="left" vertical="center" indent="5"/>
    </xf>
    <xf numFmtId="0" fontId="32" fillId="34" borderId="309">
      <alignment horizontal="right" vertical="center"/>
    </xf>
    <xf numFmtId="4" fontId="34" fillId="0" borderId="309" applyFill="0" applyBorder="0" applyProtection="0">
      <alignment horizontal="right" vertical="center"/>
    </xf>
    <xf numFmtId="0" fontId="34" fillId="34" borderId="312">
      <alignment horizontal="left" vertical="center" wrapText="1" indent="2"/>
    </xf>
    <xf numFmtId="0" fontId="40" fillId="59" borderId="308" applyNumberFormat="0" applyFont="0" applyAlignment="0" applyProtection="0"/>
    <xf numFmtId="0" fontId="49" fillId="43" borderId="306" applyNumberFormat="0" applyAlignment="0" applyProtection="0"/>
    <xf numFmtId="4" fontId="34" fillId="33" borderId="309"/>
    <xf numFmtId="4" fontId="34" fillId="0" borderId="309" applyFill="0" applyBorder="0" applyProtection="0">
      <alignment horizontal="right" vertical="center"/>
    </xf>
    <xf numFmtId="0" fontId="65" fillId="0" borderId="307" applyNumberFormat="0" applyFill="0" applyAlignment="0" applyProtection="0"/>
    <xf numFmtId="0" fontId="34" fillId="32" borderId="310">
      <alignment horizontal="left" vertical="center"/>
    </xf>
    <xf numFmtId="0" fontId="34" fillId="0" borderId="312">
      <alignment horizontal="left" vertical="center" wrapText="1" indent="2"/>
    </xf>
    <xf numFmtId="0" fontId="45" fillId="56" borderId="319" applyNumberFormat="0" applyAlignment="0" applyProtection="0"/>
    <xf numFmtId="0" fontId="58" fillId="43" borderId="306" applyNumberFormat="0" applyAlignment="0" applyProtection="0"/>
    <xf numFmtId="0" fontId="65" fillId="0" borderId="322" applyNumberFormat="0" applyFill="0" applyAlignment="0" applyProtection="0"/>
    <xf numFmtId="0" fontId="34" fillId="34" borderId="312">
      <alignment horizontal="left" vertical="center" wrapText="1" indent="2"/>
    </xf>
    <xf numFmtId="0" fontId="32" fillId="34" borderId="314">
      <alignment horizontal="right" vertical="center"/>
    </xf>
    <xf numFmtId="0" fontId="26" fillId="15" borderId="0" applyNumberFormat="0" applyBorder="0" applyAlignment="0" applyProtection="0"/>
    <xf numFmtId="49" fontId="33" fillId="0" borderId="314" applyNumberFormat="0" applyFill="0" applyBorder="0" applyProtection="0">
      <alignment horizontal="left" vertical="center"/>
    </xf>
    <xf numFmtId="0" fontId="49" fillId="43" borderId="330" applyNumberFormat="0" applyAlignment="0" applyProtection="0"/>
    <xf numFmtId="0" fontId="40" fillId="59" borderId="308" applyNumberFormat="0" applyFont="0" applyAlignment="0" applyProtection="0"/>
    <xf numFmtId="0" fontId="58" fillId="43" borderId="306" applyNumberFormat="0" applyAlignment="0" applyProtection="0"/>
    <xf numFmtId="0" fontId="58" fillId="43" borderId="319" applyNumberFormat="0" applyAlignment="0" applyProtection="0"/>
    <xf numFmtId="4" fontId="34" fillId="33" borderId="309"/>
    <xf numFmtId="0" fontId="46" fillId="56" borderId="306" applyNumberFormat="0" applyAlignment="0" applyProtection="0"/>
    <xf numFmtId="0" fontId="58" fillId="43" borderId="306" applyNumberFormat="0" applyAlignment="0" applyProtection="0"/>
    <xf numFmtId="4" fontId="32" fillId="34" borderId="309">
      <alignment horizontal="right" vertical="center"/>
    </xf>
    <xf numFmtId="0" fontId="50" fillId="0" borderId="307" applyNumberFormat="0" applyFill="0" applyAlignment="0" applyProtection="0"/>
    <xf numFmtId="0" fontId="32" fillId="34" borderId="347">
      <alignment horizontal="right" vertical="center"/>
    </xf>
    <xf numFmtId="0" fontId="12" fillId="16" borderId="0" applyNumberFormat="0" applyBorder="0" applyAlignment="0" applyProtection="0"/>
    <xf numFmtId="0" fontId="34" fillId="32" borderId="325">
      <alignment horizontal="left" vertical="center"/>
    </xf>
    <xf numFmtId="0" fontId="32" fillId="32" borderId="314">
      <alignment horizontal="right" vertical="center"/>
    </xf>
    <xf numFmtId="4" fontId="32" fillId="34" borderId="314">
      <alignment horizontal="right" vertical="center"/>
    </xf>
    <xf numFmtId="0" fontId="46" fillId="56" borderId="306" applyNumberFormat="0" applyAlignment="0" applyProtection="0"/>
    <xf numFmtId="0" fontId="46" fillId="56" borderId="319" applyNumberFormat="0" applyAlignment="0" applyProtection="0"/>
    <xf numFmtId="0" fontId="49" fillId="43" borderId="306" applyNumberFormat="0" applyAlignment="0" applyProtection="0"/>
    <xf numFmtId="0" fontId="50" fillId="0" borderId="320" applyNumberFormat="0" applyFill="0" applyAlignment="0" applyProtection="0"/>
    <xf numFmtId="0" fontId="58" fillId="43" borderId="338" applyNumberFormat="0" applyAlignment="0" applyProtection="0"/>
    <xf numFmtId="0" fontId="26" fillId="17" borderId="0" applyNumberFormat="0" applyBorder="0" applyAlignment="0" applyProtection="0"/>
    <xf numFmtId="4" fontId="32" fillId="34" borderId="347">
      <alignment horizontal="right" vertical="center"/>
    </xf>
    <xf numFmtId="4" fontId="36" fillId="32" borderId="324">
      <alignment horizontal="right" vertical="center"/>
    </xf>
    <xf numFmtId="0" fontId="34" fillId="33" borderId="341"/>
    <xf numFmtId="0" fontId="34" fillId="34" borderId="312">
      <alignment horizontal="left" vertical="center" wrapText="1" indent="2"/>
    </xf>
    <xf numFmtId="0" fontId="36" fillId="32" borderId="314">
      <alignment horizontal="right" vertical="center"/>
    </xf>
    <xf numFmtId="0" fontId="62" fillId="56" borderId="305" applyNumberFormat="0" applyAlignment="0" applyProtection="0"/>
    <xf numFmtId="0" fontId="58" fillId="43" borderId="306" applyNumberFormat="0" applyAlignment="0" applyProtection="0"/>
    <xf numFmtId="4" fontId="32" fillId="34" borderId="309">
      <alignment horizontal="right" vertical="center"/>
    </xf>
    <xf numFmtId="0" fontId="34" fillId="33" borderId="309"/>
    <xf numFmtId="0" fontId="5" fillId="59" borderId="323" applyNumberFormat="0" applyFont="0" applyAlignment="0" applyProtection="0"/>
    <xf numFmtId="0" fontId="34" fillId="0" borderId="324">
      <alignment horizontal="right" vertical="center"/>
    </xf>
    <xf numFmtId="0" fontId="34" fillId="0" borderId="312">
      <alignment horizontal="left" vertical="center" wrapText="1" indent="2"/>
    </xf>
    <xf numFmtId="49" fontId="34" fillId="0" borderId="314" applyNumberFormat="0" applyFont="0" applyFill="0" applyBorder="0" applyProtection="0">
      <alignment horizontal="left" vertical="center" indent="2"/>
    </xf>
    <xf numFmtId="0" fontId="12" fillId="25" borderId="0" applyNumberFormat="0" applyBorder="0" applyAlignment="0" applyProtection="0"/>
    <xf numFmtId="0" fontId="46" fillId="56" borderId="321" applyNumberFormat="0" applyAlignment="0" applyProtection="0"/>
    <xf numFmtId="0" fontId="34" fillId="0" borderId="327">
      <alignment horizontal="left" vertical="center" wrapText="1" indent="2"/>
    </xf>
    <xf numFmtId="0" fontId="45" fillId="56" borderId="306" applyNumberFormat="0" applyAlignment="0" applyProtection="0"/>
    <xf numFmtId="0" fontId="34" fillId="34" borderId="317">
      <alignment horizontal="left" vertical="center" wrapText="1" indent="2"/>
    </xf>
    <xf numFmtId="4" fontId="34" fillId="0" borderId="314">
      <alignment horizontal="right" vertical="center"/>
    </xf>
    <xf numFmtId="4" fontId="32" fillId="32" borderId="309">
      <alignment horizontal="right" vertical="center"/>
    </xf>
    <xf numFmtId="0" fontId="32" fillId="32" borderId="309">
      <alignment horizontal="right" vertical="center"/>
    </xf>
    <xf numFmtId="0" fontId="32" fillId="34" borderId="309">
      <alignment horizontal="right" vertical="center"/>
    </xf>
    <xf numFmtId="0" fontId="58" fillId="43" borderId="319" applyNumberFormat="0" applyAlignment="0" applyProtection="0"/>
    <xf numFmtId="0" fontId="46" fillId="56" borderId="338" applyNumberFormat="0" applyAlignment="0" applyProtection="0"/>
    <xf numFmtId="49" fontId="34" fillId="0" borderId="314" applyNumberFormat="0" applyFont="0" applyFill="0" applyBorder="0" applyProtection="0">
      <alignment horizontal="left" vertical="center" indent="2"/>
    </xf>
    <xf numFmtId="0" fontId="26" fillId="30" borderId="0" applyNumberFormat="0" applyBorder="0" applyAlignment="0" applyProtection="0"/>
    <xf numFmtId="0" fontId="36" fillId="32" borderId="314">
      <alignment horizontal="right" vertical="center"/>
    </xf>
    <xf numFmtId="0" fontId="62" fillId="56" borderId="305" applyNumberFormat="0" applyAlignment="0" applyProtection="0"/>
    <xf numFmtId="0" fontId="32" fillId="32" borderId="324">
      <alignment horizontal="right" vertical="center"/>
    </xf>
    <xf numFmtId="49" fontId="34" fillId="0" borderId="309" applyNumberFormat="0" applyFont="0" applyFill="0" applyBorder="0" applyProtection="0">
      <alignment horizontal="left" vertical="center" indent="2"/>
    </xf>
    <xf numFmtId="0" fontId="34" fillId="0" borderId="349">
      <alignment horizontal="left" vertical="center" wrapText="1" indent="2"/>
    </xf>
    <xf numFmtId="0" fontId="40" fillId="59" borderId="308" applyNumberFormat="0" applyFont="0" applyAlignment="0" applyProtection="0"/>
    <xf numFmtId="173" fontId="34" fillId="60" borderId="309" applyNumberFormat="0" applyFont="0" applyBorder="0" applyAlignment="0" applyProtection="0">
      <alignment horizontal="right" vertical="center"/>
    </xf>
    <xf numFmtId="0" fontId="58" fillId="43" borderId="306" applyNumberFormat="0" applyAlignment="0" applyProtection="0"/>
    <xf numFmtId="0" fontId="32" fillId="34" borderId="309">
      <alignment horizontal="right" vertical="center"/>
    </xf>
    <xf numFmtId="0" fontId="34" fillId="33" borderId="309"/>
    <xf numFmtId="0" fontId="62" fillId="56" borderId="305" applyNumberFormat="0" applyAlignment="0" applyProtection="0"/>
    <xf numFmtId="0" fontId="46" fillId="56" borderId="306" applyNumberFormat="0" applyAlignment="0" applyProtection="0"/>
    <xf numFmtId="0" fontId="45" fillId="56" borderId="306" applyNumberFormat="0" applyAlignment="0" applyProtection="0"/>
    <xf numFmtId="0" fontId="49" fillId="43" borderId="306" applyNumberFormat="0" applyAlignment="0" applyProtection="0"/>
    <xf numFmtId="0" fontId="49" fillId="43" borderId="306" applyNumberFormat="0" applyAlignment="0" applyProtection="0"/>
    <xf numFmtId="0" fontId="34" fillId="0" borderId="312">
      <alignment horizontal="left" vertical="center" wrapText="1" indent="2"/>
    </xf>
    <xf numFmtId="4" fontId="32" fillId="34" borderId="310">
      <alignment horizontal="right" vertical="center"/>
    </xf>
    <xf numFmtId="4" fontId="34" fillId="0" borderId="309">
      <alignment horizontal="right" vertical="center"/>
    </xf>
    <xf numFmtId="49" fontId="33" fillId="0" borderId="309" applyNumberFormat="0" applyFill="0" applyBorder="0" applyProtection="0">
      <alignment horizontal="left" vertical="center"/>
    </xf>
    <xf numFmtId="4" fontId="34" fillId="0" borderId="309">
      <alignment horizontal="right" vertical="center"/>
    </xf>
    <xf numFmtId="0" fontId="62" fillId="56" borderId="305" applyNumberFormat="0" applyAlignment="0" applyProtection="0"/>
    <xf numFmtId="0" fontId="32" fillId="34" borderId="314">
      <alignment horizontal="right" vertical="center"/>
    </xf>
    <xf numFmtId="0" fontId="12" fillId="25" borderId="0" applyNumberFormat="0" applyBorder="0" applyAlignment="0" applyProtection="0"/>
    <xf numFmtId="0" fontId="34" fillId="34" borderId="344">
      <alignment horizontal="left" vertical="center" wrapText="1" indent="2"/>
    </xf>
    <xf numFmtId="0" fontId="58" fillId="43" borderId="319" applyNumberFormat="0" applyAlignment="0" applyProtection="0"/>
    <xf numFmtId="4" fontId="32" fillId="34" borderId="316">
      <alignment horizontal="right" vertical="center"/>
    </xf>
    <xf numFmtId="0" fontId="26" fillId="29" borderId="0" applyNumberFormat="0" applyBorder="0" applyAlignment="0" applyProtection="0"/>
    <xf numFmtId="0" fontId="1" fillId="0" borderId="0" applyNumberFormat="0" applyFill="0" applyBorder="0" applyAlignment="0" applyProtection="0"/>
    <xf numFmtId="0" fontId="34" fillId="0" borderId="312">
      <alignment horizontal="left" vertical="center" wrapText="1" indent="2"/>
    </xf>
    <xf numFmtId="0" fontId="12" fillId="22" borderId="0" applyNumberFormat="0" applyBorder="0" applyAlignment="0" applyProtection="0"/>
    <xf numFmtId="0" fontId="36" fillId="32" borderId="324">
      <alignment horizontal="right" vertical="center"/>
    </xf>
    <xf numFmtId="0" fontId="26" fillId="18" borderId="0" applyNumberFormat="0" applyBorder="0" applyAlignment="0" applyProtection="0"/>
    <xf numFmtId="0" fontId="32" fillId="32" borderId="314">
      <alignment horizontal="right" vertical="center"/>
    </xf>
    <xf numFmtId="0" fontId="49" fillId="43" borderId="338" applyNumberFormat="0" applyAlignment="0" applyProtection="0"/>
    <xf numFmtId="0" fontId="50" fillId="0" borderId="322" applyNumberFormat="0" applyFill="0" applyAlignment="0" applyProtection="0"/>
    <xf numFmtId="0" fontId="40" fillId="59" borderId="340" applyNumberFormat="0" applyFont="0" applyAlignment="0" applyProtection="0"/>
    <xf numFmtId="173" fontId="34" fillId="60" borderId="341" applyNumberFormat="0" applyFont="0" applyBorder="0" applyAlignment="0" applyProtection="0">
      <alignment horizontal="right" vertical="center"/>
    </xf>
    <xf numFmtId="0" fontId="32" fillId="34" borderId="315">
      <alignment horizontal="right" vertical="center"/>
    </xf>
    <xf numFmtId="0" fontId="40" fillId="59" borderId="308" applyNumberFormat="0" applyFont="0" applyAlignment="0" applyProtection="0"/>
    <xf numFmtId="0" fontId="12" fillId="16" borderId="0" applyNumberFormat="0" applyBorder="0" applyAlignment="0" applyProtection="0"/>
    <xf numFmtId="0" fontId="32" fillId="32" borderId="309">
      <alignment horizontal="right" vertical="center"/>
    </xf>
    <xf numFmtId="0" fontId="12" fillId="19" borderId="0" applyNumberFormat="0" applyBorder="0" applyAlignment="0" applyProtection="0"/>
    <xf numFmtId="0" fontId="40" fillId="59" borderId="313" applyNumberFormat="0" applyFont="0" applyAlignment="0" applyProtection="0"/>
    <xf numFmtId="0" fontId="34" fillId="0" borderId="309" applyNumberFormat="0" applyFill="0" applyAlignment="0" applyProtection="0"/>
    <xf numFmtId="49" fontId="33" fillId="0" borderId="309" applyNumberFormat="0" applyFill="0" applyBorder="0" applyProtection="0">
      <alignment horizontal="left" vertical="center"/>
    </xf>
    <xf numFmtId="0" fontId="34" fillId="0" borderId="309">
      <alignment horizontal="right" vertical="center"/>
    </xf>
    <xf numFmtId="0" fontId="62" fillId="56" borderId="318" applyNumberFormat="0" applyAlignment="0" applyProtection="0"/>
    <xf numFmtId="0" fontId="62" fillId="56" borderId="318" applyNumberFormat="0" applyAlignment="0" applyProtection="0"/>
    <xf numFmtId="0" fontId="26" fillId="29" borderId="0" applyNumberFormat="0" applyBorder="0" applyAlignment="0" applyProtection="0"/>
    <xf numFmtId="0" fontId="34" fillId="33" borderId="324"/>
    <xf numFmtId="4" fontId="32" fillId="32" borderId="309">
      <alignment horizontal="right" vertical="center"/>
    </xf>
    <xf numFmtId="49" fontId="33" fillId="0" borderId="314" applyNumberFormat="0" applyFill="0" applyBorder="0" applyProtection="0">
      <alignment horizontal="left" vertical="center"/>
    </xf>
    <xf numFmtId="0" fontId="46" fillId="56" borderId="306" applyNumberFormat="0" applyAlignment="0" applyProtection="0"/>
    <xf numFmtId="0" fontId="32" fillId="34" borderId="311">
      <alignment horizontal="right" vertical="center"/>
    </xf>
    <xf numFmtId="4" fontId="32" fillId="32" borderId="309">
      <alignment horizontal="right" vertical="center"/>
    </xf>
    <xf numFmtId="0" fontId="32" fillId="34" borderId="309">
      <alignment horizontal="right" vertical="center"/>
    </xf>
    <xf numFmtId="0" fontId="46" fillId="56" borderId="306" applyNumberFormat="0" applyAlignment="0" applyProtection="0"/>
    <xf numFmtId="0" fontId="32" fillId="34" borderId="315">
      <alignment horizontal="right" vertical="center"/>
    </xf>
    <xf numFmtId="0" fontId="12" fillId="22" borderId="0" applyNumberFormat="0" applyBorder="0" applyAlignment="0" applyProtection="0"/>
    <xf numFmtId="0" fontId="28" fillId="13" borderId="14" applyNumberFormat="0" applyAlignment="0" applyProtection="0"/>
    <xf numFmtId="4" fontId="34" fillId="0" borderId="309" applyFill="0" applyBorder="0" applyProtection="0">
      <alignment horizontal="right" vertical="center"/>
    </xf>
    <xf numFmtId="0" fontId="40" fillId="59" borderId="308" applyNumberFormat="0" applyFont="0" applyAlignment="0" applyProtection="0"/>
    <xf numFmtId="0" fontId="50" fillId="0" borderId="352" applyNumberFormat="0" applyFill="0" applyAlignment="0" applyProtection="0"/>
    <xf numFmtId="0" fontId="49" fillId="43" borderId="321" applyNumberFormat="0" applyAlignment="0" applyProtection="0"/>
    <xf numFmtId="0" fontId="58" fillId="43" borderId="321" applyNumberFormat="0" applyAlignment="0" applyProtection="0"/>
    <xf numFmtId="4" fontId="34" fillId="0" borderId="314" applyFill="0" applyBorder="0" applyProtection="0">
      <alignment horizontal="right" vertical="center"/>
    </xf>
    <xf numFmtId="0" fontId="45" fillId="56" borderId="319" applyNumberFormat="0" applyAlignment="0" applyProtection="0"/>
    <xf numFmtId="0" fontId="34" fillId="33" borderId="324"/>
    <xf numFmtId="0" fontId="49" fillId="43" borderId="319" applyNumberFormat="0" applyAlignment="0" applyProtection="0"/>
    <xf numFmtId="0" fontId="32" fillId="32" borderId="309">
      <alignment horizontal="right" vertical="center"/>
    </xf>
    <xf numFmtId="0" fontId="50" fillId="0" borderId="307" applyNumberFormat="0" applyFill="0" applyAlignment="0" applyProtection="0"/>
    <xf numFmtId="0" fontId="34" fillId="0" borderId="309" applyNumberFormat="0" applyFill="0" applyAlignment="0" applyProtection="0"/>
    <xf numFmtId="0" fontId="50" fillId="0" borderId="307" applyNumberFormat="0" applyFill="0" applyAlignment="0" applyProtection="0"/>
    <xf numFmtId="4" fontId="34" fillId="0" borderId="309" applyFill="0" applyBorder="0" applyProtection="0">
      <alignment horizontal="right" vertical="center"/>
    </xf>
    <xf numFmtId="49" fontId="34" fillId="0" borderId="310" applyNumberFormat="0" applyFont="0" applyFill="0" applyBorder="0" applyProtection="0">
      <alignment horizontal="left" vertical="center" indent="5"/>
    </xf>
    <xf numFmtId="0" fontId="34" fillId="0" borderId="309" applyNumberFormat="0" applyFill="0" applyAlignment="0" applyProtection="0"/>
    <xf numFmtId="0" fontId="65" fillId="0" borderId="320" applyNumberFormat="0" applyFill="0" applyAlignment="0" applyProtection="0"/>
    <xf numFmtId="0" fontId="34" fillId="0" borderId="309" applyNumberFormat="0" applyFill="0" applyAlignment="0" applyProtection="0"/>
    <xf numFmtId="4" fontId="34" fillId="0" borderId="314">
      <alignment horizontal="right" vertical="center"/>
    </xf>
    <xf numFmtId="0" fontId="26" fillId="15" borderId="0" applyNumberFormat="0" applyBorder="0" applyAlignment="0" applyProtection="0"/>
    <xf numFmtId="4" fontId="32" fillId="34" borderId="309">
      <alignment horizontal="right" vertical="center"/>
    </xf>
    <xf numFmtId="0" fontId="34" fillId="33" borderId="314"/>
    <xf numFmtId="0" fontId="65" fillId="0" borderId="320" applyNumberFormat="0" applyFill="0" applyAlignment="0" applyProtection="0"/>
    <xf numFmtId="0" fontId="12" fillId="19" borderId="0" applyNumberFormat="0" applyBorder="0" applyAlignment="0" applyProtection="0"/>
    <xf numFmtId="0" fontId="45" fillId="56" borderId="319" applyNumberFormat="0" applyAlignment="0" applyProtection="0"/>
    <xf numFmtId="0" fontId="49" fillId="43" borderId="306" applyNumberFormat="0" applyAlignment="0" applyProtection="0"/>
    <xf numFmtId="0" fontId="46" fillId="56" borderId="306" applyNumberFormat="0" applyAlignment="0" applyProtection="0"/>
    <xf numFmtId="4" fontId="34" fillId="0" borderId="309">
      <alignment horizontal="right" vertical="center"/>
    </xf>
    <xf numFmtId="0" fontId="34" fillId="34" borderId="312">
      <alignment horizontal="left" vertical="center" wrapText="1" indent="2"/>
    </xf>
    <xf numFmtId="0" fontId="34" fillId="0" borderId="312">
      <alignment horizontal="left" vertical="center" wrapText="1" indent="2"/>
    </xf>
    <xf numFmtId="0" fontId="62" fillId="56" borderId="305" applyNumberFormat="0" applyAlignment="0" applyProtection="0"/>
    <xf numFmtId="0" fontId="58" fillId="43" borderId="306" applyNumberFormat="0" applyAlignment="0" applyProtection="0"/>
    <xf numFmtId="0" fontId="45" fillId="56" borderId="306" applyNumberFormat="0" applyAlignment="0" applyProtection="0"/>
    <xf numFmtId="0" fontId="43" fillId="56" borderId="305" applyNumberFormat="0" applyAlignment="0" applyProtection="0"/>
    <xf numFmtId="0" fontId="32" fillId="34" borderId="311">
      <alignment horizontal="right" vertical="center"/>
    </xf>
    <xf numFmtId="0" fontId="36" fillId="32" borderId="309">
      <alignment horizontal="right" vertical="center"/>
    </xf>
    <xf numFmtId="4" fontId="32" fillId="32" borderId="309">
      <alignment horizontal="right" vertical="center"/>
    </xf>
    <xf numFmtId="4" fontId="32" fillId="34" borderId="309">
      <alignment horizontal="right" vertical="center"/>
    </xf>
    <xf numFmtId="49" fontId="34" fillId="0" borderId="310" applyNumberFormat="0" applyFont="0" applyFill="0" applyBorder="0" applyProtection="0">
      <alignment horizontal="left" vertical="center" indent="5"/>
    </xf>
    <xf numFmtId="4" fontId="34" fillId="0" borderId="309" applyFill="0" applyBorder="0" applyProtection="0">
      <alignment horizontal="right" vertical="center"/>
    </xf>
    <xf numFmtId="4" fontId="32" fillId="32" borderId="309">
      <alignment horizontal="right" vertical="center"/>
    </xf>
    <xf numFmtId="0" fontId="58" fillId="43" borderId="306" applyNumberFormat="0" applyAlignment="0" applyProtection="0"/>
    <xf numFmtId="0" fontId="49" fillId="43" borderId="306" applyNumberFormat="0" applyAlignment="0" applyProtection="0"/>
    <xf numFmtId="0" fontId="45" fillId="56" borderId="306" applyNumberFormat="0" applyAlignment="0" applyProtection="0"/>
    <xf numFmtId="0" fontId="34" fillId="34" borderId="312">
      <alignment horizontal="left" vertical="center" wrapText="1" indent="2"/>
    </xf>
    <xf numFmtId="0" fontId="34" fillId="0" borderId="312">
      <alignment horizontal="left" vertical="center" wrapText="1" indent="2"/>
    </xf>
    <xf numFmtId="0" fontId="34" fillId="34" borderId="312">
      <alignment horizontal="left" vertical="center" wrapText="1" indent="2"/>
    </xf>
    <xf numFmtId="0" fontId="34" fillId="0" borderId="312">
      <alignment horizontal="left" vertical="center" wrapText="1" indent="2"/>
    </xf>
    <xf numFmtId="0" fontId="34" fillId="0" borderId="317">
      <alignment horizontal="left" vertical="center" wrapText="1" indent="2"/>
    </xf>
    <xf numFmtId="4" fontId="32" fillId="34" borderId="314">
      <alignment horizontal="right" vertical="center"/>
    </xf>
    <xf numFmtId="0" fontId="32" fillId="34" borderId="315">
      <alignment horizontal="right" vertical="center"/>
    </xf>
    <xf numFmtId="4" fontId="32" fillId="34" borderId="315">
      <alignment horizontal="right" vertical="center"/>
    </xf>
    <xf numFmtId="0" fontId="32" fillId="34" borderId="314">
      <alignment horizontal="right" vertical="center"/>
    </xf>
    <xf numFmtId="4" fontId="32" fillId="32" borderId="314">
      <alignment horizontal="right" vertical="center"/>
    </xf>
    <xf numFmtId="0" fontId="36" fillId="32" borderId="314">
      <alignment horizontal="right" vertical="center"/>
    </xf>
    <xf numFmtId="49" fontId="33" fillId="0" borderId="324" applyNumberFormat="0" applyFill="0" applyBorder="0" applyProtection="0">
      <alignment horizontal="left" vertical="center"/>
    </xf>
    <xf numFmtId="49" fontId="33" fillId="0" borderId="324" applyNumberFormat="0" applyFill="0" applyBorder="0" applyProtection="0">
      <alignment horizontal="left" vertical="center"/>
    </xf>
    <xf numFmtId="49" fontId="34" fillId="0" borderId="341" applyNumberFormat="0" applyFont="0" applyFill="0" applyBorder="0" applyProtection="0">
      <alignment horizontal="left" vertical="center" indent="2"/>
    </xf>
    <xf numFmtId="0" fontId="26" fillId="30" borderId="0" applyNumberFormat="0" applyBorder="0" applyAlignment="0" applyProtection="0"/>
    <xf numFmtId="0" fontId="34" fillId="0" borderId="344">
      <alignment horizontal="left" vertical="center" wrapText="1" indent="2"/>
    </xf>
    <xf numFmtId="0" fontId="34" fillId="34" borderId="349">
      <alignment horizontal="left" vertical="center" wrapText="1" indent="2"/>
    </xf>
    <xf numFmtId="49" fontId="34" fillId="0" borderId="324" applyNumberFormat="0" applyFont="0" applyFill="0" applyBorder="0" applyProtection="0">
      <alignment horizontal="left" vertical="center" indent="2"/>
    </xf>
    <xf numFmtId="0" fontId="26" fillId="15" borderId="0" applyNumberFormat="0" applyBorder="0" applyAlignment="0" applyProtection="0"/>
    <xf numFmtId="0" fontId="58" fillId="43" borderId="321" applyNumberFormat="0" applyAlignment="0" applyProtection="0"/>
    <xf numFmtId="0" fontId="26" fillId="20" borderId="0" applyNumberFormat="0" applyBorder="0" applyAlignment="0" applyProtection="0"/>
    <xf numFmtId="0" fontId="34" fillId="0" borderId="346">
      <alignment horizontal="right" vertical="center"/>
    </xf>
    <xf numFmtId="0" fontId="40" fillId="59" borderId="345" applyNumberFormat="0" applyFont="0" applyAlignment="0" applyProtection="0"/>
    <xf numFmtId="0" fontId="5" fillId="59" borderId="323" applyNumberFormat="0" applyFont="0" applyAlignment="0" applyProtection="0"/>
    <xf numFmtId="0" fontId="28" fillId="13" borderId="14" applyNumberFormat="0" applyAlignment="0" applyProtection="0"/>
    <xf numFmtId="0" fontId="40" fillId="59" borderId="340" applyNumberFormat="0" applyFont="0" applyAlignment="0" applyProtection="0"/>
    <xf numFmtId="0" fontId="26" fillId="20" borderId="0" applyNumberFormat="0" applyBorder="0" applyAlignment="0" applyProtection="0"/>
    <xf numFmtId="0" fontId="26" fillId="26" borderId="0" applyNumberFormat="0" applyBorder="0" applyAlignment="0" applyProtection="0"/>
    <xf numFmtId="0" fontId="40" fillId="59" borderId="323" applyNumberFormat="0" applyFont="0" applyAlignment="0" applyProtection="0"/>
    <xf numFmtId="0" fontId="62" fillId="56" borderId="328" applyNumberFormat="0" applyAlignment="0" applyProtection="0"/>
    <xf numFmtId="0" fontId="49" fillId="43" borderId="321" applyNumberFormat="0" applyAlignment="0" applyProtection="0"/>
    <xf numFmtId="0" fontId="12" fillId="31" borderId="0" applyNumberFormat="0" applyBorder="0" applyAlignment="0" applyProtection="0"/>
    <xf numFmtId="49" fontId="34" fillId="0" borderId="342" applyNumberFormat="0" applyFont="0" applyFill="0" applyBorder="0" applyProtection="0">
      <alignment horizontal="left" vertical="center" indent="5"/>
    </xf>
    <xf numFmtId="49" fontId="34" fillId="0" borderId="324" applyNumberFormat="0" applyFont="0" applyFill="0" applyBorder="0" applyProtection="0">
      <alignment horizontal="left" vertical="center" indent="2"/>
    </xf>
    <xf numFmtId="0" fontId="34" fillId="0" borderId="344">
      <alignment horizontal="left" vertical="center" wrapText="1" indent="2"/>
    </xf>
    <xf numFmtId="0" fontId="30" fillId="0" borderId="0" applyNumberFormat="0" applyFill="0" applyBorder="0" applyAlignment="0" applyProtection="0"/>
    <xf numFmtId="0" fontId="34" fillId="0" borderId="346" applyNumberFormat="0" applyFill="0" applyAlignment="0" applyProtection="0"/>
    <xf numFmtId="0" fontId="49" fillId="43" borderId="321" applyNumberFormat="0" applyAlignment="0" applyProtection="0"/>
    <xf numFmtId="0" fontId="32" fillId="34" borderId="324">
      <alignment horizontal="right" vertical="center"/>
    </xf>
    <xf numFmtId="0" fontId="62" fillId="56" borderId="329" applyNumberFormat="0" applyAlignment="0" applyProtection="0"/>
    <xf numFmtId="0" fontId="32" fillId="34" borderId="348">
      <alignment horizontal="right" vertical="center"/>
    </xf>
    <xf numFmtId="0" fontId="34" fillId="0" borderId="324" applyNumberFormat="0" applyFill="0" applyAlignment="0" applyProtection="0"/>
    <xf numFmtId="0" fontId="26" fillId="27" borderId="0" applyNumberFormat="0" applyBorder="0" applyAlignment="0" applyProtection="0"/>
    <xf numFmtId="0" fontId="40" fillId="59" borderId="313" applyNumberFormat="0" applyFont="0" applyAlignment="0" applyProtection="0"/>
    <xf numFmtId="0" fontId="32" fillId="34" borderId="326">
      <alignment horizontal="right" vertical="center"/>
    </xf>
    <xf numFmtId="0" fontId="43" fillId="56" borderId="337" applyNumberFormat="0" applyAlignment="0" applyProtection="0"/>
    <xf numFmtId="0" fontId="5" fillId="59" borderId="313" applyNumberFormat="0" applyFont="0" applyAlignment="0" applyProtection="0"/>
    <xf numFmtId="0" fontId="65" fillId="0" borderId="339" applyNumberFormat="0" applyFill="0" applyAlignment="0" applyProtection="0"/>
    <xf numFmtId="0" fontId="34" fillId="0" borderId="327">
      <alignment horizontal="left" vertical="center" wrapText="1" indent="2"/>
    </xf>
    <xf numFmtId="4" fontId="32" fillId="34" borderId="348">
      <alignment horizontal="right" vertical="center"/>
    </xf>
    <xf numFmtId="0" fontId="34" fillId="32" borderId="325">
      <alignment horizontal="left" vertical="center"/>
    </xf>
    <xf numFmtId="0" fontId="58" fillId="43" borderId="321" applyNumberFormat="0" applyAlignment="0" applyProtection="0"/>
    <xf numFmtId="0" fontId="58" fillId="43" borderId="321" applyNumberFormat="0" applyAlignment="0" applyProtection="0"/>
    <xf numFmtId="0" fontId="34" fillId="0" borderId="341">
      <alignment horizontal="right" vertical="center"/>
    </xf>
    <xf numFmtId="0" fontId="5" fillId="59" borderId="323" applyNumberFormat="0" applyFont="0" applyAlignment="0" applyProtection="0"/>
    <xf numFmtId="0" fontId="26" fillId="27" borderId="0" applyNumberFormat="0" applyBorder="0" applyAlignment="0" applyProtection="0"/>
    <xf numFmtId="0" fontId="58" fillId="43" borderId="319" applyNumberFormat="0" applyAlignment="0" applyProtection="0"/>
    <xf numFmtId="0" fontId="40" fillId="59" borderId="323" applyNumberFormat="0" applyFont="0" applyAlignment="0" applyProtection="0"/>
    <xf numFmtId="0" fontId="34" fillId="34" borderId="317">
      <alignment horizontal="left" vertical="center" wrapText="1" indent="2"/>
    </xf>
    <xf numFmtId="4" fontId="36" fillId="32" borderId="314">
      <alignment horizontal="right" vertical="center"/>
    </xf>
    <xf numFmtId="0" fontId="12" fillId="25" borderId="0" applyNumberFormat="0" applyBorder="0" applyAlignment="0" applyProtection="0"/>
    <xf numFmtId="4" fontId="32" fillId="34" borderId="326">
      <alignment horizontal="right" vertical="center"/>
    </xf>
    <xf numFmtId="0" fontId="50" fillId="0" borderId="322" applyNumberFormat="0" applyFill="0" applyAlignment="0" applyProtection="0"/>
    <xf numFmtId="0" fontId="34" fillId="33" borderId="333"/>
    <xf numFmtId="0" fontId="26" fillId="21" borderId="0" applyNumberFormat="0" applyBorder="0" applyAlignment="0" applyProtection="0"/>
    <xf numFmtId="0" fontId="46" fillId="56" borderId="321" applyNumberFormat="0" applyAlignment="0" applyProtection="0"/>
    <xf numFmtId="0" fontId="32" fillId="32" borderId="324">
      <alignment horizontal="right" vertical="center"/>
    </xf>
    <xf numFmtId="0" fontId="2" fillId="0" borderId="15" applyNumberFormat="0" applyFill="0" applyAlignment="0" applyProtection="0"/>
    <xf numFmtId="0" fontId="34" fillId="0" borderId="333">
      <alignment horizontal="right" vertical="center"/>
    </xf>
    <xf numFmtId="0" fontId="65" fillId="0" borderId="322" applyNumberFormat="0" applyFill="0" applyAlignment="0" applyProtection="0"/>
    <xf numFmtId="4" fontId="36" fillId="32" borderId="314">
      <alignment horizontal="right" vertical="center"/>
    </xf>
    <xf numFmtId="4" fontId="32" fillId="32" borderId="314">
      <alignment horizontal="right" vertical="center"/>
    </xf>
    <xf numFmtId="0" fontId="34" fillId="0" borderId="317">
      <alignment horizontal="left" vertical="center" wrapText="1" indent="2"/>
    </xf>
    <xf numFmtId="0" fontId="62" fillId="56" borderId="318" applyNumberFormat="0" applyAlignment="0" applyProtection="0"/>
    <xf numFmtId="0" fontId="34" fillId="0" borderId="314">
      <alignment horizontal="right" vertical="center"/>
    </xf>
    <xf numFmtId="0" fontId="65" fillId="0" borderId="320" applyNumberFormat="0" applyFill="0" applyAlignment="0" applyProtection="0"/>
    <xf numFmtId="49" fontId="33" fillId="0" borderId="314" applyNumberFormat="0" applyFill="0" applyBorder="0" applyProtection="0">
      <alignment horizontal="left" vertical="center"/>
    </xf>
    <xf numFmtId="4" fontId="34" fillId="33" borderId="314"/>
    <xf numFmtId="0" fontId="58" fillId="43" borderId="319" applyNumberFormat="0" applyAlignment="0" applyProtection="0"/>
    <xf numFmtId="0" fontId="46" fillId="56" borderId="321" applyNumberFormat="0" applyAlignment="0" applyProtection="0"/>
    <xf numFmtId="173" fontId="34" fillId="60" borderId="314" applyNumberFormat="0" applyFont="0" applyBorder="0" applyAlignment="0" applyProtection="0">
      <alignment horizontal="right" vertical="center"/>
    </xf>
    <xf numFmtId="0" fontId="32" fillId="34" borderId="325">
      <alignment horizontal="right" vertical="center"/>
    </xf>
    <xf numFmtId="0" fontId="46" fillId="56" borderId="319" applyNumberFormat="0" applyAlignment="0" applyProtection="0"/>
    <xf numFmtId="49" fontId="33" fillId="0" borderId="341" applyNumberFormat="0" applyFill="0" applyBorder="0" applyProtection="0">
      <alignment horizontal="left" vertical="center"/>
    </xf>
    <xf numFmtId="0" fontId="34" fillId="0" borderId="336">
      <alignment horizontal="left" vertical="center" wrapText="1" indent="2"/>
    </xf>
    <xf numFmtId="0" fontId="46" fillId="56" borderId="351" applyNumberFormat="0" applyAlignment="0" applyProtection="0"/>
    <xf numFmtId="0" fontId="65" fillId="0" borderId="322" applyNumberFormat="0" applyFill="0" applyAlignment="0" applyProtection="0"/>
    <xf numFmtId="0" fontId="58" fillId="43" borderId="319" applyNumberFormat="0" applyAlignment="0" applyProtection="0"/>
    <xf numFmtId="0" fontId="43" fillId="56" borderId="318" applyNumberFormat="0" applyAlignment="0" applyProtection="0"/>
    <xf numFmtId="49" fontId="33" fillId="0" borderId="314" applyNumberFormat="0" applyFill="0" applyBorder="0" applyProtection="0">
      <alignment horizontal="left" vertical="center"/>
    </xf>
    <xf numFmtId="0" fontId="65" fillId="0" borderId="320" applyNumberFormat="0" applyFill="0" applyAlignment="0" applyProtection="0"/>
    <xf numFmtId="0" fontId="34" fillId="0" borderId="314">
      <alignment horizontal="right" vertical="center"/>
    </xf>
    <xf numFmtId="0" fontId="32" fillId="34" borderId="315">
      <alignment horizontal="right" vertical="center"/>
    </xf>
    <xf numFmtId="0" fontId="65" fillId="0" borderId="320" applyNumberFormat="0" applyFill="0" applyAlignment="0" applyProtection="0"/>
    <xf numFmtId="0" fontId="50" fillId="0" borderId="322" applyNumberFormat="0" applyFill="0" applyAlignment="0" applyProtection="0"/>
    <xf numFmtId="4" fontId="32" fillId="32" borderId="324">
      <alignment horizontal="right" vertical="center"/>
    </xf>
    <xf numFmtId="0" fontId="26" fillId="20" borderId="0" applyNumberFormat="0" applyBorder="0" applyAlignment="0" applyProtection="0"/>
    <xf numFmtId="0" fontId="45" fillId="56" borderId="321" applyNumberFormat="0" applyAlignment="0" applyProtection="0"/>
    <xf numFmtId="0" fontId="58" fillId="43" borderId="321" applyNumberFormat="0" applyAlignment="0" applyProtection="0"/>
    <xf numFmtId="0" fontId="34" fillId="0" borderId="327">
      <alignment horizontal="left" vertical="center" wrapText="1" indent="2"/>
    </xf>
    <xf numFmtId="0" fontId="1" fillId="0" borderId="0" applyNumberFormat="0" applyFill="0" applyBorder="0" applyAlignment="0" applyProtection="0"/>
    <xf numFmtId="0" fontId="32" fillId="34" borderId="324">
      <alignment horizontal="right" vertical="center"/>
    </xf>
    <xf numFmtId="4" fontId="34" fillId="0" borderId="314" applyFill="0" applyBorder="0" applyProtection="0">
      <alignment horizontal="right" vertical="center"/>
    </xf>
    <xf numFmtId="4" fontId="32" fillId="34" borderId="324">
      <alignment horizontal="right" vertical="center"/>
    </xf>
    <xf numFmtId="0" fontId="34" fillId="0" borderId="341">
      <alignment horizontal="right" vertical="center"/>
    </xf>
    <xf numFmtId="0" fontId="65" fillId="0" borderId="322" applyNumberFormat="0" applyFill="0" applyAlignment="0" applyProtection="0"/>
    <xf numFmtId="0" fontId="34" fillId="0" borderId="327">
      <alignment horizontal="left" vertical="center" wrapText="1" indent="2"/>
    </xf>
    <xf numFmtId="0" fontId="46" fillId="56" borderId="321" applyNumberFormat="0" applyAlignment="0" applyProtection="0"/>
    <xf numFmtId="0" fontId="40" fillId="59" borderId="340" applyNumberFormat="0" applyFont="0" applyAlignment="0" applyProtection="0"/>
    <xf numFmtId="0" fontId="34" fillId="0" borderId="317">
      <alignment horizontal="left" vertical="center" wrapText="1" indent="2"/>
    </xf>
    <xf numFmtId="0" fontId="32" fillId="34" borderId="324">
      <alignment horizontal="right" vertical="center"/>
    </xf>
    <xf numFmtId="0" fontId="65" fillId="0" borderId="320" applyNumberFormat="0" applyFill="0" applyAlignment="0" applyProtection="0"/>
    <xf numFmtId="0" fontId="43" fillId="56" borderId="318" applyNumberFormat="0" applyAlignment="0" applyProtection="0"/>
    <xf numFmtId="0" fontId="32" fillId="34" borderId="314">
      <alignment horizontal="right" vertical="center"/>
    </xf>
    <xf numFmtId="0" fontId="45" fillId="56" borderId="319" applyNumberFormat="0" applyAlignment="0" applyProtection="0"/>
    <xf numFmtId="0" fontId="45" fillId="56" borderId="321" applyNumberFormat="0" applyAlignment="0" applyProtection="0"/>
    <xf numFmtId="0" fontId="26" fillId="14" borderId="0" applyNumberFormat="0" applyBorder="0" applyAlignment="0" applyProtection="0"/>
    <xf numFmtId="0" fontId="34" fillId="32" borderId="315">
      <alignment horizontal="left" vertical="center"/>
    </xf>
    <xf numFmtId="0" fontId="49" fillId="43" borderId="321" applyNumberFormat="0" applyAlignment="0" applyProtection="0"/>
    <xf numFmtId="0" fontId="30" fillId="0" borderId="0" applyNumberFormat="0" applyFill="0" applyBorder="0" applyAlignment="0" applyProtection="0"/>
    <xf numFmtId="0" fontId="50" fillId="0" borderId="322" applyNumberFormat="0" applyFill="0" applyAlignment="0" applyProtection="0"/>
    <xf numFmtId="4" fontId="32" fillId="34" borderId="324">
      <alignment horizontal="right" vertical="center"/>
    </xf>
    <xf numFmtId="0" fontId="40" fillId="59" borderId="323" applyNumberFormat="0" applyFont="0" applyAlignment="0" applyProtection="0"/>
    <xf numFmtId="0" fontId="32" fillId="32" borderId="314">
      <alignment horizontal="right" vertical="center"/>
    </xf>
    <xf numFmtId="0" fontId="43" fillId="56" borderId="328" applyNumberFormat="0" applyAlignment="0" applyProtection="0"/>
    <xf numFmtId="0" fontId="26" fillId="24" borderId="0" applyNumberFormat="0" applyBorder="0" applyAlignment="0" applyProtection="0"/>
    <xf numFmtId="0" fontId="50" fillId="0" borderId="320" applyNumberFormat="0" applyFill="0" applyAlignment="0" applyProtection="0"/>
    <xf numFmtId="4" fontId="32" fillId="32" borderId="341">
      <alignment horizontal="right" vertical="center"/>
    </xf>
    <xf numFmtId="0" fontId="34" fillId="0" borderId="314">
      <alignment horizontal="right" vertical="center"/>
    </xf>
    <xf numFmtId="0" fontId="5" fillId="59" borderId="313" applyNumberFormat="0" applyFont="0" applyAlignment="0" applyProtection="0"/>
    <xf numFmtId="4" fontId="34" fillId="0" borderId="324">
      <alignment horizontal="right" vertical="center"/>
    </xf>
    <xf numFmtId="0" fontId="26" fillId="18" borderId="0" applyNumberFormat="0" applyBorder="0" applyAlignment="0" applyProtection="0"/>
    <xf numFmtId="0" fontId="50" fillId="0" borderId="322" applyNumberFormat="0" applyFill="0" applyAlignment="0" applyProtection="0"/>
    <xf numFmtId="0" fontId="12" fillId="31" borderId="0" applyNumberFormat="0" applyBorder="0" applyAlignment="0" applyProtection="0"/>
    <xf numFmtId="0" fontId="58" fillId="43" borderId="319" applyNumberFormat="0" applyAlignment="0" applyProtection="0"/>
    <xf numFmtId="0" fontId="46" fillId="56" borderId="321" applyNumberFormat="0" applyAlignment="0" applyProtection="0"/>
    <xf numFmtId="49" fontId="34" fillId="0" borderId="315" applyNumberFormat="0" applyFont="0" applyFill="0" applyBorder="0" applyProtection="0">
      <alignment horizontal="left" vertical="center" indent="5"/>
    </xf>
    <xf numFmtId="4" fontId="32" fillId="34" borderId="324">
      <alignment horizontal="right" vertical="center"/>
    </xf>
    <xf numFmtId="0" fontId="34" fillId="0" borderId="314" applyNumberFormat="0" applyFill="0" applyAlignment="0" applyProtection="0"/>
    <xf numFmtId="0" fontId="50" fillId="0" borderId="320" applyNumberFormat="0" applyFill="0" applyAlignment="0" applyProtection="0"/>
    <xf numFmtId="0" fontId="62" fillId="56" borderId="318" applyNumberFormat="0" applyAlignment="0" applyProtection="0"/>
    <xf numFmtId="4" fontId="32" fillId="34" borderId="314">
      <alignment horizontal="right" vertical="center"/>
    </xf>
    <xf numFmtId="4" fontId="34" fillId="33" borderId="314"/>
    <xf numFmtId="0" fontId="65" fillId="0" borderId="320" applyNumberFormat="0" applyFill="0" applyAlignment="0" applyProtection="0"/>
    <xf numFmtId="0" fontId="32" fillId="34" borderId="342">
      <alignment horizontal="right" vertical="center"/>
    </xf>
    <xf numFmtId="0" fontId="43" fillId="56" borderId="318" applyNumberFormat="0" applyAlignment="0" applyProtection="0"/>
    <xf numFmtId="0" fontId="45" fillId="56" borderId="319" applyNumberFormat="0" applyAlignment="0" applyProtection="0"/>
    <xf numFmtId="0" fontId="46" fillId="56" borderId="319" applyNumberFormat="0" applyAlignment="0" applyProtection="0"/>
    <xf numFmtId="0" fontId="62" fillId="56" borderId="318" applyNumberFormat="0" applyAlignment="0" applyProtection="0"/>
    <xf numFmtId="0" fontId="32" fillId="34" borderId="316">
      <alignment horizontal="right" vertical="center"/>
    </xf>
    <xf numFmtId="0" fontId="34" fillId="0" borderId="314" applyNumberFormat="0" applyFill="0" applyAlignment="0" applyProtection="0"/>
    <xf numFmtId="49" fontId="34" fillId="0" borderId="315" applyNumberFormat="0" applyFont="0" applyFill="0" applyBorder="0" applyProtection="0">
      <alignment horizontal="left" vertical="center" indent="5"/>
    </xf>
    <xf numFmtId="0" fontId="65" fillId="0" borderId="320" applyNumberFormat="0" applyFill="0" applyAlignment="0" applyProtection="0"/>
    <xf numFmtId="0" fontId="34" fillId="0" borderId="314" applyNumberFormat="0" applyFill="0" applyAlignment="0" applyProtection="0"/>
    <xf numFmtId="0" fontId="34" fillId="33" borderId="324"/>
    <xf numFmtId="0" fontId="34" fillId="0" borderId="327">
      <alignment horizontal="left" vertical="center" wrapText="1" indent="2"/>
    </xf>
    <xf numFmtId="0" fontId="46" fillId="56" borderId="321" applyNumberFormat="0" applyAlignment="0" applyProtection="0"/>
    <xf numFmtId="4" fontId="34" fillId="0" borderId="324">
      <alignment horizontal="right" vertical="center"/>
    </xf>
    <xf numFmtId="0" fontId="26" fillId="24" borderId="0" applyNumberFormat="0" applyBorder="0" applyAlignment="0" applyProtection="0"/>
    <xf numFmtId="0" fontId="34" fillId="34" borderId="327">
      <alignment horizontal="left" vertical="center" wrapText="1" indent="2"/>
    </xf>
    <xf numFmtId="49" fontId="33" fillId="0" borderId="341" applyNumberFormat="0" applyFill="0" applyBorder="0" applyProtection="0">
      <alignment horizontal="left" vertical="center"/>
    </xf>
    <xf numFmtId="0" fontId="40" fillId="59" borderId="313" applyNumberFormat="0" applyFont="0" applyAlignment="0" applyProtection="0"/>
    <xf numFmtId="0" fontId="32" fillId="34" borderId="324">
      <alignment horizontal="right" vertical="center"/>
    </xf>
    <xf numFmtId="0" fontId="28" fillId="13" borderId="14" applyNumberFormat="0" applyAlignment="0" applyProtection="0"/>
    <xf numFmtId="49" fontId="34" fillId="0" borderId="341" applyNumberFormat="0" applyFont="0" applyFill="0" applyBorder="0" applyProtection="0">
      <alignment horizontal="left" vertical="center" indent="2"/>
    </xf>
    <xf numFmtId="0" fontId="26" fillId="14" borderId="0" applyNumberFormat="0" applyBorder="0" applyAlignment="0" applyProtection="0"/>
    <xf numFmtId="0" fontId="50" fillId="0" borderId="339" applyNumberFormat="0" applyFill="0" applyAlignment="0" applyProtection="0"/>
    <xf numFmtId="4" fontId="32" fillId="32" borderId="324">
      <alignment horizontal="right" vertical="center"/>
    </xf>
    <xf numFmtId="0" fontId="34" fillId="34" borderId="344">
      <alignment horizontal="left" vertical="center" wrapText="1" indent="2"/>
    </xf>
    <xf numFmtId="4" fontId="34" fillId="33" borderId="341"/>
    <xf numFmtId="4" fontId="32" fillId="34" borderId="326">
      <alignment horizontal="right" vertical="center"/>
    </xf>
    <xf numFmtId="0" fontId="34" fillId="0" borderId="317">
      <alignment horizontal="left" vertical="center" wrapText="1" indent="2"/>
    </xf>
    <xf numFmtId="4" fontId="32" fillId="32" borderId="324">
      <alignment horizontal="right" vertical="center"/>
    </xf>
    <xf numFmtId="4" fontId="32" fillId="32" borderId="314">
      <alignment horizontal="right" vertical="center"/>
    </xf>
    <xf numFmtId="0" fontId="34" fillId="32" borderId="347">
      <alignment horizontal="left" vertical="center"/>
    </xf>
    <xf numFmtId="4" fontId="34" fillId="0" borderId="341">
      <alignment horizontal="right" vertical="center"/>
    </xf>
    <xf numFmtId="0" fontId="62" fillId="56" borderId="318" applyNumberFormat="0" applyAlignment="0" applyProtection="0"/>
    <xf numFmtId="49" fontId="34" fillId="0" borderId="315" applyNumberFormat="0" applyFont="0" applyFill="0" applyBorder="0" applyProtection="0">
      <alignment horizontal="left" vertical="center" indent="5"/>
    </xf>
    <xf numFmtId="4" fontId="34" fillId="0" borderId="314">
      <alignment horizontal="right" vertical="center"/>
    </xf>
    <xf numFmtId="49" fontId="33" fillId="0" borderId="341" applyNumberFormat="0" applyFill="0" applyBorder="0" applyProtection="0">
      <alignment horizontal="left" vertical="center"/>
    </xf>
    <xf numFmtId="0" fontId="34" fillId="0" borderId="324" applyNumberFormat="0" applyFill="0" applyAlignment="0" applyProtection="0"/>
    <xf numFmtId="0" fontId="26" fillId="29" borderId="0" applyNumberFormat="0" applyBorder="0" applyAlignment="0" applyProtection="0"/>
    <xf numFmtId="0" fontId="50" fillId="0" borderId="320" applyNumberFormat="0" applyFill="0" applyAlignment="0" applyProtection="0"/>
    <xf numFmtId="4" fontId="32" fillId="34" borderId="316">
      <alignment horizontal="right" vertical="center"/>
    </xf>
    <xf numFmtId="4" fontId="32" fillId="34" borderId="314">
      <alignment horizontal="right" vertical="center"/>
    </xf>
    <xf numFmtId="4" fontId="32" fillId="34" borderId="314">
      <alignment horizontal="right" vertical="center"/>
    </xf>
    <xf numFmtId="0" fontId="65" fillId="0" borderId="320" applyNumberFormat="0" applyFill="0" applyAlignment="0" applyProtection="0"/>
    <xf numFmtId="0" fontId="46" fillId="56" borderId="319" applyNumberFormat="0" applyAlignment="0" applyProtection="0"/>
    <xf numFmtId="0" fontId="12" fillId="19" borderId="0" applyNumberFormat="0" applyBorder="0" applyAlignment="0" applyProtection="0"/>
    <xf numFmtId="0" fontId="50" fillId="0" borderId="339" applyNumberFormat="0" applyFill="0" applyAlignment="0" applyProtection="0"/>
    <xf numFmtId="0" fontId="29" fillId="13" borderId="13" applyNumberFormat="0" applyAlignment="0" applyProtection="0"/>
    <xf numFmtId="49" fontId="33" fillId="0" borderId="314" applyNumberFormat="0" applyFill="0" applyBorder="0" applyProtection="0">
      <alignment horizontal="left" vertical="center"/>
    </xf>
    <xf numFmtId="0" fontId="5" fillId="59" borderId="313" applyNumberFormat="0" applyFont="0" applyAlignment="0" applyProtection="0"/>
    <xf numFmtId="0" fontId="26" fillId="27" borderId="0" applyNumberFormat="0" applyBorder="0" applyAlignment="0" applyProtection="0"/>
    <xf numFmtId="4" fontId="32" fillId="34" borderId="314">
      <alignment horizontal="right" vertical="center"/>
    </xf>
    <xf numFmtId="0" fontId="26" fillId="26" borderId="0" applyNumberFormat="0" applyBorder="0" applyAlignment="0" applyProtection="0"/>
    <xf numFmtId="0" fontId="12" fillId="16" borderId="0" applyNumberFormat="0" applyBorder="0" applyAlignment="0" applyProtection="0"/>
    <xf numFmtId="0" fontId="46" fillId="56" borderId="338" applyNumberFormat="0" applyAlignment="0" applyProtection="0"/>
    <xf numFmtId="0" fontId="65" fillId="0" borderId="322" applyNumberFormat="0" applyFill="0" applyAlignment="0" applyProtection="0"/>
    <xf numFmtId="0" fontId="46" fillId="56" borderId="338" applyNumberFormat="0" applyAlignment="0" applyProtection="0"/>
    <xf numFmtId="49" fontId="34" fillId="0" borderId="314" applyNumberFormat="0" applyFont="0" applyFill="0" applyBorder="0" applyProtection="0">
      <alignment horizontal="left" vertical="center" indent="2"/>
    </xf>
    <xf numFmtId="0" fontId="65" fillId="0" borderId="320" applyNumberFormat="0" applyFill="0" applyAlignment="0" applyProtection="0"/>
    <xf numFmtId="4" fontId="34" fillId="0" borderId="314" applyFill="0" applyBorder="0" applyProtection="0">
      <alignment horizontal="right" vertical="center"/>
    </xf>
    <xf numFmtId="0" fontId="58" fillId="43" borderId="319" applyNumberFormat="0" applyAlignment="0" applyProtection="0"/>
    <xf numFmtId="49" fontId="33" fillId="0" borderId="314" applyNumberFormat="0" applyFill="0" applyBorder="0" applyProtection="0">
      <alignment horizontal="left" vertical="center"/>
    </xf>
    <xf numFmtId="49" fontId="34" fillId="0" borderId="314" applyNumberFormat="0" applyFont="0" applyFill="0" applyBorder="0" applyProtection="0">
      <alignment horizontal="left" vertical="center" indent="2"/>
    </xf>
    <xf numFmtId="4" fontId="34" fillId="0" borderId="314" applyFill="0" applyBorder="0" applyProtection="0">
      <alignment horizontal="right" vertical="center"/>
    </xf>
    <xf numFmtId="0" fontId="32" fillId="34" borderId="346">
      <alignment horizontal="right" vertical="center"/>
    </xf>
    <xf numFmtId="173" fontId="34" fillId="60" borderId="314" applyNumberFormat="0" applyFont="0" applyBorder="0" applyAlignment="0" applyProtection="0">
      <alignment horizontal="right" vertical="center"/>
    </xf>
    <xf numFmtId="0" fontId="62" fillId="56" borderId="329" applyNumberFormat="0" applyAlignment="0" applyProtection="0"/>
    <xf numFmtId="0" fontId="26" fillId="23" borderId="0" applyNumberFormat="0" applyBorder="0" applyAlignment="0" applyProtection="0"/>
    <xf numFmtId="4" fontId="36" fillId="32" borderId="341">
      <alignment horizontal="right" vertical="center"/>
    </xf>
    <xf numFmtId="0" fontId="36" fillId="32" borderId="314">
      <alignment horizontal="right" vertical="center"/>
    </xf>
    <xf numFmtId="173" fontId="34" fillId="60" borderId="341" applyNumberFormat="0" applyFont="0" applyBorder="0" applyAlignment="0" applyProtection="0">
      <alignment horizontal="right" vertical="center"/>
    </xf>
    <xf numFmtId="0" fontId="46" fillId="56" borderId="321" applyNumberFormat="0" applyAlignment="0" applyProtection="0"/>
    <xf numFmtId="0" fontId="49" fillId="43" borderId="321" applyNumberFormat="0" applyAlignment="0" applyProtection="0"/>
    <xf numFmtId="49" fontId="33" fillId="0" borderId="324" applyNumberFormat="0" applyFill="0" applyBorder="0" applyProtection="0">
      <alignment horizontal="left" vertical="center"/>
    </xf>
    <xf numFmtId="0" fontId="49" fillId="43" borderId="319" applyNumberFormat="0" applyAlignment="0" applyProtection="0"/>
    <xf numFmtId="4" fontId="32" fillId="34" borderId="314">
      <alignment horizontal="right" vertical="center"/>
    </xf>
    <xf numFmtId="0" fontId="34" fillId="32" borderId="315">
      <alignment horizontal="left" vertical="center"/>
    </xf>
    <xf numFmtId="0" fontId="58" fillId="43" borderId="321" applyNumberFormat="0" applyAlignment="0" applyProtection="0"/>
    <xf numFmtId="0" fontId="45" fillId="56" borderId="321" applyNumberFormat="0" applyAlignment="0" applyProtection="0"/>
    <xf numFmtId="173" fontId="34" fillId="60" borderId="341" applyNumberFormat="0" applyFont="0" applyBorder="0" applyAlignment="0" applyProtection="0">
      <alignment horizontal="right" vertical="center"/>
    </xf>
    <xf numFmtId="0" fontId="1" fillId="0" borderId="0" applyNumberFormat="0" applyFill="0" applyBorder="0" applyAlignment="0" applyProtection="0"/>
    <xf numFmtId="0" fontId="32" fillId="34" borderId="347">
      <alignment horizontal="right" vertical="center"/>
    </xf>
    <xf numFmtId="0" fontId="32" fillId="34" borderId="333">
      <alignment horizontal="right" vertical="center"/>
    </xf>
    <xf numFmtId="173" fontId="34" fillId="60" borderId="341" applyNumberFormat="0" applyFont="0" applyBorder="0" applyAlignment="0" applyProtection="0">
      <alignment horizontal="right" vertical="center"/>
    </xf>
    <xf numFmtId="4" fontId="32" fillId="34" borderId="326">
      <alignment horizontal="right" vertical="center"/>
    </xf>
    <xf numFmtId="49" fontId="34" fillId="0" borderId="324" applyNumberFormat="0" applyFont="0" applyFill="0" applyBorder="0" applyProtection="0">
      <alignment horizontal="left" vertical="center" indent="2"/>
    </xf>
    <xf numFmtId="0" fontId="1" fillId="0" borderId="0" applyNumberFormat="0" applyFill="0" applyBorder="0" applyAlignment="0" applyProtection="0"/>
    <xf numFmtId="0" fontId="12" fillId="28" borderId="0" applyNumberFormat="0" applyBorder="0" applyAlignment="0" applyProtection="0"/>
    <xf numFmtId="4" fontId="32" fillId="34" borderId="324">
      <alignment horizontal="right" vertical="center"/>
    </xf>
    <xf numFmtId="0" fontId="32" fillId="34" borderId="314">
      <alignment horizontal="right" vertical="center"/>
    </xf>
    <xf numFmtId="0" fontId="34" fillId="34" borderId="317">
      <alignment horizontal="left" vertical="center" wrapText="1" indent="2"/>
    </xf>
    <xf numFmtId="173" fontId="34" fillId="60" borderId="314" applyNumberFormat="0" applyFont="0" applyBorder="0" applyAlignment="0" applyProtection="0">
      <alignment horizontal="right" vertical="center"/>
    </xf>
    <xf numFmtId="0" fontId="40" fillId="59" borderId="313" applyNumberFormat="0" applyFont="0" applyAlignment="0" applyProtection="0"/>
    <xf numFmtId="49" fontId="34" fillId="0" borderId="314" applyNumberFormat="0" applyFont="0" applyFill="0" applyBorder="0" applyProtection="0">
      <alignment horizontal="left" vertical="center" indent="2"/>
    </xf>
    <xf numFmtId="0" fontId="34" fillId="34" borderId="327">
      <alignment horizontal="left" vertical="center" wrapText="1" indent="2"/>
    </xf>
    <xf numFmtId="0" fontId="2" fillId="0" borderId="15" applyNumberFormat="0" applyFill="0" applyAlignment="0" applyProtection="0"/>
    <xf numFmtId="4" fontId="32" fillId="34" borderId="326">
      <alignment horizontal="right" vertical="center"/>
    </xf>
    <xf numFmtId="0" fontId="26" fillId="14" borderId="0" applyNumberFormat="0" applyBorder="0" applyAlignment="0" applyProtection="0"/>
    <xf numFmtId="49" fontId="33" fillId="0" borderId="314" applyNumberFormat="0" applyFill="0" applyBorder="0" applyProtection="0">
      <alignment horizontal="left" vertical="center"/>
    </xf>
    <xf numFmtId="0" fontId="5" fillId="59" borderId="323" applyNumberFormat="0" applyFont="0" applyAlignment="0" applyProtection="0"/>
    <xf numFmtId="173" fontId="34" fillId="60" borderId="314" applyNumberFormat="0" applyFont="0" applyBorder="0" applyAlignment="0" applyProtection="0">
      <alignment horizontal="right" vertical="center"/>
    </xf>
    <xf numFmtId="0" fontId="62" fillId="56" borderId="318" applyNumberFormat="0" applyAlignment="0" applyProtection="0"/>
    <xf numFmtId="0" fontId="34" fillId="0" borderId="314">
      <alignment horizontal="right" vertical="center"/>
    </xf>
    <xf numFmtId="49" fontId="34" fillId="0" borderId="325" applyNumberFormat="0" applyFont="0" applyFill="0" applyBorder="0" applyProtection="0">
      <alignment horizontal="left" vertical="center" indent="5"/>
    </xf>
    <xf numFmtId="0" fontId="34" fillId="33" borderId="314"/>
    <xf numFmtId="4" fontId="32" fillId="34" borderId="314">
      <alignment horizontal="right" vertical="center"/>
    </xf>
    <xf numFmtId="0" fontId="34" fillId="33" borderId="314"/>
    <xf numFmtId="0" fontId="58" fillId="43" borderId="319" applyNumberFormat="0" applyAlignment="0" applyProtection="0"/>
    <xf numFmtId="0" fontId="36" fillId="32" borderId="314">
      <alignment horizontal="right" vertical="center"/>
    </xf>
    <xf numFmtId="0" fontId="34" fillId="0" borderId="317">
      <alignment horizontal="left" vertical="center" wrapText="1" indent="2"/>
    </xf>
    <xf numFmtId="0" fontId="32" fillId="32" borderId="314">
      <alignment horizontal="right" vertical="center"/>
    </xf>
    <xf numFmtId="0" fontId="49" fillId="43" borderId="319" applyNumberFormat="0" applyAlignment="0" applyProtection="0"/>
    <xf numFmtId="0" fontId="34" fillId="34" borderId="317">
      <alignment horizontal="left" vertical="center" wrapText="1" indent="2"/>
    </xf>
    <xf numFmtId="49" fontId="33" fillId="0" borderId="324" applyNumberFormat="0" applyFill="0" applyBorder="0" applyProtection="0">
      <alignment horizontal="left" vertical="center"/>
    </xf>
    <xf numFmtId="0" fontId="26" fillId="23" borderId="0" applyNumberFormat="0" applyBorder="0" applyAlignment="0" applyProtection="0"/>
    <xf numFmtId="0" fontId="12" fillId="22" borderId="0" applyNumberFormat="0" applyBorder="0" applyAlignment="0" applyProtection="0"/>
    <xf numFmtId="0" fontId="50" fillId="0" borderId="331" applyNumberFormat="0" applyFill="0" applyAlignment="0" applyProtection="0"/>
    <xf numFmtId="0" fontId="26" fillId="24" borderId="0" applyNumberFormat="0" applyBorder="0" applyAlignment="0" applyProtection="0"/>
    <xf numFmtId="0" fontId="12" fillId="31" borderId="0" applyNumberFormat="0" applyBorder="0" applyAlignment="0" applyProtection="0"/>
    <xf numFmtId="0" fontId="32" fillId="34" borderId="326">
      <alignment horizontal="right" vertical="center"/>
    </xf>
    <xf numFmtId="4" fontId="32" fillId="34" borderId="325">
      <alignment horizontal="right" vertical="center"/>
    </xf>
    <xf numFmtId="4" fontId="34" fillId="0" borderId="341" applyFill="0" applyBorder="0" applyProtection="0">
      <alignment horizontal="right" vertical="center"/>
    </xf>
    <xf numFmtId="0" fontId="45" fillId="56" borderId="319" applyNumberFormat="0" applyAlignment="0" applyProtection="0"/>
    <xf numFmtId="0" fontId="36" fillId="32" borderId="314">
      <alignment horizontal="right" vertical="center"/>
    </xf>
    <xf numFmtId="0" fontId="32" fillId="34" borderId="342">
      <alignment horizontal="right" vertical="center"/>
    </xf>
    <xf numFmtId="0" fontId="65" fillId="0" borderId="322" applyNumberFormat="0" applyFill="0" applyAlignment="0" applyProtection="0"/>
    <xf numFmtId="0" fontId="28" fillId="13" borderId="14" applyNumberFormat="0" applyAlignment="0" applyProtection="0"/>
    <xf numFmtId="0" fontId="1" fillId="0" borderId="0" applyNumberFormat="0" applyFill="0" applyBorder="0" applyAlignment="0" applyProtection="0"/>
    <xf numFmtId="0" fontId="26" fillId="20" borderId="0" applyNumberFormat="0" applyBorder="0" applyAlignment="0" applyProtection="0"/>
    <xf numFmtId="0" fontId="26" fillId="30" borderId="0" applyNumberFormat="0" applyBorder="0" applyAlignment="0" applyProtection="0"/>
    <xf numFmtId="49" fontId="34" fillId="0" borderId="325" applyNumberFormat="0" applyFont="0" applyFill="0" applyBorder="0" applyProtection="0">
      <alignment horizontal="left" vertical="center" indent="5"/>
    </xf>
    <xf numFmtId="0" fontId="30" fillId="0" borderId="0" applyNumberFormat="0" applyFill="0" applyBorder="0" applyAlignment="0" applyProtection="0"/>
    <xf numFmtId="173" fontId="34" fillId="60" borderId="324" applyNumberFormat="0" applyFont="0" applyBorder="0" applyAlignment="0" applyProtection="0">
      <alignment horizontal="right" vertical="center"/>
    </xf>
    <xf numFmtId="0" fontId="45" fillId="56" borderId="338" applyNumberFormat="0" applyAlignment="0" applyProtection="0"/>
    <xf numFmtId="0" fontId="32" fillId="34" borderId="314">
      <alignment horizontal="right" vertical="center"/>
    </xf>
    <xf numFmtId="4" fontId="34" fillId="0" borderId="314" applyFill="0" applyBorder="0" applyProtection="0">
      <alignment horizontal="right" vertical="center"/>
    </xf>
    <xf numFmtId="0" fontId="34" fillId="34" borderId="317">
      <alignment horizontal="left" vertical="center" wrapText="1" indent="2"/>
    </xf>
    <xf numFmtId="0" fontId="40" fillId="59" borderId="313" applyNumberFormat="0" applyFont="0" applyAlignment="0" applyProtection="0"/>
    <xf numFmtId="0" fontId="49" fillId="43" borderId="319" applyNumberFormat="0" applyAlignment="0" applyProtection="0"/>
    <xf numFmtId="4" fontId="34" fillId="33" borderId="314"/>
    <xf numFmtId="4" fontId="34" fillId="0" borderId="314" applyFill="0" applyBorder="0" applyProtection="0">
      <alignment horizontal="right" vertical="center"/>
    </xf>
    <xf numFmtId="0" fontId="65" fillId="0" borderId="320" applyNumberFormat="0" applyFill="0" applyAlignment="0" applyProtection="0"/>
    <xf numFmtId="0" fontId="34" fillId="32" borderId="315">
      <alignment horizontal="left" vertical="center"/>
    </xf>
    <xf numFmtId="0" fontId="34" fillId="0" borderId="317">
      <alignment horizontal="left" vertical="center" wrapText="1" indent="2"/>
    </xf>
    <xf numFmtId="0" fontId="34" fillId="34" borderId="327">
      <alignment horizontal="left" vertical="center" wrapText="1" indent="2"/>
    </xf>
    <xf numFmtId="0" fontId="58" fillId="43" borderId="319" applyNumberFormat="0" applyAlignment="0" applyProtection="0"/>
    <xf numFmtId="173" fontId="34" fillId="60" borderId="324" applyNumberFormat="0" applyFont="0" applyBorder="0" applyAlignment="0" applyProtection="0">
      <alignment horizontal="right" vertical="center"/>
    </xf>
    <xf numFmtId="0" fontId="34" fillId="34" borderId="317">
      <alignment horizontal="left" vertical="center" wrapText="1" indent="2"/>
    </xf>
    <xf numFmtId="4" fontId="34" fillId="33" borderId="324"/>
    <xf numFmtId="0" fontId="26" fillId="18" borderId="0" applyNumberFormat="0" applyBorder="0" applyAlignment="0" applyProtection="0"/>
    <xf numFmtId="0" fontId="50" fillId="0" borderId="352" applyNumberFormat="0" applyFill="0" applyAlignment="0" applyProtection="0"/>
    <xf numFmtId="0" fontId="32" fillId="34" borderId="325">
      <alignment horizontal="right" vertical="center"/>
    </xf>
    <xf numFmtId="0" fontId="40" fillId="59" borderId="313" applyNumberFormat="0" applyFont="0" applyAlignment="0" applyProtection="0"/>
    <xf numFmtId="0" fontId="58" fillId="43" borderId="319" applyNumberFormat="0" applyAlignment="0" applyProtection="0"/>
    <xf numFmtId="0" fontId="12" fillId="31" borderId="0" applyNumberFormat="0" applyBorder="0" applyAlignment="0" applyProtection="0"/>
    <xf numFmtId="4" fontId="34" fillId="33" borderId="314"/>
    <xf numFmtId="0" fontId="46" fillId="56" borderId="319" applyNumberFormat="0" applyAlignment="0" applyProtection="0"/>
    <xf numFmtId="0" fontId="58" fillId="43" borderId="319" applyNumberFormat="0" applyAlignment="0" applyProtection="0"/>
    <xf numFmtId="4" fontId="32" fillId="34" borderId="314">
      <alignment horizontal="right" vertical="center"/>
    </xf>
    <xf numFmtId="0" fontId="50" fillId="0" borderId="320" applyNumberFormat="0" applyFill="0" applyAlignment="0" applyProtection="0"/>
    <xf numFmtId="0" fontId="32" fillId="32" borderId="333">
      <alignment horizontal="right" vertical="center"/>
    </xf>
    <xf numFmtId="0" fontId="12" fillId="19" borderId="0" applyNumberFormat="0" applyBorder="0" applyAlignment="0" applyProtection="0"/>
    <xf numFmtId="4" fontId="32" fillId="34" borderId="325">
      <alignment horizontal="right" vertical="center"/>
    </xf>
    <xf numFmtId="0" fontId="58" fillId="43" borderId="321" applyNumberFormat="0" applyAlignment="0" applyProtection="0"/>
    <xf numFmtId="0" fontId="46" fillId="56" borderId="321" applyNumberFormat="0" applyAlignment="0" applyProtection="0"/>
    <xf numFmtId="0" fontId="34" fillId="0" borderId="346" applyNumberFormat="0" applyFill="0" applyAlignment="0" applyProtection="0"/>
    <xf numFmtId="0" fontId="49" fillId="43" borderId="319" applyNumberFormat="0" applyAlignment="0" applyProtection="0"/>
    <xf numFmtId="4" fontId="34" fillId="0" borderId="341" applyFill="0" applyBorder="0" applyProtection="0">
      <alignment horizontal="right" vertical="center"/>
    </xf>
    <xf numFmtId="4" fontId="34" fillId="0" borderId="324">
      <alignment horizontal="right" vertical="center"/>
    </xf>
    <xf numFmtId="0" fontId="45" fillId="56" borderId="338" applyNumberFormat="0" applyAlignment="0" applyProtection="0"/>
    <xf numFmtId="0" fontId="40" fillId="59" borderId="340" applyNumberFormat="0" applyFont="0" applyAlignment="0" applyProtection="0"/>
    <xf numFmtId="0" fontId="34" fillId="0" borderId="324">
      <alignment horizontal="right" vertical="center"/>
    </xf>
    <xf numFmtId="0" fontId="50" fillId="0" borderId="322" applyNumberFormat="0" applyFill="0" applyAlignment="0" applyProtection="0"/>
    <xf numFmtId="0" fontId="34" fillId="34" borderId="317">
      <alignment horizontal="left" vertical="center" wrapText="1" indent="2"/>
    </xf>
    <xf numFmtId="0" fontId="45" fillId="56" borderId="338" applyNumberFormat="0" applyAlignment="0" applyProtection="0"/>
    <xf numFmtId="0" fontId="62" fillId="56" borderId="318" applyNumberFormat="0" applyAlignment="0" applyProtection="0"/>
    <xf numFmtId="0" fontId="58" fillId="43" borderId="319" applyNumberFormat="0" applyAlignment="0" applyProtection="0"/>
    <xf numFmtId="4" fontId="32" fillId="34" borderId="314">
      <alignment horizontal="right" vertical="center"/>
    </xf>
    <xf numFmtId="0" fontId="34" fillId="33" borderId="314"/>
    <xf numFmtId="4" fontId="32" fillId="32" borderId="324">
      <alignment horizontal="right" vertical="center"/>
    </xf>
    <xf numFmtId="0" fontId="62" fillId="56" borderId="337" applyNumberFormat="0" applyAlignment="0" applyProtection="0"/>
    <xf numFmtId="0" fontId="34" fillId="0" borderId="317">
      <alignment horizontal="left" vertical="center" wrapText="1" indent="2"/>
    </xf>
    <xf numFmtId="0" fontId="46" fillId="56" borderId="338" applyNumberFormat="0" applyAlignment="0" applyProtection="0"/>
    <xf numFmtId="49" fontId="33" fillId="0" borderId="324" applyNumberFormat="0" applyFill="0" applyBorder="0" applyProtection="0">
      <alignment horizontal="left" vertical="center"/>
    </xf>
    <xf numFmtId="0" fontId="12" fillId="25" borderId="0" applyNumberFormat="0" applyBorder="0" applyAlignment="0" applyProtection="0"/>
    <xf numFmtId="0" fontId="58" fillId="43" borderId="351" applyNumberFormat="0" applyAlignment="0" applyProtection="0"/>
    <xf numFmtId="0" fontId="45" fillId="56" borderId="319" applyNumberFormat="0" applyAlignment="0" applyProtection="0"/>
    <xf numFmtId="4" fontId="32" fillId="34" borderId="346">
      <alignment horizontal="right" vertical="center"/>
    </xf>
    <xf numFmtId="49" fontId="33" fillId="0" borderId="324" applyNumberFormat="0" applyFill="0" applyBorder="0" applyProtection="0">
      <alignment horizontal="left" vertical="center"/>
    </xf>
    <xf numFmtId="4" fontId="32" fillId="32" borderId="314">
      <alignment horizontal="right" vertical="center"/>
    </xf>
    <xf numFmtId="0" fontId="32" fillId="32" borderId="314">
      <alignment horizontal="right" vertical="center"/>
    </xf>
    <xf numFmtId="0" fontId="32" fillId="34" borderId="314">
      <alignment horizontal="right" vertical="center"/>
    </xf>
    <xf numFmtId="4" fontId="34" fillId="33" borderId="346"/>
    <xf numFmtId="0" fontId="50" fillId="0" borderId="339" applyNumberFormat="0" applyFill="0" applyAlignment="0" applyProtection="0"/>
    <xf numFmtId="4" fontId="32" fillId="34" borderId="324">
      <alignment horizontal="right" vertical="center"/>
    </xf>
    <xf numFmtId="0" fontId="26" fillId="30" borderId="0" applyNumberFormat="0" applyBorder="0" applyAlignment="0" applyProtection="0"/>
    <xf numFmtId="49" fontId="33" fillId="0" borderId="324" applyNumberFormat="0" applyFill="0" applyBorder="0" applyProtection="0">
      <alignment horizontal="left" vertical="center"/>
    </xf>
    <xf numFmtId="0" fontId="62" fillId="56" borderId="318" applyNumberFormat="0" applyAlignment="0" applyProtection="0"/>
    <xf numFmtId="0" fontId="34" fillId="34" borderId="327">
      <alignment horizontal="left" vertical="center" wrapText="1" indent="2"/>
    </xf>
    <xf numFmtId="49" fontId="34" fillId="0" borderId="314" applyNumberFormat="0" applyFont="0" applyFill="0" applyBorder="0" applyProtection="0">
      <alignment horizontal="left" vertical="center" indent="2"/>
    </xf>
    <xf numFmtId="0" fontId="65" fillId="0" borderId="322" applyNumberFormat="0" applyFill="0" applyAlignment="0" applyProtection="0"/>
    <xf numFmtId="0" fontId="40" fillId="59" borderId="313" applyNumberFormat="0" applyFont="0" applyAlignment="0" applyProtection="0"/>
    <xf numFmtId="173" fontId="34" fillId="60" borderId="314" applyNumberFormat="0" applyFont="0" applyBorder="0" applyAlignment="0" applyProtection="0">
      <alignment horizontal="right" vertical="center"/>
    </xf>
    <xf numFmtId="0" fontId="58" fillId="43" borderId="319" applyNumberFormat="0" applyAlignment="0" applyProtection="0"/>
    <xf numFmtId="0" fontId="32" fillId="34" borderId="314">
      <alignment horizontal="right" vertical="center"/>
    </xf>
    <xf numFmtId="0" fontId="34" fillId="33" borderId="314"/>
    <xf numFmtId="0" fontId="62" fillId="56" borderId="318" applyNumberFormat="0" applyAlignment="0" applyProtection="0"/>
    <xf numFmtId="0" fontId="46" fillId="56" borderId="319" applyNumberFormat="0" applyAlignment="0" applyProtection="0"/>
    <xf numFmtId="0" fontId="45" fillId="56" borderId="319" applyNumberFormat="0" applyAlignment="0" applyProtection="0"/>
    <xf numFmtId="0" fontId="49" fillId="43" borderId="319" applyNumberFormat="0" applyAlignment="0" applyProtection="0"/>
    <xf numFmtId="0" fontId="49" fillId="43" borderId="319" applyNumberFormat="0" applyAlignment="0" applyProtection="0"/>
    <xf numFmtId="0" fontId="34" fillId="0" borderId="317">
      <alignment horizontal="left" vertical="center" wrapText="1" indent="2"/>
    </xf>
    <xf numFmtId="4" fontId="32" fillId="34" borderId="315">
      <alignment horizontal="right" vertical="center"/>
    </xf>
    <xf numFmtId="4" fontId="34" fillId="0" borderId="314">
      <alignment horizontal="right" vertical="center"/>
    </xf>
    <xf numFmtId="49" fontId="33" fillId="0" borderId="314" applyNumberFormat="0" applyFill="0" applyBorder="0" applyProtection="0">
      <alignment horizontal="left" vertical="center"/>
    </xf>
    <xf numFmtId="4" fontId="34" fillId="0" borderId="314">
      <alignment horizontal="right" vertical="center"/>
    </xf>
    <xf numFmtId="0" fontId="62" fillId="56" borderId="318" applyNumberFormat="0" applyAlignment="0" applyProtection="0"/>
    <xf numFmtId="0" fontId="40" fillId="59" borderId="323" applyNumberFormat="0" applyFont="0" applyAlignment="0" applyProtection="0"/>
    <xf numFmtId="0" fontId="50" fillId="0" borderId="352" applyNumberFormat="0" applyFill="0" applyAlignment="0" applyProtection="0"/>
    <xf numFmtId="4" fontId="32" fillId="34" borderId="325">
      <alignment horizontal="right" vertical="center"/>
    </xf>
    <xf numFmtId="0" fontId="32" fillId="32" borderId="324">
      <alignment horizontal="right" vertical="center"/>
    </xf>
    <xf numFmtId="4" fontId="32" fillId="34" borderId="343">
      <alignment horizontal="right" vertical="center"/>
    </xf>
    <xf numFmtId="4" fontId="32" fillId="32" borderId="341">
      <alignment horizontal="right" vertical="center"/>
    </xf>
    <xf numFmtId="0" fontId="34" fillId="34" borderId="336">
      <alignment horizontal="left" vertical="center" wrapText="1" indent="2"/>
    </xf>
    <xf numFmtId="0" fontId="34" fillId="0" borderId="317">
      <alignment horizontal="left" vertical="center" wrapText="1" indent="2"/>
    </xf>
    <xf numFmtId="0" fontId="12" fillId="22" borderId="0" applyNumberFormat="0" applyBorder="0" applyAlignment="0" applyProtection="0"/>
    <xf numFmtId="4" fontId="34" fillId="33" borderId="324"/>
    <xf numFmtId="0" fontId="26" fillId="23" borderId="0" applyNumberFormat="0" applyBorder="0" applyAlignment="0" applyProtection="0"/>
    <xf numFmtId="0" fontId="34" fillId="0" borderId="349">
      <alignment horizontal="left" vertical="center" wrapText="1" indent="2"/>
    </xf>
    <xf numFmtId="0" fontId="65" fillId="0" borderId="322" applyNumberFormat="0" applyFill="0" applyAlignment="0" applyProtection="0"/>
    <xf numFmtId="0" fontId="32" fillId="34" borderId="324">
      <alignment horizontal="right" vertical="center"/>
    </xf>
    <xf numFmtId="0" fontId="62" fillId="56" borderId="337" applyNumberFormat="0" applyAlignment="0" applyProtection="0"/>
    <xf numFmtId="0" fontId="30" fillId="0" borderId="0" applyNumberFormat="0" applyFill="0" applyBorder="0" applyAlignment="0" applyProtection="0"/>
    <xf numFmtId="0" fontId="40" fillId="59" borderId="313" applyNumberFormat="0" applyFont="0" applyAlignment="0" applyProtection="0"/>
    <xf numFmtId="0" fontId="34" fillId="0" borderId="327">
      <alignment horizontal="left" vertical="center" wrapText="1" indent="2"/>
    </xf>
    <xf numFmtId="0" fontId="32" fillId="32" borderId="314">
      <alignment horizontal="right" vertical="center"/>
    </xf>
    <xf numFmtId="0" fontId="12" fillId="19" borderId="0" applyNumberFormat="0" applyBorder="0" applyAlignment="0" applyProtection="0"/>
    <xf numFmtId="0" fontId="46" fillId="56" borderId="321" applyNumberFormat="0" applyAlignment="0" applyProtection="0"/>
    <xf numFmtId="0" fontId="34" fillId="0" borderId="314" applyNumberFormat="0" applyFill="0" applyAlignment="0" applyProtection="0"/>
    <xf numFmtId="49" fontId="33" fillId="0" borderId="314" applyNumberFormat="0" applyFill="0" applyBorder="0" applyProtection="0">
      <alignment horizontal="left" vertical="center"/>
    </xf>
    <xf numFmtId="0" fontId="34" fillId="0" borderId="314">
      <alignment horizontal="right" vertical="center"/>
    </xf>
    <xf numFmtId="0" fontId="65" fillId="0" borderId="322" applyNumberFormat="0" applyFill="0" applyAlignment="0" applyProtection="0"/>
    <xf numFmtId="0" fontId="45" fillId="56" borderId="351" applyNumberFormat="0" applyAlignment="0" applyProtection="0"/>
    <xf numFmtId="0" fontId="32" fillId="34" borderId="341">
      <alignment horizontal="right" vertical="center"/>
    </xf>
    <xf numFmtId="0" fontId="32" fillId="34" borderId="341">
      <alignment horizontal="right" vertical="center"/>
    </xf>
    <xf numFmtId="4" fontId="32" fillId="32" borderId="314">
      <alignment horizontal="right" vertical="center"/>
    </xf>
    <xf numFmtId="0" fontId="43" fillId="56" borderId="328" applyNumberFormat="0" applyAlignment="0" applyProtection="0"/>
    <xf numFmtId="0" fontId="46" fillId="56" borderId="319" applyNumberFormat="0" applyAlignment="0" applyProtection="0"/>
    <xf numFmtId="0" fontId="32" fillId="34" borderId="316">
      <alignment horizontal="right" vertical="center"/>
    </xf>
    <xf numFmtId="4" fontId="32" fillId="32" borderId="314">
      <alignment horizontal="right" vertical="center"/>
    </xf>
    <xf numFmtId="0" fontId="32" fillId="34" borderId="314">
      <alignment horizontal="right" vertical="center"/>
    </xf>
    <xf numFmtId="0" fontId="46" fillId="56" borderId="319" applyNumberFormat="0" applyAlignment="0" applyProtection="0"/>
    <xf numFmtId="0" fontId="65" fillId="0" borderId="339" applyNumberFormat="0" applyFill="0" applyAlignment="0" applyProtection="0"/>
    <xf numFmtId="0" fontId="29" fillId="13" borderId="13" applyNumberFormat="0" applyAlignment="0" applyProtection="0"/>
    <xf numFmtId="0" fontId="28" fillId="13" borderId="14" applyNumberFormat="0" applyAlignment="0" applyProtection="0"/>
    <xf numFmtId="4" fontId="34" fillId="0" borderId="314" applyFill="0" applyBorder="0" applyProtection="0">
      <alignment horizontal="right" vertical="center"/>
    </xf>
    <xf numFmtId="0" fontId="40" fillId="59" borderId="313" applyNumberFormat="0" applyFont="0" applyAlignment="0" applyProtection="0"/>
    <xf numFmtId="0" fontId="46" fillId="56" borderId="338" applyNumberFormat="0" applyAlignment="0" applyProtection="0"/>
    <xf numFmtId="0" fontId="12" fillId="19" borderId="0" applyNumberFormat="0" applyBorder="0" applyAlignment="0" applyProtection="0"/>
    <xf numFmtId="0" fontId="12" fillId="25" borderId="0" applyNumberFormat="0" applyBorder="0" applyAlignment="0" applyProtection="0"/>
    <xf numFmtId="0" fontId="65" fillId="0" borderId="322" applyNumberFormat="0" applyFill="0" applyAlignment="0" applyProtection="0"/>
    <xf numFmtId="0" fontId="32" fillId="34" borderId="324">
      <alignment horizontal="right" vertical="center"/>
    </xf>
    <xf numFmtId="0" fontId="65" fillId="0" borderId="352" applyNumberFormat="0" applyFill="0" applyAlignment="0" applyProtection="0"/>
    <xf numFmtId="0" fontId="5" fillId="59" borderId="323" applyNumberFormat="0" applyFont="0" applyAlignment="0" applyProtection="0"/>
    <xf numFmtId="0" fontId="32" fillId="32" borderId="314">
      <alignment horizontal="right" vertical="center"/>
    </xf>
    <xf numFmtId="0" fontId="50" fillId="0" borderId="320" applyNumberFormat="0" applyFill="0" applyAlignment="0" applyProtection="0"/>
    <xf numFmtId="0" fontId="34" fillId="0" borderId="314" applyNumberFormat="0" applyFill="0" applyAlignment="0" applyProtection="0"/>
    <xf numFmtId="0" fontId="50" fillId="0" borderId="320" applyNumberFormat="0" applyFill="0" applyAlignment="0" applyProtection="0"/>
    <xf numFmtId="4" fontId="34" fillId="0" borderId="314" applyFill="0" applyBorder="0" applyProtection="0">
      <alignment horizontal="right" vertical="center"/>
    </xf>
    <xf numFmtId="49" fontId="34" fillId="0" borderId="315" applyNumberFormat="0" applyFont="0" applyFill="0" applyBorder="0" applyProtection="0">
      <alignment horizontal="left" vertical="center" indent="5"/>
    </xf>
    <xf numFmtId="0" fontId="34" fillId="0" borderId="314" applyNumberFormat="0" applyFill="0" applyAlignment="0" applyProtection="0"/>
    <xf numFmtId="0" fontId="34" fillId="0" borderId="314" applyNumberFormat="0" applyFill="0" applyAlignment="0" applyProtection="0"/>
    <xf numFmtId="0" fontId="12" fillId="16" borderId="0" applyNumberFormat="0" applyBorder="0" applyAlignment="0" applyProtection="0"/>
    <xf numFmtId="0" fontId="26" fillId="14" borderId="0" applyNumberFormat="0" applyBorder="0" applyAlignment="0" applyProtection="0"/>
    <xf numFmtId="4" fontId="32" fillId="34" borderId="314">
      <alignment horizontal="right" vertical="center"/>
    </xf>
    <xf numFmtId="49" fontId="34" fillId="0" borderId="341" applyNumberFormat="0" applyFont="0" applyFill="0" applyBorder="0" applyProtection="0">
      <alignment horizontal="left" vertical="center" indent="2"/>
    </xf>
    <xf numFmtId="0" fontId="2" fillId="0" borderId="15" applyNumberFormat="0" applyFill="0" applyAlignment="0" applyProtection="0"/>
    <xf numFmtId="0" fontId="12" fillId="22" borderId="0" applyNumberFormat="0" applyBorder="0" applyAlignment="0" applyProtection="0"/>
    <xf numFmtId="0" fontId="26" fillId="15" borderId="0" applyNumberFormat="0" applyBorder="0" applyAlignment="0" applyProtection="0"/>
    <xf numFmtId="0" fontId="49" fillId="43" borderId="319" applyNumberFormat="0" applyAlignment="0" applyProtection="0"/>
    <xf numFmtId="0" fontId="46" fillId="56" borderId="319" applyNumberFormat="0" applyAlignment="0" applyProtection="0"/>
    <xf numFmtId="4" fontId="34" fillId="0" borderId="314">
      <alignment horizontal="right" vertical="center"/>
    </xf>
    <xf numFmtId="0" fontId="34" fillId="34" borderId="317">
      <alignment horizontal="left" vertical="center" wrapText="1" indent="2"/>
    </xf>
    <xf numFmtId="0" fontId="34" fillId="0" borderId="317">
      <alignment horizontal="left" vertical="center" wrapText="1" indent="2"/>
    </xf>
    <xf numFmtId="0" fontId="62" fillId="56" borderId="318" applyNumberFormat="0" applyAlignment="0" applyProtection="0"/>
    <xf numFmtId="0" fontId="58" fillId="43" borderId="319" applyNumberFormat="0" applyAlignment="0" applyProtection="0"/>
    <xf numFmtId="0" fontId="45" fillId="56" borderId="319" applyNumberFormat="0" applyAlignment="0" applyProtection="0"/>
    <xf numFmtId="0" fontId="43" fillId="56" borderId="318" applyNumberFormat="0" applyAlignment="0" applyProtection="0"/>
    <xf numFmtId="0" fontId="32" fillId="34" borderId="316">
      <alignment horizontal="right" vertical="center"/>
    </xf>
    <xf numFmtId="0" fontId="36" fillId="32" borderId="314">
      <alignment horizontal="right" vertical="center"/>
    </xf>
    <xf numFmtId="4" fontId="32" fillId="32" borderId="314">
      <alignment horizontal="right" vertical="center"/>
    </xf>
    <xf numFmtId="4" fontId="32" fillId="34" borderId="314">
      <alignment horizontal="right" vertical="center"/>
    </xf>
    <xf numFmtId="49" fontId="34" fillId="0" borderId="315" applyNumberFormat="0" applyFont="0" applyFill="0" applyBorder="0" applyProtection="0">
      <alignment horizontal="left" vertical="center" indent="5"/>
    </xf>
    <xf numFmtId="4" fontId="34" fillId="0" borderId="314" applyFill="0" applyBorder="0" applyProtection="0">
      <alignment horizontal="right" vertical="center"/>
    </xf>
    <xf numFmtId="4" fontId="32" fillId="32" borderId="314">
      <alignment horizontal="right" vertical="center"/>
    </xf>
    <xf numFmtId="0" fontId="58" fillId="43" borderId="319" applyNumberFormat="0" applyAlignment="0" applyProtection="0"/>
    <xf numFmtId="0" fontId="49" fillId="43" borderId="319" applyNumberFormat="0" applyAlignment="0" applyProtection="0"/>
    <xf numFmtId="0" fontId="45" fillId="56" borderId="319" applyNumberFormat="0" applyAlignment="0" applyProtection="0"/>
    <xf numFmtId="0" fontId="34" fillId="34" borderId="317">
      <alignment horizontal="left" vertical="center" wrapText="1" indent="2"/>
    </xf>
    <xf numFmtId="0" fontId="34" fillId="0" borderId="317">
      <alignment horizontal="left" vertical="center" wrapText="1" indent="2"/>
    </xf>
    <xf numFmtId="0" fontId="34" fillId="34" borderId="317">
      <alignment horizontal="left" vertical="center" wrapText="1" indent="2"/>
    </xf>
    <xf numFmtId="0" fontId="34" fillId="0" borderId="317">
      <alignment horizontal="left" vertical="center" wrapText="1" indent="2"/>
    </xf>
    <xf numFmtId="0" fontId="26" fillId="15" borderId="0" applyNumberFormat="0" applyBorder="0" applyAlignment="0" applyProtection="0"/>
    <xf numFmtId="0" fontId="49" fillId="43" borderId="351" applyNumberFormat="0" applyAlignment="0" applyProtection="0"/>
    <xf numFmtId="0" fontId="32" fillId="34" borderId="346">
      <alignment horizontal="right" vertical="center"/>
    </xf>
    <xf numFmtId="173" fontId="34" fillId="60" borderId="324" applyNumberFormat="0" applyFont="0" applyBorder="0" applyAlignment="0" applyProtection="0">
      <alignment horizontal="right" vertical="center"/>
    </xf>
    <xf numFmtId="0" fontId="30" fillId="0" borderId="0" applyNumberFormat="0" applyFill="0" applyBorder="0" applyAlignment="0" applyProtection="0"/>
    <xf numFmtId="0" fontId="34" fillId="33" borderId="324"/>
    <xf numFmtId="0" fontId="45" fillId="56" borderId="321" applyNumberFormat="0" applyAlignment="0" applyProtection="0"/>
    <xf numFmtId="0" fontId="12" fillId="28" borderId="0" applyNumberFormat="0" applyBorder="0" applyAlignment="0" applyProtection="0"/>
    <xf numFmtId="4" fontId="32" fillId="34" borderId="341">
      <alignment horizontal="right" vertical="center"/>
    </xf>
    <xf numFmtId="4" fontId="32" fillId="34" borderId="348">
      <alignment horizontal="right" vertical="center"/>
    </xf>
    <xf numFmtId="49" fontId="33" fillId="0" borderId="324" applyNumberFormat="0" applyFill="0" applyBorder="0" applyProtection="0">
      <alignment horizontal="left" vertical="center"/>
    </xf>
    <xf numFmtId="0" fontId="26" fillId="30" borderId="0" applyNumberFormat="0" applyBorder="0" applyAlignment="0" applyProtection="0"/>
    <xf numFmtId="0" fontId="46" fillId="56" borderId="338" applyNumberFormat="0" applyAlignment="0" applyProtection="0"/>
    <xf numFmtId="0" fontId="65" fillId="0" borderId="339" applyNumberFormat="0" applyFill="0" applyAlignment="0" applyProtection="0"/>
    <xf numFmtId="4" fontId="34" fillId="0" borderId="324" applyFill="0" applyBorder="0" applyProtection="0">
      <alignment horizontal="right" vertical="center"/>
    </xf>
    <xf numFmtId="0" fontId="2" fillId="0" borderId="15" applyNumberFormat="0" applyFill="0" applyAlignment="0" applyProtection="0"/>
    <xf numFmtId="0" fontId="40" fillId="59" borderId="323" applyNumberFormat="0" applyFont="0" applyAlignment="0" applyProtection="0"/>
    <xf numFmtId="0" fontId="12" fillId="19" borderId="0" applyNumberFormat="0" applyBorder="0" applyAlignment="0" applyProtection="0"/>
    <xf numFmtId="49" fontId="33" fillId="0" borderId="341" applyNumberFormat="0" applyFill="0" applyBorder="0" applyProtection="0">
      <alignment horizontal="left" vertical="center"/>
    </xf>
    <xf numFmtId="0" fontId="43" fillId="56" borderId="328" applyNumberFormat="0" applyAlignment="0" applyProtection="0"/>
    <xf numFmtId="0" fontId="32" fillId="34" borderId="325">
      <alignment horizontal="right" vertical="center"/>
    </xf>
    <xf numFmtId="0" fontId="40" fillId="59" borderId="323" applyNumberFormat="0" applyFont="0" applyAlignment="0" applyProtection="0"/>
    <xf numFmtId="0" fontId="62" fillId="56" borderId="328" applyNumberFormat="0" applyAlignment="0" applyProtection="0"/>
    <xf numFmtId="4" fontId="32" fillId="34" borderId="343">
      <alignment horizontal="right" vertical="center"/>
    </xf>
    <xf numFmtId="0" fontId="26" fillId="26" borderId="0" applyNumberFormat="0" applyBorder="0" applyAlignment="0" applyProtection="0"/>
    <xf numFmtId="0" fontId="43" fillId="56" borderId="337" applyNumberFormat="0" applyAlignment="0" applyProtection="0"/>
    <xf numFmtId="0" fontId="26" fillId="30" borderId="0" applyNumberFormat="0" applyBorder="0" applyAlignment="0" applyProtection="0"/>
    <xf numFmtId="0" fontId="49" fillId="43" borderId="351" applyNumberFormat="0" applyAlignment="0" applyProtection="0"/>
    <xf numFmtId="0" fontId="40" fillId="59" borderId="323" applyNumberFormat="0" applyFont="0" applyAlignment="0" applyProtection="0"/>
    <xf numFmtId="4" fontId="34" fillId="0" borderId="324" applyFill="0" applyBorder="0" applyProtection="0">
      <alignment horizontal="right" vertical="center"/>
    </xf>
    <xf numFmtId="0" fontId="58" fillId="43" borderId="338" applyNumberFormat="0" applyAlignment="0" applyProtection="0"/>
    <xf numFmtId="0" fontId="26" fillId="27" borderId="0" applyNumberFormat="0" applyBorder="0" applyAlignment="0" applyProtection="0"/>
    <xf numFmtId="0" fontId="26" fillId="18" borderId="0" applyNumberFormat="0" applyBorder="0" applyAlignment="0" applyProtection="0"/>
    <xf numFmtId="0" fontId="26" fillId="14" borderId="0" applyNumberFormat="0" applyBorder="0" applyAlignment="0" applyProtection="0"/>
    <xf numFmtId="4" fontId="34" fillId="33" borderId="324"/>
    <xf numFmtId="0" fontId="58" fillId="43" borderId="321" applyNumberFormat="0" applyAlignment="0" applyProtection="0"/>
    <xf numFmtId="0" fontId="2" fillId="0" borderId="15" applyNumberFormat="0" applyFill="0" applyAlignment="0" applyProtection="0"/>
    <xf numFmtId="0" fontId="62" fillId="56" borderId="337" applyNumberFormat="0" applyAlignment="0" applyProtection="0"/>
    <xf numFmtId="0" fontId="43" fillId="56" borderId="328" applyNumberFormat="0" applyAlignment="0" applyProtection="0"/>
    <xf numFmtId="0" fontId="12" fillId="16" borderId="0" applyNumberFormat="0" applyBorder="0" applyAlignment="0" applyProtection="0"/>
    <xf numFmtId="0" fontId="58" fillId="43" borderId="321" applyNumberFormat="0" applyAlignment="0" applyProtection="0"/>
    <xf numFmtId="0" fontId="12" fillId="16" borderId="0" applyNumberFormat="0" applyBorder="0" applyAlignment="0" applyProtection="0"/>
    <xf numFmtId="0" fontId="32" fillId="34" borderId="326">
      <alignment horizontal="right" vertical="center"/>
    </xf>
    <xf numFmtId="0" fontId="49" fillId="43" borderId="321" applyNumberFormat="0" applyAlignment="0" applyProtection="0"/>
    <xf numFmtId="4" fontId="34" fillId="0" borderId="324">
      <alignment horizontal="right" vertical="center"/>
    </xf>
    <xf numFmtId="0" fontId="65" fillId="0" borderId="322" applyNumberFormat="0" applyFill="0" applyAlignment="0" applyProtection="0"/>
    <xf numFmtId="0" fontId="34" fillId="0" borderId="341">
      <alignment horizontal="right" vertical="center"/>
    </xf>
    <xf numFmtId="0" fontId="49" fillId="43" borderId="351" applyNumberFormat="0" applyAlignment="0" applyProtection="0"/>
    <xf numFmtId="0" fontId="26" fillId="14" borderId="0" applyNumberFormat="0" applyBorder="0" applyAlignment="0" applyProtection="0"/>
    <xf numFmtId="0" fontId="26" fillId="21" borderId="0" applyNumberFormat="0" applyBorder="0" applyAlignment="0" applyProtection="0"/>
    <xf numFmtId="0" fontId="62" fillId="56" borderId="337" applyNumberFormat="0" applyAlignment="0" applyProtection="0"/>
    <xf numFmtId="4" fontId="32" fillId="34" borderId="346">
      <alignment horizontal="right" vertical="center"/>
    </xf>
    <xf numFmtId="0" fontId="2" fillId="0" borderId="15" applyNumberFormat="0" applyFill="0" applyAlignment="0" applyProtection="0"/>
    <xf numFmtId="0" fontId="45" fillId="56" borderId="351" applyNumberFormat="0" applyAlignment="0" applyProtection="0"/>
    <xf numFmtId="0" fontId="45" fillId="56" borderId="321" applyNumberFormat="0" applyAlignment="0" applyProtection="0"/>
    <xf numFmtId="0" fontId="34" fillId="0" borderId="333">
      <alignment horizontal="right" vertical="center"/>
    </xf>
    <xf numFmtId="0" fontId="26" fillId="24" borderId="0" applyNumberFormat="0" applyBorder="0" applyAlignment="0" applyProtection="0"/>
    <xf numFmtId="0" fontId="26" fillId="14" borderId="0" applyNumberFormat="0" applyBorder="0" applyAlignment="0" applyProtection="0"/>
    <xf numFmtId="0" fontId="12" fillId="28" borderId="0" applyNumberFormat="0" applyBorder="0" applyAlignment="0" applyProtection="0"/>
    <xf numFmtId="0" fontId="46" fillId="56" borderId="338" applyNumberFormat="0" applyAlignment="0" applyProtection="0"/>
    <xf numFmtId="4" fontId="32" fillId="34" borderId="324">
      <alignment horizontal="right" vertical="center"/>
    </xf>
    <xf numFmtId="0" fontId="34" fillId="0" borderId="344">
      <alignment horizontal="left" vertical="center" wrapText="1" indent="2"/>
    </xf>
    <xf numFmtId="0" fontId="26" fillId="17" borderId="0" applyNumberFormat="0" applyBorder="0" applyAlignment="0" applyProtection="0"/>
    <xf numFmtId="0" fontId="26" fillId="14" borderId="0" applyNumberFormat="0" applyBorder="0" applyAlignment="0" applyProtection="0"/>
    <xf numFmtId="0" fontId="34" fillId="34" borderId="327">
      <alignment horizontal="left" vertical="center" wrapText="1" indent="2"/>
    </xf>
    <xf numFmtId="0" fontId="26" fillId="21" borderId="0" applyNumberFormat="0" applyBorder="0" applyAlignment="0" applyProtection="0"/>
    <xf numFmtId="0" fontId="34" fillId="0" borderId="327">
      <alignment horizontal="left" vertical="center" wrapText="1" indent="2"/>
    </xf>
    <xf numFmtId="0" fontId="26" fillId="15" borderId="0" applyNumberFormat="0" applyBorder="0" applyAlignment="0" applyProtection="0"/>
    <xf numFmtId="0" fontId="34" fillId="0" borderId="341" applyNumberFormat="0" applyFill="0" applyAlignment="0" applyProtection="0"/>
    <xf numFmtId="0" fontId="32" fillId="34" borderId="324">
      <alignment horizontal="right" vertical="center"/>
    </xf>
    <xf numFmtId="4" fontId="32" fillId="34" borderId="342">
      <alignment horizontal="right" vertical="center"/>
    </xf>
    <xf numFmtId="0" fontId="26" fillId="26" borderId="0" applyNumberFormat="0" applyBorder="0" applyAlignment="0" applyProtection="0"/>
    <xf numFmtId="4" fontId="34" fillId="0" borderId="324" applyFill="0" applyBorder="0" applyProtection="0">
      <alignment horizontal="right" vertical="center"/>
    </xf>
    <xf numFmtId="0" fontId="34" fillId="0" borderId="346">
      <alignment horizontal="right" vertical="center"/>
    </xf>
    <xf numFmtId="4" fontId="32" fillId="34" borderId="341">
      <alignment horizontal="right" vertical="center"/>
    </xf>
    <xf numFmtId="0" fontId="65" fillId="0" borderId="322" applyNumberFormat="0" applyFill="0" applyAlignment="0" applyProtection="0"/>
    <xf numFmtId="0" fontId="62" fillId="56" borderId="328" applyNumberFormat="0" applyAlignment="0" applyProtection="0"/>
    <xf numFmtId="0" fontId="45" fillId="56" borderId="338" applyNumberFormat="0" applyAlignment="0" applyProtection="0"/>
    <xf numFmtId="0" fontId="50" fillId="0" borderId="322" applyNumberFormat="0" applyFill="0" applyAlignment="0" applyProtection="0"/>
    <xf numFmtId="0" fontId="26" fillId="26" borderId="0" applyNumberFormat="0" applyBorder="0" applyAlignment="0" applyProtection="0"/>
    <xf numFmtId="0" fontId="32" fillId="32" borderId="324">
      <alignment horizontal="right" vertical="center"/>
    </xf>
    <xf numFmtId="0" fontId="49" fillId="43" borderId="338" applyNumberFormat="0" applyAlignment="0" applyProtection="0"/>
    <xf numFmtId="0" fontId="26" fillId="17" borderId="0" applyNumberFormat="0" applyBorder="0" applyAlignment="0" applyProtection="0"/>
    <xf numFmtId="0" fontId="40" fillId="59" borderId="340" applyNumberFormat="0" applyFont="0" applyAlignment="0" applyProtection="0"/>
    <xf numFmtId="0" fontId="58" fillId="43" borderId="321" applyNumberFormat="0" applyAlignment="0" applyProtection="0"/>
    <xf numFmtId="0" fontId="65" fillId="0" borderId="352" applyNumberFormat="0" applyFill="0" applyAlignment="0" applyProtection="0"/>
    <xf numFmtId="4" fontId="34" fillId="0" borderId="333" applyFill="0" applyBorder="0" applyProtection="0">
      <alignment horizontal="right" vertical="center"/>
    </xf>
    <xf numFmtId="0" fontId="58" fillId="43" borderId="321" applyNumberFormat="0" applyAlignment="0" applyProtection="0"/>
    <xf numFmtId="0" fontId="32" fillId="34" borderId="342">
      <alignment horizontal="right" vertical="center"/>
    </xf>
    <xf numFmtId="0" fontId="34" fillId="34" borderId="349">
      <alignment horizontal="left" vertical="center" wrapText="1" indent="2"/>
    </xf>
    <xf numFmtId="0" fontId="34" fillId="33" borderId="324"/>
    <xf numFmtId="0" fontId="34" fillId="32" borderId="334">
      <alignment horizontal="left" vertical="center"/>
    </xf>
    <xf numFmtId="0" fontId="34" fillId="33" borderId="333"/>
    <xf numFmtId="0" fontId="34" fillId="0" borderId="344">
      <alignment horizontal="left" vertical="center" wrapText="1" indent="2"/>
    </xf>
    <xf numFmtId="0" fontId="34" fillId="34" borderId="344">
      <alignment horizontal="left" vertical="center" wrapText="1" indent="2"/>
    </xf>
    <xf numFmtId="0" fontId="34" fillId="34" borderId="327">
      <alignment horizontal="left" vertical="center" wrapText="1" indent="2"/>
    </xf>
    <xf numFmtId="173" fontId="34" fillId="60" borderId="341" applyNumberFormat="0" applyFont="0" applyBorder="0" applyAlignment="0" applyProtection="0">
      <alignment horizontal="right" vertical="center"/>
    </xf>
    <xf numFmtId="4" fontId="32" fillId="34" borderId="324">
      <alignment horizontal="right" vertical="center"/>
    </xf>
    <xf numFmtId="0" fontId="32" fillId="34" borderId="343">
      <alignment horizontal="right" vertical="center"/>
    </xf>
    <xf numFmtId="0" fontId="28" fillId="13" borderId="14" applyNumberFormat="0" applyAlignment="0" applyProtection="0"/>
    <xf numFmtId="4" fontId="32" fillId="34" borderId="341">
      <alignment horizontal="right" vertical="center"/>
    </xf>
    <xf numFmtId="0" fontId="5" fillId="59" borderId="323" applyNumberFormat="0" applyFont="0" applyAlignment="0" applyProtection="0"/>
    <xf numFmtId="4" fontId="36" fillId="32" borderId="324">
      <alignment horizontal="right" vertical="center"/>
    </xf>
    <xf numFmtId="0" fontId="30" fillId="0" borderId="0" applyNumberFormat="0" applyFill="0" applyBorder="0" applyAlignment="0" applyProtection="0"/>
    <xf numFmtId="0" fontId="58" fillId="43" borderId="321" applyNumberFormat="0" applyAlignment="0" applyProtection="0"/>
    <xf numFmtId="4" fontId="32" fillId="34" borderId="326">
      <alignment horizontal="right" vertical="center"/>
    </xf>
    <xf numFmtId="0" fontId="62" fillId="56" borderId="328" applyNumberFormat="0" applyAlignment="0" applyProtection="0"/>
    <xf numFmtId="0" fontId="30" fillId="0" borderId="0" applyNumberFormat="0" applyFill="0" applyBorder="0" applyAlignment="0" applyProtection="0"/>
    <xf numFmtId="0" fontId="40" fillId="59" borderId="323" applyNumberFormat="0" applyFont="0" applyAlignment="0" applyProtection="0"/>
    <xf numFmtId="0" fontId="65" fillId="0" borderId="322" applyNumberFormat="0" applyFill="0" applyAlignment="0" applyProtection="0"/>
    <xf numFmtId="0" fontId="32" fillId="34" borderId="324">
      <alignment horizontal="right" vertical="center"/>
    </xf>
    <xf numFmtId="0" fontId="32" fillId="34" borderId="333">
      <alignment horizontal="right" vertical="center"/>
    </xf>
    <xf numFmtId="0" fontId="32" fillId="34" borderId="326">
      <alignment horizontal="right" vertical="center"/>
    </xf>
    <xf numFmtId="0" fontId="49" fillId="43" borderId="321" applyNumberFormat="0" applyAlignment="0" applyProtection="0"/>
    <xf numFmtId="0" fontId="36" fillId="32" borderId="324">
      <alignment horizontal="right" vertical="center"/>
    </xf>
    <xf numFmtId="0" fontId="12" fillId="31" borderId="0" applyNumberFormat="0" applyBorder="0" applyAlignment="0" applyProtection="0"/>
    <xf numFmtId="0" fontId="34" fillId="34" borderId="344">
      <alignment horizontal="left" vertical="center" wrapText="1" indent="2"/>
    </xf>
    <xf numFmtId="0" fontId="32" fillId="32" borderId="324">
      <alignment horizontal="right" vertical="center"/>
    </xf>
    <xf numFmtId="0" fontId="32" fillId="34" borderId="343">
      <alignment horizontal="right" vertical="center"/>
    </xf>
    <xf numFmtId="4" fontId="32" fillId="34" borderId="324">
      <alignment horizontal="right" vertical="center"/>
    </xf>
    <xf numFmtId="0" fontId="46" fillId="56" borderId="321" applyNumberFormat="0" applyAlignment="0" applyProtection="0"/>
    <xf numFmtId="0" fontId="65" fillId="0" borderId="322" applyNumberFormat="0" applyFill="0" applyAlignment="0" applyProtection="0"/>
    <xf numFmtId="4" fontId="32" fillId="34" borderId="341">
      <alignment horizontal="right" vertical="center"/>
    </xf>
    <xf numFmtId="4" fontId="32" fillId="34" borderId="333">
      <alignment horizontal="right" vertical="center"/>
    </xf>
    <xf numFmtId="0" fontId="34" fillId="0" borderId="341">
      <alignment horizontal="right" vertical="center"/>
    </xf>
    <xf numFmtId="0" fontId="58" fillId="43" borderId="321" applyNumberFormat="0" applyAlignment="0" applyProtection="0"/>
    <xf numFmtId="4" fontId="32" fillId="34" borderId="325">
      <alignment horizontal="right" vertical="center"/>
    </xf>
    <xf numFmtId="0" fontId="58" fillId="43" borderId="321" applyNumberFormat="0" applyAlignment="0" applyProtection="0"/>
    <xf numFmtId="4" fontId="34" fillId="33" borderId="324"/>
    <xf numFmtId="0" fontId="12" fillId="28" borderId="0" applyNumberFormat="0" applyBorder="0" applyAlignment="0" applyProtection="0"/>
    <xf numFmtId="0" fontId="58" fillId="43" borderId="330" applyNumberFormat="0" applyAlignment="0" applyProtection="0"/>
    <xf numFmtId="0" fontId="26" fillId="29" borderId="0" applyNumberFormat="0" applyBorder="0" applyAlignment="0" applyProtection="0"/>
    <xf numFmtId="0" fontId="32" fillId="34" borderId="334">
      <alignment horizontal="right" vertical="center"/>
    </xf>
    <xf numFmtId="0" fontId="26" fillId="26" borderId="0" applyNumberFormat="0" applyBorder="0" applyAlignment="0" applyProtection="0"/>
    <xf numFmtId="0" fontId="12" fillId="16" borderId="0" applyNumberFormat="0" applyBorder="0" applyAlignment="0" applyProtection="0"/>
    <xf numFmtId="4" fontId="34" fillId="33" borderId="324"/>
    <xf numFmtId="0" fontId="34" fillId="0" borderId="324">
      <alignment horizontal="right" vertical="center"/>
    </xf>
    <xf numFmtId="4" fontId="34" fillId="33" borderId="324"/>
    <xf numFmtId="0" fontId="50" fillId="0" borderId="352" applyNumberFormat="0" applyFill="0" applyAlignment="0" applyProtection="0"/>
    <xf numFmtId="4" fontId="32" fillId="34" borderId="324">
      <alignment horizontal="right" vertical="center"/>
    </xf>
    <xf numFmtId="4" fontId="32" fillId="34" borderId="326">
      <alignment horizontal="right" vertical="center"/>
    </xf>
    <xf numFmtId="0" fontId="26" fillId="20" borderId="0" applyNumberFormat="0" applyBorder="0" applyAlignment="0" applyProtection="0"/>
    <xf numFmtId="0" fontId="50" fillId="0" borderId="322" applyNumberFormat="0" applyFill="0" applyAlignment="0" applyProtection="0"/>
    <xf numFmtId="0" fontId="50" fillId="0" borderId="339" applyNumberFormat="0" applyFill="0" applyAlignment="0" applyProtection="0"/>
    <xf numFmtId="0" fontId="32" fillId="34" borderId="325">
      <alignment horizontal="right" vertical="center"/>
    </xf>
    <xf numFmtId="0" fontId="32" fillId="34" borderId="346">
      <alignment horizontal="right" vertical="center"/>
    </xf>
    <xf numFmtId="4" fontId="32" fillId="34" borderId="341">
      <alignment horizontal="right" vertical="center"/>
    </xf>
    <xf numFmtId="0" fontId="26" fillId="14" borderId="0" applyNumberFormat="0" applyBorder="0" applyAlignment="0" applyProtection="0"/>
    <xf numFmtId="0" fontId="34" fillId="34" borderId="344">
      <alignment horizontal="left" vertical="center" wrapText="1" indent="2"/>
    </xf>
    <xf numFmtId="49" fontId="34" fillId="0" borderId="333" applyNumberFormat="0" applyFont="0" applyFill="0" applyBorder="0" applyProtection="0">
      <alignment horizontal="left" vertical="center" indent="2"/>
    </xf>
    <xf numFmtId="4" fontId="36" fillId="32" borderId="324">
      <alignment horizontal="right" vertical="center"/>
    </xf>
    <xf numFmtId="0" fontId="36" fillId="32" borderId="341">
      <alignment horizontal="right" vertical="center"/>
    </xf>
    <xf numFmtId="0" fontId="34" fillId="0" borderId="336">
      <alignment horizontal="left" vertical="center" wrapText="1" indent="2"/>
    </xf>
    <xf numFmtId="0" fontId="2" fillId="0" borderId="15" applyNumberFormat="0" applyFill="0" applyAlignment="0" applyProtection="0"/>
    <xf numFmtId="4" fontId="34" fillId="0" borderId="324" applyFill="0" applyBorder="0" applyProtection="0">
      <alignment horizontal="right" vertical="center"/>
    </xf>
    <xf numFmtId="0" fontId="34" fillId="33" borderId="341"/>
    <xf numFmtId="0" fontId="45" fillId="56" borderId="321" applyNumberFormat="0" applyAlignment="0" applyProtection="0"/>
    <xf numFmtId="0" fontId="32" fillId="34" borderId="326">
      <alignment horizontal="right" vertical="center"/>
    </xf>
    <xf numFmtId="0" fontId="26" fillId="27" borderId="0" applyNumberFormat="0" applyBorder="0" applyAlignment="0" applyProtection="0"/>
    <xf numFmtId="4" fontId="34" fillId="0" borderId="341">
      <alignment horizontal="right" vertical="center"/>
    </xf>
    <xf numFmtId="0" fontId="26" fillId="29" borderId="0" applyNumberFormat="0" applyBorder="0" applyAlignment="0" applyProtection="0"/>
    <xf numFmtId="0" fontId="32" fillId="34" borderId="343">
      <alignment horizontal="right" vertical="center"/>
    </xf>
    <xf numFmtId="0" fontId="62" fillId="56" borderId="328" applyNumberFormat="0" applyAlignment="0" applyProtection="0"/>
    <xf numFmtId="4" fontId="36" fillId="32" borderId="324">
      <alignment horizontal="right" vertical="center"/>
    </xf>
    <xf numFmtId="4" fontId="32" fillId="34" borderId="324">
      <alignment horizontal="right" vertical="center"/>
    </xf>
    <xf numFmtId="0" fontId="26" fillId="15" borderId="0" applyNumberFormat="0" applyBorder="0" applyAlignment="0" applyProtection="0"/>
    <xf numFmtId="0" fontId="49" fillId="43" borderId="321" applyNumberFormat="0" applyAlignment="0" applyProtection="0"/>
    <xf numFmtId="49" fontId="34" fillId="0" borderId="324" applyNumberFormat="0" applyFont="0" applyFill="0" applyBorder="0" applyProtection="0">
      <alignment horizontal="left" vertical="center" indent="2"/>
    </xf>
    <xf numFmtId="0" fontId="1" fillId="0" borderId="0" applyNumberFormat="0" applyFill="0" applyBorder="0" applyAlignment="0" applyProtection="0"/>
    <xf numFmtId="0" fontId="46" fillId="56" borderId="321" applyNumberFormat="0" applyAlignment="0" applyProtection="0"/>
    <xf numFmtId="0" fontId="29" fillId="13" borderId="13" applyNumberFormat="0" applyAlignment="0" applyProtection="0"/>
    <xf numFmtId="0" fontId="36" fillId="32" borderId="324">
      <alignment horizontal="right" vertical="center"/>
    </xf>
    <xf numFmtId="0" fontId="34" fillId="34" borderId="336">
      <alignment horizontal="left" vertical="center" wrapText="1" indent="2"/>
    </xf>
    <xf numFmtId="0" fontId="34" fillId="0" borderId="341" applyNumberFormat="0" applyFill="0" applyAlignment="0" applyProtection="0"/>
    <xf numFmtId="0" fontId="34" fillId="0" borderId="324" applyNumberFormat="0" applyFill="0" applyAlignment="0" applyProtection="0"/>
    <xf numFmtId="0" fontId="58" fillId="43" borderId="338" applyNumberFormat="0" applyAlignment="0" applyProtection="0"/>
    <xf numFmtId="0" fontId="32" fillId="34" borderId="324">
      <alignment horizontal="right" vertical="center"/>
    </xf>
    <xf numFmtId="4" fontId="32" fillId="34" borderId="324">
      <alignment horizontal="right" vertical="center"/>
    </xf>
    <xf numFmtId="0" fontId="32" fillId="34" borderId="324">
      <alignment horizontal="right" vertical="center"/>
    </xf>
    <xf numFmtId="0" fontId="32" fillId="34" borderId="324">
      <alignment horizontal="right" vertical="center"/>
    </xf>
    <xf numFmtId="0" fontId="40" fillId="59" borderId="340" applyNumberFormat="0" applyFont="0" applyAlignment="0" applyProtection="0"/>
    <xf numFmtId="0" fontId="32" fillId="34" borderId="326">
      <alignment horizontal="right" vertical="center"/>
    </xf>
    <xf numFmtId="0" fontId="49" fillId="43" borderId="338" applyNumberFormat="0" applyAlignment="0" applyProtection="0"/>
    <xf numFmtId="49" fontId="33" fillId="0" borderId="324" applyNumberFormat="0" applyFill="0" applyBorder="0" applyProtection="0">
      <alignment horizontal="left" vertical="center"/>
    </xf>
    <xf numFmtId="0" fontId="46" fillId="56" borderId="321" applyNumberFormat="0" applyAlignment="0" applyProtection="0"/>
    <xf numFmtId="0" fontId="40" fillId="59" borderId="345" applyNumberFormat="0" applyFont="0" applyAlignment="0" applyProtection="0"/>
    <xf numFmtId="0" fontId="26" fillId="24" borderId="0" applyNumberFormat="0" applyBorder="0" applyAlignment="0" applyProtection="0"/>
    <xf numFmtId="0" fontId="26" fillId="17" borderId="0" applyNumberFormat="0" applyBorder="0" applyAlignment="0" applyProtection="0"/>
    <xf numFmtId="4" fontId="32" fillId="34" borderId="324">
      <alignment horizontal="right" vertical="center"/>
    </xf>
    <xf numFmtId="0" fontId="34" fillId="0" borderId="327">
      <alignment horizontal="left" vertical="center" wrapText="1" indent="2"/>
    </xf>
    <xf numFmtId="0" fontId="12" fillId="28" borderId="0" applyNumberFormat="0" applyBorder="0" applyAlignment="0" applyProtection="0"/>
    <xf numFmtId="0" fontId="34" fillId="32" borderId="325">
      <alignment horizontal="left" vertical="center"/>
    </xf>
    <xf numFmtId="0" fontId="34" fillId="34" borderId="327">
      <alignment horizontal="left" vertical="center" wrapText="1" indent="2"/>
    </xf>
    <xf numFmtId="0" fontId="36" fillId="32" borderId="324">
      <alignment horizontal="right" vertical="center"/>
    </xf>
    <xf numFmtId="0" fontId="34" fillId="32" borderId="342">
      <alignment horizontal="left" vertical="center"/>
    </xf>
    <xf numFmtId="0" fontId="50" fillId="0" borderId="352" applyNumberFormat="0" applyFill="0" applyAlignment="0" applyProtection="0"/>
    <xf numFmtId="0" fontId="26" fillId="24" borderId="0" applyNumberFormat="0" applyBorder="0" applyAlignment="0" applyProtection="0"/>
    <xf numFmtId="0" fontId="5" fillId="59" borderId="340" applyNumberFormat="0" applyFont="0" applyAlignment="0" applyProtection="0"/>
    <xf numFmtId="0" fontId="32" fillId="32" borderId="346">
      <alignment horizontal="right" vertical="center"/>
    </xf>
    <xf numFmtId="0" fontId="46" fillId="56" borderId="321" applyNumberFormat="0" applyAlignment="0" applyProtection="0"/>
    <xf numFmtId="0" fontId="26" fillId="14" borderId="0" applyNumberFormat="0" applyBorder="0" applyAlignment="0" applyProtection="0"/>
    <xf numFmtId="0" fontId="40" fillId="59" borderId="323" applyNumberFormat="0" applyFont="0" applyAlignment="0" applyProtection="0"/>
    <xf numFmtId="0" fontId="34" fillId="0" borderId="327">
      <alignment horizontal="left" vertical="center" wrapText="1" indent="2"/>
    </xf>
    <xf numFmtId="0" fontId="58" fillId="43" borderId="321" applyNumberFormat="0" applyAlignment="0" applyProtection="0"/>
    <xf numFmtId="4" fontId="34" fillId="0" borderId="324" applyFill="0" applyBorder="0" applyProtection="0">
      <alignment horizontal="right" vertical="center"/>
    </xf>
    <xf numFmtId="4" fontId="32" fillId="34" borderId="324">
      <alignment horizontal="right" vertical="center"/>
    </xf>
    <xf numFmtId="0" fontId="12" fillId="28" borderId="0" applyNumberFormat="0" applyBorder="0" applyAlignment="0" applyProtection="0"/>
    <xf numFmtId="0" fontId="50" fillId="0" borderId="352" applyNumberFormat="0" applyFill="0" applyAlignment="0" applyProtection="0"/>
    <xf numFmtId="49" fontId="34" fillId="0" borderId="324" applyNumberFormat="0" applyFont="0" applyFill="0" applyBorder="0" applyProtection="0">
      <alignment horizontal="left" vertical="center" indent="2"/>
    </xf>
    <xf numFmtId="0" fontId="34" fillId="0" borderId="336">
      <alignment horizontal="left" vertical="center" wrapText="1" indent="2"/>
    </xf>
    <xf numFmtId="0" fontId="32" fillId="34" borderId="324">
      <alignment horizontal="right" vertical="center"/>
    </xf>
    <xf numFmtId="0" fontId="26" fillId="17" borderId="0" applyNumberFormat="0" applyBorder="0" applyAlignment="0" applyProtection="0"/>
    <xf numFmtId="0" fontId="26" fillId="23" borderId="0" applyNumberFormat="0" applyBorder="0" applyAlignment="0" applyProtection="0"/>
    <xf numFmtId="0" fontId="46" fillId="56" borderId="321" applyNumberFormat="0" applyAlignment="0" applyProtection="0"/>
    <xf numFmtId="0" fontId="28" fillId="13" borderId="14" applyNumberFormat="0" applyAlignment="0" applyProtection="0"/>
    <xf numFmtId="0" fontId="65" fillId="0" borderId="352" applyNumberFormat="0" applyFill="0" applyAlignment="0" applyProtection="0"/>
    <xf numFmtId="4" fontId="32" fillId="34" borderId="347">
      <alignment horizontal="right" vertical="center"/>
    </xf>
    <xf numFmtId="0" fontId="46" fillId="56" borderId="330" applyNumberFormat="0" applyAlignment="0" applyProtection="0"/>
    <xf numFmtId="0" fontId="12" fillId="25" borderId="0" applyNumberFormat="0" applyBorder="0" applyAlignment="0" applyProtection="0"/>
    <xf numFmtId="0" fontId="34" fillId="32" borderId="347">
      <alignment horizontal="left" vertical="center"/>
    </xf>
    <xf numFmtId="0" fontId="65" fillId="0" borderId="322" applyNumberFormat="0" applyFill="0" applyAlignment="0" applyProtection="0"/>
    <xf numFmtId="0" fontId="45" fillId="56" borderId="338" applyNumberFormat="0" applyAlignment="0" applyProtection="0"/>
    <xf numFmtId="4" fontId="32" fillId="34" borderId="335">
      <alignment horizontal="right" vertical="center"/>
    </xf>
    <xf numFmtId="0" fontId="46" fillId="56" borderId="338" applyNumberFormat="0" applyAlignment="0" applyProtection="0"/>
    <xf numFmtId="4" fontId="32" fillId="34" borderId="326">
      <alignment horizontal="right" vertical="center"/>
    </xf>
    <xf numFmtId="4" fontId="36" fillId="32" borderId="324">
      <alignment horizontal="right" vertical="center"/>
    </xf>
    <xf numFmtId="0" fontId="46" fillId="56" borderId="330" applyNumberFormat="0" applyAlignment="0" applyProtection="0"/>
    <xf numFmtId="0" fontId="26" fillId="27" borderId="0" applyNumberFormat="0" applyBorder="0" applyAlignment="0" applyProtection="0"/>
    <xf numFmtId="0" fontId="62" fillId="56" borderId="328" applyNumberFormat="0" applyAlignment="0" applyProtection="0"/>
    <xf numFmtId="0" fontId="34" fillId="34" borderId="349">
      <alignment horizontal="left" vertical="center" wrapText="1" indent="2"/>
    </xf>
    <xf numFmtId="4" fontId="32" fillId="34" borderId="326">
      <alignment horizontal="right" vertical="center"/>
    </xf>
    <xf numFmtId="4" fontId="34" fillId="0" borderId="346">
      <alignment horizontal="right" vertical="center"/>
    </xf>
    <xf numFmtId="0" fontId="34" fillId="33" borderId="341"/>
    <xf numFmtId="0" fontId="34" fillId="34" borderId="327">
      <alignment horizontal="left" vertical="center" wrapText="1" indent="2"/>
    </xf>
    <xf numFmtId="0" fontId="26" fillId="24" borderId="0" applyNumberFormat="0" applyBorder="0" applyAlignment="0" applyProtection="0"/>
    <xf numFmtId="4" fontId="36" fillId="32" borderId="346">
      <alignment horizontal="right" vertical="center"/>
    </xf>
    <xf numFmtId="0" fontId="58" fillId="43" borderId="330" applyNumberFormat="0" applyAlignment="0" applyProtection="0"/>
    <xf numFmtId="0" fontId="49" fillId="43" borderId="321" applyNumberFormat="0" applyAlignment="0" applyProtection="0"/>
    <xf numFmtId="0" fontId="32" fillId="34" borderId="324">
      <alignment horizontal="right" vertical="center"/>
    </xf>
    <xf numFmtId="49" fontId="34" fillId="0" borderId="341" applyNumberFormat="0" applyFont="0" applyFill="0" applyBorder="0" applyProtection="0">
      <alignment horizontal="left" vertical="center" indent="2"/>
    </xf>
    <xf numFmtId="0" fontId="32" fillId="34" borderId="343">
      <alignment horizontal="right" vertical="center"/>
    </xf>
    <xf numFmtId="0" fontId="32" fillId="34" borderId="326">
      <alignment horizontal="right" vertical="center"/>
    </xf>
    <xf numFmtId="0" fontId="58" fillId="43" borderId="351" applyNumberFormat="0" applyAlignment="0" applyProtection="0"/>
    <xf numFmtId="0" fontId="45" fillId="56" borderId="321" applyNumberFormat="0" applyAlignment="0" applyProtection="0"/>
    <xf numFmtId="0" fontId="26" fillId="20" borderId="0" applyNumberFormat="0" applyBorder="0" applyAlignment="0" applyProtection="0"/>
    <xf numFmtId="49" fontId="34" fillId="0" borderId="324" applyNumberFormat="0" applyFont="0" applyFill="0" applyBorder="0" applyProtection="0">
      <alignment horizontal="left" vertical="center" indent="2"/>
    </xf>
    <xf numFmtId="0" fontId="46" fillId="56" borderId="321" applyNumberFormat="0" applyAlignment="0" applyProtection="0"/>
    <xf numFmtId="0" fontId="30" fillId="0" borderId="0" applyNumberFormat="0" applyFill="0" applyBorder="0" applyAlignment="0" applyProtection="0"/>
    <xf numFmtId="0" fontId="34" fillId="0" borderId="324">
      <alignment horizontal="right" vertical="center"/>
    </xf>
    <xf numFmtId="0" fontId="62" fillId="56" borderId="350" applyNumberFormat="0" applyAlignment="0" applyProtection="0"/>
    <xf numFmtId="0" fontId="50" fillId="0" borderId="339" applyNumberFormat="0" applyFill="0" applyAlignment="0" applyProtection="0"/>
    <xf numFmtId="4" fontId="34" fillId="0" borderId="324">
      <alignment horizontal="right" vertical="center"/>
    </xf>
    <xf numFmtId="0" fontId="32" fillId="32" borderId="324">
      <alignment horizontal="right" vertical="center"/>
    </xf>
    <xf numFmtId="0" fontId="65" fillId="0" borderId="322" applyNumberFormat="0" applyFill="0" applyAlignment="0" applyProtection="0"/>
    <xf numFmtId="0" fontId="1" fillId="0" borderId="0" applyNumberFormat="0" applyFill="0" applyBorder="0" applyAlignment="0" applyProtection="0"/>
    <xf numFmtId="0" fontId="65" fillId="0" borderId="339" applyNumberFormat="0" applyFill="0" applyAlignment="0" applyProtection="0"/>
    <xf numFmtId="4" fontId="34" fillId="0" borderId="324" applyFill="0" applyBorder="0" applyProtection="0">
      <alignment horizontal="right" vertical="center"/>
    </xf>
    <xf numFmtId="0" fontId="62" fillId="56" borderId="328" applyNumberFormat="0" applyAlignment="0" applyProtection="0"/>
    <xf numFmtId="0" fontId="45" fillId="56" borderId="321" applyNumberFormat="0" applyAlignment="0" applyProtection="0"/>
    <xf numFmtId="4" fontId="34" fillId="33" borderId="324"/>
    <xf numFmtId="4" fontId="36" fillId="32" borderId="324">
      <alignment horizontal="right" vertical="center"/>
    </xf>
    <xf numFmtId="0" fontId="26" fillId="18" borderId="0" applyNumberFormat="0" applyBorder="0" applyAlignment="0" applyProtection="0"/>
    <xf numFmtId="4" fontId="36" fillId="32" borderId="324">
      <alignment horizontal="right" vertical="center"/>
    </xf>
    <xf numFmtId="0" fontId="58" fillId="43" borderId="321" applyNumberFormat="0" applyAlignment="0" applyProtection="0"/>
    <xf numFmtId="0" fontId="34" fillId="0" borderId="341">
      <alignment horizontal="right" vertical="center"/>
    </xf>
    <xf numFmtId="49" fontId="34" fillId="0" borderId="342" applyNumberFormat="0" applyFont="0" applyFill="0" applyBorder="0" applyProtection="0">
      <alignment horizontal="left" vertical="center" indent="5"/>
    </xf>
    <xf numFmtId="0" fontId="32" fillId="32" borderId="341">
      <alignment horizontal="right" vertical="center"/>
    </xf>
    <xf numFmtId="0" fontId="32" fillId="34" borderId="341">
      <alignment horizontal="right" vertical="center"/>
    </xf>
    <xf numFmtId="0" fontId="40" fillId="59" borderId="323" applyNumberFormat="0" applyFont="0" applyAlignment="0" applyProtection="0"/>
    <xf numFmtId="0" fontId="2" fillId="0" borderId="15" applyNumberFormat="0" applyFill="0" applyAlignment="0" applyProtection="0"/>
    <xf numFmtId="0" fontId="26" fillId="21" borderId="0" applyNumberFormat="0" applyBorder="0" applyAlignment="0" applyProtection="0"/>
    <xf numFmtId="0" fontId="34" fillId="0" borderId="336">
      <alignment horizontal="left" vertical="center" wrapText="1" indent="2"/>
    </xf>
    <xf numFmtId="0" fontId="26" fillId="29" borderId="0" applyNumberFormat="0" applyBorder="0" applyAlignment="0" applyProtection="0"/>
    <xf numFmtId="0" fontId="32" fillId="32" borderId="324">
      <alignment horizontal="right" vertical="center"/>
    </xf>
    <xf numFmtId="0" fontId="34" fillId="32" borderId="347">
      <alignment horizontal="left" vertical="center"/>
    </xf>
    <xf numFmtId="0" fontId="50" fillId="0" borderId="322" applyNumberFormat="0" applyFill="0" applyAlignment="0" applyProtection="0"/>
    <xf numFmtId="0" fontId="34" fillId="0" borderId="344">
      <alignment horizontal="left" vertical="center" wrapText="1" indent="2"/>
    </xf>
    <xf numFmtId="0" fontId="58" fillId="43" borderId="321" applyNumberFormat="0" applyAlignment="0" applyProtection="0"/>
    <xf numFmtId="0" fontId="45" fillId="56" borderId="321" applyNumberFormat="0" applyAlignment="0" applyProtection="0"/>
    <xf numFmtId="0" fontId="34" fillId="33" borderId="341"/>
    <xf numFmtId="0" fontId="26" fillId="26" borderId="0" applyNumberFormat="0" applyBorder="0" applyAlignment="0" applyProtection="0"/>
    <xf numFmtId="0" fontId="34" fillId="0" borderId="341" applyNumberFormat="0" applyFill="0" applyAlignment="0" applyProtection="0"/>
    <xf numFmtId="0" fontId="46" fillId="56" borderId="351" applyNumberFormat="0" applyAlignment="0" applyProtection="0"/>
    <xf numFmtId="0" fontId="58" fillId="43" borderId="321" applyNumberFormat="0" applyAlignment="0" applyProtection="0"/>
    <xf numFmtId="0" fontId="34" fillId="0" borderId="341" applyNumberFormat="0" applyFill="0" applyAlignment="0" applyProtection="0"/>
    <xf numFmtId="0" fontId="34" fillId="0" borderId="344">
      <alignment horizontal="left" vertical="center" wrapText="1" indent="2"/>
    </xf>
    <xf numFmtId="0" fontId="65" fillId="0" borderId="322" applyNumberFormat="0" applyFill="0" applyAlignment="0" applyProtection="0"/>
    <xf numFmtId="0" fontId="5" fillId="59" borderId="323" applyNumberFormat="0" applyFont="0" applyAlignment="0" applyProtection="0"/>
    <xf numFmtId="4" fontId="34" fillId="0" borderId="346" applyFill="0" applyBorder="0" applyProtection="0">
      <alignment horizontal="right" vertical="center"/>
    </xf>
    <xf numFmtId="0" fontId="65" fillId="0" borderId="322" applyNumberFormat="0" applyFill="0" applyAlignment="0" applyProtection="0"/>
    <xf numFmtId="0" fontId="12" fillId="31" borderId="0" applyNumberFormat="0" applyBorder="0" applyAlignment="0" applyProtection="0"/>
    <xf numFmtId="0" fontId="26" fillId="26" borderId="0" applyNumberFormat="0" applyBorder="0" applyAlignment="0" applyProtection="0"/>
    <xf numFmtId="0" fontId="62" fillId="56" borderId="328" applyNumberFormat="0" applyAlignment="0" applyProtection="0"/>
    <xf numFmtId="0" fontId="32" fillId="34" borderId="324">
      <alignment horizontal="right" vertical="center"/>
    </xf>
    <xf numFmtId="0" fontId="34" fillId="0" borderId="327">
      <alignment horizontal="left" vertical="center" wrapText="1" indent="2"/>
    </xf>
    <xf numFmtId="0" fontId="65" fillId="0" borderId="339" applyNumberFormat="0" applyFill="0" applyAlignment="0" applyProtection="0"/>
    <xf numFmtId="0" fontId="58" fillId="43" borderId="351" applyNumberFormat="0" applyAlignment="0" applyProtection="0"/>
    <xf numFmtId="0" fontId="43" fillId="56" borderId="328" applyNumberFormat="0" applyAlignment="0" applyProtection="0"/>
    <xf numFmtId="0" fontId="32" fillId="34" borderId="324">
      <alignment horizontal="right" vertical="center"/>
    </xf>
    <xf numFmtId="0" fontId="12" fillId="25" borderId="0" applyNumberFormat="0" applyBorder="0" applyAlignment="0" applyProtection="0"/>
    <xf numFmtId="0" fontId="46" fillId="56" borderId="321" applyNumberFormat="0" applyAlignment="0" applyProtection="0"/>
    <xf numFmtId="0" fontId="65" fillId="0" borderId="322" applyNumberFormat="0" applyFill="0" applyAlignment="0" applyProtection="0"/>
    <xf numFmtId="4" fontId="34" fillId="33" borderId="324"/>
    <xf numFmtId="0" fontId="36" fillId="32" borderId="333">
      <alignment horizontal="right" vertical="center"/>
    </xf>
    <xf numFmtId="0" fontId="58" fillId="43" borderId="351" applyNumberFormat="0" applyAlignment="0" applyProtection="0"/>
    <xf numFmtId="0" fontId="43" fillId="56" borderId="328" applyNumberFormat="0" applyAlignment="0" applyProtection="0"/>
    <xf numFmtId="0" fontId="29" fillId="13" borderId="13" applyNumberFormat="0" applyAlignment="0" applyProtection="0"/>
    <xf numFmtId="0" fontId="46" fillId="56" borderId="338" applyNumberFormat="0" applyAlignment="0" applyProtection="0"/>
    <xf numFmtId="0" fontId="40" fillId="59" borderId="340" applyNumberFormat="0" applyFont="0" applyAlignment="0" applyProtection="0"/>
    <xf numFmtId="0" fontId="34" fillId="32" borderId="325">
      <alignment horizontal="left" vertical="center"/>
    </xf>
    <xf numFmtId="4" fontId="34" fillId="0" borderId="341" applyFill="0" applyBorder="0" applyProtection="0">
      <alignment horizontal="right" vertical="center"/>
    </xf>
    <xf numFmtId="0" fontId="65" fillId="0" borderId="352" applyNumberFormat="0" applyFill="0" applyAlignment="0" applyProtection="0"/>
    <xf numFmtId="0" fontId="26" fillId="30" borderId="0" applyNumberFormat="0" applyBorder="0" applyAlignment="0" applyProtection="0"/>
    <xf numFmtId="0" fontId="26" fillId="18" borderId="0" applyNumberFormat="0" applyBorder="0" applyAlignment="0" applyProtection="0"/>
    <xf numFmtId="0" fontId="65" fillId="0" borderId="352" applyNumberFormat="0" applyFill="0" applyAlignment="0" applyProtection="0"/>
    <xf numFmtId="0" fontId="32" fillId="34" borderId="341">
      <alignment horizontal="right" vertical="center"/>
    </xf>
    <xf numFmtId="0" fontId="12" fillId="22" borderId="0" applyNumberFormat="0" applyBorder="0" applyAlignment="0" applyProtection="0"/>
    <xf numFmtId="0" fontId="49" fillId="43" borderId="321" applyNumberFormat="0" applyAlignment="0" applyProtection="0"/>
    <xf numFmtId="4" fontId="32" fillId="34" borderId="347">
      <alignment horizontal="right" vertical="center"/>
    </xf>
    <xf numFmtId="0" fontId="26" fillId="27" borderId="0" applyNumberFormat="0" applyBorder="0" applyAlignment="0" applyProtection="0"/>
    <xf numFmtId="0" fontId="32" fillId="34" borderId="342">
      <alignment horizontal="right" vertical="center"/>
    </xf>
    <xf numFmtId="49" fontId="33" fillId="0" borderId="341" applyNumberFormat="0" applyFill="0" applyBorder="0" applyProtection="0">
      <alignment horizontal="left" vertical="center"/>
    </xf>
    <xf numFmtId="0" fontId="32" fillId="34" borderId="341">
      <alignment horizontal="right" vertical="center"/>
    </xf>
    <xf numFmtId="4" fontId="34" fillId="33" borderId="341"/>
    <xf numFmtId="0" fontId="26" fillId="24" borderId="0" applyNumberFormat="0" applyBorder="0" applyAlignment="0" applyProtection="0"/>
    <xf numFmtId="4" fontId="32" fillId="34" borderId="325">
      <alignment horizontal="right" vertical="center"/>
    </xf>
    <xf numFmtId="0" fontId="30" fillId="0" borderId="0" applyNumberFormat="0" applyFill="0" applyBorder="0" applyAlignment="0" applyProtection="0"/>
    <xf numFmtId="0" fontId="62" fillId="56" borderId="328" applyNumberFormat="0" applyAlignment="0" applyProtection="0"/>
    <xf numFmtId="0" fontId="40" fillId="59" borderId="323" applyNumberFormat="0" applyFont="0" applyAlignment="0" applyProtection="0"/>
    <xf numFmtId="0" fontId="26" fillId="20" borderId="0" applyNumberFormat="0" applyBorder="0" applyAlignment="0" applyProtection="0"/>
    <xf numFmtId="0" fontId="50" fillId="0" borderId="352" applyNumberFormat="0" applyFill="0" applyAlignment="0" applyProtection="0"/>
    <xf numFmtId="4" fontId="32" fillId="34" borderId="341">
      <alignment horizontal="right" vertical="center"/>
    </xf>
    <xf numFmtId="0" fontId="12" fillId="19" borderId="0" applyNumberFormat="0" applyBorder="0" applyAlignment="0" applyProtection="0"/>
    <xf numFmtId="0" fontId="32" fillId="34" borderId="324">
      <alignment horizontal="right" vertical="center"/>
    </xf>
    <xf numFmtId="0" fontId="40" fillId="59" borderId="323" applyNumberFormat="0" applyFont="0" applyAlignment="0" applyProtection="0"/>
    <xf numFmtId="0" fontId="26" fillId="17" borderId="0" applyNumberFormat="0" applyBorder="0" applyAlignment="0" applyProtection="0"/>
    <xf numFmtId="49" fontId="34" fillId="0" borderId="324" applyNumberFormat="0" applyFont="0" applyFill="0" applyBorder="0" applyProtection="0">
      <alignment horizontal="left" vertical="center" indent="2"/>
    </xf>
    <xf numFmtId="0" fontId="45" fillId="56" borderId="321" applyNumberFormat="0" applyAlignment="0" applyProtection="0"/>
    <xf numFmtId="0" fontId="32" fillId="34" borderId="347">
      <alignment horizontal="right" vertical="center"/>
    </xf>
    <xf numFmtId="0" fontId="50" fillId="0" borderId="322" applyNumberFormat="0" applyFill="0" applyAlignment="0" applyProtection="0"/>
    <xf numFmtId="0" fontId="12" fillId="22" borderId="0" applyNumberFormat="0" applyBorder="0" applyAlignment="0" applyProtection="0"/>
    <xf numFmtId="0" fontId="62" fillId="56" borderId="329" applyNumberFormat="0" applyAlignment="0" applyProtection="0"/>
    <xf numFmtId="173" fontId="34" fillId="60" borderId="324" applyNumberFormat="0" applyFont="0" applyBorder="0" applyAlignment="0" applyProtection="0">
      <alignment horizontal="right" vertical="center"/>
    </xf>
    <xf numFmtId="49" fontId="34" fillId="0" borderId="324" applyNumberFormat="0" applyFont="0" applyFill="0" applyBorder="0" applyProtection="0">
      <alignment horizontal="left" vertical="center" indent="2"/>
    </xf>
    <xf numFmtId="49" fontId="33" fillId="0" borderId="346" applyNumberFormat="0" applyFill="0" applyBorder="0" applyProtection="0">
      <alignment horizontal="left" vertical="center"/>
    </xf>
    <xf numFmtId="0" fontId="45" fillId="56" borderId="330" applyNumberFormat="0" applyAlignment="0" applyProtection="0"/>
    <xf numFmtId="4" fontId="32" fillId="32" borderId="324">
      <alignment horizontal="right" vertical="center"/>
    </xf>
    <xf numFmtId="0" fontId="32" fillId="34" borderId="341">
      <alignment horizontal="right" vertical="center"/>
    </xf>
    <xf numFmtId="0" fontId="58" fillId="43" borderId="338" applyNumberFormat="0" applyAlignment="0" applyProtection="0"/>
    <xf numFmtId="0" fontId="32" fillId="34" borderId="324">
      <alignment horizontal="right" vertical="center"/>
    </xf>
    <xf numFmtId="0" fontId="62" fillId="56" borderId="337" applyNumberFormat="0" applyAlignment="0" applyProtection="0"/>
    <xf numFmtId="0" fontId="65" fillId="0" borderId="322" applyNumberFormat="0" applyFill="0" applyAlignment="0" applyProtection="0"/>
    <xf numFmtId="0" fontId="26" fillId="30" borderId="0" applyNumberFormat="0" applyBorder="0" applyAlignment="0" applyProtection="0"/>
    <xf numFmtId="0" fontId="12" fillId="19" borderId="0" applyNumberFormat="0" applyBorder="0" applyAlignment="0" applyProtection="0"/>
    <xf numFmtId="0" fontId="46" fillId="56" borderId="330" applyNumberFormat="0" applyAlignment="0" applyProtection="0"/>
    <xf numFmtId="0" fontId="34" fillId="32" borderId="325">
      <alignment horizontal="left" vertical="center"/>
    </xf>
    <xf numFmtId="4" fontId="32" fillId="32" borderId="346">
      <alignment horizontal="right" vertical="center"/>
    </xf>
    <xf numFmtId="4" fontId="34" fillId="0" borderId="324">
      <alignment horizontal="right" vertical="center"/>
    </xf>
    <xf numFmtId="4" fontId="32" fillId="32" borderId="324">
      <alignment horizontal="right" vertical="center"/>
    </xf>
    <xf numFmtId="49" fontId="34" fillId="0" borderId="334" applyNumberFormat="0" applyFont="0" applyFill="0" applyBorder="0" applyProtection="0">
      <alignment horizontal="left" vertical="center" indent="5"/>
    </xf>
    <xf numFmtId="0" fontId="32" fillId="34" borderId="346">
      <alignment horizontal="right" vertical="center"/>
    </xf>
    <xf numFmtId="0" fontId="58" fillId="43" borderId="321" applyNumberFormat="0" applyAlignment="0" applyProtection="0"/>
    <xf numFmtId="0" fontId="58" fillId="43" borderId="321" applyNumberFormat="0" applyAlignment="0" applyProtection="0"/>
    <xf numFmtId="0" fontId="34" fillId="0" borderId="333" applyNumberFormat="0" applyFill="0" applyAlignment="0" applyProtection="0"/>
    <xf numFmtId="4" fontId="32" fillId="34" borderId="343">
      <alignment horizontal="right" vertical="center"/>
    </xf>
    <xf numFmtId="0" fontId="62" fillId="56" borderId="337" applyNumberFormat="0" applyAlignment="0" applyProtection="0"/>
    <xf numFmtId="4" fontId="34" fillId="33" borderId="346"/>
    <xf numFmtId="0" fontId="46" fillId="56" borderId="321" applyNumberFormat="0" applyAlignment="0" applyProtection="0"/>
    <xf numFmtId="4" fontId="32" fillId="32" borderId="341">
      <alignment horizontal="right" vertical="center"/>
    </xf>
    <xf numFmtId="0" fontId="28" fillId="13" borderId="14" applyNumberFormat="0" applyAlignment="0" applyProtection="0"/>
    <xf numFmtId="4" fontId="32" fillId="34" borderId="324">
      <alignment horizontal="right" vertical="center"/>
    </xf>
    <xf numFmtId="4" fontId="34" fillId="33" borderId="346"/>
    <xf numFmtId="49" fontId="33" fillId="0" borderId="333" applyNumberFormat="0" applyFill="0" applyBorder="0" applyProtection="0">
      <alignment horizontal="left" vertical="center"/>
    </xf>
    <xf numFmtId="0" fontId="12" fillId="16" borderId="0" applyNumberFormat="0" applyBorder="0" applyAlignment="0" applyProtection="0"/>
    <xf numFmtId="0" fontId="46" fillId="56" borderId="321" applyNumberFormat="0" applyAlignment="0" applyProtection="0"/>
    <xf numFmtId="0" fontId="34" fillId="0" borderId="344">
      <alignment horizontal="left" vertical="center" wrapText="1" indent="2"/>
    </xf>
    <xf numFmtId="0" fontId="5" fillId="59" borderId="332" applyNumberFormat="0" applyFont="0" applyAlignment="0" applyProtection="0"/>
    <xf numFmtId="0" fontId="40" fillId="59" borderId="345" applyNumberFormat="0" applyFont="0" applyAlignment="0" applyProtection="0"/>
    <xf numFmtId="0" fontId="43" fillId="56" borderId="328" applyNumberFormat="0" applyAlignment="0" applyProtection="0"/>
    <xf numFmtId="0" fontId="34" fillId="33" borderId="324"/>
    <xf numFmtId="0" fontId="45" fillId="56" borderId="321" applyNumberFormat="0" applyAlignment="0" applyProtection="0"/>
    <xf numFmtId="0" fontId="32" fillId="34" borderId="324">
      <alignment horizontal="right" vertical="center"/>
    </xf>
    <xf numFmtId="4" fontId="34" fillId="33" borderId="324"/>
    <xf numFmtId="0" fontId="45" fillId="56" borderId="321" applyNumberFormat="0" applyAlignment="0" applyProtection="0"/>
    <xf numFmtId="0" fontId="34" fillId="32" borderId="325">
      <alignment horizontal="left" vertical="center"/>
    </xf>
    <xf numFmtId="4" fontId="32" fillId="32" borderId="324">
      <alignment horizontal="right" vertical="center"/>
    </xf>
    <xf numFmtId="0" fontId="12" fillId="19" borderId="0" applyNumberFormat="0" applyBorder="0" applyAlignment="0" applyProtection="0"/>
    <xf numFmtId="0" fontId="50" fillId="0" borderId="322" applyNumberFormat="0" applyFill="0" applyAlignment="0" applyProtection="0"/>
    <xf numFmtId="0" fontId="32" fillId="34" borderId="334">
      <alignment horizontal="right" vertical="center"/>
    </xf>
    <xf numFmtId="49" fontId="34" fillId="0" borderId="334" applyNumberFormat="0" applyFont="0" applyFill="0" applyBorder="0" applyProtection="0">
      <alignment horizontal="left" vertical="center" indent="5"/>
    </xf>
    <xf numFmtId="0" fontId="12" fillId="25" borderId="0" applyNumberFormat="0" applyBorder="0" applyAlignment="0" applyProtection="0"/>
    <xf numFmtId="49" fontId="34" fillId="0" borderId="341" applyNumberFormat="0" applyFont="0" applyFill="0" applyBorder="0" applyProtection="0">
      <alignment horizontal="left" vertical="center" indent="2"/>
    </xf>
    <xf numFmtId="0" fontId="58" fillId="43" borderId="338" applyNumberFormat="0" applyAlignment="0" applyProtection="0"/>
    <xf numFmtId="0" fontId="12" fillId="16" borderId="0" applyNumberFormat="0" applyBorder="0" applyAlignment="0" applyProtection="0"/>
    <xf numFmtId="0" fontId="34" fillId="0" borderId="324">
      <alignment horizontal="right" vertical="center"/>
    </xf>
    <xf numFmtId="0" fontId="46" fillId="56" borderId="338" applyNumberFormat="0" applyAlignment="0" applyProtection="0"/>
    <xf numFmtId="0" fontId="12" fillId="25" borderId="0" applyNumberFormat="0" applyBorder="0" applyAlignment="0" applyProtection="0"/>
    <xf numFmtId="0" fontId="49" fillId="43" borderId="321" applyNumberFormat="0" applyAlignment="0" applyProtection="0"/>
    <xf numFmtId="0" fontId="34" fillId="0" borderId="324">
      <alignment horizontal="right" vertical="center"/>
    </xf>
    <xf numFmtId="0" fontId="45" fillId="56" borderId="321" applyNumberFormat="0" applyAlignment="0" applyProtection="0"/>
    <xf numFmtId="0" fontId="32" fillId="34" borderId="341">
      <alignment horizontal="right" vertical="center"/>
    </xf>
    <xf numFmtId="4" fontId="32" fillId="34" borderId="346">
      <alignment horizontal="right" vertical="center"/>
    </xf>
    <xf numFmtId="4" fontId="32" fillId="32" borderId="324">
      <alignment horizontal="right" vertical="center"/>
    </xf>
    <xf numFmtId="0" fontId="32" fillId="34" borderId="325">
      <alignment horizontal="right" vertical="center"/>
    </xf>
    <xf numFmtId="4" fontId="34" fillId="0" borderId="346" applyFill="0" applyBorder="0" applyProtection="0">
      <alignment horizontal="right" vertical="center"/>
    </xf>
    <xf numFmtId="0" fontId="46" fillId="56" borderId="321" applyNumberFormat="0" applyAlignment="0" applyProtection="0"/>
    <xf numFmtId="0" fontId="32" fillId="34" borderId="326">
      <alignment horizontal="right" vertical="center"/>
    </xf>
    <xf numFmtId="0" fontId="32" fillId="34" borderId="346">
      <alignment horizontal="right" vertical="center"/>
    </xf>
    <xf numFmtId="0" fontId="34" fillId="0" borderId="341">
      <alignment horizontal="right" vertical="center"/>
    </xf>
    <xf numFmtId="0" fontId="50" fillId="0" borderId="322" applyNumberFormat="0" applyFill="0" applyAlignment="0" applyProtection="0"/>
    <xf numFmtId="0" fontId="40" fillId="59" borderId="332" applyNumberFormat="0" applyFont="0" applyAlignment="0" applyProtection="0"/>
    <xf numFmtId="0" fontId="26" fillId="23" borderId="0" applyNumberFormat="0" applyBorder="0" applyAlignment="0" applyProtection="0"/>
    <xf numFmtId="0" fontId="34" fillId="34" borderId="327">
      <alignment horizontal="left" vertical="center" wrapText="1" indent="2"/>
    </xf>
    <xf numFmtId="4" fontId="32" fillId="32" borderId="346">
      <alignment horizontal="right" vertical="center"/>
    </xf>
    <xf numFmtId="0" fontId="26" fillId="24" borderId="0" applyNumberFormat="0" applyBorder="0" applyAlignment="0" applyProtection="0"/>
    <xf numFmtId="49" fontId="34" fillId="0" borderId="346" applyNumberFormat="0" applyFont="0" applyFill="0" applyBorder="0" applyProtection="0">
      <alignment horizontal="left" vertical="center" indent="2"/>
    </xf>
    <xf numFmtId="4" fontId="34" fillId="0" borderId="324">
      <alignment horizontal="right" vertical="center"/>
    </xf>
    <xf numFmtId="0" fontId="58" fillId="43" borderId="338" applyNumberFormat="0" applyAlignment="0" applyProtection="0"/>
    <xf numFmtId="0" fontId="34" fillId="0" borderId="324">
      <alignment horizontal="right" vertical="center"/>
    </xf>
    <xf numFmtId="0" fontId="26" fillId="21" borderId="0" applyNumberFormat="0" applyBorder="0" applyAlignment="0" applyProtection="0"/>
    <xf numFmtId="4" fontId="34" fillId="33" borderId="333"/>
    <xf numFmtId="0" fontId="58" fillId="43" borderId="338" applyNumberFormat="0" applyAlignment="0" applyProtection="0"/>
    <xf numFmtId="49" fontId="34" fillId="0" borderId="325" applyNumberFormat="0" applyFont="0" applyFill="0" applyBorder="0" applyProtection="0">
      <alignment horizontal="left" vertical="center" indent="5"/>
    </xf>
    <xf numFmtId="0" fontId="65" fillId="0" borderId="331" applyNumberFormat="0" applyFill="0" applyAlignment="0" applyProtection="0"/>
    <xf numFmtId="0" fontId="1" fillId="0" borderId="0" applyNumberFormat="0" applyFill="0" applyBorder="0" applyAlignment="0" applyProtection="0"/>
    <xf numFmtId="0" fontId="46" fillId="56" borderId="338" applyNumberFormat="0" applyAlignment="0" applyProtection="0"/>
    <xf numFmtId="4" fontId="34" fillId="33" borderId="346"/>
    <xf numFmtId="0" fontId="34" fillId="32" borderId="325">
      <alignment horizontal="left" vertical="center"/>
    </xf>
    <xf numFmtId="0" fontId="34" fillId="0" borderId="327">
      <alignment horizontal="left" vertical="center" wrapText="1" indent="2"/>
    </xf>
    <xf numFmtId="0" fontId="45" fillId="56" borderId="338" applyNumberFormat="0" applyAlignment="0" applyProtection="0"/>
    <xf numFmtId="0" fontId="1" fillId="0" borderId="0" applyNumberFormat="0" applyFill="0" applyBorder="0" applyAlignment="0" applyProtection="0"/>
    <xf numFmtId="0" fontId="5" fillId="59" borderId="340" applyNumberFormat="0" applyFont="0" applyAlignment="0" applyProtection="0"/>
    <xf numFmtId="0" fontId="5" fillId="59" borderId="340" applyNumberFormat="0" applyFont="0" applyAlignment="0" applyProtection="0"/>
    <xf numFmtId="0" fontId="26" fillId="17" borderId="0" applyNumberFormat="0" applyBorder="0" applyAlignment="0" applyProtection="0"/>
    <xf numFmtId="0" fontId="26" fillId="30" borderId="0" applyNumberFormat="0" applyBorder="0" applyAlignment="0" applyProtection="0"/>
    <xf numFmtId="4" fontId="32" fillId="34" borderId="335">
      <alignment horizontal="right" vertical="center"/>
    </xf>
    <xf numFmtId="0" fontId="50" fillId="0" borderId="339" applyNumberFormat="0" applyFill="0" applyAlignment="0" applyProtection="0"/>
    <xf numFmtId="0" fontId="32" fillId="32" borderId="341">
      <alignment horizontal="right" vertical="center"/>
    </xf>
    <xf numFmtId="0" fontId="32" fillId="32" borderId="324">
      <alignment horizontal="right" vertical="center"/>
    </xf>
    <xf numFmtId="0" fontId="50" fillId="0" borderId="322" applyNumberFormat="0" applyFill="0" applyAlignment="0" applyProtection="0"/>
    <xf numFmtId="0" fontId="34" fillId="0" borderId="324" applyNumberFormat="0" applyFill="0" applyAlignment="0" applyProtection="0"/>
    <xf numFmtId="0" fontId="50" fillId="0" borderId="322" applyNumberFormat="0" applyFill="0" applyAlignment="0" applyProtection="0"/>
    <xf numFmtId="4" fontId="34" fillId="0" borderId="324" applyFill="0" applyBorder="0" applyProtection="0">
      <alignment horizontal="right" vertical="center"/>
    </xf>
    <xf numFmtId="49" fontId="34" fillId="0" borderId="325" applyNumberFormat="0" applyFont="0" applyFill="0" applyBorder="0" applyProtection="0">
      <alignment horizontal="left" vertical="center" indent="5"/>
    </xf>
    <xf numFmtId="0" fontId="34" fillId="0" borderId="324" applyNumberFormat="0" applyFill="0" applyAlignment="0" applyProtection="0"/>
    <xf numFmtId="4" fontId="32" fillId="34" borderId="343">
      <alignment horizontal="right" vertical="center"/>
    </xf>
    <xf numFmtId="0" fontId="34" fillId="0" borderId="324" applyNumberFormat="0" applyFill="0" applyAlignment="0" applyProtection="0"/>
    <xf numFmtId="0" fontId="32" fillId="34" borderId="341">
      <alignment horizontal="right" vertical="center"/>
    </xf>
    <xf numFmtId="4" fontId="32" fillId="34" borderId="324">
      <alignment horizontal="right" vertical="center"/>
    </xf>
    <xf numFmtId="0" fontId="34" fillId="34" borderId="349">
      <alignment horizontal="left" vertical="center" wrapText="1" indent="2"/>
    </xf>
    <xf numFmtId="0" fontId="50" fillId="0" borderId="339" applyNumberFormat="0" applyFill="0" applyAlignment="0" applyProtection="0"/>
    <xf numFmtId="0" fontId="26" fillId="20" borderId="0" applyNumberFormat="0" applyBorder="0" applyAlignment="0" applyProtection="0"/>
    <xf numFmtId="0" fontId="49" fillId="43" borderId="321" applyNumberFormat="0" applyAlignment="0" applyProtection="0"/>
    <xf numFmtId="0" fontId="46" fillId="56" borderId="321" applyNumberFormat="0" applyAlignment="0" applyProtection="0"/>
    <xf numFmtId="4" fontId="34" fillId="0" borderId="324">
      <alignment horizontal="right" vertical="center"/>
    </xf>
    <xf numFmtId="0" fontId="34" fillId="34" borderId="327">
      <alignment horizontal="left" vertical="center" wrapText="1" indent="2"/>
    </xf>
    <xf numFmtId="0" fontId="34" fillId="0" borderId="327">
      <alignment horizontal="left" vertical="center" wrapText="1" indent="2"/>
    </xf>
    <xf numFmtId="0" fontId="62" fillId="56" borderId="328" applyNumberFormat="0" applyAlignment="0" applyProtection="0"/>
    <xf numFmtId="0" fontId="58" fillId="43" borderId="321" applyNumberFormat="0" applyAlignment="0" applyProtection="0"/>
    <xf numFmtId="0" fontId="45" fillId="56" borderId="321" applyNumberFormat="0" applyAlignment="0" applyProtection="0"/>
    <xf numFmtId="0" fontId="43" fillId="56" borderId="328" applyNumberFormat="0" applyAlignment="0" applyProtection="0"/>
    <xf numFmtId="0" fontId="32" fillId="34" borderId="326">
      <alignment horizontal="right" vertical="center"/>
    </xf>
    <xf numFmtId="0" fontId="36" fillId="32" borderId="324">
      <alignment horizontal="right" vertical="center"/>
    </xf>
    <xf numFmtId="4" fontId="32" fillId="32" borderId="324">
      <alignment horizontal="right" vertical="center"/>
    </xf>
    <xf numFmtId="4" fontId="32" fillId="34" borderId="324">
      <alignment horizontal="right" vertical="center"/>
    </xf>
    <xf numFmtId="49" fontId="34" fillId="0" borderId="325" applyNumberFormat="0" applyFont="0" applyFill="0" applyBorder="0" applyProtection="0">
      <alignment horizontal="left" vertical="center" indent="5"/>
    </xf>
    <xf numFmtId="4" fontId="34" fillId="0" borderId="324" applyFill="0" applyBorder="0" applyProtection="0">
      <alignment horizontal="right" vertical="center"/>
    </xf>
    <xf numFmtId="4" fontId="32" fillId="32" borderId="324">
      <alignment horizontal="right" vertical="center"/>
    </xf>
    <xf numFmtId="0" fontId="58" fillId="43" borderId="321" applyNumberFormat="0" applyAlignment="0" applyProtection="0"/>
    <xf numFmtId="0" fontId="49" fillId="43" borderId="321" applyNumberFormat="0" applyAlignment="0" applyProtection="0"/>
    <xf numFmtId="0" fontId="45" fillId="56" borderId="321" applyNumberFormat="0" applyAlignment="0" applyProtection="0"/>
    <xf numFmtId="0" fontId="34" fillId="34" borderId="327">
      <alignment horizontal="left" vertical="center" wrapText="1" indent="2"/>
    </xf>
    <xf numFmtId="0" fontId="34" fillId="0" borderId="327">
      <alignment horizontal="left" vertical="center" wrapText="1" indent="2"/>
    </xf>
    <xf numFmtId="0" fontId="34" fillId="34" borderId="327">
      <alignment horizontal="left" vertical="center" wrapText="1" indent="2"/>
    </xf>
    <xf numFmtId="0" fontId="36" fillId="32" borderId="333">
      <alignment horizontal="right" vertical="center"/>
    </xf>
    <xf numFmtId="4" fontId="32" fillId="34" borderId="348">
      <alignment horizontal="right" vertical="center"/>
    </xf>
    <xf numFmtId="4" fontId="32" fillId="32" borderId="341">
      <alignment horizontal="right" vertical="center"/>
    </xf>
    <xf numFmtId="4" fontId="32" fillId="34" borderId="342">
      <alignment horizontal="right" vertical="center"/>
    </xf>
    <xf numFmtId="0" fontId="26" fillId="20" borderId="0" applyNumberFormat="0" applyBorder="0" applyAlignment="0" applyProtection="0"/>
    <xf numFmtId="0" fontId="65" fillId="0" borderId="339" applyNumberFormat="0" applyFill="0" applyAlignment="0" applyProtection="0"/>
    <xf numFmtId="0" fontId="32" fillId="34" borderId="346">
      <alignment horizontal="right" vertical="center"/>
    </xf>
    <xf numFmtId="4" fontId="32" fillId="34" borderId="346">
      <alignment horizontal="right" vertical="center"/>
    </xf>
    <xf numFmtId="0" fontId="62" fillId="56" borderId="337" applyNumberFormat="0" applyAlignment="0" applyProtection="0"/>
    <xf numFmtId="0" fontId="58" fillId="43" borderId="338" applyNumberFormat="0" applyAlignment="0" applyProtection="0"/>
    <xf numFmtId="0" fontId="34" fillId="34" borderId="344">
      <alignment horizontal="left" vertical="center" wrapText="1" indent="2"/>
    </xf>
    <xf numFmtId="4" fontId="32" fillId="32" borderId="341">
      <alignment horizontal="right" vertical="center"/>
    </xf>
    <xf numFmtId="0" fontId="36" fillId="32" borderId="341">
      <alignment horizontal="right" vertical="center"/>
    </xf>
    <xf numFmtId="0" fontId="34" fillId="0" borderId="346" applyNumberFormat="0" applyFill="0" applyAlignment="0" applyProtection="0"/>
    <xf numFmtId="0" fontId="34" fillId="33" borderId="341"/>
    <xf numFmtId="4" fontId="32" fillId="34" borderId="343">
      <alignment horizontal="right" vertical="center"/>
    </xf>
    <xf numFmtId="0" fontId="34" fillId="0" borderId="341" applyNumberFormat="0" applyFill="0" applyAlignment="0" applyProtection="0"/>
    <xf numFmtId="4" fontId="34" fillId="0" borderId="341">
      <alignment horizontal="right" vertical="center"/>
    </xf>
    <xf numFmtId="0" fontId="34" fillId="33" borderId="346"/>
    <xf numFmtId="0" fontId="34" fillId="0" borderId="346">
      <alignment horizontal="right" vertical="center"/>
    </xf>
    <xf numFmtId="49" fontId="34" fillId="0" borderId="341" applyNumberFormat="0" applyFont="0" applyFill="0" applyBorder="0" applyProtection="0">
      <alignment horizontal="left" vertical="center" indent="2"/>
    </xf>
    <xf numFmtId="0" fontId="32" fillId="34" borderId="333">
      <alignment horizontal="right" vertical="center"/>
    </xf>
    <xf numFmtId="0" fontId="45" fillId="56" borderId="338" applyNumberFormat="0" applyAlignment="0" applyProtection="0"/>
    <xf numFmtId="0" fontId="12" fillId="19" borderId="0" applyNumberFormat="0" applyBorder="0" applyAlignment="0" applyProtection="0"/>
    <xf numFmtId="0" fontId="12" fillId="31" borderId="0" applyNumberFormat="0" applyBorder="0" applyAlignment="0" applyProtection="0"/>
    <xf numFmtId="0" fontId="65" fillId="0" borderId="352" applyNumberFormat="0" applyFill="0" applyAlignment="0" applyProtection="0"/>
    <xf numFmtId="0" fontId="26" fillId="30" borderId="0" applyNumberFormat="0" applyBorder="0" applyAlignment="0" applyProtection="0"/>
    <xf numFmtId="0" fontId="43" fillId="56" borderId="337" applyNumberFormat="0" applyAlignment="0" applyProtection="0"/>
    <xf numFmtId="173" fontId="34" fillId="60" borderId="341" applyNumberFormat="0" applyFont="0" applyBorder="0" applyAlignment="0" applyProtection="0">
      <alignment horizontal="right" vertical="center"/>
    </xf>
    <xf numFmtId="0" fontId="12" fillId="25" borderId="0" applyNumberFormat="0" applyBorder="0" applyAlignment="0" applyProtection="0"/>
    <xf numFmtId="0" fontId="26" fillId="27" borderId="0" applyNumberFormat="0" applyBorder="0" applyAlignment="0" applyProtection="0"/>
    <xf numFmtId="0" fontId="12" fillId="28" borderId="0" applyNumberFormat="0" applyBorder="0" applyAlignment="0" applyProtection="0"/>
    <xf numFmtId="173" fontId="34" fillId="60" borderId="341" applyNumberFormat="0" applyFont="0" applyBorder="0" applyAlignment="0" applyProtection="0">
      <alignment horizontal="right" vertical="center"/>
    </xf>
    <xf numFmtId="0" fontId="12" fillId="22" borderId="0" applyNumberFormat="0" applyBorder="0" applyAlignment="0" applyProtection="0"/>
    <xf numFmtId="0" fontId="58" fillId="43" borderId="338" applyNumberFormat="0" applyAlignment="0" applyProtection="0"/>
    <xf numFmtId="0" fontId="26" fillId="20" borderId="0" applyNumberFormat="0" applyBorder="0" applyAlignment="0" applyProtection="0"/>
    <xf numFmtId="0" fontId="26" fillId="14" borderId="0" applyNumberFormat="0" applyBorder="0" applyAlignment="0" applyProtection="0"/>
    <xf numFmtId="0" fontId="46" fillId="56" borderId="338" applyNumberFormat="0" applyAlignment="0" applyProtection="0"/>
    <xf numFmtId="0" fontId="58" fillId="43" borderId="338" applyNumberFormat="0" applyAlignment="0" applyProtection="0"/>
    <xf numFmtId="0" fontId="58" fillId="43" borderId="351" applyNumberFormat="0" applyAlignment="0" applyProtection="0"/>
    <xf numFmtId="0" fontId="43" fillId="56" borderId="337" applyNumberFormat="0" applyAlignment="0" applyProtection="0"/>
    <xf numFmtId="4" fontId="32" fillId="34" borderId="333">
      <alignment horizontal="right" vertical="center"/>
    </xf>
    <xf numFmtId="0" fontId="34" fillId="33" borderId="333"/>
    <xf numFmtId="0" fontId="45" fillId="56" borderId="330" applyNumberFormat="0" applyAlignment="0" applyProtection="0"/>
    <xf numFmtId="0" fontId="32" fillId="32" borderId="333">
      <alignment horizontal="right" vertical="center"/>
    </xf>
    <xf numFmtId="0" fontId="34" fillId="0" borderId="333">
      <alignment horizontal="right" vertical="center"/>
    </xf>
    <xf numFmtId="0" fontId="65" fillId="0" borderId="331" applyNumberFormat="0" applyFill="0" applyAlignment="0" applyProtection="0"/>
    <xf numFmtId="0" fontId="34" fillId="32" borderId="334">
      <alignment horizontal="left" vertical="center"/>
    </xf>
    <xf numFmtId="0" fontId="58" fillId="43" borderId="330" applyNumberFormat="0" applyAlignment="0" applyProtection="0"/>
    <xf numFmtId="173" fontId="34" fillId="60" borderId="333" applyNumberFormat="0" applyFont="0" applyBorder="0" applyAlignment="0" applyProtection="0">
      <alignment horizontal="right" vertical="center"/>
    </xf>
    <xf numFmtId="0" fontId="40" fillId="59" borderId="332" applyNumberFormat="0" applyFont="0" applyAlignment="0" applyProtection="0"/>
    <xf numFmtId="0" fontId="34" fillId="0" borderId="336">
      <alignment horizontal="left" vertical="center" wrapText="1" indent="2"/>
    </xf>
    <xf numFmtId="4" fontId="34" fillId="33" borderId="333"/>
    <xf numFmtId="49" fontId="33" fillId="0" borderId="333" applyNumberFormat="0" applyFill="0" applyBorder="0" applyProtection="0">
      <alignment horizontal="left" vertical="center"/>
    </xf>
    <xf numFmtId="0" fontId="34" fillId="0" borderId="333">
      <alignment horizontal="right" vertical="center"/>
    </xf>
    <xf numFmtId="4" fontId="32" fillId="34" borderId="335">
      <alignment horizontal="right" vertical="center"/>
    </xf>
    <xf numFmtId="4" fontId="32" fillId="34" borderId="333">
      <alignment horizontal="right" vertical="center"/>
    </xf>
    <xf numFmtId="4" fontId="32" fillId="34" borderId="333">
      <alignment horizontal="right" vertical="center"/>
    </xf>
    <xf numFmtId="0" fontId="36" fillId="32" borderId="333">
      <alignment horizontal="right" vertical="center"/>
    </xf>
    <xf numFmtId="0" fontId="32" fillId="32" borderId="333">
      <alignment horizontal="right" vertical="center"/>
    </xf>
    <xf numFmtId="49" fontId="34" fillId="0" borderId="333" applyNumberFormat="0" applyFont="0" applyFill="0" applyBorder="0" applyProtection="0">
      <alignment horizontal="left" vertical="center" indent="2"/>
    </xf>
    <xf numFmtId="0" fontId="58" fillId="43" borderId="330" applyNumberFormat="0" applyAlignment="0" applyProtection="0"/>
    <xf numFmtId="0" fontId="43" fillId="56" borderId="329" applyNumberFormat="0" applyAlignment="0" applyProtection="0"/>
    <xf numFmtId="49" fontId="34" fillId="0" borderId="333" applyNumberFormat="0" applyFont="0" applyFill="0" applyBorder="0" applyProtection="0">
      <alignment horizontal="left" vertical="center" indent="2"/>
    </xf>
    <xf numFmtId="0" fontId="49" fillId="43" borderId="330" applyNumberFormat="0" applyAlignment="0" applyProtection="0"/>
    <xf numFmtId="4" fontId="34" fillId="0" borderId="333" applyFill="0" applyBorder="0" applyProtection="0">
      <alignment horizontal="right" vertical="center"/>
    </xf>
    <xf numFmtId="0" fontId="46" fillId="56" borderId="330" applyNumberFormat="0" applyAlignment="0" applyProtection="0"/>
    <xf numFmtId="0" fontId="65" fillId="0" borderId="331" applyNumberFormat="0" applyFill="0" applyAlignment="0" applyProtection="0"/>
    <xf numFmtId="0" fontId="62" fillId="56" borderId="329" applyNumberFormat="0" applyAlignment="0" applyProtection="0"/>
    <xf numFmtId="0" fontId="34" fillId="0" borderId="333" applyNumberFormat="0" applyFill="0" applyAlignment="0" applyProtection="0"/>
    <xf numFmtId="4" fontId="34" fillId="0" borderId="333">
      <alignment horizontal="right" vertical="center"/>
    </xf>
    <xf numFmtId="0" fontId="34" fillId="0" borderId="333">
      <alignment horizontal="right" vertical="center"/>
    </xf>
    <xf numFmtId="0" fontId="58" fillId="43" borderId="330" applyNumberFormat="0" applyAlignment="0" applyProtection="0"/>
    <xf numFmtId="0" fontId="43" fillId="56" borderId="329" applyNumberFormat="0" applyAlignment="0" applyProtection="0"/>
    <xf numFmtId="0" fontId="45" fillId="56" borderId="330" applyNumberFormat="0" applyAlignment="0" applyProtection="0"/>
    <xf numFmtId="0" fontId="34" fillId="34" borderId="336">
      <alignment horizontal="left" vertical="center" wrapText="1" indent="2"/>
    </xf>
    <xf numFmtId="0" fontId="46" fillId="56" borderId="330" applyNumberFormat="0" applyAlignment="0" applyProtection="0"/>
    <xf numFmtId="0" fontId="46" fillId="56" borderId="330" applyNumberFormat="0" applyAlignment="0" applyProtection="0"/>
    <xf numFmtId="4" fontId="32" fillId="34" borderId="334">
      <alignment horizontal="right" vertical="center"/>
    </xf>
    <xf numFmtId="0" fontId="32" fillId="34" borderId="334">
      <alignment horizontal="right" vertical="center"/>
    </xf>
    <xf numFmtId="0" fontId="32" fillId="34" borderId="333">
      <alignment horizontal="right" vertical="center"/>
    </xf>
    <xf numFmtId="4" fontId="36" fillId="32" borderId="333">
      <alignment horizontal="right" vertical="center"/>
    </xf>
    <xf numFmtId="0" fontId="49" fillId="43" borderId="330" applyNumberFormat="0" applyAlignment="0" applyProtection="0"/>
    <xf numFmtId="0" fontId="50" fillId="0" borderId="331" applyNumberFormat="0" applyFill="0" applyAlignment="0" applyProtection="0"/>
    <xf numFmtId="0" fontId="65" fillId="0" borderId="331" applyNumberFormat="0" applyFill="0" applyAlignment="0" applyProtection="0"/>
    <xf numFmtId="0" fontId="40" fillId="59" borderId="332" applyNumberFormat="0" applyFont="0" applyAlignment="0" applyProtection="0"/>
    <xf numFmtId="0" fontId="58" fillId="43" borderId="330" applyNumberFormat="0" applyAlignment="0" applyProtection="0"/>
    <xf numFmtId="49" fontId="33" fillId="0" borderId="333" applyNumberFormat="0" applyFill="0" applyBorder="0" applyProtection="0">
      <alignment horizontal="left" vertical="center"/>
    </xf>
    <xf numFmtId="0" fontId="34" fillId="34" borderId="336">
      <alignment horizontal="left" vertical="center" wrapText="1" indent="2"/>
    </xf>
    <xf numFmtId="0" fontId="46" fillId="56" borderId="330" applyNumberFormat="0" applyAlignment="0" applyProtection="0"/>
    <xf numFmtId="0" fontId="34" fillId="0" borderId="336">
      <alignment horizontal="left" vertical="center" wrapText="1" indent="2"/>
    </xf>
    <xf numFmtId="0" fontId="40" fillId="59" borderId="332" applyNumberFormat="0" applyFont="0" applyAlignment="0" applyProtection="0"/>
    <xf numFmtId="0" fontId="5" fillId="59" borderId="332" applyNumberFormat="0" applyFont="0" applyAlignment="0" applyProtection="0"/>
    <xf numFmtId="0" fontId="62" fillId="56" borderId="329" applyNumberFormat="0" applyAlignment="0" applyProtection="0"/>
    <xf numFmtId="0" fontId="65" fillId="0" borderId="331" applyNumberFormat="0" applyFill="0" applyAlignment="0" applyProtection="0"/>
    <xf numFmtId="4" fontId="34" fillId="33" borderId="333"/>
    <xf numFmtId="0" fontId="32" fillId="34" borderId="333">
      <alignment horizontal="right" vertical="center"/>
    </xf>
    <xf numFmtId="0" fontId="65" fillId="0" borderId="331" applyNumberFormat="0" applyFill="0" applyAlignment="0" applyProtection="0"/>
    <xf numFmtId="4" fontId="32" fillId="34" borderId="335">
      <alignment horizontal="right" vertical="center"/>
    </xf>
    <xf numFmtId="0" fontId="45" fillId="56" borderId="330" applyNumberFormat="0" applyAlignment="0" applyProtection="0"/>
    <xf numFmtId="0" fontId="32" fillId="34" borderId="334">
      <alignment horizontal="right" vertical="center"/>
    </xf>
    <xf numFmtId="0" fontId="46" fillId="56" borderId="330" applyNumberFormat="0" applyAlignment="0" applyProtection="0"/>
    <xf numFmtId="0" fontId="50" fillId="0" borderId="331" applyNumberFormat="0" applyFill="0" applyAlignment="0" applyProtection="0"/>
    <xf numFmtId="0" fontId="40" fillId="59" borderId="332" applyNumberFormat="0" applyFont="0" applyAlignment="0" applyProtection="0"/>
    <xf numFmtId="4" fontId="32" fillId="34" borderId="334">
      <alignment horizontal="right" vertical="center"/>
    </xf>
    <xf numFmtId="0" fontId="34" fillId="34" borderId="336">
      <alignment horizontal="left" vertical="center" wrapText="1" indent="2"/>
    </xf>
    <xf numFmtId="0" fontId="34" fillId="33" borderId="333"/>
    <xf numFmtId="173" fontId="34" fillId="60" borderId="333" applyNumberFormat="0" applyFont="0" applyBorder="0" applyAlignment="0" applyProtection="0">
      <alignment horizontal="right" vertical="center"/>
    </xf>
    <xf numFmtId="0" fontId="34" fillId="0" borderId="333" applyNumberFormat="0" applyFill="0" applyAlignment="0" applyProtection="0"/>
    <xf numFmtId="4" fontId="34" fillId="0" borderId="333" applyFill="0" applyBorder="0" applyProtection="0">
      <alignment horizontal="right" vertical="center"/>
    </xf>
    <xf numFmtId="4" fontId="32" fillId="32" borderId="333">
      <alignment horizontal="right" vertical="center"/>
    </xf>
    <xf numFmtId="0" fontId="50" fillId="0" borderId="331" applyNumberFormat="0" applyFill="0" applyAlignment="0" applyProtection="0"/>
    <xf numFmtId="49" fontId="33" fillId="0" borderId="333" applyNumberFormat="0" applyFill="0" applyBorder="0" applyProtection="0">
      <alignment horizontal="left" vertical="center"/>
    </xf>
    <xf numFmtId="49" fontId="34" fillId="0" borderId="334" applyNumberFormat="0" applyFont="0" applyFill="0" applyBorder="0" applyProtection="0">
      <alignment horizontal="left" vertical="center" indent="5"/>
    </xf>
    <xf numFmtId="0" fontId="34" fillId="32" borderId="334">
      <alignment horizontal="left" vertical="center"/>
    </xf>
    <xf numFmtId="0" fontId="46" fillId="56" borderId="330" applyNumberFormat="0" applyAlignment="0" applyProtection="0"/>
    <xf numFmtId="4" fontId="32" fillId="34" borderId="335">
      <alignment horizontal="right" vertical="center"/>
    </xf>
    <xf numFmtId="0" fontId="58" fillId="43" borderId="330" applyNumberFormat="0" applyAlignment="0" applyProtection="0"/>
    <xf numFmtId="0" fontId="58" fillId="43" borderId="330" applyNumberFormat="0" applyAlignment="0" applyProtection="0"/>
    <xf numFmtId="0" fontId="40" fillId="59" borderId="332" applyNumberFormat="0" applyFont="0" applyAlignment="0" applyProtection="0"/>
    <xf numFmtId="0" fontId="62" fillId="56" borderId="329" applyNumberFormat="0" applyAlignment="0" applyProtection="0"/>
    <xf numFmtId="0" fontId="65" fillId="0" borderId="331" applyNumberFormat="0" applyFill="0" applyAlignment="0" applyProtection="0"/>
    <xf numFmtId="0" fontId="32" fillId="34" borderId="333">
      <alignment horizontal="right" vertical="center"/>
    </xf>
    <xf numFmtId="0" fontId="5" fillId="59" borderId="332" applyNumberFormat="0" applyFont="0" applyAlignment="0" applyProtection="0"/>
    <xf numFmtId="4" fontId="34" fillId="0" borderId="333">
      <alignment horizontal="right" vertical="center"/>
    </xf>
    <xf numFmtId="0" fontId="65" fillId="0" borderId="331" applyNumberFormat="0" applyFill="0" applyAlignment="0" applyProtection="0"/>
    <xf numFmtId="0" fontId="32" fillId="34" borderId="333">
      <alignment horizontal="right" vertical="center"/>
    </xf>
    <xf numFmtId="0" fontId="32" fillId="34" borderId="333">
      <alignment horizontal="right" vertical="center"/>
    </xf>
    <xf numFmtId="4" fontId="36" fillId="32" borderId="333">
      <alignment horizontal="right" vertical="center"/>
    </xf>
    <xf numFmtId="0" fontId="32" fillId="32" borderId="333">
      <alignment horizontal="right" vertical="center"/>
    </xf>
    <xf numFmtId="4" fontId="32" fillId="32" borderId="333">
      <alignment horizontal="right" vertical="center"/>
    </xf>
    <xf numFmtId="0" fontId="36" fillId="32" borderId="333">
      <alignment horizontal="right" vertical="center"/>
    </xf>
    <xf numFmtId="4" fontId="36" fillId="32" borderId="333">
      <alignment horizontal="right" vertical="center"/>
    </xf>
    <xf numFmtId="0" fontId="32" fillId="34" borderId="333">
      <alignment horizontal="right" vertical="center"/>
    </xf>
    <xf numFmtId="4" fontId="32" fillId="34" borderId="333">
      <alignment horizontal="right" vertical="center"/>
    </xf>
    <xf numFmtId="0" fontId="32" fillId="34" borderId="333">
      <alignment horizontal="right" vertical="center"/>
    </xf>
    <xf numFmtId="4" fontId="32" fillId="34" borderId="333">
      <alignment horizontal="right" vertical="center"/>
    </xf>
    <xf numFmtId="0" fontId="32" fillId="34" borderId="334">
      <alignment horizontal="right" vertical="center"/>
    </xf>
    <xf numFmtId="4" fontId="32" fillId="34" borderId="334">
      <alignment horizontal="right" vertical="center"/>
    </xf>
    <xf numFmtId="0" fontId="32" fillId="34" borderId="335">
      <alignment horizontal="right" vertical="center"/>
    </xf>
    <xf numFmtId="4" fontId="32" fillId="34" borderId="335">
      <alignment horizontal="right" vertical="center"/>
    </xf>
    <xf numFmtId="0" fontId="46" fillId="56" borderId="330" applyNumberFormat="0" applyAlignment="0" applyProtection="0"/>
    <xf numFmtId="0" fontId="34" fillId="34" borderId="336">
      <alignment horizontal="left" vertical="center" wrapText="1" indent="2"/>
    </xf>
    <xf numFmtId="0" fontId="34" fillId="0" borderId="336">
      <alignment horizontal="left" vertical="center" wrapText="1" indent="2"/>
    </xf>
    <xf numFmtId="0" fontId="34" fillId="32" borderId="334">
      <alignment horizontal="left" vertical="center"/>
    </xf>
    <xf numFmtId="0" fontId="58" fillId="43" borderId="330" applyNumberFormat="0" applyAlignment="0" applyProtection="0"/>
    <xf numFmtId="0" fontId="34" fillId="0" borderId="333">
      <alignment horizontal="right" vertical="center"/>
    </xf>
    <xf numFmtId="4" fontId="34" fillId="0" borderId="333">
      <alignment horizontal="right" vertical="center"/>
    </xf>
    <xf numFmtId="0" fontId="34" fillId="0" borderId="333" applyNumberFormat="0" applyFill="0" applyAlignment="0" applyProtection="0"/>
    <xf numFmtId="0" fontId="62" fillId="56" borderId="329" applyNumberFormat="0" applyAlignment="0" applyProtection="0"/>
    <xf numFmtId="173" fontId="34" fillId="60" borderId="333" applyNumberFormat="0" applyFont="0" applyBorder="0" applyAlignment="0" applyProtection="0">
      <alignment horizontal="right" vertical="center"/>
    </xf>
    <xf numFmtId="0" fontId="34" fillId="33" borderId="333"/>
    <xf numFmtId="4" fontId="34" fillId="33" borderId="333"/>
    <xf numFmtId="0" fontId="65" fillId="0" borderId="331" applyNumberFormat="0" applyFill="0" applyAlignment="0" applyProtection="0"/>
    <xf numFmtId="0" fontId="5" fillId="59" borderId="332" applyNumberFormat="0" applyFont="0" applyAlignment="0" applyProtection="0"/>
    <xf numFmtId="0" fontId="40" fillId="59" borderId="332" applyNumberFormat="0" applyFont="0" applyAlignment="0" applyProtection="0"/>
    <xf numFmtId="0" fontId="34" fillId="0" borderId="333" applyNumberFormat="0" applyFill="0" applyAlignment="0" applyProtection="0"/>
    <xf numFmtId="0" fontId="50" fillId="0" borderId="331" applyNumberFormat="0" applyFill="0" applyAlignment="0" applyProtection="0"/>
    <xf numFmtId="0" fontId="65" fillId="0" borderId="331" applyNumberFormat="0" applyFill="0" applyAlignment="0" applyProtection="0"/>
    <xf numFmtId="0" fontId="49" fillId="43" borderId="330" applyNumberFormat="0" applyAlignment="0" applyProtection="0"/>
    <xf numFmtId="0" fontId="46" fillId="56" borderId="330" applyNumberFormat="0" applyAlignment="0" applyProtection="0"/>
    <xf numFmtId="4" fontId="36" fillId="32" borderId="333">
      <alignment horizontal="right" vertical="center"/>
    </xf>
    <xf numFmtId="0" fontId="32" fillId="32" borderId="333">
      <alignment horizontal="right" vertical="center"/>
    </xf>
    <xf numFmtId="173" fontId="34" fillId="60" borderId="333" applyNumberFormat="0" applyFont="0" applyBorder="0" applyAlignment="0" applyProtection="0">
      <alignment horizontal="right" vertical="center"/>
    </xf>
    <xf numFmtId="0" fontId="50" fillId="0" borderId="331" applyNumberFormat="0" applyFill="0" applyAlignment="0" applyProtection="0"/>
    <xf numFmtId="49" fontId="34" fillId="0" borderId="333" applyNumberFormat="0" applyFont="0" applyFill="0" applyBorder="0" applyProtection="0">
      <alignment horizontal="left" vertical="center" indent="2"/>
    </xf>
    <xf numFmtId="49" fontId="34" fillId="0" borderId="334" applyNumberFormat="0" applyFont="0" applyFill="0" applyBorder="0" applyProtection="0">
      <alignment horizontal="left" vertical="center" indent="5"/>
    </xf>
    <xf numFmtId="49" fontId="34" fillId="0" borderId="333" applyNumberFormat="0" applyFont="0" applyFill="0" applyBorder="0" applyProtection="0">
      <alignment horizontal="left" vertical="center" indent="2"/>
    </xf>
    <xf numFmtId="4" fontId="34" fillId="0" borderId="333" applyFill="0" applyBorder="0" applyProtection="0">
      <alignment horizontal="right" vertical="center"/>
    </xf>
    <xf numFmtId="49" fontId="33" fillId="0" borderId="333" applyNumberFormat="0" applyFill="0" applyBorder="0" applyProtection="0">
      <alignment horizontal="left" vertical="center"/>
    </xf>
    <xf numFmtId="0" fontId="34" fillId="0" borderId="336">
      <alignment horizontal="left" vertical="center" wrapText="1" indent="2"/>
    </xf>
    <xf numFmtId="0" fontId="62" fillId="56" borderId="329" applyNumberFormat="0" applyAlignment="0" applyProtection="0"/>
    <xf numFmtId="0" fontId="32" fillId="34" borderId="335">
      <alignment horizontal="right" vertical="center"/>
    </xf>
    <xf numFmtId="0" fontId="49" fillId="43" borderId="330" applyNumberFormat="0" applyAlignment="0" applyProtection="0"/>
    <xf numFmtId="0" fontId="32" fillId="34" borderId="335">
      <alignment horizontal="right" vertical="center"/>
    </xf>
    <xf numFmtId="4" fontId="32" fillId="34" borderId="333">
      <alignment horizontal="right" vertical="center"/>
    </xf>
    <xf numFmtId="0" fontId="32" fillId="34" borderId="333">
      <alignment horizontal="right" vertical="center"/>
    </xf>
    <xf numFmtId="0" fontId="43" fillId="56" borderId="329" applyNumberFormat="0" applyAlignment="0" applyProtection="0"/>
    <xf numFmtId="0" fontId="45" fillId="56" borderId="330" applyNumberFormat="0" applyAlignment="0" applyProtection="0"/>
    <xf numFmtId="0" fontId="50" fillId="0" borderId="331" applyNumberFormat="0" applyFill="0" applyAlignment="0" applyProtection="0"/>
    <xf numFmtId="0" fontId="34" fillId="33" borderId="333"/>
    <xf numFmtId="4" fontId="34" fillId="33" borderId="333"/>
    <xf numFmtId="4" fontId="32" fillId="34" borderId="333">
      <alignment horizontal="right" vertical="center"/>
    </xf>
    <xf numFmtId="0" fontId="36" fillId="32" borderId="333">
      <alignment horizontal="right" vertical="center"/>
    </xf>
    <xf numFmtId="0" fontId="49" fillId="43" borderId="330" applyNumberFormat="0" applyAlignment="0" applyProtection="0"/>
    <xf numFmtId="0" fontId="46" fillId="56" borderId="330" applyNumberFormat="0" applyAlignment="0" applyProtection="0"/>
    <xf numFmtId="4" fontId="34" fillId="0" borderId="333">
      <alignment horizontal="right" vertical="center"/>
    </xf>
    <xf numFmtId="0" fontId="34" fillId="34" borderId="336">
      <alignment horizontal="left" vertical="center" wrapText="1" indent="2"/>
    </xf>
    <xf numFmtId="0" fontId="34" fillId="0" borderId="336">
      <alignment horizontal="left" vertical="center" wrapText="1" indent="2"/>
    </xf>
    <xf numFmtId="0" fontId="62" fillId="56" borderId="329" applyNumberFormat="0" applyAlignment="0" applyProtection="0"/>
    <xf numFmtId="0" fontId="58" fillId="43" borderId="330" applyNumberFormat="0" applyAlignment="0" applyProtection="0"/>
    <xf numFmtId="0" fontId="45" fillId="56" borderId="330" applyNumberFormat="0" applyAlignment="0" applyProtection="0"/>
    <xf numFmtId="0" fontId="43" fillId="56" borderId="329" applyNumberFormat="0" applyAlignment="0" applyProtection="0"/>
    <xf numFmtId="0" fontId="32" fillId="34" borderId="335">
      <alignment horizontal="right" vertical="center"/>
    </xf>
    <xf numFmtId="0" fontId="36" fillId="32" borderId="333">
      <alignment horizontal="right" vertical="center"/>
    </xf>
    <xf numFmtId="4" fontId="32" fillId="32" borderId="333">
      <alignment horizontal="right" vertical="center"/>
    </xf>
    <xf numFmtId="4" fontId="32" fillId="34" borderId="333">
      <alignment horizontal="right" vertical="center"/>
    </xf>
    <xf numFmtId="49" fontId="34" fillId="0" borderId="334" applyNumberFormat="0" applyFont="0" applyFill="0" applyBorder="0" applyProtection="0">
      <alignment horizontal="left" vertical="center" indent="5"/>
    </xf>
    <xf numFmtId="4" fontId="34" fillId="0" borderId="333" applyFill="0" applyBorder="0" applyProtection="0">
      <alignment horizontal="right" vertical="center"/>
    </xf>
    <xf numFmtId="4" fontId="32" fillId="32" borderId="333">
      <alignment horizontal="right" vertical="center"/>
    </xf>
    <xf numFmtId="0" fontId="65" fillId="0" borderId="339" applyNumberFormat="0" applyFill="0" applyAlignment="0" applyProtection="0"/>
    <xf numFmtId="0" fontId="58" fillId="43" borderId="330" applyNumberFormat="0" applyAlignment="0" applyProtection="0"/>
    <xf numFmtId="0" fontId="49" fillId="43" borderId="330" applyNumberFormat="0" applyAlignment="0" applyProtection="0"/>
    <xf numFmtId="0" fontId="45" fillId="56" borderId="330" applyNumberFormat="0" applyAlignment="0" applyProtection="0"/>
    <xf numFmtId="0" fontId="34" fillId="34" borderId="336">
      <alignment horizontal="left" vertical="center" wrapText="1" indent="2"/>
    </xf>
    <xf numFmtId="0" fontId="34" fillId="0" borderId="336">
      <alignment horizontal="left" vertical="center" wrapText="1" indent="2"/>
    </xf>
    <xf numFmtId="0" fontId="34" fillId="34" borderId="336">
      <alignment horizontal="left" vertical="center" wrapText="1" indent="2"/>
    </xf>
    <xf numFmtId="0" fontId="34" fillId="0" borderId="336">
      <alignment horizontal="left" vertical="center" wrapText="1" indent="2"/>
    </xf>
    <xf numFmtId="0" fontId="43" fillId="56" borderId="329" applyNumberFormat="0" applyAlignment="0" applyProtection="0"/>
    <xf numFmtId="0" fontId="45" fillId="56" borderId="330" applyNumberFormat="0" applyAlignment="0" applyProtection="0"/>
    <xf numFmtId="0" fontId="46" fillId="56" borderId="330" applyNumberFormat="0" applyAlignment="0" applyProtection="0"/>
    <xf numFmtId="0" fontId="49" fillId="43" borderId="330" applyNumberFormat="0" applyAlignment="0" applyProtection="0"/>
    <xf numFmtId="0" fontId="50" fillId="0" borderId="331" applyNumberFormat="0" applyFill="0" applyAlignment="0" applyProtection="0"/>
    <xf numFmtId="0" fontId="58" fillId="43" borderId="330" applyNumberFormat="0" applyAlignment="0" applyProtection="0"/>
    <xf numFmtId="0" fontId="40" fillId="59" borderId="332" applyNumberFormat="0" applyFont="0" applyAlignment="0" applyProtection="0"/>
    <xf numFmtId="0" fontId="5" fillId="59" borderId="332" applyNumberFormat="0" applyFont="0" applyAlignment="0" applyProtection="0"/>
    <xf numFmtId="0" fontId="62" fillId="56" borderId="329" applyNumberFormat="0" applyAlignment="0" applyProtection="0"/>
    <xf numFmtId="0" fontId="65" fillId="0" borderId="331" applyNumberFormat="0" applyFill="0" applyAlignment="0" applyProtection="0"/>
    <xf numFmtId="0" fontId="46" fillId="56" borderId="330" applyNumberFormat="0" applyAlignment="0" applyProtection="0"/>
    <xf numFmtId="0" fontId="58" fillId="43" borderId="330" applyNumberFormat="0" applyAlignment="0" applyProtection="0"/>
    <xf numFmtId="0" fontId="40" fillId="59" borderId="332" applyNumberFormat="0" applyFont="0" applyAlignment="0" applyProtection="0"/>
    <xf numFmtId="0" fontId="62" fillId="56" borderId="329" applyNumberFormat="0" applyAlignment="0" applyProtection="0"/>
    <xf numFmtId="0" fontId="65" fillId="0" borderId="331" applyNumberFormat="0" applyFill="0" applyAlignment="0" applyProtection="0"/>
    <xf numFmtId="4" fontId="34" fillId="0" borderId="341">
      <alignment horizontal="right" vertical="center"/>
    </xf>
    <xf numFmtId="4" fontId="32" fillId="34" borderId="346">
      <alignment horizontal="right" vertical="center"/>
    </xf>
    <xf numFmtId="4" fontId="32" fillId="34" borderId="341">
      <alignment horizontal="right" vertical="center"/>
    </xf>
    <xf numFmtId="4" fontId="36" fillId="32" borderId="341">
      <alignment horizontal="right" vertical="center"/>
    </xf>
    <xf numFmtId="0" fontId="46" fillId="56" borderId="330" applyNumberFormat="0" applyAlignment="0" applyProtection="0"/>
    <xf numFmtId="0" fontId="58" fillId="43" borderId="351" applyNumberFormat="0" applyAlignment="0" applyProtection="0"/>
    <xf numFmtId="0" fontId="65" fillId="0" borderId="339" applyNumberFormat="0" applyFill="0" applyAlignment="0" applyProtection="0"/>
    <xf numFmtId="0" fontId="32" fillId="32" borderId="341">
      <alignment horizontal="right" vertical="center"/>
    </xf>
    <xf numFmtId="0" fontId="58" fillId="43" borderId="330" applyNumberFormat="0" applyAlignment="0" applyProtection="0"/>
    <xf numFmtId="0" fontId="62" fillId="56" borderId="329" applyNumberFormat="0" applyAlignment="0" applyProtection="0"/>
    <xf numFmtId="0" fontId="65" fillId="0" borderId="331" applyNumberFormat="0" applyFill="0" applyAlignment="0" applyProtection="0"/>
    <xf numFmtId="0" fontId="12" fillId="19" borderId="0" applyNumberFormat="0" applyBorder="0" applyAlignment="0" applyProtection="0"/>
    <xf numFmtId="0" fontId="43" fillId="56" borderId="329" applyNumberFormat="0" applyAlignment="0" applyProtection="0"/>
    <xf numFmtId="0" fontId="45" fillId="56" borderId="330" applyNumberFormat="0" applyAlignment="0" applyProtection="0"/>
    <xf numFmtId="0" fontId="50" fillId="0" borderId="331" applyNumberFormat="0" applyFill="0" applyAlignment="0" applyProtection="0"/>
    <xf numFmtId="49" fontId="34" fillId="0" borderId="333" applyNumberFormat="0" applyFont="0" applyFill="0" applyBorder="0" applyProtection="0">
      <alignment horizontal="left" vertical="center" indent="2"/>
    </xf>
    <xf numFmtId="0" fontId="32" fillId="32" borderId="333">
      <alignment horizontal="right" vertical="center"/>
    </xf>
    <xf numFmtId="4" fontId="32" fillId="32" borderId="333">
      <alignment horizontal="right" vertical="center"/>
    </xf>
    <xf numFmtId="0" fontId="36" fillId="32" borderId="333">
      <alignment horizontal="right" vertical="center"/>
    </xf>
    <xf numFmtId="4" fontId="36" fillId="32" borderId="333">
      <alignment horizontal="right" vertical="center"/>
    </xf>
    <xf numFmtId="0" fontId="32" fillId="34" borderId="333">
      <alignment horizontal="right" vertical="center"/>
    </xf>
    <xf numFmtId="4" fontId="32" fillId="34" borderId="333">
      <alignment horizontal="right" vertical="center"/>
    </xf>
    <xf numFmtId="0" fontId="32" fillId="34" borderId="333">
      <alignment horizontal="right" vertical="center"/>
    </xf>
    <xf numFmtId="4" fontId="32" fillId="34" borderId="333">
      <alignment horizontal="right" vertical="center"/>
    </xf>
    <xf numFmtId="0" fontId="49" fillId="43" borderId="330" applyNumberFormat="0" applyAlignment="0" applyProtection="0"/>
    <xf numFmtId="0" fontId="34" fillId="0" borderId="333">
      <alignment horizontal="right" vertical="center"/>
    </xf>
    <xf numFmtId="4" fontId="34" fillId="0" borderId="333">
      <alignment horizontal="right" vertical="center"/>
    </xf>
    <xf numFmtId="4" fontId="34" fillId="0" borderId="333" applyFill="0" applyBorder="0" applyProtection="0">
      <alignment horizontal="right" vertical="center"/>
    </xf>
    <xf numFmtId="49" fontId="33" fillId="0" borderId="333" applyNumberFormat="0" applyFill="0" applyBorder="0" applyProtection="0">
      <alignment horizontal="left" vertical="center"/>
    </xf>
    <xf numFmtId="0" fontId="34" fillId="0" borderId="333" applyNumberFormat="0" applyFill="0" applyAlignment="0" applyProtection="0"/>
    <xf numFmtId="173" fontId="34" fillId="60" borderId="333" applyNumberFormat="0" applyFont="0" applyBorder="0" applyAlignment="0" applyProtection="0">
      <alignment horizontal="right" vertical="center"/>
    </xf>
    <xf numFmtId="0" fontId="34" fillId="33" borderId="333"/>
    <xf numFmtId="4" fontId="34" fillId="33" borderId="333"/>
    <xf numFmtId="4" fontId="32" fillId="34" borderId="333">
      <alignment horizontal="right" vertical="center"/>
    </xf>
    <xf numFmtId="0" fontId="34" fillId="33" borderId="333"/>
    <xf numFmtId="0" fontId="45" fillId="56" borderId="330" applyNumberFormat="0" applyAlignment="0" applyProtection="0"/>
    <xf numFmtId="0" fontId="32" fillId="32" borderId="333">
      <alignment horizontal="right" vertical="center"/>
    </xf>
    <xf numFmtId="0" fontId="34" fillId="0" borderId="333">
      <alignment horizontal="right" vertical="center"/>
    </xf>
    <xf numFmtId="0" fontId="65" fillId="0" borderId="331" applyNumberFormat="0" applyFill="0" applyAlignment="0" applyProtection="0"/>
    <xf numFmtId="0" fontId="34" fillId="32" borderId="334">
      <alignment horizontal="left" vertical="center"/>
    </xf>
    <xf numFmtId="0" fontId="58" fillId="43" borderId="330" applyNumberFormat="0" applyAlignment="0" applyProtection="0"/>
    <xf numFmtId="173" fontId="34" fillId="60" borderId="333" applyNumberFormat="0" applyFont="0" applyBorder="0" applyAlignment="0" applyProtection="0">
      <alignment horizontal="right" vertical="center"/>
    </xf>
    <xf numFmtId="0" fontId="40" fillId="59" borderId="332" applyNumberFormat="0" applyFont="0" applyAlignment="0" applyProtection="0"/>
    <xf numFmtId="0" fontId="34" fillId="0" borderId="336">
      <alignment horizontal="left" vertical="center" wrapText="1" indent="2"/>
    </xf>
    <xf numFmtId="4" fontId="34" fillId="33" borderId="333"/>
    <xf numFmtId="49" fontId="33" fillId="0" borderId="333" applyNumberFormat="0" applyFill="0" applyBorder="0" applyProtection="0">
      <alignment horizontal="left" vertical="center"/>
    </xf>
    <xf numFmtId="0" fontId="34" fillId="0" borderId="333">
      <alignment horizontal="right" vertical="center"/>
    </xf>
    <xf numFmtId="4" fontId="32" fillId="34" borderId="335">
      <alignment horizontal="right" vertical="center"/>
    </xf>
    <xf numFmtId="4" fontId="32" fillId="34" borderId="333">
      <alignment horizontal="right" vertical="center"/>
    </xf>
    <xf numFmtId="4" fontId="32" fillId="34" borderId="333">
      <alignment horizontal="right" vertical="center"/>
    </xf>
    <xf numFmtId="0" fontId="36" fillId="32" borderId="333">
      <alignment horizontal="right" vertical="center"/>
    </xf>
    <xf numFmtId="0" fontId="32" fillId="32" borderId="333">
      <alignment horizontal="right" vertical="center"/>
    </xf>
    <xf numFmtId="49" fontId="34" fillId="0" borderId="333" applyNumberFormat="0" applyFont="0" applyFill="0" applyBorder="0" applyProtection="0">
      <alignment horizontal="left" vertical="center" indent="2"/>
    </xf>
    <xf numFmtId="0" fontId="58" fillId="43" borderId="330" applyNumberFormat="0" applyAlignment="0" applyProtection="0"/>
    <xf numFmtId="0" fontId="43" fillId="56" borderId="329" applyNumberFormat="0" applyAlignment="0" applyProtection="0"/>
    <xf numFmtId="49" fontId="34" fillId="0" borderId="333" applyNumberFormat="0" applyFont="0" applyFill="0" applyBorder="0" applyProtection="0">
      <alignment horizontal="left" vertical="center" indent="2"/>
    </xf>
    <xf numFmtId="0" fontId="49" fillId="43" borderId="330" applyNumberFormat="0" applyAlignment="0" applyProtection="0"/>
    <xf numFmtId="4" fontId="34" fillId="0" borderId="333" applyFill="0" applyBorder="0" applyProtection="0">
      <alignment horizontal="right" vertical="center"/>
    </xf>
    <xf numFmtId="0" fontId="46" fillId="56" borderId="330" applyNumberFormat="0" applyAlignment="0" applyProtection="0"/>
    <xf numFmtId="0" fontId="65" fillId="0" borderId="331" applyNumberFormat="0" applyFill="0" applyAlignment="0" applyProtection="0"/>
    <xf numFmtId="0" fontId="62" fillId="56" borderId="329" applyNumberFormat="0" applyAlignment="0" applyProtection="0"/>
    <xf numFmtId="0" fontId="34" fillId="0" borderId="333" applyNumberFormat="0" applyFill="0" applyAlignment="0" applyProtection="0"/>
    <xf numFmtId="4" fontId="34" fillId="0" borderId="333">
      <alignment horizontal="right" vertical="center"/>
    </xf>
    <xf numFmtId="0" fontId="34" fillId="0" borderId="333">
      <alignment horizontal="right" vertical="center"/>
    </xf>
    <xf numFmtId="0" fontId="58" fillId="43" borderId="330" applyNumberFormat="0" applyAlignment="0" applyProtection="0"/>
    <xf numFmtId="0" fontId="43" fillId="56" borderId="329" applyNumberFormat="0" applyAlignment="0" applyProtection="0"/>
    <xf numFmtId="0" fontId="45" fillId="56" borderId="330" applyNumberFormat="0" applyAlignment="0" applyProtection="0"/>
    <xf numFmtId="0" fontId="34" fillId="34" borderId="336">
      <alignment horizontal="left" vertical="center" wrapText="1" indent="2"/>
    </xf>
    <xf numFmtId="0" fontId="46" fillId="56" borderId="330" applyNumberFormat="0" applyAlignment="0" applyProtection="0"/>
    <xf numFmtId="0" fontId="46" fillId="56" borderId="330" applyNumberFormat="0" applyAlignment="0" applyProtection="0"/>
    <xf numFmtId="4" fontId="32" fillId="34" borderId="334">
      <alignment horizontal="right" vertical="center"/>
    </xf>
    <xf numFmtId="0" fontId="32" fillId="34" borderId="334">
      <alignment horizontal="right" vertical="center"/>
    </xf>
    <xf numFmtId="0" fontId="32" fillId="34" borderId="333">
      <alignment horizontal="right" vertical="center"/>
    </xf>
    <xf numFmtId="4" fontId="36" fillId="32" borderId="333">
      <alignment horizontal="right" vertical="center"/>
    </xf>
    <xf numFmtId="0" fontId="49" fillId="43" borderId="330" applyNumberFormat="0" applyAlignment="0" applyProtection="0"/>
    <xf numFmtId="0" fontId="50" fillId="0" borderId="331" applyNumberFormat="0" applyFill="0" applyAlignment="0" applyProtection="0"/>
    <xf numFmtId="0" fontId="65" fillId="0" borderId="331" applyNumberFormat="0" applyFill="0" applyAlignment="0" applyProtection="0"/>
    <xf numFmtId="0" fontId="40" fillId="59" borderId="332" applyNumberFormat="0" applyFont="0" applyAlignment="0" applyProtection="0"/>
    <xf numFmtId="0" fontId="58" fillId="43" borderId="330" applyNumberFormat="0" applyAlignment="0" applyProtection="0"/>
    <xf numFmtId="49" fontId="33" fillId="0" borderId="333" applyNumberFormat="0" applyFill="0" applyBorder="0" applyProtection="0">
      <alignment horizontal="left" vertical="center"/>
    </xf>
    <xf numFmtId="0" fontId="34" fillId="34" borderId="336">
      <alignment horizontal="left" vertical="center" wrapText="1" indent="2"/>
    </xf>
    <xf numFmtId="0" fontId="46" fillId="56" borderId="330" applyNumberFormat="0" applyAlignment="0" applyProtection="0"/>
    <xf numFmtId="0" fontId="34" fillId="0" borderId="336">
      <alignment horizontal="left" vertical="center" wrapText="1" indent="2"/>
    </xf>
    <xf numFmtId="0" fontId="40" fillId="59" borderId="332" applyNumberFormat="0" applyFont="0" applyAlignment="0" applyProtection="0"/>
    <xf numFmtId="0" fontId="5" fillId="59" borderId="332" applyNumberFormat="0" applyFont="0" applyAlignment="0" applyProtection="0"/>
    <xf numFmtId="0" fontId="62" fillId="56" borderId="329" applyNumberFormat="0" applyAlignment="0" applyProtection="0"/>
    <xf numFmtId="0" fontId="65" fillId="0" borderId="331" applyNumberFormat="0" applyFill="0" applyAlignment="0" applyProtection="0"/>
    <xf numFmtId="4" fontId="34" fillId="33" borderId="333"/>
    <xf numFmtId="0" fontId="32" fillId="34" borderId="333">
      <alignment horizontal="right" vertical="center"/>
    </xf>
    <xf numFmtId="0" fontId="65" fillId="0" borderId="331" applyNumberFormat="0" applyFill="0" applyAlignment="0" applyProtection="0"/>
    <xf numFmtId="4" fontId="32" fillId="34" borderId="335">
      <alignment horizontal="right" vertical="center"/>
    </xf>
    <xf numFmtId="0" fontId="45" fillId="56" borderId="330" applyNumberFormat="0" applyAlignment="0" applyProtection="0"/>
    <xf numFmtId="0" fontId="32" fillId="34" borderId="334">
      <alignment horizontal="right" vertical="center"/>
    </xf>
    <xf numFmtId="0" fontId="46" fillId="56" borderId="330" applyNumberFormat="0" applyAlignment="0" applyProtection="0"/>
    <xf numFmtId="0" fontId="50" fillId="0" borderId="331" applyNumberFormat="0" applyFill="0" applyAlignment="0" applyProtection="0"/>
    <xf numFmtId="0" fontId="40" fillId="59" borderId="332" applyNumberFormat="0" applyFont="0" applyAlignment="0" applyProtection="0"/>
    <xf numFmtId="4" fontId="32" fillId="34" borderId="334">
      <alignment horizontal="right" vertical="center"/>
    </xf>
    <xf numFmtId="0" fontId="34" fillId="34" borderId="336">
      <alignment horizontal="left" vertical="center" wrapText="1" indent="2"/>
    </xf>
    <xf numFmtId="0" fontId="34" fillId="33" borderId="333"/>
    <xf numFmtId="173" fontId="34" fillId="60" borderId="333" applyNumberFormat="0" applyFont="0" applyBorder="0" applyAlignment="0" applyProtection="0">
      <alignment horizontal="right" vertical="center"/>
    </xf>
    <xf numFmtId="0" fontId="34" fillId="0" borderId="333" applyNumberFormat="0" applyFill="0" applyAlignment="0" applyProtection="0"/>
    <xf numFmtId="4" fontId="34" fillId="0" borderId="333" applyFill="0" applyBorder="0" applyProtection="0">
      <alignment horizontal="right" vertical="center"/>
    </xf>
    <xf numFmtId="4" fontId="32" fillId="32" borderId="333">
      <alignment horizontal="right" vertical="center"/>
    </xf>
    <xf numFmtId="0" fontId="50" fillId="0" borderId="331" applyNumberFormat="0" applyFill="0" applyAlignment="0" applyProtection="0"/>
    <xf numFmtId="49" fontId="33" fillId="0" borderId="333" applyNumberFormat="0" applyFill="0" applyBorder="0" applyProtection="0">
      <alignment horizontal="left" vertical="center"/>
    </xf>
    <xf numFmtId="49" fontId="34" fillId="0" borderId="334" applyNumberFormat="0" applyFont="0" applyFill="0" applyBorder="0" applyProtection="0">
      <alignment horizontal="left" vertical="center" indent="5"/>
    </xf>
    <xf numFmtId="0" fontId="34" fillId="32" borderId="334">
      <alignment horizontal="left" vertical="center"/>
    </xf>
    <xf numFmtId="0" fontId="46" fillId="56" borderId="330" applyNumberFormat="0" applyAlignment="0" applyProtection="0"/>
    <xf numFmtId="4" fontId="32" fillId="34" borderId="335">
      <alignment horizontal="right" vertical="center"/>
    </xf>
    <xf numFmtId="0" fontId="58" fillId="43" borderId="330" applyNumberFormat="0" applyAlignment="0" applyProtection="0"/>
    <xf numFmtId="0" fontId="58" fillId="43" borderId="330" applyNumberFormat="0" applyAlignment="0" applyProtection="0"/>
    <xf numFmtId="0" fontId="40" fillId="59" borderId="332" applyNumberFormat="0" applyFont="0" applyAlignment="0" applyProtection="0"/>
    <xf numFmtId="0" fontId="62" fillId="56" borderId="329" applyNumberFormat="0" applyAlignment="0" applyProtection="0"/>
    <xf numFmtId="0" fontId="65" fillId="0" borderId="331" applyNumberFormat="0" applyFill="0" applyAlignment="0" applyProtection="0"/>
    <xf numFmtId="0" fontId="32" fillId="34" borderId="333">
      <alignment horizontal="right" vertical="center"/>
    </xf>
    <xf numFmtId="0" fontId="5" fillId="59" borderId="332" applyNumberFormat="0" applyFont="0" applyAlignment="0" applyProtection="0"/>
    <xf numFmtId="4" fontId="34" fillId="0" borderId="333">
      <alignment horizontal="right" vertical="center"/>
    </xf>
    <xf numFmtId="0" fontId="65" fillId="0" borderId="331" applyNumberFormat="0" applyFill="0" applyAlignment="0" applyProtection="0"/>
    <xf numFmtId="0" fontId="32" fillId="34" borderId="333">
      <alignment horizontal="right" vertical="center"/>
    </xf>
    <xf numFmtId="0" fontId="32" fillId="34" borderId="333">
      <alignment horizontal="right" vertical="center"/>
    </xf>
    <xf numFmtId="4" fontId="36" fillId="32" borderId="333">
      <alignment horizontal="right" vertical="center"/>
    </xf>
    <xf numFmtId="0" fontId="32" fillId="32" borderId="333">
      <alignment horizontal="right" vertical="center"/>
    </xf>
    <xf numFmtId="4" fontId="32" fillId="32" borderId="333">
      <alignment horizontal="right" vertical="center"/>
    </xf>
    <xf numFmtId="0" fontId="36" fillId="32" borderId="333">
      <alignment horizontal="right" vertical="center"/>
    </xf>
    <xf numFmtId="4" fontId="36" fillId="32" borderId="333">
      <alignment horizontal="right" vertical="center"/>
    </xf>
    <xf numFmtId="0" fontId="32" fillId="34" borderId="333">
      <alignment horizontal="right" vertical="center"/>
    </xf>
    <xf numFmtId="4" fontId="32" fillId="34" borderId="333">
      <alignment horizontal="right" vertical="center"/>
    </xf>
    <xf numFmtId="0" fontId="32" fillId="34" borderId="333">
      <alignment horizontal="right" vertical="center"/>
    </xf>
    <xf numFmtId="4" fontId="32" fillId="34" borderId="333">
      <alignment horizontal="right" vertical="center"/>
    </xf>
    <xf numFmtId="0" fontId="32" fillId="34" borderId="334">
      <alignment horizontal="right" vertical="center"/>
    </xf>
    <xf numFmtId="4" fontId="32" fillId="34" borderId="334">
      <alignment horizontal="right" vertical="center"/>
    </xf>
    <xf numFmtId="0" fontId="32" fillId="34" borderId="335">
      <alignment horizontal="right" vertical="center"/>
    </xf>
    <xf numFmtId="4" fontId="32" fillId="34" borderId="335">
      <alignment horizontal="right" vertical="center"/>
    </xf>
    <xf numFmtId="0" fontId="46" fillId="56" borderId="330" applyNumberFormat="0" applyAlignment="0" applyProtection="0"/>
    <xf numFmtId="0" fontId="34" fillId="34" borderId="336">
      <alignment horizontal="left" vertical="center" wrapText="1" indent="2"/>
    </xf>
    <xf numFmtId="0" fontId="34" fillId="0" borderId="336">
      <alignment horizontal="left" vertical="center" wrapText="1" indent="2"/>
    </xf>
    <xf numFmtId="0" fontId="34" fillId="32" borderId="334">
      <alignment horizontal="left" vertical="center"/>
    </xf>
    <xf numFmtId="0" fontId="58" fillId="43" borderId="330" applyNumberFormat="0" applyAlignment="0" applyProtection="0"/>
    <xf numFmtId="0" fontId="34" fillId="0" borderId="333">
      <alignment horizontal="right" vertical="center"/>
    </xf>
    <xf numFmtId="4" fontId="34" fillId="0" borderId="333">
      <alignment horizontal="right" vertical="center"/>
    </xf>
    <xf numFmtId="0" fontId="34" fillId="0" borderId="333" applyNumberFormat="0" applyFill="0" applyAlignment="0" applyProtection="0"/>
    <xf numFmtId="0" fontId="62" fillId="56" borderId="329" applyNumberFormat="0" applyAlignment="0" applyProtection="0"/>
    <xf numFmtId="173" fontId="34" fillId="60" borderId="333" applyNumberFormat="0" applyFont="0" applyBorder="0" applyAlignment="0" applyProtection="0">
      <alignment horizontal="right" vertical="center"/>
    </xf>
    <xf numFmtId="0" fontId="34" fillId="33" borderId="333"/>
    <xf numFmtId="4" fontId="34" fillId="33" borderId="333"/>
    <xf numFmtId="0" fontId="65" fillId="0" borderId="331" applyNumberFormat="0" applyFill="0" applyAlignment="0" applyProtection="0"/>
    <xf numFmtId="0" fontId="5" fillId="59" borderId="332" applyNumberFormat="0" applyFont="0" applyAlignment="0" applyProtection="0"/>
    <xf numFmtId="0" fontId="40" fillId="59" borderId="332" applyNumberFormat="0" applyFont="0" applyAlignment="0" applyProtection="0"/>
    <xf numFmtId="0" fontId="34" fillId="0" borderId="333" applyNumberFormat="0" applyFill="0" applyAlignment="0" applyProtection="0"/>
    <xf numFmtId="0" fontId="50" fillId="0" borderId="331" applyNumberFormat="0" applyFill="0" applyAlignment="0" applyProtection="0"/>
    <xf numFmtId="0" fontId="65" fillId="0" borderId="331" applyNumberFormat="0" applyFill="0" applyAlignment="0" applyProtection="0"/>
    <xf numFmtId="0" fontId="49" fillId="43" borderId="330" applyNumberFormat="0" applyAlignment="0" applyProtection="0"/>
    <xf numFmtId="0" fontId="46" fillId="56" borderId="330" applyNumberFormat="0" applyAlignment="0" applyProtection="0"/>
    <xf numFmtId="4" fontId="36" fillId="32" borderId="333">
      <alignment horizontal="right" vertical="center"/>
    </xf>
    <xf numFmtId="0" fontId="32" fillId="32" borderId="333">
      <alignment horizontal="right" vertical="center"/>
    </xf>
    <xf numFmtId="173" fontId="34" fillId="60" borderId="333" applyNumberFormat="0" applyFont="0" applyBorder="0" applyAlignment="0" applyProtection="0">
      <alignment horizontal="right" vertical="center"/>
    </xf>
    <xf numFmtId="0" fontId="50" fillId="0" borderId="331" applyNumberFormat="0" applyFill="0" applyAlignment="0" applyProtection="0"/>
    <xf numFmtId="49" fontId="34" fillId="0" borderId="333" applyNumberFormat="0" applyFont="0" applyFill="0" applyBorder="0" applyProtection="0">
      <alignment horizontal="left" vertical="center" indent="2"/>
    </xf>
    <xf numFmtId="49" fontId="34" fillId="0" borderId="334" applyNumberFormat="0" applyFont="0" applyFill="0" applyBorder="0" applyProtection="0">
      <alignment horizontal="left" vertical="center" indent="5"/>
    </xf>
    <xf numFmtId="49" fontId="34" fillId="0" borderId="333" applyNumberFormat="0" applyFont="0" applyFill="0" applyBorder="0" applyProtection="0">
      <alignment horizontal="left" vertical="center" indent="2"/>
    </xf>
    <xf numFmtId="4" fontId="34" fillId="0" borderId="333" applyFill="0" applyBorder="0" applyProtection="0">
      <alignment horizontal="right" vertical="center"/>
    </xf>
    <xf numFmtId="49" fontId="33" fillId="0" borderId="333" applyNumberFormat="0" applyFill="0" applyBorder="0" applyProtection="0">
      <alignment horizontal="left" vertical="center"/>
    </xf>
    <xf numFmtId="0" fontId="34" fillId="0" borderId="336">
      <alignment horizontal="left" vertical="center" wrapText="1" indent="2"/>
    </xf>
    <xf numFmtId="0" fontId="62" fillId="56" borderId="329" applyNumberFormat="0" applyAlignment="0" applyProtection="0"/>
    <xf numFmtId="0" fontId="32" fillId="34" borderId="335">
      <alignment horizontal="right" vertical="center"/>
    </xf>
    <xf numFmtId="0" fontId="49" fillId="43" borderId="330" applyNumberFormat="0" applyAlignment="0" applyProtection="0"/>
    <xf numFmtId="0" fontId="32" fillId="34" borderId="335">
      <alignment horizontal="right" vertical="center"/>
    </xf>
    <xf numFmtId="4" fontId="32" fillId="34" borderId="333">
      <alignment horizontal="right" vertical="center"/>
    </xf>
    <xf numFmtId="0" fontId="32" fillId="34" borderId="333">
      <alignment horizontal="right" vertical="center"/>
    </xf>
    <xf numFmtId="0" fontId="43" fillId="56" borderId="329" applyNumberFormat="0" applyAlignment="0" applyProtection="0"/>
    <xf numFmtId="0" fontId="45" fillId="56" borderId="330" applyNumberFormat="0" applyAlignment="0" applyProtection="0"/>
    <xf numFmtId="0" fontId="50" fillId="0" borderId="331" applyNumberFormat="0" applyFill="0" applyAlignment="0" applyProtection="0"/>
    <xf numFmtId="0" fontId="34" fillId="33" borderId="333"/>
    <xf numFmtId="4" fontId="34" fillId="33" borderId="333"/>
    <xf numFmtId="4" fontId="32" fillId="34" borderId="333">
      <alignment horizontal="right" vertical="center"/>
    </xf>
    <xf numFmtId="0" fontId="36" fillId="32" borderId="333">
      <alignment horizontal="right" vertical="center"/>
    </xf>
    <xf numFmtId="0" fontId="49" fillId="43" borderId="330" applyNumberFormat="0" applyAlignment="0" applyProtection="0"/>
    <xf numFmtId="0" fontId="46" fillId="56" borderId="330" applyNumberFormat="0" applyAlignment="0" applyProtection="0"/>
    <xf numFmtId="4" fontId="34" fillId="0" borderId="333">
      <alignment horizontal="right" vertical="center"/>
    </xf>
    <xf numFmtId="0" fontId="34" fillId="34" borderId="336">
      <alignment horizontal="left" vertical="center" wrapText="1" indent="2"/>
    </xf>
    <xf numFmtId="0" fontId="34" fillId="0" borderId="336">
      <alignment horizontal="left" vertical="center" wrapText="1" indent="2"/>
    </xf>
    <xf numFmtId="0" fontId="62" fillId="56" borderId="329" applyNumberFormat="0" applyAlignment="0" applyProtection="0"/>
    <xf numFmtId="0" fontId="58" fillId="43" borderId="330" applyNumberFormat="0" applyAlignment="0" applyProtection="0"/>
    <xf numFmtId="0" fontId="45" fillId="56" borderId="330" applyNumberFormat="0" applyAlignment="0" applyProtection="0"/>
    <xf numFmtId="0" fontId="43" fillId="56" borderId="329" applyNumberFormat="0" applyAlignment="0" applyProtection="0"/>
    <xf numFmtId="0" fontId="32" fillId="34" borderId="335">
      <alignment horizontal="right" vertical="center"/>
    </xf>
    <xf numFmtId="0" fontId="36" fillId="32" borderId="333">
      <alignment horizontal="right" vertical="center"/>
    </xf>
    <xf numFmtId="4" fontId="32" fillId="32" borderId="333">
      <alignment horizontal="right" vertical="center"/>
    </xf>
    <xf numFmtId="4" fontId="32" fillId="34" borderId="333">
      <alignment horizontal="right" vertical="center"/>
    </xf>
    <xf numFmtId="49" fontId="34" fillId="0" borderId="334" applyNumberFormat="0" applyFont="0" applyFill="0" applyBorder="0" applyProtection="0">
      <alignment horizontal="left" vertical="center" indent="5"/>
    </xf>
    <xf numFmtId="4" fontId="34" fillId="0" borderId="333" applyFill="0" applyBorder="0" applyProtection="0">
      <alignment horizontal="right" vertical="center"/>
    </xf>
    <xf numFmtId="4" fontId="32" fillId="32" borderId="333">
      <alignment horizontal="right" vertical="center"/>
    </xf>
    <xf numFmtId="0" fontId="58" fillId="43" borderId="330" applyNumberFormat="0" applyAlignment="0" applyProtection="0"/>
    <xf numFmtId="0" fontId="49" fillId="43" borderId="330" applyNumberFormat="0" applyAlignment="0" applyProtection="0"/>
    <xf numFmtId="0" fontId="45" fillId="56" borderId="330" applyNumberFormat="0" applyAlignment="0" applyProtection="0"/>
    <xf numFmtId="0" fontId="34" fillId="34" borderId="336">
      <alignment horizontal="left" vertical="center" wrapText="1" indent="2"/>
    </xf>
    <xf numFmtId="0" fontId="34" fillId="0" borderId="336">
      <alignment horizontal="left" vertical="center" wrapText="1" indent="2"/>
    </xf>
    <xf numFmtId="0" fontId="34" fillId="34" borderId="336">
      <alignment horizontal="left" vertical="center" wrapText="1" indent="2"/>
    </xf>
    <xf numFmtId="4" fontId="32" fillId="32" borderId="341">
      <alignment horizontal="right" vertical="center"/>
    </xf>
    <xf numFmtId="0" fontId="29" fillId="13" borderId="13" applyNumberFormat="0" applyAlignment="0" applyProtection="0"/>
    <xf numFmtId="0" fontId="65" fillId="0" borderId="339" applyNumberFormat="0" applyFill="0" applyAlignment="0" applyProtection="0"/>
    <xf numFmtId="0" fontId="40" fillId="59" borderId="340" applyNumberFormat="0" applyFont="0" applyAlignment="0" applyProtection="0"/>
    <xf numFmtId="4" fontId="32" fillId="34" borderId="334">
      <alignment horizontal="right" vertical="center"/>
    </xf>
    <xf numFmtId="0" fontId="43" fillId="56" borderId="350" applyNumberFormat="0" applyAlignment="0" applyProtection="0"/>
    <xf numFmtId="0" fontId="32" fillId="34" borderId="346">
      <alignment horizontal="right" vertical="center"/>
    </xf>
    <xf numFmtId="0" fontId="49" fillId="43" borderId="338" applyNumberFormat="0" applyAlignment="0" applyProtection="0"/>
    <xf numFmtId="0" fontId="46" fillId="56" borderId="338" applyNumberFormat="0" applyAlignment="0" applyProtection="0"/>
    <xf numFmtId="0" fontId="32" fillId="34" borderId="346">
      <alignment horizontal="right" vertical="center"/>
    </xf>
    <xf numFmtId="0" fontId="34" fillId="32" borderId="334">
      <alignment horizontal="left" vertical="center"/>
    </xf>
    <xf numFmtId="0" fontId="32" fillId="34" borderId="341">
      <alignment horizontal="right" vertical="center"/>
    </xf>
    <xf numFmtId="4" fontId="34" fillId="33" borderId="341"/>
    <xf numFmtId="0" fontId="26" fillId="15" borderId="0" applyNumberFormat="0" applyBorder="0" applyAlignment="0" applyProtection="0"/>
    <xf numFmtId="0" fontId="32" fillId="34" borderId="346">
      <alignment horizontal="right" vertical="center"/>
    </xf>
    <xf numFmtId="0" fontId="46" fillId="56" borderId="338" applyNumberFormat="0" applyAlignment="0" applyProtection="0"/>
    <xf numFmtId="0" fontId="46" fillId="56" borderId="338" applyNumberFormat="0" applyAlignment="0" applyProtection="0"/>
    <xf numFmtId="0" fontId="32" fillId="34" borderId="341">
      <alignment horizontal="right" vertical="center"/>
    </xf>
    <xf numFmtId="0" fontId="34" fillId="34" borderId="344">
      <alignment horizontal="left" vertical="center" wrapText="1" indent="2"/>
    </xf>
    <xf numFmtId="0" fontId="46" fillId="56" borderId="351" applyNumberFormat="0" applyAlignment="0" applyProtection="0"/>
    <xf numFmtId="0" fontId="58" fillId="43" borderId="338" applyNumberFormat="0" applyAlignment="0" applyProtection="0"/>
    <xf numFmtId="0" fontId="26" fillId="30" borderId="0" applyNumberFormat="0" applyBorder="0" applyAlignment="0" applyProtection="0"/>
    <xf numFmtId="0" fontId="49" fillId="43" borderId="351" applyNumberFormat="0" applyAlignment="0" applyProtection="0"/>
    <xf numFmtId="0" fontId="58" fillId="43" borderId="338" applyNumberFormat="0" applyAlignment="0" applyProtection="0"/>
    <xf numFmtId="0" fontId="40" fillId="59" borderId="340" applyNumberFormat="0" applyFont="0" applyAlignment="0" applyProtection="0"/>
    <xf numFmtId="0" fontId="32" fillId="34" borderId="346">
      <alignment horizontal="right" vertical="center"/>
    </xf>
    <xf numFmtId="0" fontId="12" fillId="19" borderId="0" applyNumberFormat="0" applyBorder="0" applyAlignment="0" applyProtection="0"/>
    <xf numFmtId="0" fontId="34" fillId="0" borderId="341">
      <alignment horizontal="right" vertical="center"/>
    </xf>
    <xf numFmtId="0" fontId="40" fillId="59" borderId="345" applyNumberFormat="0" applyFont="0" applyAlignment="0" applyProtection="0"/>
    <xf numFmtId="0" fontId="36" fillId="32" borderId="341">
      <alignment horizontal="right" vertical="center"/>
    </xf>
    <xf numFmtId="0" fontId="43" fillId="56" borderId="337" applyNumberFormat="0" applyAlignment="0" applyProtection="0"/>
    <xf numFmtId="0" fontId="36" fillId="32" borderId="346">
      <alignment horizontal="right" vertical="center"/>
    </xf>
    <xf numFmtId="0" fontId="50" fillId="0" borderId="339" applyNumberFormat="0" applyFill="0" applyAlignment="0" applyProtection="0"/>
    <xf numFmtId="0" fontId="34" fillId="32" borderId="342">
      <alignment horizontal="left" vertical="center"/>
    </xf>
    <xf numFmtId="0" fontId="12" fillId="25" borderId="0" applyNumberFormat="0" applyBorder="0" applyAlignment="0" applyProtection="0"/>
    <xf numFmtId="0" fontId="58" fillId="43" borderId="338" applyNumberFormat="0" applyAlignment="0" applyProtection="0"/>
    <xf numFmtId="0" fontId="40" fillId="59" borderId="340" applyNumberFormat="0" applyFont="0" applyAlignment="0" applyProtection="0"/>
    <xf numFmtId="0" fontId="26" fillId="27" borderId="0" applyNumberFormat="0" applyBorder="0" applyAlignment="0" applyProtection="0"/>
    <xf numFmtId="0" fontId="26" fillId="18" borderId="0" applyNumberFormat="0" applyBorder="0" applyAlignment="0" applyProtection="0"/>
    <xf numFmtId="0" fontId="50" fillId="0" borderId="339" applyNumberFormat="0" applyFill="0" applyAlignment="0" applyProtection="0"/>
    <xf numFmtId="49" fontId="34" fillId="0" borderId="341" applyNumberFormat="0" applyFont="0" applyFill="0" applyBorder="0" applyProtection="0">
      <alignment horizontal="left" vertical="center" indent="2"/>
    </xf>
    <xf numFmtId="0" fontId="46" fillId="56" borderId="338" applyNumberFormat="0" applyAlignment="0" applyProtection="0"/>
    <xf numFmtId="0" fontId="34" fillId="0" borderId="344">
      <alignment horizontal="left" vertical="center" wrapText="1" indent="2"/>
    </xf>
    <xf numFmtId="4" fontId="32" fillId="34" borderId="346">
      <alignment horizontal="right" vertical="center"/>
    </xf>
    <xf numFmtId="0" fontId="34" fillId="34" borderId="344">
      <alignment horizontal="left" vertical="center" wrapText="1" indent="2"/>
    </xf>
    <xf numFmtId="4" fontId="34" fillId="0" borderId="341" applyFill="0" applyBorder="0" applyProtection="0">
      <alignment horizontal="right" vertical="center"/>
    </xf>
    <xf numFmtId="0" fontId="40" fillId="59" borderId="345" applyNumberFormat="0" applyFont="0" applyAlignment="0" applyProtection="0"/>
    <xf numFmtId="0" fontId="32" fillId="34" borderId="341">
      <alignment horizontal="right" vertical="center"/>
    </xf>
    <xf numFmtId="0" fontId="32" fillId="34" borderId="341">
      <alignment horizontal="right" vertical="center"/>
    </xf>
    <xf numFmtId="0" fontId="49" fillId="43" borderId="338" applyNumberFormat="0" applyAlignment="0" applyProtection="0"/>
    <xf numFmtId="0" fontId="34" fillId="0" borderId="349">
      <alignment horizontal="left" vertical="center" wrapText="1" indent="2"/>
    </xf>
    <xf numFmtId="4" fontId="36" fillId="32" borderId="341">
      <alignment horizontal="right" vertical="center"/>
    </xf>
    <xf numFmtId="0" fontId="26" fillId="21" borderId="0" applyNumberFormat="0" applyBorder="0" applyAlignment="0" applyProtection="0"/>
    <xf numFmtId="0" fontId="2" fillId="0" borderId="15" applyNumberFormat="0" applyFill="0" applyAlignment="0" applyProtection="0"/>
    <xf numFmtId="0" fontId="65" fillId="0" borderId="339" applyNumberFormat="0" applyFill="0" applyAlignment="0" applyProtection="0"/>
    <xf numFmtId="4" fontId="32" fillId="34" borderId="348">
      <alignment horizontal="right" vertical="center"/>
    </xf>
    <xf numFmtId="49" fontId="33" fillId="0" borderId="341" applyNumberFormat="0" applyFill="0" applyBorder="0" applyProtection="0">
      <alignment horizontal="left" vertical="center"/>
    </xf>
    <xf numFmtId="0" fontId="26" fillId="24" borderId="0" applyNumberFormat="0" applyBorder="0" applyAlignment="0" applyProtection="0"/>
    <xf numFmtId="0" fontId="26" fillId="15" borderId="0" applyNumberFormat="0" applyBorder="0" applyAlignment="0" applyProtection="0"/>
    <xf numFmtId="0" fontId="12" fillId="28" borderId="0" applyNumberFormat="0" applyBorder="0" applyAlignment="0" applyProtection="0"/>
    <xf numFmtId="0" fontId="32" fillId="34" borderId="341">
      <alignment horizontal="right" vertical="center"/>
    </xf>
    <xf numFmtId="0" fontId="32" fillId="34" borderId="347">
      <alignment horizontal="right" vertical="center"/>
    </xf>
    <xf numFmtId="49" fontId="33" fillId="0" borderId="346" applyNumberFormat="0" applyFill="0" applyBorder="0" applyProtection="0">
      <alignment horizontal="left" vertical="center"/>
    </xf>
    <xf numFmtId="0" fontId="26" fillId="17" borderId="0" applyNumberFormat="0" applyBorder="0" applyAlignment="0" applyProtection="0"/>
    <xf numFmtId="4" fontId="32" fillId="34" borderId="346">
      <alignment horizontal="right" vertical="center"/>
    </xf>
    <xf numFmtId="0" fontId="26" fillId="21" borderId="0" applyNumberFormat="0" applyBorder="0" applyAlignment="0" applyProtection="0"/>
    <xf numFmtId="0" fontId="62" fillId="56" borderId="337" applyNumberFormat="0" applyAlignment="0" applyProtection="0"/>
    <xf numFmtId="4" fontId="32" fillId="32" borderId="346">
      <alignment horizontal="right" vertical="center"/>
    </xf>
    <xf numFmtId="4" fontId="34" fillId="33" borderId="341"/>
    <xf numFmtId="0" fontId="65" fillId="0" borderId="339" applyNumberFormat="0" applyFill="0" applyAlignment="0" applyProtection="0"/>
    <xf numFmtId="0" fontId="26" fillId="26" borderId="0" applyNumberFormat="0" applyBorder="0" applyAlignment="0" applyProtection="0"/>
    <xf numFmtId="4" fontId="32" fillId="34" borderId="341">
      <alignment horizontal="right" vertical="center"/>
    </xf>
    <xf numFmtId="0" fontId="49" fillId="43" borderId="338" applyNumberFormat="0" applyAlignment="0" applyProtection="0"/>
    <xf numFmtId="49" fontId="34" fillId="0" borderId="341" applyNumberFormat="0" applyFont="0" applyFill="0" applyBorder="0" applyProtection="0">
      <alignment horizontal="left" vertical="center" indent="2"/>
    </xf>
    <xf numFmtId="49" fontId="34" fillId="0" borderId="342" applyNumberFormat="0" applyFont="0" applyFill="0" applyBorder="0" applyProtection="0">
      <alignment horizontal="left" vertical="center" indent="5"/>
    </xf>
    <xf numFmtId="0" fontId="34" fillId="34" borderId="344">
      <alignment horizontal="left" vertical="center" wrapText="1" indent="2"/>
    </xf>
    <xf numFmtId="0" fontId="40" fillId="59" borderId="345" applyNumberFormat="0" applyFont="0" applyAlignment="0" applyProtection="0"/>
    <xf numFmtId="0" fontId="32" fillId="34" borderId="348">
      <alignment horizontal="right" vertical="center"/>
    </xf>
    <xf numFmtId="4" fontId="34" fillId="0" borderId="341" applyFill="0" applyBorder="0" applyProtection="0">
      <alignment horizontal="right" vertical="center"/>
    </xf>
    <xf numFmtId="0" fontId="12" fillId="31" borderId="0" applyNumberFormat="0" applyBorder="0" applyAlignment="0" applyProtection="0"/>
    <xf numFmtId="4" fontId="36" fillId="32" borderId="341">
      <alignment horizontal="right" vertical="center"/>
    </xf>
    <xf numFmtId="0" fontId="50" fillId="0" borderId="339" applyNumberFormat="0" applyFill="0" applyAlignment="0" applyProtection="0"/>
    <xf numFmtId="0" fontId="32" fillId="34" borderId="335">
      <alignment horizontal="right" vertical="center"/>
    </xf>
    <xf numFmtId="49" fontId="33" fillId="0" borderId="341" applyNumberFormat="0" applyFill="0" applyBorder="0" applyProtection="0">
      <alignment horizontal="left" vertical="center"/>
    </xf>
    <xf numFmtId="4" fontId="34" fillId="33" borderId="346"/>
    <xf numFmtId="4" fontId="34" fillId="0" borderId="341" applyFill="0" applyBorder="0" applyProtection="0">
      <alignment horizontal="right" vertical="center"/>
    </xf>
    <xf numFmtId="0" fontId="32" fillId="34" borderId="347">
      <alignment horizontal="right" vertical="center"/>
    </xf>
    <xf numFmtId="0" fontId="49" fillId="43" borderId="338" applyNumberFormat="0" applyAlignment="0" applyProtection="0"/>
    <xf numFmtId="0" fontId="34" fillId="33" borderId="341"/>
    <xf numFmtId="0" fontId="34" fillId="0" borderId="344">
      <alignment horizontal="left" vertical="center" wrapText="1" indent="2"/>
    </xf>
    <xf numFmtId="0" fontId="62" fillId="56" borderId="350" applyNumberFormat="0" applyAlignment="0" applyProtection="0"/>
    <xf numFmtId="0" fontId="32" fillId="34" borderId="341">
      <alignment horizontal="right" vertical="center"/>
    </xf>
    <xf numFmtId="0" fontId="34" fillId="33" borderId="341"/>
    <xf numFmtId="4" fontId="34" fillId="33" borderId="341"/>
    <xf numFmtId="0" fontId="65" fillId="0" borderId="339" applyNumberFormat="0" applyFill="0" applyAlignment="0" applyProtection="0"/>
    <xf numFmtId="0" fontId="43" fillId="56" borderId="337" applyNumberFormat="0" applyAlignment="0" applyProtection="0"/>
    <xf numFmtId="49" fontId="34" fillId="0" borderId="346" applyNumberFormat="0" applyFont="0" applyFill="0" applyBorder="0" applyProtection="0">
      <alignment horizontal="left" vertical="center" indent="2"/>
    </xf>
    <xf numFmtId="0" fontId="58" fillId="43" borderId="338" applyNumberFormat="0" applyAlignment="0" applyProtection="0"/>
    <xf numFmtId="4" fontId="32" fillId="34" borderId="343">
      <alignment horizontal="right" vertical="center"/>
    </xf>
    <xf numFmtId="0" fontId="32" fillId="32" borderId="346">
      <alignment horizontal="right" vertical="center"/>
    </xf>
    <xf numFmtId="4" fontId="36" fillId="32" borderId="341">
      <alignment horizontal="right" vertical="center"/>
    </xf>
    <xf numFmtId="0" fontId="32" fillId="34" borderId="342">
      <alignment horizontal="right" vertical="center"/>
    </xf>
    <xf numFmtId="0" fontId="32" fillId="34" borderId="341">
      <alignment horizontal="right" vertical="center"/>
    </xf>
    <xf numFmtId="0" fontId="32" fillId="34" borderId="341">
      <alignment horizontal="right" vertical="center"/>
    </xf>
    <xf numFmtId="0" fontId="12" fillId="31" borderId="0" applyNumberFormat="0" applyBorder="0" applyAlignment="0" applyProtection="0"/>
    <xf numFmtId="0" fontId="65" fillId="0" borderId="352" applyNumberFormat="0" applyFill="0" applyAlignment="0" applyProtection="0"/>
    <xf numFmtId="173" fontId="34" fillId="60" borderId="346" applyNumberFormat="0" applyFont="0" applyBorder="0" applyAlignment="0" applyProtection="0">
      <alignment horizontal="right" vertical="center"/>
    </xf>
    <xf numFmtId="0" fontId="34" fillId="34" borderId="336">
      <alignment horizontal="left" vertical="center" wrapText="1" indent="2"/>
    </xf>
    <xf numFmtId="0" fontId="34" fillId="33" borderId="346"/>
    <xf numFmtId="0" fontId="32" fillId="34" borderId="334">
      <alignment horizontal="right" vertical="center"/>
    </xf>
    <xf numFmtId="0" fontId="43" fillId="56" borderId="337" applyNumberFormat="0" applyAlignment="0" applyProtection="0"/>
    <xf numFmtId="0" fontId="12" fillId="19" borderId="0" applyNumberFormat="0" applyBorder="0" applyAlignment="0" applyProtection="0"/>
    <xf numFmtId="0" fontId="1" fillId="0" borderId="0" applyNumberFormat="0" applyFill="0" applyBorder="0" applyAlignment="0" applyProtection="0"/>
    <xf numFmtId="0" fontId="62" fillId="56" borderId="337" applyNumberFormat="0" applyAlignment="0" applyProtection="0"/>
    <xf numFmtId="0" fontId="32" fillId="34" borderId="346">
      <alignment horizontal="right" vertical="center"/>
    </xf>
    <xf numFmtId="0" fontId="26" fillId="29" borderId="0" applyNumberFormat="0" applyBorder="0" applyAlignment="0" applyProtection="0"/>
    <xf numFmtId="0" fontId="50" fillId="0" borderId="339" applyNumberFormat="0" applyFill="0" applyAlignment="0" applyProtection="0"/>
    <xf numFmtId="0" fontId="40" fillId="59" borderId="340" applyNumberFormat="0" applyFont="0" applyAlignment="0" applyProtection="0"/>
    <xf numFmtId="0" fontId="65" fillId="0" borderId="339" applyNumberFormat="0" applyFill="0" applyAlignment="0" applyProtection="0"/>
    <xf numFmtId="4" fontId="32" fillId="32" borderId="341">
      <alignment horizontal="right" vertical="center"/>
    </xf>
    <xf numFmtId="49" fontId="34" fillId="0" borderId="341" applyNumberFormat="0" applyFont="0" applyFill="0" applyBorder="0" applyProtection="0">
      <alignment horizontal="left" vertical="center" indent="2"/>
    </xf>
    <xf numFmtId="4" fontId="34" fillId="0" borderId="346">
      <alignment horizontal="right" vertical="center"/>
    </xf>
    <xf numFmtId="4" fontId="36" fillId="32" borderId="341">
      <alignment horizontal="right" vertical="center"/>
    </xf>
    <xf numFmtId="0" fontId="34" fillId="32" borderId="347">
      <alignment horizontal="left" vertical="center"/>
    </xf>
    <xf numFmtId="0" fontId="32" fillId="34" borderId="348">
      <alignment horizontal="right" vertical="center"/>
    </xf>
    <xf numFmtId="0" fontId="26" fillId="20" borderId="0" applyNumberFormat="0" applyBorder="0" applyAlignment="0" applyProtection="0"/>
    <xf numFmtId="0" fontId="36" fillId="32" borderId="346">
      <alignment horizontal="right" vertical="center"/>
    </xf>
    <xf numFmtId="0" fontId="62" fillId="56" borderId="337" applyNumberFormat="0" applyAlignment="0" applyProtection="0"/>
    <xf numFmtId="0" fontId="58" fillId="43" borderId="338" applyNumberFormat="0" applyAlignment="0" applyProtection="0"/>
    <xf numFmtId="0" fontId="34" fillId="0" borderId="341" applyNumberFormat="0" applyFill="0" applyAlignment="0" applyProtection="0"/>
    <xf numFmtId="0" fontId="5" fillId="59" borderId="345" applyNumberFormat="0" applyFont="0" applyAlignment="0" applyProtection="0"/>
    <xf numFmtId="0" fontId="65" fillId="0" borderId="339" applyNumberFormat="0" applyFill="0" applyAlignment="0" applyProtection="0"/>
    <xf numFmtId="0" fontId="32" fillId="32" borderId="341">
      <alignment horizontal="right" vertical="center"/>
    </xf>
    <xf numFmtId="49" fontId="33" fillId="0" borderId="346" applyNumberFormat="0" applyFill="0" applyBorder="0" applyProtection="0">
      <alignment horizontal="left" vertical="center"/>
    </xf>
    <xf numFmtId="0" fontId="12" fillId="22" borderId="0" applyNumberFormat="0" applyBorder="0" applyAlignment="0" applyProtection="0"/>
    <xf numFmtId="0" fontId="43" fillId="56" borderId="350" applyNumberFormat="0" applyAlignment="0" applyProtection="0"/>
    <xf numFmtId="4" fontId="32" fillId="34" borderId="341">
      <alignment horizontal="right" vertical="center"/>
    </xf>
    <xf numFmtId="0" fontId="45" fillId="56" borderId="338" applyNumberFormat="0" applyAlignment="0" applyProtection="0"/>
    <xf numFmtId="49" fontId="33" fillId="0" borderId="341" applyNumberFormat="0" applyFill="0" applyBorder="0" applyProtection="0">
      <alignment horizontal="left" vertical="center"/>
    </xf>
    <xf numFmtId="4" fontId="32" fillId="34" borderId="341">
      <alignment horizontal="right" vertical="center"/>
    </xf>
    <xf numFmtId="0" fontId="30" fillId="0" borderId="0" applyNumberFormat="0" applyFill="0" applyBorder="0" applyAlignment="0" applyProtection="0"/>
    <xf numFmtId="0" fontId="62" fillId="56" borderId="337" applyNumberFormat="0" applyAlignment="0" applyProtection="0"/>
    <xf numFmtId="0" fontId="26" fillId="29" borderId="0" applyNumberFormat="0" applyBorder="0" applyAlignment="0" applyProtection="0"/>
    <xf numFmtId="0" fontId="45" fillId="56" borderId="351" applyNumberFormat="0" applyAlignment="0" applyProtection="0"/>
    <xf numFmtId="4" fontId="32" fillId="34" borderId="343">
      <alignment horizontal="right" vertical="center"/>
    </xf>
    <xf numFmtId="0" fontId="32" fillId="34" borderId="334">
      <alignment horizontal="right" vertical="center"/>
    </xf>
    <xf numFmtId="4" fontId="32" fillId="34" borderId="341">
      <alignment horizontal="right" vertical="center"/>
    </xf>
    <xf numFmtId="4" fontId="34" fillId="0" borderId="341">
      <alignment horizontal="right" vertical="center"/>
    </xf>
    <xf numFmtId="0" fontId="32" fillId="32" borderId="341">
      <alignment horizontal="right" vertical="center"/>
    </xf>
    <xf numFmtId="4" fontId="34" fillId="33" borderId="341"/>
    <xf numFmtId="0" fontId="45" fillId="56" borderId="338" applyNumberFormat="0" applyAlignment="0" applyProtection="0"/>
    <xf numFmtId="0" fontId="29" fillId="13" borderId="13" applyNumberFormat="0" applyAlignment="0" applyProtection="0"/>
    <xf numFmtId="0" fontId="12" fillId="25" borderId="0" applyNumberFormat="0" applyBorder="0" applyAlignment="0" applyProtection="0"/>
    <xf numFmtId="0" fontId="5" fillId="59" borderId="340" applyNumberFormat="0" applyFont="0" applyAlignment="0" applyProtection="0"/>
    <xf numFmtId="173" fontId="34" fillId="60" borderId="346" applyNumberFormat="0" applyFont="0" applyBorder="0" applyAlignment="0" applyProtection="0">
      <alignment horizontal="right" vertical="center"/>
    </xf>
    <xf numFmtId="4" fontId="34" fillId="0" borderId="346">
      <alignment horizontal="right" vertical="center"/>
    </xf>
    <xf numFmtId="0" fontId="32" fillId="32" borderId="341">
      <alignment horizontal="right" vertical="center"/>
    </xf>
    <xf numFmtId="4" fontId="34" fillId="33" borderId="341"/>
    <xf numFmtId="0" fontId="32" fillId="34" borderId="346">
      <alignment horizontal="right" vertical="center"/>
    </xf>
    <xf numFmtId="4" fontId="34" fillId="0" borderId="346" applyFill="0" applyBorder="0" applyProtection="0">
      <alignment horizontal="right" vertical="center"/>
    </xf>
    <xf numFmtId="4" fontId="34" fillId="0" borderId="341">
      <alignment horizontal="right" vertical="center"/>
    </xf>
    <xf numFmtId="0" fontId="26" fillId="24" borderId="0" applyNumberFormat="0" applyBorder="0" applyAlignment="0" applyProtection="0"/>
    <xf numFmtId="0" fontId="49" fillId="43" borderId="338" applyNumberFormat="0" applyAlignment="0" applyProtection="0"/>
    <xf numFmtId="4" fontId="32" fillId="34" borderId="342">
      <alignment horizontal="right" vertical="center"/>
    </xf>
    <xf numFmtId="0" fontId="12" fillId="28" borderId="0" applyNumberFormat="0" applyBorder="0" applyAlignment="0" applyProtection="0"/>
    <xf numFmtId="0" fontId="62" fillId="56" borderId="337" applyNumberFormat="0" applyAlignment="0" applyProtection="0"/>
    <xf numFmtId="4" fontId="32" fillId="32" borderId="346">
      <alignment horizontal="right" vertical="center"/>
    </xf>
    <xf numFmtId="0" fontId="1" fillId="0" borderId="0" applyNumberFormat="0" applyFill="0" applyBorder="0" applyAlignment="0" applyProtection="0"/>
    <xf numFmtId="173" fontId="34" fillId="60" borderId="341" applyNumberFormat="0" applyFont="0" applyBorder="0" applyAlignment="0" applyProtection="0">
      <alignment horizontal="right" vertical="center"/>
    </xf>
    <xf numFmtId="0" fontId="34" fillId="0" borderId="344">
      <alignment horizontal="left" vertical="center" wrapText="1" indent="2"/>
    </xf>
    <xf numFmtId="0" fontId="32" fillId="34" borderId="343">
      <alignment horizontal="right" vertical="center"/>
    </xf>
    <xf numFmtId="0" fontId="36" fillId="32" borderId="341">
      <alignment horizontal="right" vertical="center"/>
    </xf>
    <xf numFmtId="4" fontId="32" fillId="34" borderId="342">
      <alignment horizontal="right" vertical="center"/>
    </xf>
    <xf numFmtId="4" fontId="36" fillId="32" borderId="341">
      <alignment horizontal="right" vertical="center"/>
    </xf>
    <xf numFmtId="0" fontId="32" fillId="32" borderId="341">
      <alignment horizontal="right" vertical="center"/>
    </xf>
    <xf numFmtId="0" fontId="12" fillId="28" borderId="0" applyNumberFormat="0" applyBorder="0" applyAlignment="0" applyProtection="0"/>
    <xf numFmtId="0" fontId="65" fillId="0" borderId="339" applyNumberFormat="0" applyFill="0" applyAlignment="0" applyProtection="0"/>
    <xf numFmtId="0" fontId="29" fillId="13" borderId="13" applyNumberFormat="0" applyAlignment="0" applyProtection="0"/>
    <xf numFmtId="0" fontId="32" fillId="32" borderId="341">
      <alignment horizontal="right" vertical="center"/>
    </xf>
    <xf numFmtId="0" fontId="58" fillId="43" borderId="338" applyNumberFormat="0" applyAlignment="0" applyProtection="0"/>
    <xf numFmtId="4" fontId="36" fillId="32" borderId="341">
      <alignment horizontal="right" vertical="center"/>
    </xf>
    <xf numFmtId="0" fontId="2" fillId="0" borderId="15" applyNumberFormat="0" applyFill="0" applyAlignment="0" applyProtection="0"/>
    <xf numFmtId="0" fontId="12" fillId="25" borderId="0" applyNumberFormat="0" applyBorder="0" applyAlignment="0" applyProtection="0"/>
    <xf numFmtId="0" fontId="26" fillId="20" borderId="0" applyNumberFormat="0" applyBorder="0" applyAlignment="0" applyProtection="0"/>
    <xf numFmtId="0" fontId="45" fillId="56" borderId="351" applyNumberFormat="0" applyAlignment="0" applyProtection="0"/>
    <xf numFmtId="0" fontId="40" fillId="59" borderId="345" applyNumberFormat="0" applyFont="0" applyAlignment="0" applyProtection="0"/>
    <xf numFmtId="0" fontId="65" fillId="0" borderId="352" applyNumberFormat="0" applyFill="0" applyAlignment="0" applyProtection="0"/>
    <xf numFmtId="4" fontId="34" fillId="0" borderId="341">
      <alignment horizontal="right" vertical="center"/>
    </xf>
    <xf numFmtId="0" fontId="65" fillId="0" borderId="352" applyNumberFormat="0" applyFill="0" applyAlignment="0" applyProtection="0"/>
    <xf numFmtId="0" fontId="34" fillId="33" borderId="341"/>
    <xf numFmtId="49" fontId="34" fillId="0" borderId="346" applyNumberFormat="0" applyFont="0" applyFill="0" applyBorder="0" applyProtection="0">
      <alignment horizontal="left" vertical="center" indent="2"/>
    </xf>
    <xf numFmtId="0" fontId="65" fillId="0" borderId="339" applyNumberFormat="0" applyFill="0" applyAlignment="0" applyProtection="0"/>
    <xf numFmtId="4" fontId="36" fillId="32" borderId="346">
      <alignment horizontal="right" vertical="center"/>
    </xf>
    <xf numFmtId="0" fontId="34" fillId="33" borderId="341"/>
    <xf numFmtId="0" fontId="46" fillId="56" borderId="351" applyNumberFormat="0" applyAlignment="0" applyProtection="0"/>
    <xf numFmtId="0" fontId="45" fillId="56" borderId="338" applyNumberFormat="0" applyAlignment="0" applyProtection="0"/>
    <xf numFmtId="0" fontId="26" fillId="24" borderId="0" applyNumberFormat="0" applyBorder="0" applyAlignment="0" applyProtection="0"/>
    <xf numFmtId="0" fontId="45" fillId="56" borderId="351" applyNumberFormat="0" applyAlignment="0" applyProtection="0"/>
    <xf numFmtId="0" fontId="46" fillId="56" borderId="351" applyNumberFormat="0" applyAlignment="0" applyProtection="0"/>
    <xf numFmtId="4" fontId="32" fillId="34" borderId="343">
      <alignment horizontal="right" vertical="center"/>
    </xf>
    <xf numFmtId="4" fontId="34" fillId="33" borderId="341"/>
    <xf numFmtId="49" fontId="34" fillId="0" borderId="346" applyNumberFormat="0" applyFont="0" applyFill="0" applyBorder="0" applyProtection="0">
      <alignment horizontal="left" vertical="center" indent="2"/>
    </xf>
    <xf numFmtId="0" fontId="5" fillId="59" borderId="340" applyNumberFormat="0" applyFont="0" applyAlignment="0" applyProtection="0"/>
    <xf numFmtId="0" fontId="34" fillId="0" borderId="349">
      <alignment horizontal="left" vertical="center" wrapText="1" indent="2"/>
    </xf>
    <xf numFmtId="49" fontId="33" fillId="0" borderId="346" applyNumberFormat="0" applyFill="0" applyBorder="0" applyProtection="0">
      <alignment horizontal="left" vertical="center"/>
    </xf>
    <xf numFmtId="0" fontId="26" fillId="20" borderId="0" applyNumberFormat="0" applyBorder="0" applyAlignment="0" applyProtection="0"/>
    <xf numFmtId="0" fontId="32" fillId="32" borderId="333">
      <alignment horizontal="right" vertical="center"/>
    </xf>
    <xf numFmtId="0" fontId="46" fillId="56" borderId="338" applyNumberFormat="0" applyAlignment="0" applyProtection="0"/>
    <xf numFmtId="0" fontId="30" fillId="0" borderId="0" applyNumberFormat="0" applyFill="0" applyBorder="0" applyAlignment="0" applyProtection="0"/>
    <xf numFmtId="4" fontId="32" fillId="34" borderId="342">
      <alignment horizontal="right" vertical="center"/>
    </xf>
    <xf numFmtId="0" fontId="40" fillId="59" borderId="340" applyNumberFormat="0" applyFont="0" applyAlignment="0" applyProtection="0"/>
    <xf numFmtId="0" fontId="43" fillId="56" borderId="350" applyNumberFormat="0" applyAlignment="0" applyProtection="0"/>
    <xf numFmtId="0" fontId="46" fillId="56" borderId="351" applyNumberFormat="0" applyAlignment="0" applyProtection="0"/>
    <xf numFmtId="0" fontId="32" fillId="32" borderId="341">
      <alignment horizontal="right" vertical="center"/>
    </xf>
    <xf numFmtId="0" fontId="26" fillId="29" borderId="0" applyNumberFormat="0" applyBorder="0" applyAlignment="0" applyProtection="0"/>
    <xf numFmtId="0" fontId="36" fillId="32" borderId="346">
      <alignment horizontal="right" vertical="center"/>
    </xf>
    <xf numFmtId="0" fontId="50" fillId="0" borderId="352" applyNumberFormat="0" applyFill="0" applyAlignment="0" applyProtection="0"/>
    <xf numFmtId="49" fontId="34" fillId="0" borderId="342" applyNumberFormat="0" applyFont="0" applyFill="0" applyBorder="0" applyProtection="0">
      <alignment horizontal="left" vertical="center" indent="5"/>
    </xf>
    <xf numFmtId="4" fontId="32" fillId="34" borderId="342">
      <alignment horizontal="right" vertical="center"/>
    </xf>
    <xf numFmtId="0" fontId="46" fillId="56" borderId="338" applyNumberFormat="0" applyAlignment="0" applyProtection="0"/>
    <xf numFmtId="0" fontId="58" fillId="43" borderId="351" applyNumberFormat="0" applyAlignment="0" applyProtection="0"/>
    <xf numFmtId="0" fontId="49" fillId="43" borderId="338" applyNumberFormat="0" applyAlignment="0" applyProtection="0"/>
    <xf numFmtId="0" fontId="58" fillId="43" borderId="351" applyNumberFormat="0" applyAlignment="0" applyProtection="0"/>
    <xf numFmtId="0" fontId="34" fillId="0" borderId="344">
      <alignment horizontal="left" vertical="center" wrapText="1" indent="2"/>
    </xf>
    <xf numFmtId="0" fontId="34" fillId="34" borderId="344">
      <alignment horizontal="left" vertical="center" wrapText="1" indent="2"/>
    </xf>
    <xf numFmtId="0" fontId="40" fillId="59" borderId="340" applyNumberFormat="0" applyFont="0" applyAlignment="0" applyProtection="0"/>
    <xf numFmtId="0" fontId="32" fillId="34" borderId="346">
      <alignment horizontal="right" vertical="center"/>
    </xf>
    <xf numFmtId="0" fontId="32" fillId="34" borderId="341">
      <alignment horizontal="right" vertical="center"/>
    </xf>
    <xf numFmtId="0" fontId="2" fillId="0" borderId="15" applyNumberFormat="0" applyFill="0" applyAlignment="0" applyProtection="0"/>
    <xf numFmtId="0" fontId="26" fillId="21" borderId="0" applyNumberFormat="0" applyBorder="0" applyAlignment="0" applyProtection="0"/>
    <xf numFmtId="4" fontId="32" fillId="34" borderId="346">
      <alignment horizontal="right" vertical="center"/>
    </xf>
    <xf numFmtId="0" fontId="26" fillId="29" borderId="0" applyNumberFormat="0" applyBorder="0" applyAlignment="0" applyProtection="0"/>
    <xf numFmtId="0" fontId="46" fillId="56" borderId="338" applyNumberFormat="0" applyAlignment="0" applyProtection="0"/>
    <xf numFmtId="0" fontId="32" fillId="34" borderId="348">
      <alignment horizontal="right" vertical="center"/>
    </xf>
    <xf numFmtId="0" fontId="26" fillId="17" borderId="0" applyNumberFormat="0" applyBorder="0" applyAlignment="0" applyProtection="0"/>
    <xf numFmtId="4" fontId="32" fillId="34" borderId="341">
      <alignment horizontal="right" vertical="center"/>
    </xf>
    <xf numFmtId="0" fontId="32" fillId="34" borderId="348">
      <alignment horizontal="right" vertical="center"/>
    </xf>
    <xf numFmtId="0" fontId="65" fillId="0" borderId="339" applyNumberFormat="0" applyFill="0" applyAlignment="0" applyProtection="0"/>
    <xf numFmtId="4" fontId="32" fillId="32" borderId="346">
      <alignment horizontal="right" vertical="center"/>
    </xf>
    <xf numFmtId="0" fontId="5" fillId="59" borderId="340" applyNumberFormat="0" applyFont="0" applyAlignment="0" applyProtection="0"/>
    <xf numFmtId="0" fontId="26" fillId="27" borderId="0" applyNumberFormat="0" applyBorder="0" applyAlignment="0" applyProtection="0"/>
    <xf numFmtId="0" fontId="34" fillId="0" borderId="349">
      <alignment horizontal="left" vertical="center" wrapText="1" indent="2"/>
    </xf>
    <xf numFmtId="0" fontId="32" fillId="34" borderId="341">
      <alignment horizontal="right" vertical="center"/>
    </xf>
    <xf numFmtId="0" fontId="26" fillId="23" borderId="0" applyNumberFormat="0" applyBorder="0" applyAlignment="0" applyProtection="0"/>
    <xf numFmtId="0" fontId="36" fillId="32" borderId="341">
      <alignment horizontal="right" vertical="center"/>
    </xf>
    <xf numFmtId="0" fontId="12" fillId="31" borderId="0" applyNumberFormat="0" applyBorder="0" applyAlignment="0" applyProtection="0"/>
    <xf numFmtId="0" fontId="26" fillId="26" borderId="0" applyNumberFormat="0" applyBorder="0" applyAlignment="0" applyProtection="0"/>
    <xf numFmtId="0" fontId="36" fillId="32" borderId="341">
      <alignment horizontal="right" vertical="center"/>
    </xf>
    <xf numFmtId="4" fontId="32" fillId="34" borderId="341">
      <alignment horizontal="right" vertical="center"/>
    </xf>
    <xf numFmtId="0" fontId="40" fillId="59" borderId="340" applyNumberFormat="0" applyFont="0" applyAlignment="0" applyProtection="0"/>
    <xf numFmtId="0" fontId="65" fillId="0" borderId="339" applyNumberFormat="0" applyFill="0" applyAlignment="0" applyProtection="0"/>
    <xf numFmtId="4" fontId="34" fillId="33" borderId="346"/>
    <xf numFmtId="0" fontId="12" fillId="25" borderId="0" applyNumberFormat="0" applyBorder="0" applyAlignment="0" applyProtection="0"/>
    <xf numFmtId="0" fontId="32" fillId="34" borderId="341">
      <alignment horizontal="right" vertical="center"/>
    </xf>
    <xf numFmtId="0" fontId="46" fillId="56" borderId="338" applyNumberFormat="0" applyAlignment="0" applyProtection="0"/>
    <xf numFmtId="0" fontId="43" fillId="56" borderId="337" applyNumberFormat="0" applyAlignment="0" applyProtection="0"/>
    <xf numFmtId="0" fontId="40" fillId="59" borderId="340" applyNumberFormat="0" applyFont="0" applyAlignment="0" applyProtection="0"/>
    <xf numFmtId="0" fontId="58" fillId="43" borderId="351" applyNumberFormat="0" applyAlignment="0" applyProtection="0"/>
    <xf numFmtId="0" fontId="45" fillId="56" borderId="338" applyNumberFormat="0" applyAlignment="0" applyProtection="0"/>
    <xf numFmtId="0" fontId="34" fillId="34" borderId="344">
      <alignment horizontal="left" vertical="center" wrapText="1" indent="2"/>
    </xf>
    <xf numFmtId="0" fontId="34" fillId="32" borderId="334">
      <alignment horizontal="left" vertical="center"/>
    </xf>
    <xf numFmtId="0" fontId="32" fillId="32" borderId="346">
      <alignment horizontal="right" vertical="center"/>
    </xf>
    <xf numFmtId="49" fontId="34" fillId="0" borderId="341" applyNumberFormat="0" applyFont="0" applyFill="0" applyBorder="0" applyProtection="0">
      <alignment horizontal="left" vertical="center" indent="2"/>
    </xf>
    <xf numFmtId="0" fontId="40" fillId="59" borderId="340" applyNumberFormat="0" applyFont="0" applyAlignment="0" applyProtection="0"/>
    <xf numFmtId="0" fontId="62" fillId="56" borderId="337" applyNumberFormat="0" applyAlignment="0" applyProtection="0"/>
    <xf numFmtId="0" fontId="26" fillId="30" borderId="0" applyNumberFormat="0" applyBorder="0" applyAlignment="0" applyProtection="0"/>
    <xf numFmtId="4" fontId="36" fillId="32" borderId="341">
      <alignment horizontal="right" vertical="center"/>
    </xf>
    <xf numFmtId="0" fontId="40" fillId="59" borderId="345" applyNumberFormat="0" applyFont="0" applyAlignment="0" applyProtection="0"/>
    <xf numFmtId="0" fontId="34" fillId="33" borderId="341"/>
    <xf numFmtId="0" fontId="12" fillId="22" borderId="0" applyNumberFormat="0" applyBorder="0" applyAlignment="0" applyProtection="0"/>
    <xf numFmtId="0" fontId="46" fillId="56" borderId="338" applyNumberFormat="0" applyAlignment="0" applyProtection="0"/>
    <xf numFmtId="0" fontId="58" fillId="43" borderId="338" applyNumberFormat="0" applyAlignment="0" applyProtection="0"/>
    <xf numFmtId="4" fontId="32" fillId="34" borderId="346">
      <alignment horizontal="right" vertical="center"/>
    </xf>
    <xf numFmtId="0" fontId="58" fillId="43" borderId="338" applyNumberFormat="0" applyAlignment="0" applyProtection="0"/>
    <xf numFmtId="0" fontId="34" fillId="34" borderId="349">
      <alignment horizontal="left" vertical="center" wrapText="1" indent="2"/>
    </xf>
    <xf numFmtId="0" fontId="5" fillId="59" borderId="340" applyNumberFormat="0" applyFont="0" applyAlignment="0" applyProtection="0"/>
    <xf numFmtId="0" fontId="58" fillId="43" borderId="338" applyNumberFormat="0" applyAlignment="0" applyProtection="0"/>
    <xf numFmtId="0" fontId="65" fillId="0" borderId="339" applyNumberFormat="0" applyFill="0" applyAlignment="0" applyProtection="0"/>
    <xf numFmtId="0" fontId="32" fillId="34" borderId="348">
      <alignment horizontal="right" vertical="center"/>
    </xf>
    <xf numFmtId="49" fontId="33" fillId="0" borderId="346" applyNumberFormat="0" applyFill="0" applyBorder="0" applyProtection="0">
      <alignment horizontal="left" vertical="center"/>
    </xf>
    <xf numFmtId="4" fontId="32" fillId="34" borderId="347">
      <alignment horizontal="right" vertical="center"/>
    </xf>
    <xf numFmtId="173" fontId="34" fillId="60" borderId="341" applyNumberFormat="0" applyFont="0" applyBorder="0" applyAlignment="0" applyProtection="0">
      <alignment horizontal="right" vertical="center"/>
    </xf>
    <xf numFmtId="0" fontId="26" fillId="18" borderId="0" applyNumberFormat="0" applyBorder="0" applyAlignment="0" applyProtection="0"/>
    <xf numFmtId="0" fontId="34" fillId="32" borderId="342">
      <alignment horizontal="left" vertical="center"/>
    </xf>
    <xf numFmtId="4" fontId="34" fillId="0" borderId="341" applyFill="0" applyBorder="0" applyProtection="0">
      <alignment horizontal="right" vertical="center"/>
    </xf>
    <xf numFmtId="173" fontId="34" fillId="60" borderId="341" applyNumberFormat="0" applyFont="0" applyBorder="0" applyAlignment="0" applyProtection="0">
      <alignment horizontal="right" vertical="center"/>
    </xf>
    <xf numFmtId="0" fontId="43" fillId="56" borderId="337" applyNumberFormat="0" applyAlignment="0" applyProtection="0"/>
    <xf numFmtId="0" fontId="62" fillId="56" borderId="337" applyNumberFormat="0" applyAlignment="0" applyProtection="0"/>
    <xf numFmtId="0" fontId="26" fillId="17" borderId="0" applyNumberFormat="0" applyBorder="0" applyAlignment="0" applyProtection="0"/>
    <xf numFmtId="4" fontId="34" fillId="0" borderId="341">
      <alignment horizontal="right" vertical="center"/>
    </xf>
    <xf numFmtId="0" fontId="26" fillId="15" borderId="0" applyNumberFormat="0" applyBorder="0" applyAlignment="0" applyProtection="0"/>
    <xf numFmtId="0" fontId="34" fillId="32" borderId="342">
      <alignment horizontal="left" vertical="center"/>
    </xf>
    <xf numFmtId="0" fontId="12" fillId="22" borderId="0" applyNumberFormat="0" applyBorder="0" applyAlignment="0" applyProtection="0"/>
    <xf numFmtId="0" fontId="45" fillId="56" borderId="351" applyNumberFormat="0" applyAlignment="0" applyProtection="0"/>
    <xf numFmtId="0" fontId="46" fillId="56" borderId="351" applyNumberFormat="0" applyAlignment="0" applyProtection="0"/>
    <xf numFmtId="4" fontId="32" fillId="34" borderId="341">
      <alignment horizontal="right" vertical="center"/>
    </xf>
    <xf numFmtId="0" fontId="40" fillId="59" borderId="345" applyNumberFormat="0" applyFont="0" applyAlignment="0" applyProtection="0"/>
    <xf numFmtId="4" fontId="32" fillId="34" borderId="341">
      <alignment horizontal="right" vertical="center"/>
    </xf>
    <xf numFmtId="0" fontId="36" fillId="32" borderId="346">
      <alignment horizontal="right" vertical="center"/>
    </xf>
    <xf numFmtId="0" fontId="50" fillId="0" borderId="339" applyNumberFormat="0" applyFill="0" applyAlignment="0" applyProtection="0"/>
    <xf numFmtId="0" fontId="34" fillId="33" borderId="346"/>
    <xf numFmtId="0" fontId="65" fillId="0" borderId="339" applyNumberFormat="0" applyFill="0" applyAlignment="0" applyProtection="0"/>
    <xf numFmtId="0" fontId="43" fillId="56" borderId="337" applyNumberFormat="0" applyAlignment="0" applyProtection="0"/>
    <xf numFmtId="0" fontId="49" fillId="43" borderId="338" applyNumberFormat="0" applyAlignment="0" applyProtection="0"/>
    <xf numFmtId="0" fontId="12" fillId="19" borderId="0" applyNumberFormat="0" applyBorder="0" applyAlignment="0" applyProtection="0"/>
    <xf numFmtId="49" fontId="33" fillId="0" borderId="341" applyNumberFormat="0" applyFill="0" applyBorder="0" applyProtection="0">
      <alignment horizontal="left" vertical="center"/>
    </xf>
    <xf numFmtId="4" fontId="32" fillId="34" borderId="342">
      <alignment horizontal="right" vertical="center"/>
    </xf>
    <xf numFmtId="0" fontId="30" fillId="0" borderId="0" applyNumberFormat="0" applyFill="0" applyBorder="0" applyAlignment="0" applyProtection="0"/>
    <xf numFmtId="0" fontId="34" fillId="0" borderId="349">
      <alignment horizontal="left" vertical="center" wrapText="1" indent="2"/>
    </xf>
    <xf numFmtId="0" fontId="62" fillId="56" borderId="350" applyNumberFormat="0" applyAlignment="0" applyProtection="0"/>
    <xf numFmtId="0" fontId="49" fillId="43" borderId="338" applyNumberFormat="0" applyAlignment="0" applyProtection="0"/>
    <xf numFmtId="0" fontId="36" fillId="32" borderId="341">
      <alignment horizontal="right" vertical="center"/>
    </xf>
    <xf numFmtId="0" fontId="46" fillId="56" borderId="351" applyNumberFormat="0" applyAlignment="0" applyProtection="0"/>
    <xf numFmtId="0" fontId="49" fillId="43" borderId="351" applyNumberFormat="0" applyAlignment="0" applyProtection="0"/>
    <xf numFmtId="0" fontId="5" fillId="59" borderId="340" applyNumberFormat="0" applyFont="0" applyAlignment="0" applyProtection="0"/>
    <xf numFmtId="0" fontId="46" fillId="56" borderId="351" applyNumberFormat="0" applyAlignment="0" applyProtection="0"/>
    <xf numFmtId="0" fontId="36" fillId="32" borderId="341">
      <alignment horizontal="right" vertical="center"/>
    </xf>
    <xf numFmtId="0" fontId="49" fillId="43" borderId="351" applyNumberFormat="0" applyAlignment="0" applyProtection="0"/>
    <xf numFmtId="0" fontId="28" fillId="13" borderId="14" applyNumberFormat="0" applyAlignment="0" applyProtection="0"/>
    <xf numFmtId="0" fontId="65" fillId="0" borderId="339" applyNumberFormat="0" applyFill="0" applyAlignment="0" applyProtection="0"/>
    <xf numFmtId="0" fontId="32" fillId="34" borderId="346">
      <alignment horizontal="right" vertical="center"/>
    </xf>
    <xf numFmtId="0" fontId="12" fillId="16" borderId="0" applyNumberFormat="0" applyBorder="0" applyAlignment="0" applyProtection="0"/>
    <xf numFmtId="0" fontId="34" fillId="0" borderId="341">
      <alignment horizontal="right" vertical="center"/>
    </xf>
    <xf numFmtId="0" fontId="46" fillId="56" borderId="351" applyNumberFormat="0" applyAlignment="0" applyProtection="0"/>
    <xf numFmtId="0" fontId="26" fillId="21" borderId="0" applyNumberFormat="0" applyBorder="0" applyAlignment="0" applyProtection="0"/>
    <xf numFmtId="0" fontId="49" fillId="43" borderId="338" applyNumberFormat="0" applyAlignment="0" applyProtection="0"/>
    <xf numFmtId="0" fontId="36" fillId="32" borderId="346">
      <alignment horizontal="right" vertical="center"/>
    </xf>
    <xf numFmtId="0" fontId="34" fillId="0" borderId="341">
      <alignment horizontal="right" vertical="center"/>
    </xf>
    <xf numFmtId="0" fontId="45" fillId="56" borderId="338" applyNumberFormat="0" applyAlignment="0" applyProtection="0"/>
    <xf numFmtId="0" fontId="32" fillId="32" borderId="346">
      <alignment horizontal="right" vertical="center"/>
    </xf>
    <xf numFmtId="0" fontId="34" fillId="0" borderId="346" applyNumberFormat="0" applyFill="0" applyAlignment="0" applyProtection="0"/>
    <xf numFmtId="4" fontId="32" fillId="32" borderId="341">
      <alignment horizontal="right" vertical="center"/>
    </xf>
    <xf numFmtId="0" fontId="32" fillId="34" borderId="342">
      <alignment horizontal="right" vertical="center"/>
    </xf>
    <xf numFmtId="4" fontId="36" fillId="32" borderId="346">
      <alignment horizontal="right" vertical="center"/>
    </xf>
    <xf numFmtId="0" fontId="46" fillId="56" borderId="338" applyNumberFormat="0" applyAlignment="0" applyProtection="0"/>
    <xf numFmtId="0" fontId="32" fillId="34" borderId="343">
      <alignment horizontal="right" vertical="center"/>
    </xf>
    <xf numFmtId="0" fontId="45" fillId="56" borderId="351" applyNumberFormat="0" applyAlignment="0" applyProtection="0"/>
    <xf numFmtId="0" fontId="65" fillId="0" borderId="352" applyNumberFormat="0" applyFill="0" applyAlignment="0" applyProtection="0"/>
    <xf numFmtId="0" fontId="50" fillId="0" borderId="339" applyNumberFormat="0" applyFill="0" applyAlignment="0" applyProtection="0"/>
    <xf numFmtId="0" fontId="32" fillId="34" borderId="348">
      <alignment horizontal="right" vertical="center"/>
    </xf>
    <xf numFmtId="0" fontId="34" fillId="0" borderId="333" applyNumberFormat="0" applyFill="0" applyAlignment="0" applyProtection="0"/>
    <xf numFmtId="0" fontId="34" fillId="34" borderId="344">
      <alignment horizontal="left" vertical="center" wrapText="1" indent="2"/>
    </xf>
    <xf numFmtId="0" fontId="12" fillId="22" borderId="0" applyNumberFormat="0" applyBorder="0" applyAlignment="0" applyProtection="0"/>
    <xf numFmtId="4" fontId="34" fillId="0" borderId="341">
      <alignment horizontal="right" vertical="center"/>
    </xf>
    <xf numFmtId="0" fontId="34" fillId="0" borderId="341">
      <alignment horizontal="right" vertical="center"/>
    </xf>
    <xf numFmtId="0" fontId="49" fillId="43" borderId="351" applyNumberFormat="0" applyAlignment="0" applyProtection="0"/>
    <xf numFmtId="49" fontId="34" fillId="0" borderId="342" applyNumberFormat="0" applyFont="0" applyFill="0" applyBorder="0" applyProtection="0">
      <alignment horizontal="left" vertical="center" indent="5"/>
    </xf>
    <xf numFmtId="0" fontId="34" fillId="32" borderId="342">
      <alignment horizontal="left" vertical="center"/>
    </xf>
    <xf numFmtId="0" fontId="34" fillId="0" borderId="344">
      <alignment horizontal="left" vertical="center" wrapText="1" indent="2"/>
    </xf>
    <xf numFmtId="0" fontId="28" fillId="13" borderId="14" applyNumberFormat="0" applyAlignment="0" applyProtection="0"/>
    <xf numFmtId="0" fontId="62" fillId="56" borderId="337" applyNumberFormat="0" applyAlignment="0" applyProtection="0"/>
    <xf numFmtId="0" fontId="26" fillId="26" borderId="0" applyNumberFormat="0" applyBorder="0" applyAlignment="0" applyProtection="0"/>
    <xf numFmtId="0" fontId="62" fillId="56" borderId="350" applyNumberFormat="0" applyAlignment="0" applyProtection="0"/>
    <xf numFmtId="0" fontId="32" fillId="34" borderId="333">
      <alignment horizontal="right" vertical="center"/>
    </xf>
    <xf numFmtId="0" fontId="32" fillId="32" borderId="341">
      <alignment horizontal="right" vertical="center"/>
    </xf>
    <xf numFmtId="0" fontId="50" fillId="0" borderId="339" applyNumberFormat="0" applyFill="0" applyAlignment="0" applyProtection="0"/>
    <xf numFmtId="0" fontId="34" fillId="0" borderId="341" applyNumberFormat="0" applyFill="0" applyAlignment="0" applyProtection="0"/>
    <xf numFmtId="0" fontId="50" fillId="0" borderId="339" applyNumberFormat="0" applyFill="0" applyAlignment="0" applyProtection="0"/>
    <xf numFmtId="4" fontId="34" fillId="0" borderId="341" applyFill="0" applyBorder="0" applyProtection="0">
      <alignment horizontal="right" vertical="center"/>
    </xf>
    <xf numFmtId="49" fontId="34" fillId="0" borderId="342" applyNumberFormat="0" applyFont="0" applyFill="0" applyBorder="0" applyProtection="0">
      <alignment horizontal="left" vertical="center" indent="5"/>
    </xf>
    <xf numFmtId="0" fontId="34" fillId="0" borderId="341" applyNumberFormat="0" applyFill="0" applyAlignment="0" applyProtection="0"/>
    <xf numFmtId="0" fontId="34" fillId="0" borderId="349">
      <alignment horizontal="left" vertical="center" wrapText="1" indent="2"/>
    </xf>
    <xf numFmtId="0" fontId="34" fillId="0" borderId="341" applyNumberFormat="0" applyFill="0" applyAlignment="0" applyProtection="0"/>
    <xf numFmtId="4" fontId="32" fillId="34" borderId="341">
      <alignment horizontal="right" vertical="center"/>
    </xf>
    <xf numFmtId="0" fontId="43" fillId="56" borderId="350" applyNumberFormat="0" applyAlignment="0" applyProtection="0"/>
    <xf numFmtId="0" fontId="49" fillId="43" borderId="338" applyNumberFormat="0" applyAlignment="0" applyProtection="0"/>
    <xf numFmtId="0" fontId="46" fillId="56" borderId="338" applyNumberFormat="0" applyAlignment="0" applyProtection="0"/>
    <xf numFmtId="4" fontId="34" fillId="0" borderId="341">
      <alignment horizontal="right" vertical="center"/>
    </xf>
    <xf numFmtId="0" fontId="34" fillId="34" borderId="344">
      <alignment horizontal="left" vertical="center" wrapText="1" indent="2"/>
    </xf>
    <xf numFmtId="0" fontId="34" fillId="0" borderId="344">
      <alignment horizontal="left" vertical="center" wrapText="1" indent="2"/>
    </xf>
    <xf numFmtId="0" fontId="62" fillId="56" borderId="337" applyNumberFormat="0" applyAlignment="0" applyProtection="0"/>
    <xf numFmtId="0" fontId="58" fillId="43" borderId="338" applyNumberFormat="0" applyAlignment="0" applyProtection="0"/>
    <xf numFmtId="0" fontId="45" fillId="56" borderId="338" applyNumberFormat="0" applyAlignment="0" applyProtection="0"/>
    <xf numFmtId="0" fontId="43" fillId="56" borderId="337" applyNumberFormat="0" applyAlignment="0" applyProtection="0"/>
    <xf numFmtId="0" fontId="32" fillId="34" borderId="343">
      <alignment horizontal="right" vertical="center"/>
    </xf>
    <xf numFmtId="0" fontId="36" fillId="32" borderId="341">
      <alignment horizontal="right" vertical="center"/>
    </xf>
    <xf numFmtId="4" fontId="32" fillId="32" borderId="341">
      <alignment horizontal="right" vertical="center"/>
    </xf>
    <xf numFmtId="4" fontId="32" fillId="34" borderId="341">
      <alignment horizontal="right" vertical="center"/>
    </xf>
    <xf numFmtId="49" fontId="34" fillId="0" borderId="342" applyNumberFormat="0" applyFont="0" applyFill="0" applyBorder="0" applyProtection="0">
      <alignment horizontal="left" vertical="center" indent="5"/>
    </xf>
    <xf numFmtId="4" fontId="34" fillId="0" borderId="341" applyFill="0" applyBorder="0" applyProtection="0">
      <alignment horizontal="right" vertical="center"/>
    </xf>
    <xf numFmtId="4" fontId="32" fillId="32" borderId="341">
      <alignment horizontal="right" vertical="center"/>
    </xf>
    <xf numFmtId="0" fontId="58" fillId="43" borderId="338" applyNumberFormat="0" applyAlignment="0" applyProtection="0"/>
    <xf numFmtId="0" fontId="49" fillId="43" borderId="338" applyNumberFormat="0" applyAlignment="0" applyProtection="0"/>
    <xf numFmtId="0" fontId="45" fillId="56" borderId="338" applyNumberFormat="0" applyAlignment="0" applyProtection="0"/>
    <xf numFmtId="0" fontId="34" fillId="34" borderId="344">
      <alignment horizontal="left" vertical="center" wrapText="1" indent="2"/>
    </xf>
    <xf numFmtId="0" fontId="34" fillId="0" borderId="344">
      <alignment horizontal="left" vertical="center" wrapText="1" indent="2"/>
    </xf>
    <xf numFmtId="0" fontId="34" fillId="34" borderId="344">
      <alignment horizontal="left" vertical="center" wrapText="1" indent="2"/>
    </xf>
    <xf numFmtId="173" fontId="34" fillId="60" borderId="346" applyNumberFormat="0" applyFont="0" applyBorder="0" applyAlignment="0" applyProtection="0">
      <alignment horizontal="right" vertical="center"/>
    </xf>
    <xf numFmtId="4" fontId="36" fillId="32" borderId="346">
      <alignment horizontal="right" vertical="center"/>
    </xf>
    <xf numFmtId="0" fontId="34" fillId="34" borderId="349">
      <alignment horizontal="left" vertical="center" wrapText="1" indent="2"/>
    </xf>
    <xf numFmtId="0" fontId="26" fillId="26" borderId="0" applyNumberFormat="0" applyBorder="0" applyAlignment="0" applyProtection="0"/>
    <xf numFmtId="0" fontId="26" fillId="17" borderId="0" applyNumberFormat="0" applyBorder="0" applyAlignment="0" applyProtection="0"/>
    <xf numFmtId="4" fontId="32" fillId="34" borderId="348">
      <alignment horizontal="right" vertical="center"/>
    </xf>
    <xf numFmtId="0" fontId="5" fillId="59" borderId="345" applyNumberFormat="0" applyFont="0" applyAlignment="0" applyProtection="0"/>
    <xf numFmtId="0" fontId="1" fillId="0" borderId="0" applyNumberFormat="0" applyFill="0" applyBorder="0" applyAlignment="0" applyProtection="0"/>
    <xf numFmtId="0" fontId="26" fillId="23" borderId="0" applyNumberFormat="0" applyBorder="0" applyAlignment="0" applyProtection="0"/>
    <xf numFmtId="0" fontId="34" fillId="34" borderId="349">
      <alignment horizontal="left" vertical="center" wrapText="1" indent="2"/>
    </xf>
    <xf numFmtId="4" fontId="32" fillId="34" borderId="348">
      <alignment horizontal="right" vertical="center"/>
    </xf>
    <xf numFmtId="0" fontId="62" fillId="56" borderId="350" applyNumberFormat="0" applyAlignment="0" applyProtection="0"/>
    <xf numFmtId="4" fontId="36" fillId="32" borderId="346">
      <alignment horizontal="right" vertical="center"/>
    </xf>
    <xf numFmtId="4" fontId="32" fillId="34" borderId="346">
      <alignment horizontal="right" vertical="center"/>
    </xf>
    <xf numFmtId="0" fontId="46" fillId="56" borderId="351" applyNumberFormat="0" applyAlignment="0" applyProtection="0"/>
    <xf numFmtId="0" fontId="65" fillId="0" borderId="352" applyNumberFormat="0" applyFill="0" applyAlignment="0" applyProtection="0"/>
    <xf numFmtId="4" fontId="32" fillId="34" borderId="346">
      <alignment horizontal="right" vertical="center"/>
    </xf>
    <xf numFmtId="4" fontId="36" fillId="32" borderId="346">
      <alignment horizontal="right" vertical="center"/>
    </xf>
    <xf numFmtId="0" fontId="50" fillId="0" borderId="352" applyNumberFormat="0" applyFill="0" applyAlignment="0" applyProtection="0"/>
    <xf numFmtId="0" fontId="49" fillId="43" borderId="351" applyNumberFormat="0" applyAlignment="0" applyProtection="0"/>
    <xf numFmtId="0" fontId="62" fillId="56" borderId="350" applyNumberFormat="0" applyAlignment="0" applyProtection="0"/>
    <xf numFmtId="0" fontId="43" fillId="56" borderId="350" applyNumberFormat="0" applyAlignment="0" applyProtection="0"/>
    <xf numFmtId="0" fontId="46" fillId="56" borderId="351" applyNumberFormat="0" applyAlignment="0" applyProtection="0"/>
    <xf numFmtId="0" fontId="62" fillId="56" borderId="350" applyNumberFormat="0" applyAlignment="0" applyProtection="0"/>
    <xf numFmtId="4" fontId="34" fillId="0" borderId="346" applyFill="0" applyBorder="0" applyProtection="0">
      <alignment horizontal="right" vertical="center"/>
    </xf>
    <xf numFmtId="0" fontId="45" fillId="56" borderId="351" applyNumberFormat="0" applyAlignment="0" applyProtection="0"/>
    <xf numFmtId="0" fontId="62" fillId="56" borderId="350" applyNumberFormat="0" applyAlignment="0" applyProtection="0"/>
    <xf numFmtId="0" fontId="34" fillId="34" borderId="349">
      <alignment horizontal="left" vertical="center" wrapText="1" indent="2"/>
    </xf>
    <xf numFmtId="0" fontId="58" fillId="43" borderId="351" applyNumberFormat="0" applyAlignment="0" applyProtection="0"/>
    <xf numFmtId="0" fontId="5" fillId="59" borderId="345" applyNumberFormat="0" applyFont="0" applyAlignment="0" applyProtection="0"/>
    <xf numFmtId="4" fontId="36" fillId="32" borderId="346">
      <alignment horizontal="right" vertical="center"/>
    </xf>
    <xf numFmtId="0" fontId="32" fillId="34" borderId="346">
      <alignment horizontal="right" vertical="center"/>
    </xf>
    <xf numFmtId="0" fontId="49" fillId="43" borderId="351" applyNumberFormat="0" applyAlignment="0" applyProtection="0"/>
    <xf numFmtId="173" fontId="34" fillId="60" borderId="346" applyNumberFormat="0" applyFont="0" applyBorder="0" applyAlignment="0" applyProtection="0">
      <alignment horizontal="right" vertical="center"/>
    </xf>
    <xf numFmtId="49" fontId="34" fillId="0" borderId="346" applyNumberFormat="0" applyFont="0" applyFill="0" applyBorder="0" applyProtection="0">
      <alignment horizontal="left" vertical="center" indent="2"/>
    </xf>
    <xf numFmtId="0" fontId="34" fillId="33" borderId="346"/>
    <xf numFmtId="0" fontId="34" fillId="0" borderId="346">
      <alignment horizontal="right" vertical="center"/>
    </xf>
    <xf numFmtId="0" fontId="26" fillId="27" borderId="0" applyNumberFormat="0" applyBorder="0" applyAlignment="0" applyProtection="0"/>
    <xf numFmtId="0" fontId="26" fillId="18" borderId="0" applyNumberFormat="0" applyBorder="0" applyAlignment="0" applyProtection="0"/>
    <xf numFmtId="4" fontId="32" fillId="34" borderId="346">
      <alignment horizontal="right" vertical="center"/>
    </xf>
    <xf numFmtId="49" fontId="34" fillId="0" borderId="346" applyNumberFormat="0" applyFont="0" applyFill="0" applyBorder="0" applyProtection="0">
      <alignment horizontal="left" vertical="center" indent="2"/>
    </xf>
    <xf numFmtId="0" fontId="34" fillId="0" borderId="346">
      <alignment horizontal="right" vertical="center"/>
    </xf>
    <xf numFmtId="0" fontId="50" fillId="0" borderId="352" applyNumberFormat="0" applyFill="0" applyAlignment="0" applyProtection="0"/>
    <xf numFmtId="0" fontId="34" fillId="0" borderId="346">
      <alignment horizontal="right" vertical="center"/>
    </xf>
    <xf numFmtId="0" fontId="26" fillId="21" borderId="0" applyNumberFormat="0" applyBorder="0" applyAlignment="0" applyProtection="0"/>
    <xf numFmtId="0" fontId="65" fillId="0" borderId="352" applyNumberFormat="0" applyFill="0" applyAlignment="0" applyProtection="0"/>
    <xf numFmtId="0" fontId="2" fillId="0" borderId="15" applyNumberFormat="0" applyFill="0" applyAlignment="0" applyProtection="0"/>
    <xf numFmtId="49" fontId="34" fillId="0" borderId="347" applyNumberFormat="0" applyFont="0" applyFill="0" applyBorder="0" applyProtection="0">
      <alignment horizontal="left" vertical="center" indent="5"/>
    </xf>
    <xf numFmtId="0" fontId="58" fillId="43" borderId="351" applyNumberFormat="0" applyAlignment="0" applyProtection="0"/>
    <xf numFmtId="4" fontId="34" fillId="0" borderId="346">
      <alignment horizontal="right" vertical="center"/>
    </xf>
    <xf numFmtId="0" fontId="65" fillId="0" borderId="352" applyNumberFormat="0" applyFill="0" applyAlignment="0" applyProtection="0"/>
    <xf numFmtId="4" fontId="32" fillId="32" borderId="346">
      <alignment horizontal="right" vertical="center"/>
    </xf>
    <xf numFmtId="0" fontId="34" fillId="0" borderId="346">
      <alignment horizontal="right" vertical="center"/>
    </xf>
    <xf numFmtId="0" fontId="43" fillId="56" borderId="350" applyNumberFormat="0" applyAlignment="0" applyProtection="0"/>
    <xf numFmtId="0" fontId="12" fillId="28" borderId="0" applyNumberFormat="0" applyBorder="0" applyAlignment="0" applyProtection="0"/>
    <xf numFmtId="0" fontId="40" fillId="59" borderId="345" applyNumberFormat="0" applyFont="0" applyAlignment="0" applyProtection="0"/>
    <xf numFmtId="0" fontId="5" fillId="59" borderId="345" applyNumberFormat="0" applyFont="0" applyAlignment="0" applyProtection="0"/>
    <xf numFmtId="4" fontId="34" fillId="33" borderId="346"/>
    <xf numFmtId="0" fontId="40" fillId="59" borderId="345" applyNumberFormat="0" applyFont="0" applyAlignment="0" applyProtection="0"/>
    <xf numFmtId="4" fontId="34" fillId="33" borderId="346"/>
    <xf numFmtId="0" fontId="62" fillId="56" borderId="350" applyNumberFormat="0" applyAlignment="0" applyProtection="0"/>
    <xf numFmtId="49" fontId="34" fillId="0" borderId="347" applyNumberFormat="0" applyFont="0" applyFill="0" applyBorder="0" applyProtection="0">
      <alignment horizontal="left" vertical="center" indent="5"/>
    </xf>
    <xf numFmtId="0" fontId="34" fillId="0" borderId="346">
      <alignment horizontal="right" vertical="center"/>
    </xf>
    <xf numFmtId="0" fontId="5" fillId="59" borderId="345" applyNumberFormat="0" applyFont="0" applyAlignment="0" applyProtection="0"/>
    <xf numFmtId="0" fontId="32" fillId="32" borderId="346">
      <alignment horizontal="right" vertical="center"/>
    </xf>
    <xf numFmtId="0" fontId="65" fillId="0" borderId="352" applyNumberFormat="0" applyFill="0" applyAlignment="0" applyProtection="0"/>
    <xf numFmtId="173" fontId="34" fillId="60" borderId="346" applyNumberFormat="0" applyFont="0" applyBorder="0" applyAlignment="0" applyProtection="0">
      <alignment horizontal="right" vertical="center"/>
    </xf>
    <xf numFmtId="0" fontId="50" fillId="0" borderId="352" applyNumberFormat="0" applyFill="0" applyAlignment="0" applyProtection="0"/>
    <xf numFmtId="0" fontId="65" fillId="0" borderId="352" applyNumberFormat="0" applyFill="0" applyAlignment="0" applyProtection="0"/>
    <xf numFmtId="0" fontId="45" fillId="56" borderId="351" applyNumberFormat="0" applyAlignment="0" applyProtection="0"/>
    <xf numFmtId="0" fontId="26" fillId="24" borderId="0" applyNumberFormat="0" applyBorder="0" applyAlignment="0" applyProtection="0"/>
    <xf numFmtId="0" fontId="32" fillId="32" borderId="346">
      <alignment horizontal="right" vertical="center"/>
    </xf>
    <xf numFmtId="0" fontId="34" fillId="0" borderId="349">
      <alignment horizontal="left" vertical="center" wrapText="1" indent="2"/>
    </xf>
    <xf numFmtId="0" fontId="32" fillId="32" borderId="346">
      <alignment horizontal="right" vertical="center"/>
    </xf>
    <xf numFmtId="0" fontId="12" fillId="31" borderId="0" applyNumberFormat="0" applyBorder="0" applyAlignment="0" applyProtection="0"/>
    <xf numFmtId="0" fontId="34" fillId="33" borderId="346"/>
    <xf numFmtId="4" fontId="32" fillId="34" borderId="346">
      <alignment horizontal="right" vertical="center"/>
    </xf>
    <xf numFmtId="4" fontId="36" fillId="32" borderId="346">
      <alignment horizontal="right" vertical="center"/>
    </xf>
    <xf numFmtId="0" fontId="65" fillId="0" borderId="352" applyNumberFormat="0" applyFill="0" applyAlignment="0" applyProtection="0"/>
    <xf numFmtId="0" fontId="34" fillId="0" borderId="349">
      <alignment horizontal="left" vertical="center" wrapText="1" indent="2"/>
    </xf>
    <xf numFmtId="49" fontId="34" fillId="0" borderId="346" applyNumberFormat="0" applyFont="0" applyFill="0" applyBorder="0" applyProtection="0">
      <alignment horizontal="left" vertical="center" indent="2"/>
    </xf>
    <xf numFmtId="0" fontId="34" fillId="33" borderId="346"/>
    <xf numFmtId="0" fontId="32" fillId="34" borderId="346">
      <alignment horizontal="right" vertical="center"/>
    </xf>
    <xf numFmtId="4" fontId="34" fillId="0" borderId="346">
      <alignment horizontal="right" vertical="center"/>
    </xf>
    <xf numFmtId="0" fontId="46" fillId="56" borderId="351" applyNumberFormat="0" applyAlignment="0" applyProtection="0"/>
    <xf numFmtId="173" fontId="34" fillId="60" borderId="346" applyNumberFormat="0" applyFont="0" applyBorder="0" applyAlignment="0" applyProtection="0">
      <alignment horizontal="right" vertical="center"/>
    </xf>
    <xf numFmtId="4" fontId="32" fillId="34" borderId="346">
      <alignment horizontal="right" vertical="center"/>
    </xf>
    <xf numFmtId="0" fontId="40" fillId="59" borderId="345" applyNumberFormat="0" applyFont="0" applyAlignment="0" applyProtection="0"/>
    <xf numFmtId="0" fontId="58" fillId="43" borderId="351" applyNumberFormat="0" applyAlignment="0" applyProtection="0"/>
    <xf numFmtId="0" fontId="43" fillId="56" borderId="350" applyNumberFormat="0" applyAlignment="0" applyProtection="0"/>
    <xf numFmtId="0" fontId="34" fillId="0" borderId="349">
      <alignment horizontal="left" vertical="center" wrapText="1" indent="2"/>
    </xf>
    <xf numFmtId="0" fontId="58" fillId="43" borderId="351" applyNumberFormat="0" applyAlignment="0" applyProtection="0"/>
    <xf numFmtId="0" fontId="43" fillId="56" borderId="350" applyNumberFormat="0" applyAlignment="0" applyProtection="0"/>
    <xf numFmtId="0" fontId="34" fillId="34" borderId="349">
      <alignment horizontal="left" vertical="center" wrapText="1" indent="2"/>
    </xf>
    <xf numFmtId="0" fontId="34" fillId="32" borderId="347">
      <alignment horizontal="left" vertical="center"/>
    </xf>
    <xf numFmtId="173" fontId="34" fillId="60" borderId="346" applyNumberFormat="0" applyFont="0" applyBorder="0" applyAlignment="0" applyProtection="0">
      <alignment horizontal="right" vertical="center"/>
    </xf>
    <xf numFmtId="4" fontId="34" fillId="0" borderId="346">
      <alignment horizontal="right" vertical="center"/>
    </xf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49" fontId="34" fillId="0" borderId="346" applyNumberFormat="0" applyFont="0" applyFill="0" applyBorder="0" applyProtection="0">
      <alignment horizontal="left" vertical="center" indent="2"/>
    </xf>
    <xf numFmtId="0" fontId="43" fillId="56" borderId="350" applyNumberFormat="0" applyAlignment="0" applyProtection="0"/>
    <xf numFmtId="0" fontId="29" fillId="13" borderId="13" applyNumberFormat="0" applyAlignment="0" applyProtection="0"/>
    <xf numFmtId="0" fontId="62" fillId="56" borderId="350" applyNumberFormat="0" applyAlignment="0" applyProtection="0"/>
    <xf numFmtId="0" fontId="34" fillId="32" borderId="347">
      <alignment horizontal="left" vertical="center"/>
    </xf>
    <xf numFmtId="0" fontId="34" fillId="0" borderId="349">
      <alignment horizontal="left" vertical="center" wrapText="1" indent="2"/>
    </xf>
    <xf numFmtId="0" fontId="49" fillId="43" borderId="351" applyNumberFormat="0" applyAlignment="0" applyProtection="0"/>
    <xf numFmtId="0" fontId="32" fillId="32" borderId="346">
      <alignment horizontal="right" vertical="center"/>
    </xf>
    <xf numFmtId="0" fontId="34" fillId="34" borderId="349">
      <alignment horizontal="left" vertical="center" wrapText="1" indent="2"/>
    </xf>
    <xf numFmtId="4" fontId="36" fillId="32" borderId="346">
      <alignment horizontal="right" vertical="center"/>
    </xf>
    <xf numFmtId="0" fontId="32" fillId="34" borderId="347">
      <alignment horizontal="right" vertical="center"/>
    </xf>
    <xf numFmtId="4" fontId="36" fillId="32" borderId="346">
      <alignment horizontal="right" vertical="center"/>
    </xf>
    <xf numFmtId="0" fontId="65" fillId="0" borderId="352" applyNumberFormat="0" applyFill="0" applyAlignment="0" applyProtection="0"/>
    <xf numFmtId="0" fontId="5" fillId="59" borderId="345" applyNumberFormat="0" applyFont="0" applyAlignment="0" applyProtection="0"/>
    <xf numFmtId="0" fontId="32" fillId="32" borderId="346">
      <alignment horizontal="right" vertical="center"/>
    </xf>
    <xf numFmtId="0" fontId="12" fillId="28" borderId="0" applyNumberFormat="0" applyBorder="0" applyAlignment="0" applyProtection="0"/>
    <xf numFmtId="4" fontId="32" fillId="34" borderId="346">
      <alignment horizontal="right" vertical="center"/>
    </xf>
    <xf numFmtId="0" fontId="34" fillId="0" borderId="346" applyNumberFormat="0" applyFill="0" applyAlignment="0" applyProtection="0"/>
    <xf numFmtId="0" fontId="34" fillId="0" borderId="346">
      <alignment horizontal="right" vertical="center"/>
    </xf>
    <xf numFmtId="0" fontId="65" fillId="0" borderId="352" applyNumberFormat="0" applyFill="0" applyAlignment="0" applyProtection="0"/>
    <xf numFmtId="0" fontId="36" fillId="32" borderId="346">
      <alignment horizontal="right" vertical="center"/>
    </xf>
    <xf numFmtId="0" fontId="46" fillId="56" borderId="351" applyNumberFormat="0" applyAlignment="0" applyProtection="0"/>
    <xf numFmtId="4" fontId="32" fillId="34" borderId="346">
      <alignment horizontal="right" vertical="center"/>
    </xf>
    <xf numFmtId="0" fontId="46" fillId="56" borderId="351" applyNumberFormat="0" applyAlignment="0" applyProtection="0"/>
    <xf numFmtId="0" fontId="32" fillId="34" borderId="346">
      <alignment horizontal="right" vertical="center"/>
    </xf>
    <xf numFmtId="0" fontId="34" fillId="33" borderId="346"/>
    <xf numFmtId="173" fontId="34" fillId="60" borderId="346" applyNumberFormat="0" applyFont="0" applyBorder="0" applyAlignment="0" applyProtection="0">
      <alignment horizontal="right" vertical="center"/>
    </xf>
    <xf numFmtId="0" fontId="26" fillId="17" borderId="0" applyNumberFormat="0" applyBorder="0" applyAlignment="0" applyProtection="0"/>
    <xf numFmtId="49" fontId="33" fillId="0" borderId="346" applyNumberFormat="0" applyFill="0" applyBorder="0" applyProtection="0">
      <alignment horizontal="left" vertical="center"/>
    </xf>
    <xf numFmtId="0" fontId="46" fillId="56" borderId="351" applyNumberFormat="0" applyAlignment="0" applyProtection="0"/>
    <xf numFmtId="0" fontId="26" fillId="24" borderId="0" applyNumberFormat="0" applyBorder="0" applyAlignment="0" applyProtection="0"/>
    <xf numFmtId="49" fontId="33" fillId="0" borderId="346" applyNumberFormat="0" applyFill="0" applyBorder="0" applyProtection="0">
      <alignment horizontal="left" vertical="center"/>
    </xf>
    <xf numFmtId="0" fontId="62" fillId="56" borderId="350" applyNumberFormat="0" applyAlignment="0" applyProtection="0"/>
    <xf numFmtId="0" fontId="36" fillId="32" borderId="346">
      <alignment horizontal="right" vertical="center"/>
    </xf>
    <xf numFmtId="173" fontId="34" fillId="60" borderId="346" applyNumberFormat="0" applyFont="0" applyBorder="0" applyAlignment="0" applyProtection="0">
      <alignment horizontal="right" vertical="center"/>
    </xf>
    <xf numFmtId="0" fontId="26" fillId="20" borderId="0" applyNumberFormat="0" applyBorder="0" applyAlignment="0" applyProtection="0"/>
    <xf numFmtId="0" fontId="5" fillId="59" borderId="345" applyNumberFormat="0" applyFont="0" applyAlignment="0" applyProtection="0"/>
    <xf numFmtId="0" fontId="30" fillId="0" borderId="0" applyNumberFormat="0" applyFill="0" applyBorder="0" applyAlignment="0" applyProtection="0"/>
    <xf numFmtId="4" fontId="34" fillId="0" borderId="346" applyFill="0" applyBorder="0" applyProtection="0">
      <alignment horizontal="right" vertical="center"/>
    </xf>
    <xf numFmtId="0" fontId="58" fillId="43" borderId="351" applyNumberFormat="0" applyAlignment="0" applyProtection="0"/>
    <xf numFmtId="4" fontId="32" fillId="34" borderId="347">
      <alignment horizontal="right" vertical="center"/>
    </xf>
    <xf numFmtId="0" fontId="65" fillId="0" borderId="352" applyNumberFormat="0" applyFill="0" applyAlignment="0" applyProtection="0"/>
    <xf numFmtId="0" fontId="34" fillId="33" borderId="346"/>
    <xf numFmtId="0" fontId="62" fillId="56" borderId="350" applyNumberFormat="0" applyAlignment="0" applyProtection="0"/>
    <xf numFmtId="0" fontId="26" fillId="21" borderId="0" applyNumberFormat="0" applyBorder="0" applyAlignment="0" applyProtection="0"/>
    <xf numFmtId="0" fontId="58" fillId="43" borderId="351" applyNumberFormat="0" applyAlignment="0" applyProtection="0"/>
    <xf numFmtId="0" fontId="34" fillId="0" borderId="346" applyNumberFormat="0" applyFill="0" applyAlignment="0" applyProtection="0"/>
    <xf numFmtId="0" fontId="46" fillId="56" borderId="351" applyNumberFormat="0" applyAlignment="0" applyProtection="0"/>
    <xf numFmtId="0" fontId="34" fillId="0" borderId="346" applyNumberFormat="0" applyFill="0" applyAlignment="0" applyProtection="0"/>
    <xf numFmtId="0" fontId="34" fillId="0" borderId="346">
      <alignment horizontal="right" vertical="center"/>
    </xf>
    <xf numFmtId="49" fontId="33" fillId="0" borderId="346" applyNumberFormat="0" applyFill="0" applyBorder="0" applyProtection="0">
      <alignment horizontal="left" vertical="center"/>
    </xf>
    <xf numFmtId="4" fontId="32" fillId="34" borderId="348">
      <alignment horizontal="right" vertical="center"/>
    </xf>
    <xf numFmtId="4" fontId="34" fillId="0" borderId="346" applyFill="0" applyBorder="0" applyProtection="0">
      <alignment horizontal="right" vertical="center"/>
    </xf>
    <xf numFmtId="0" fontId="34" fillId="33" borderId="346"/>
    <xf numFmtId="4" fontId="34" fillId="0" borderId="346">
      <alignment horizontal="right" vertical="center"/>
    </xf>
    <xf numFmtId="49" fontId="33" fillId="0" borderId="346" applyNumberFormat="0" applyFill="0" applyBorder="0" applyProtection="0">
      <alignment horizontal="left" vertical="center"/>
    </xf>
    <xf numFmtId="0" fontId="5" fillId="59" borderId="345" applyNumberFormat="0" applyFont="0" applyAlignment="0" applyProtection="0"/>
    <xf numFmtId="4" fontId="34" fillId="33" borderId="346"/>
    <xf numFmtId="0" fontId="46" fillId="56" borderId="351" applyNumberFormat="0" applyAlignment="0" applyProtection="0"/>
    <xf numFmtId="0" fontId="46" fillId="56" borderId="351" applyNumberFormat="0" applyAlignment="0" applyProtection="0"/>
    <xf numFmtId="49" fontId="34" fillId="0" borderId="347" applyNumberFormat="0" applyFont="0" applyFill="0" applyBorder="0" applyProtection="0">
      <alignment horizontal="left" vertical="center" indent="5"/>
    </xf>
    <xf numFmtId="0" fontId="12" fillId="25" borderId="0" applyNumberFormat="0" applyBorder="0" applyAlignment="0" applyProtection="0"/>
    <xf numFmtId="0" fontId="32" fillId="34" borderId="347">
      <alignment horizontal="right" vertical="center"/>
    </xf>
    <xf numFmtId="0" fontId="58" fillId="43" borderId="351" applyNumberFormat="0" applyAlignment="0" applyProtection="0"/>
    <xf numFmtId="4" fontId="34" fillId="0" borderId="346">
      <alignment horizontal="right" vertical="center"/>
    </xf>
    <xf numFmtId="0" fontId="58" fillId="43" borderId="351" applyNumberFormat="0" applyAlignment="0" applyProtection="0"/>
    <xf numFmtId="0" fontId="36" fillId="32" borderId="346">
      <alignment horizontal="right" vertical="center"/>
    </xf>
    <xf numFmtId="0" fontId="26" fillId="30" borderId="0" applyNumberFormat="0" applyBorder="0" applyAlignment="0" applyProtection="0"/>
    <xf numFmtId="49" fontId="34" fillId="0" borderId="346" applyNumberFormat="0" applyFont="0" applyFill="0" applyBorder="0" applyProtection="0">
      <alignment horizontal="left" vertical="center" indent="2"/>
    </xf>
    <xf numFmtId="173" fontId="34" fillId="60" borderId="346" applyNumberFormat="0" applyFont="0" applyBorder="0" applyAlignment="0" applyProtection="0">
      <alignment horizontal="right" vertical="center"/>
    </xf>
    <xf numFmtId="0" fontId="40" fillId="59" borderId="345" applyNumberFormat="0" applyFont="0" applyAlignment="0" applyProtection="0"/>
    <xf numFmtId="4" fontId="34" fillId="0" borderId="346" applyFill="0" applyBorder="0" applyProtection="0">
      <alignment horizontal="right" vertical="center"/>
    </xf>
    <xf numFmtId="49" fontId="34" fillId="0" borderId="347" applyNumberFormat="0" applyFont="0" applyFill="0" applyBorder="0" applyProtection="0">
      <alignment horizontal="left" vertical="center" indent="5"/>
    </xf>
    <xf numFmtId="0" fontId="45" fillId="56" borderId="351" applyNumberFormat="0" applyAlignment="0" applyProtection="0"/>
    <xf numFmtId="0" fontId="12" fillId="31" borderId="0" applyNumberFormat="0" applyBorder="0" applyAlignment="0" applyProtection="0"/>
    <xf numFmtId="0" fontId="34" fillId="0" borderId="349">
      <alignment horizontal="left" vertical="center" wrapText="1" indent="2"/>
    </xf>
    <xf numFmtId="4" fontId="32" fillId="34" borderId="347">
      <alignment horizontal="right" vertical="center"/>
    </xf>
    <xf numFmtId="0" fontId="12" fillId="22" borderId="0" applyNumberFormat="0" applyBorder="0" applyAlignment="0" applyProtection="0"/>
    <xf numFmtId="49" fontId="34" fillId="0" borderId="347" applyNumberFormat="0" applyFont="0" applyFill="0" applyBorder="0" applyProtection="0">
      <alignment horizontal="left" vertical="center" indent="5"/>
    </xf>
    <xf numFmtId="0" fontId="58" fillId="43" borderId="351" applyNumberFormat="0" applyAlignment="0" applyProtection="0"/>
    <xf numFmtId="0" fontId="45" fillId="56" borderId="351" applyNumberFormat="0" applyAlignment="0" applyProtection="0"/>
    <xf numFmtId="0" fontId="12" fillId="19" borderId="0" applyNumberFormat="0" applyBorder="0" applyAlignment="0" applyProtection="0"/>
    <xf numFmtId="0" fontId="62" fillId="56" borderId="350" applyNumberFormat="0" applyAlignment="0" applyProtection="0"/>
    <xf numFmtId="49" fontId="33" fillId="0" borderId="346" applyNumberFormat="0" applyFill="0" applyBorder="0" applyProtection="0">
      <alignment horizontal="left" vertical="center"/>
    </xf>
    <xf numFmtId="0" fontId="58" fillId="43" borderId="351" applyNumberFormat="0" applyAlignment="0" applyProtection="0"/>
    <xf numFmtId="0" fontId="28" fillId="13" borderId="14" applyNumberFormat="0" applyAlignment="0" applyProtection="0"/>
    <xf numFmtId="4" fontId="32" fillId="34" borderId="346">
      <alignment horizontal="right" vertical="center"/>
    </xf>
    <xf numFmtId="4" fontId="34" fillId="0" borderId="346">
      <alignment horizontal="right" vertical="center"/>
    </xf>
    <xf numFmtId="4" fontId="32" fillId="32" borderId="346">
      <alignment horizontal="right" vertical="center"/>
    </xf>
    <xf numFmtId="0" fontId="65" fillId="0" borderId="352" applyNumberFormat="0" applyFill="0" applyAlignment="0" applyProtection="0"/>
    <xf numFmtId="0" fontId="34" fillId="32" borderId="347">
      <alignment horizontal="left" vertical="center"/>
    </xf>
    <xf numFmtId="0" fontId="34" fillId="0" borderId="349">
      <alignment horizontal="left" vertical="center" wrapText="1" indent="2"/>
    </xf>
    <xf numFmtId="4" fontId="32" fillId="32" borderId="346">
      <alignment horizontal="right" vertical="center"/>
    </xf>
    <xf numFmtId="0" fontId="34" fillId="33" borderId="346"/>
    <xf numFmtId="0" fontId="49" fillId="43" borderId="351" applyNumberFormat="0" applyAlignment="0" applyProtection="0"/>
    <xf numFmtId="0" fontId="32" fillId="34" borderId="346">
      <alignment horizontal="right" vertical="center"/>
    </xf>
    <xf numFmtId="0" fontId="46" fillId="56" borderId="351" applyNumberFormat="0" applyAlignment="0" applyProtection="0"/>
    <xf numFmtId="0" fontId="28" fillId="13" borderId="14" applyNumberFormat="0" applyAlignment="0" applyProtection="0"/>
    <xf numFmtId="4" fontId="34" fillId="0" borderId="346" applyFill="0" applyBorder="0" applyProtection="0">
      <alignment horizontal="right" vertical="center"/>
    </xf>
    <xf numFmtId="0" fontId="40" fillId="59" borderId="345" applyNumberFormat="0" applyFont="0" applyAlignment="0" applyProtection="0"/>
    <xf numFmtId="0" fontId="32" fillId="32" borderId="346">
      <alignment horizontal="right" vertical="center"/>
    </xf>
    <xf numFmtId="0" fontId="50" fillId="0" borderId="352" applyNumberFormat="0" applyFill="0" applyAlignment="0" applyProtection="0"/>
    <xf numFmtId="0" fontId="34" fillId="0" borderId="346" applyNumberFormat="0" applyFill="0" applyAlignment="0" applyProtection="0"/>
    <xf numFmtId="0" fontId="50" fillId="0" borderId="352" applyNumberFormat="0" applyFill="0" applyAlignment="0" applyProtection="0"/>
    <xf numFmtId="4" fontId="34" fillId="0" borderId="346" applyFill="0" applyBorder="0" applyProtection="0">
      <alignment horizontal="right" vertical="center"/>
    </xf>
    <xf numFmtId="49" fontId="34" fillId="0" borderId="347" applyNumberFormat="0" applyFont="0" applyFill="0" applyBorder="0" applyProtection="0">
      <alignment horizontal="left" vertical="center" indent="5"/>
    </xf>
    <xf numFmtId="0" fontId="34" fillId="0" borderId="346" applyNumberFormat="0" applyFill="0" applyAlignment="0" applyProtection="0"/>
    <xf numFmtId="0" fontId="34" fillId="0" borderId="346" applyNumberFormat="0" applyFill="0" applyAlignment="0" applyProtection="0"/>
    <xf numFmtId="4" fontId="32" fillId="34" borderId="346">
      <alignment horizontal="right" vertical="center"/>
    </xf>
    <xf numFmtId="0" fontId="49" fillId="43" borderId="351" applyNumberFormat="0" applyAlignment="0" applyProtection="0"/>
    <xf numFmtId="0" fontId="46" fillId="56" borderId="351" applyNumberFormat="0" applyAlignment="0" applyProtection="0"/>
    <xf numFmtId="4" fontId="34" fillId="0" borderId="346">
      <alignment horizontal="right" vertical="center"/>
    </xf>
    <xf numFmtId="0" fontId="34" fillId="34" borderId="349">
      <alignment horizontal="left" vertical="center" wrapText="1" indent="2"/>
    </xf>
    <xf numFmtId="0" fontId="34" fillId="0" borderId="349">
      <alignment horizontal="left" vertical="center" wrapText="1" indent="2"/>
    </xf>
    <xf numFmtId="0" fontId="62" fillId="56" borderId="350" applyNumberFormat="0" applyAlignment="0" applyProtection="0"/>
    <xf numFmtId="0" fontId="58" fillId="43" borderId="351" applyNumberFormat="0" applyAlignment="0" applyProtection="0"/>
    <xf numFmtId="0" fontId="45" fillId="56" borderId="351" applyNumberFormat="0" applyAlignment="0" applyProtection="0"/>
    <xf numFmtId="0" fontId="43" fillId="56" borderId="350" applyNumberFormat="0" applyAlignment="0" applyProtection="0"/>
    <xf numFmtId="0" fontId="32" fillId="34" borderId="348">
      <alignment horizontal="right" vertical="center"/>
    </xf>
    <xf numFmtId="0" fontId="36" fillId="32" borderId="346">
      <alignment horizontal="right" vertical="center"/>
    </xf>
    <xf numFmtId="4" fontId="32" fillId="32" borderId="346">
      <alignment horizontal="right" vertical="center"/>
    </xf>
    <xf numFmtId="4" fontId="32" fillId="34" borderId="346">
      <alignment horizontal="right" vertical="center"/>
    </xf>
    <xf numFmtId="49" fontId="34" fillId="0" borderId="347" applyNumberFormat="0" applyFont="0" applyFill="0" applyBorder="0" applyProtection="0">
      <alignment horizontal="left" vertical="center" indent="5"/>
    </xf>
    <xf numFmtId="4" fontId="34" fillId="0" borderId="346" applyFill="0" applyBorder="0" applyProtection="0">
      <alignment horizontal="right" vertical="center"/>
    </xf>
    <xf numFmtId="4" fontId="32" fillId="32" borderId="346">
      <alignment horizontal="right" vertical="center"/>
    </xf>
    <xf numFmtId="0" fontId="58" fillId="43" borderId="351" applyNumberFormat="0" applyAlignment="0" applyProtection="0"/>
    <xf numFmtId="0" fontId="49" fillId="43" borderId="351" applyNumberFormat="0" applyAlignment="0" applyProtection="0"/>
    <xf numFmtId="0" fontId="45" fillId="56" borderId="351" applyNumberFormat="0" applyAlignment="0" applyProtection="0"/>
    <xf numFmtId="0" fontId="34" fillId="34" borderId="349">
      <alignment horizontal="left" vertical="center" wrapText="1" indent="2"/>
    </xf>
    <xf numFmtId="0" fontId="34" fillId="0" borderId="349">
      <alignment horizontal="left" vertical="center" wrapText="1" indent="2"/>
    </xf>
    <xf numFmtId="0" fontId="34" fillId="34" borderId="349">
      <alignment horizontal="left" vertical="center" wrapText="1" indent="2"/>
    </xf>
    <xf numFmtId="0" fontId="34" fillId="33" borderId="364"/>
    <xf numFmtId="0" fontId="29" fillId="13" borderId="13" applyNumberFormat="0" applyAlignment="0" applyProtection="0"/>
    <xf numFmtId="0" fontId="34" fillId="0" borderId="367">
      <alignment horizontal="left" vertical="center" wrapText="1" indent="2"/>
    </xf>
    <xf numFmtId="0" fontId="34" fillId="34" borderId="367">
      <alignment horizontal="left" vertical="center" wrapText="1" indent="2"/>
    </xf>
    <xf numFmtId="0" fontId="40" fillId="59" borderId="377" applyNumberFormat="0" applyFont="0" applyAlignment="0" applyProtection="0"/>
    <xf numFmtId="0" fontId="40" fillId="59" borderId="385" applyNumberFormat="0" applyFont="0" applyAlignment="0" applyProtection="0"/>
    <xf numFmtId="4" fontId="32" fillId="34" borderId="366">
      <alignment horizontal="right" vertical="center"/>
    </xf>
    <xf numFmtId="0" fontId="12" fillId="31" borderId="0" applyNumberFormat="0" applyBorder="0" applyAlignment="0" applyProtection="0"/>
    <xf numFmtId="0" fontId="34" fillId="34" borderId="367">
      <alignment horizontal="left" vertical="center" wrapText="1" indent="2"/>
    </xf>
    <xf numFmtId="0" fontId="58" fillId="43" borderId="361" applyNumberFormat="0" applyAlignment="0" applyProtection="0"/>
    <xf numFmtId="0" fontId="32" fillId="34" borderId="364">
      <alignment horizontal="right" vertical="center"/>
    </xf>
    <xf numFmtId="4" fontId="32" fillId="34" borderId="380">
      <alignment horizontal="right" vertical="center"/>
    </xf>
    <xf numFmtId="0" fontId="32" fillId="34" borderId="370">
      <alignment horizontal="right" vertical="center"/>
    </xf>
    <xf numFmtId="0" fontId="26" fillId="18" borderId="0" applyNumberFormat="0" applyBorder="0" applyAlignment="0" applyProtection="0"/>
    <xf numFmtId="0" fontId="46" fillId="56" borderId="375" applyNumberFormat="0" applyAlignment="0" applyProtection="0"/>
    <xf numFmtId="0" fontId="32" fillId="34" borderId="372">
      <alignment horizontal="right" vertical="center"/>
    </xf>
    <xf numFmtId="0" fontId="1" fillId="0" borderId="0" applyNumberFormat="0" applyFill="0" applyBorder="0" applyAlignment="0" applyProtection="0"/>
    <xf numFmtId="0" fontId="50" fillId="0" borderId="362" applyNumberFormat="0" applyFill="0" applyAlignment="0" applyProtection="0"/>
    <xf numFmtId="4" fontId="32" fillId="34" borderId="366">
      <alignment horizontal="right" vertical="center"/>
    </xf>
    <xf numFmtId="0" fontId="49" fillId="43" borderId="361" applyNumberFormat="0" applyAlignment="0" applyProtection="0"/>
    <xf numFmtId="0" fontId="12" fillId="25" borderId="0" applyNumberFormat="0" applyBorder="0" applyAlignment="0" applyProtection="0"/>
    <xf numFmtId="0" fontId="26" fillId="30" borderId="0" applyNumberFormat="0" applyBorder="0" applyAlignment="0" applyProtection="0"/>
    <xf numFmtId="4" fontId="34" fillId="33" borderId="364"/>
    <xf numFmtId="0" fontId="65" fillId="0" borderId="392" applyNumberFormat="0" applyFill="0" applyAlignment="0" applyProtection="0"/>
    <xf numFmtId="0" fontId="46" fillId="56" borderId="375" applyNumberFormat="0" applyAlignment="0" applyProtection="0"/>
    <xf numFmtId="49" fontId="34" fillId="0" borderId="364" applyNumberFormat="0" applyFont="0" applyFill="0" applyBorder="0" applyProtection="0">
      <alignment horizontal="left" vertical="center" indent="2"/>
    </xf>
    <xf numFmtId="0" fontId="32" fillId="32" borderId="364">
      <alignment horizontal="right" vertical="center"/>
    </xf>
    <xf numFmtId="0" fontId="32" fillId="32" borderId="370">
      <alignment horizontal="right" vertical="center"/>
    </xf>
    <xf numFmtId="0" fontId="45" fillId="56" borderId="383" applyNumberFormat="0" applyAlignment="0" applyProtection="0"/>
    <xf numFmtId="0" fontId="34" fillId="0" borderId="378" applyNumberFormat="0" applyFill="0" applyAlignment="0" applyProtection="0"/>
    <xf numFmtId="0" fontId="65" fillId="0" borderId="384" applyNumberFormat="0" applyFill="0" applyAlignment="0" applyProtection="0"/>
    <xf numFmtId="4" fontId="34" fillId="33" borderId="370"/>
    <xf numFmtId="49" fontId="34" fillId="0" borderId="370" applyNumberFormat="0" applyFont="0" applyFill="0" applyBorder="0" applyProtection="0">
      <alignment horizontal="left" vertical="center" indent="2"/>
    </xf>
    <xf numFmtId="0" fontId="28" fillId="13" borderId="14" applyNumberFormat="0" applyAlignment="0" applyProtection="0"/>
    <xf numFmtId="0" fontId="32" fillId="34" borderId="406">
      <alignment horizontal="right" vertical="center"/>
    </xf>
    <xf numFmtId="0" fontId="46" fillId="56" borderId="361" applyNumberFormat="0" applyAlignment="0" applyProtection="0"/>
    <xf numFmtId="0" fontId="34" fillId="32" borderId="430">
      <alignment horizontal="left" vertical="center"/>
    </xf>
    <xf numFmtId="0" fontId="12" fillId="16" borderId="0" applyNumberFormat="0" applyBorder="0" applyAlignment="0" applyProtection="0"/>
    <xf numFmtId="0" fontId="46" fillId="56" borderId="383" applyNumberFormat="0" applyAlignment="0" applyProtection="0"/>
    <xf numFmtId="0" fontId="5" fillId="59" borderId="363" applyNumberFormat="0" applyFont="0" applyAlignment="0" applyProtection="0"/>
    <xf numFmtId="0" fontId="46" fillId="56" borderId="361" applyNumberFormat="0" applyAlignment="0" applyProtection="0"/>
    <xf numFmtId="0" fontId="32" fillId="34" borderId="366">
      <alignment horizontal="right" vertical="center"/>
    </xf>
    <xf numFmtId="0" fontId="32" fillId="34" borderId="370">
      <alignment horizontal="right" vertical="center"/>
    </xf>
    <xf numFmtId="0" fontId="40" fillId="59" borderId="363" applyNumberFormat="0" applyFont="0" applyAlignment="0" applyProtection="0"/>
    <xf numFmtId="0" fontId="32" fillId="34" borderId="411">
      <alignment horizontal="right" vertical="center"/>
    </xf>
    <xf numFmtId="0" fontId="34" fillId="0" borderId="373">
      <alignment horizontal="left" vertical="center" wrapText="1" indent="2"/>
    </xf>
    <xf numFmtId="4" fontId="32" fillId="34" borderId="372">
      <alignment horizontal="right" vertical="center"/>
    </xf>
    <xf numFmtId="0" fontId="58" fillId="43" borderId="383" applyNumberFormat="0" applyAlignment="0" applyProtection="0"/>
    <xf numFmtId="4" fontId="34" fillId="33" borderId="364"/>
    <xf numFmtId="0" fontId="65" fillId="0" borderId="362" applyNumberFormat="0" applyFill="0" applyAlignment="0" applyProtection="0"/>
    <xf numFmtId="0" fontId="28" fillId="13" borderId="14" applyNumberFormat="0" applyAlignment="0" applyProtection="0"/>
    <xf numFmtId="0" fontId="29" fillId="13" borderId="13" applyNumberFormat="0" applyAlignment="0" applyProtection="0"/>
    <xf numFmtId="0" fontId="50" fillId="0" borderId="416" applyNumberFormat="0" applyFill="0" applyAlignment="0" applyProtection="0"/>
    <xf numFmtId="0" fontId="58" fillId="43" borderId="361" applyNumberFormat="0" applyAlignment="0" applyProtection="0"/>
    <xf numFmtId="0" fontId="1" fillId="0" borderId="0" applyNumberFormat="0" applyFill="0" applyBorder="0" applyAlignment="0" applyProtection="0"/>
    <xf numFmtId="4" fontId="32" fillId="34" borderId="364">
      <alignment horizontal="right" vertical="center"/>
    </xf>
    <xf numFmtId="0" fontId="30" fillId="0" borderId="0" applyNumberFormat="0" applyFill="0" applyBorder="0" applyAlignment="0" applyProtection="0"/>
    <xf numFmtId="0" fontId="2" fillId="0" borderId="15" applyNumberFormat="0" applyFill="0" applyAlignment="0" applyProtection="0"/>
    <xf numFmtId="0" fontId="46" fillId="56" borderId="391" applyNumberFormat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12" fillId="16" borderId="0" applyNumberFormat="0" applyBorder="0" applyAlignment="0" applyProtection="0"/>
    <xf numFmtId="0" fontId="34" fillId="0" borderId="373">
      <alignment horizontal="left" vertical="center" wrapText="1" indent="2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12" fillId="19" borderId="0" applyNumberFormat="0" applyBorder="0" applyAlignment="0" applyProtection="0"/>
    <xf numFmtId="0" fontId="26" fillId="21" borderId="0" applyNumberFormat="0" applyBorder="0" applyAlignment="0" applyProtection="0"/>
    <xf numFmtId="0" fontId="26" fillId="20" borderId="0" applyNumberFormat="0" applyBorder="0" applyAlignment="0" applyProtection="0"/>
    <xf numFmtId="0" fontId="26" fillId="21" borderId="0" applyNumberFormat="0" applyBorder="0" applyAlignment="0" applyProtection="0"/>
    <xf numFmtId="0" fontId="12" fillId="22" borderId="0" applyNumberFormat="0" applyBorder="0" applyAlignment="0" applyProtection="0"/>
    <xf numFmtId="4" fontId="32" fillId="34" borderId="397">
      <alignment horizontal="right" vertical="center"/>
    </xf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12" fillId="25" borderId="0" applyNumberFormat="0" applyBorder="0" applyAlignment="0" applyProtection="0"/>
    <xf numFmtId="0" fontId="40" fillId="59" borderId="385" applyNumberFormat="0" applyFont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12" fillId="28" borderId="0" applyNumberFormat="0" applyBorder="0" applyAlignment="0" applyProtection="0"/>
    <xf numFmtId="0" fontId="65" fillId="0" borderId="416" applyNumberFormat="0" applyFill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12" fillId="31" borderId="0" applyNumberFormat="0" applyBorder="0" applyAlignment="0" applyProtection="0"/>
    <xf numFmtId="0" fontId="34" fillId="0" borderId="346" applyNumberFormat="0" applyFill="0" applyAlignment="0" applyProtection="0"/>
    <xf numFmtId="0" fontId="32" fillId="34" borderId="346">
      <alignment horizontal="right" vertical="center"/>
    </xf>
    <xf numFmtId="0" fontId="32" fillId="34" borderId="346">
      <alignment horizontal="right" vertical="center"/>
    </xf>
    <xf numFmtId="0" fontId="34" fillId="0" borderId="349">
      <alignment horizontal="left" vertical="center" wrapText="1" indent="2"/>
    </xf>
    <xf numFmtId="0" fontId="32" fillId="34" borderId="348">
      <alignment horizontal="right" vertical="center"/>
    </xf>
    <xf numFmtId="0" fontId="34" fillId="0" borderId="346">
      <alignment horizontal="right" vertical="center"/>
    </xf>
    <xf numFmtId="0" fontId="36" fillId="32" borderId="346">
      <alignment horizontal="right" vertical="center"/>
    </xf>
    <xf numFmtId="0" fontId="34" fillId="33" borderId="346"/>
    <xf numFmtId="0" fontId="32" fillId="32" borderId="346">
      <alignment horizontal="right" vertical="center"/>
    </xf>
    <xf numFmtId="0" fontId="62" fillId="56" borderId="368" applyNumberFormat="0" applyAlignment="0" applyProtection="0"/>
    <xf numFmtId="0" fontId="36" fillId="32" borderId="364">
      <alignment horizontal="right" vertical="center"/>
    </xf>
    <xf numFmtId="4" fontId="36" fillId="32" borderId="370">
      <alignment horizontal="right" vertical="center"/>
    </xf>
    <xf numFmtId="0" fontId="30" fillId="0" borderId="0" applyNumberFormat="0" applyFill="0" applyBorder="0" applyAlignment="0" applyProtection="0"/>
    <xf numFmtId="0" fontId="5" fillId="59" borderId="369" applyNumberFormat="0" applyFont="0" applyAlignment="0" applyProtection="0"/>
    <xf numFmtId="4" fontId="32" fillId="34" borderId="366">
      <alignment horizontal="right" vertical="center"/>
    </xf>
    <xf numFmtId="0" fontId="65" fillId="0" borderId="362" applyNumberFormat="0" applyFill="0" applyAlignment="0" applyProtection="0"/>
    <xf numFmtId="0" fontId="46" fillId="56" borderId="361" applyNumberFormat="0" applyAlignment="0" applyProtection="0"/>
    <xf numFmtId="0" fontId="32" fillId="34" borderId="364">
      <alignment horizontal="right" vertical="center"/>
    </xf>
    <xf numFmtId="0" fontId="32" fillId="34" borderId="364">
      <alignment horizontal="right" vertical="center"/>
    </xf>
    <xf numFmtId="0" fontId="32" fillId="34" borderId="365">
      <alignment horizontal="right" vertical="center"/>
    </xf>
    <xf numFmtId="4" fontId="34" fillId="33" borderId="386"/>
    <xf numFmtId="0" fontId="12" fillId="28" borderId="0" applyNumberFormat="0" applyBorder="0" applyAlignment="0" applyProtection="0"/>
    <xf numFmtId="0" fontId="32" fillId="34" borderId="370">
      <alignment horizontal="right" vertical="center"/>
    </xf>
    <xf numFmtId="49" fontId="33" fillId="0" borderId="370" applyNumberFormat="0" applyFill="0" applyBorder="0" applyProtection="0">
      <alignment horizontal="left" vertical="center"/>
    </xf>
    <xf numFmtId="49" fontId="33" fillId="0" borderId="370" applyNumberFormat="0" applyFill="0" applyBorder="0" applyProtection="0">
      <alignment horizontal="left" vertical="center"/>
    </xf>
    <xf numFmtId="0" fontId="32" fillId="34" borderId="372">
      <alignment horizontal="right" vertical="center"/>
    </xf>
    <xf numFmtId="0" fontId="49" fillId="43" borderId="361" applyNumberFormat="0" applyAlignment="0" applyProtection="0"/>
    <xf numFmtId="0" fontId="65" fillId="0" borderId="362" applyNumberFormat="0" applyFill="0" applyAlignment="0" applyProtection="0"/>
    <xf numFmtId="4" fontId="34" fillId="0" borderId="364">
      <alignment horizontal="right" vertical="center"/>
    </xf>
    <xf numFmtId="4" fontId="32" fillId="32" borderId="386">
      <alignment horizontal="right" vertical="center"/>
    </xf>
    <xf numFmtId="0" fontId="43" fillId="56" borderId="374" applyNumberFormat="0" applyAlignment="0" applyProtection="0"/>
    <xf numFmtId="0" fontId="32" fillId="34" borderId="399">
      <alignment horizontal="right" vertical="center"/>
    </xf>
    <xf numFmtId="0" fontId="32" fillId="34" borderId="386">
      <alignment horizontal="right" vertical="center"/>
    </xf>
    <xf numFmtId="0" fontId="32" fillId="32" borderId="386">
      <alignment horizontal="right" vertical="center"/>
    </xf>
    <xf numFmtId="0" fontId="43" fillId="56" borderId="374" applyNumberFormat="0" applyAlignment="0" applyProtection="0"/>
    <xf numFmtId="0" fontId="32" fillId="34" borderId="397">
      <alignment horizontal="right" vertical="center"/>
    </xf>
    <xf numFmtId="0" fontId="65" fillId="0" borderId="376" applyNumberFormat="0" applyFill="0" applyAlignment="0" applyProtection="0"/>
    <xf numFmtId="4" fontId="32" fillId="34" borderId="364">
      <alignment horizontal="right" vertical="center"/>
    </xf>
    <xf numFmtId="0" fontId="34" fillId="33" borderId="364"/>
    <xf numFmtId="0" fontId="46" fillId="56" borderId="375" applyNumberFormat="0" applyAlignment="0" applyProtection="0"/>
    <xf numFmtId="0" fontId="45" fillId="56" borderId="383" applyNumberFormat="0" applyAlignment="0" applyProtection="0"/>
    <xf numFmtId="0" fontId="46" fillId="56" borderId="361" applyNumberFormat="0" applyAlignment="0" applyProtection="0"/>
    <xf numFmtId="0" fontId="32" fillId="34" borderId="386">
      <alignment horizontal="right" vertical="center"/>
    </xf>
    <xf numFmtId="0" fontId="34" fillId="32" borderId="379">
      <alignment horizontal="left" vertical="center"/>
    </xf>
    <xf numFmtId="0" fontId="32" fillId="34" borderId="387">
      <alignment horizontal="right" vertical="center"/>
    </xf>
    <xf numFmtId="0" fontId="46" fillId="56" borderId="361" applyNumberFormat="0" applyAlignment="0" applyProtection="0"/>
    <xf numFmtId="0" fontId="28" fillId="13" borderId="14" applyNumberFormat="0" applyAlignment="0" applyProtection="0"/>
    <xf numFmtId="0" fontId="34" fillId="0" borderId="404">
      <alignment horizontal="right" vertical="center"/>
    </xf>
    <xf numFmtId="0" fontId="49" fillId="43" borderId="375" applyNumberFormat="0" applyAlignment="0" applyProtection="0"/>
    <xf numFmtId="0" fontId="50" fillId="0" borderId="376" applyNumberFormat="0" applyFill="0" applyAlignment="0" applyProtection="0"/>
    <xf numFmtId="0" fontId="32" fillId="34" borderId="366">
      <alignment horizontal="right" vertical="center"/>
    </xf>
    <xf numFmtId="4" fontId="36" fillId="32" borderId="370">
      <alignment horizontal="right" vertical="center"/>
    </xf>
    <xf numFmtId="0" fontId="46" fillId="56" borderId="361" applyNumberFormat="0" applyAlignment="0" applyProtection="0"/>
    <xf numFmtId="4" fontId="32" fillId="34" borderId="364">
      <alignment horizontal="right" vertical="center"/>
    </xf>
    <xf numFmtId="0" fontId="32" fillId="34" borderId="364">
      <alignment horizontal="right" vertical="center"/>
    </xf>
    <xf numFmtId="0" fontId="65" fillId="0" borderId="362" applyNumberFormat="0" applyFill="0" applyAlignment="0" applyProtection="0"/>
    <xf numFmtId="0" fontId="32" fillId="34" borderId="364">
      <alignment horizontal="right" vertical="center"/>
    </xf>
    <xf numFmtId="4" fontId="32" fillId="34" borderId="366">
      <alignment horizontal="right" vertical="center"/>
    </xf>
    <xf numFmtId="4" fontId="32" fillId="34" borderId="365">
      <alignment horizontal="right" vertical="center"/>
    </xf>
    <xf numFmtId="0" fontId="46" fillId="56" borderId="354" applyNumberFormat="0" applyAlignment="0" applyProtection="0"/>
    <xf numFmtId="4" fontId="36" fillId="32" borderId="364">
      <alignment horizontal="right" vertical="center"/>
    </xf>
    <xf numFmtId="43" fontId="37" fillId="0" borderId="0" applyFont="0" applyFill="0" applyBorder="0" applyAlignment="0" applyProtection="0"/>
    <xf numFmtId="4" fontId="32" fillId="34" borderId="365">
      <alignment horizontal="right" vertical="center"/>
    </xf>
    <xf numFmtId="43" fontId="37" fillId="0" borderId="0" applyFont="0" applyFill="0" applyBorder="0" applyAlignment="0" applyProtection="0"/>
    <xf numFmtId="0" fontId="49" fillId="43" borderId="361" applyNumberFormat="0" applyAlignment="0" applyProtection="0"/>
    <xf numFmtId="0" fontId="65" fillId="0" borderId="402" applyNumberFormat="0" applyFill="0" applyAlignment="0" applyProtection="0"/>
    <xf numFmtId="0" fontId="32" fillId="32" borderId="370">
      <alignment horizontal="right" vertical="center"/>
    </xf>
    <xf numFmtId="0" fontId="32" fillId="34" borderId="371">
      <alignment horizontal="right" vertical="center"/>
    </xf>
    <xf numFmtId="0" fontId="34" fillId="32" borderId="371">
      <alignment horizontal="left" vertical="center"/>
    </xf>
    <xf numFmtId="0" fontId="65" fillId="0" borderId="362" applyNumberFormat="0" applyFill="0" applyAlignment="0" applyProtection="0"/>
    <xf numFmtId="0" fontId="62" fillId="56" borderId="368" applyNumberFormat="0" applyAlignment="0" applyProtection="0"/>
    <xf numFmtId="0" fontId="46" fillId="56" borderId="361" applyNumberFormat="0" applyAlignment="0" applyProtection="0"/>
    <xf numFmtId="0" fontId="65" fillId="0" borderId="362" applyNumberFormat="0" applyFill="0" applyAlignment="0" applyProtection="0"/>
    <xf numFmtId="0" fontId="58" fillId="43" borderId="354" applyNumberFormat="0" applyAlignment="0" applyProtection="0"/>
    <xf numFmtId="4" fontId="34" fillId="0" borderId="364">
      <alignment horizontal="right" vertical="center"/>
    </xf>
    <xf numFmtId="4" fontId="32" fillId="32" borderId="364">
      <alignment horizontal="right" vertical="center"/>
    </xf>
    <xf numFmtId="4" fontId="36" fillId="32" borderId="364">
      <alignment horizontal="right" vertical="center"/>
    </xf>
    <xf numFmtId="49" fontId="33" fillId="0" borderId="364" applyNumberFormat="0" applyFill="0" applyBorder="0" applyProtection="0">
      <alignment horizontal="left" vertical="center"/>
    </xf>
    <xf numFmtId="0" fontId="58" fillId="43" borderId="375" applyNumberFormat="0" applyAlignment="0" applyProtection="0"/>
    <xf numFmtId="0" fontId="65" fillId="0" borderId="376" applyNumberFormat="0" applyFill="0" applyAlignment="0" applyProtection="0"/>
    <xf numFmtId="0" fontId="40" fillId="59" borderId="363" applyNumberFormat="0" applyFont="0" applyAlignment="0" applyProtection="0"/>
    <xf numFmtId="0" fontId="34" fillId="0" borderId="364">
      <alignment horizontal="right" vertical="center"/>
    </xf>
    <xf numFmtId="0" fontId="32" fillId="34" borderId="370">
      <alignment horizontal="right" vertical="center"/>
    </xf>
    <xf numFmtId="0" fontId="58" fillId="43" borderId="375" applyNumberFormat="0" applyAlignment="0" applyProtection="0"/>
    <xf numFmtId="0" fontId="32" fillId="32" borderId="370">
      <alignment horizontal="right" vertical="center"/>
    </xf>
    <xf numFmtId="0" fontId="26" fillId="14" borderId="0" applyNumberFormat="0" applyBorder="0" applyAlignment="0" applyProtection="0"/>
    <xf numFmtId="0" fontId="46" fillId="56" borderId="391" applyNumberFormat="0" applyAlignment="0" applyProtection="0"/>
    <xf numFmtId="0" fontId="45" fillId="56" borderId="391" applyNumberFormat="0" applyAlignment="0" applyProtection="0"/>
    <xf numFmtId="0" fontId="40" fillId="59" borderId="377" applyNumberFormat="0" applyFont="0" applyAlignment="0" applyProtection="0"/>
    <xf numFmtId="0" fontId="40" fillId="59" borderId="385" applyNumberFormat="0" applyFont="0" applyAlignment="0" applyProtection="0"/>
    <xf numFmtId="0" fontId="12" fillId="16" borderId="0" applyNumberFormat="0" applyBorder="0" applyAlignment="0" applyProtection="0"/>
    <xf numFmtId="0" fontId="32" fillId="34" borderId="397">
      <alignment horizontal="right" vertical="center"/>
    </xf>
    <xf numFmtId="0" fontId="50" fillId="0" borderId="376" applyNumberFormat="0" applyFill="0" applyAlignment="0" applyProtection="0"/>
    <xf numFmtId="4" fontId="34" fillId="0" borderId="346" applyFill="0" applyBorder="0" applyProtection="0">
      <alignment horizontal="right" vertical="center"/>
    </xf>
    <xf numFmtId="0" fontId="58" fillId="43" borderId="361" applyNumberFormat="0" applyAlignment="0" applyProtection="0"/>
    <xf numFmtId="0" fontId="58" fillId="43" borderId="375" applyNumberFormat="0" applyAlignment="0" applyProtection="0"/>
    <xf numFmtId="0" fontId="36" fillId="32" borderId="364">
      <alignment horizontal="right" vertical="center"/>
    </xf>
    <xf numFmtId="0" fontId="34" fillId="33" borderId="378"/>
    <xf numFmtId="0" fontId="34" fillId="0" borderId="381">
      <alignment horizontal="left" vertical="center" wrapText="1" indent="2"/>
    </xf>
    <xf numFmtId="4" fontId="32" fillId="34" borderId="364">
      <alignment horizontal="right" vertical="center"/>
    </xf>
    <xf numFmtId="0" fontId="36" fillId="32" borderId="364">
      <alignment horizontal="right" vertical="center"/>
    </xf>
    <xf numFmtId="0" fontId="34" fillId="34" borderId="373">
      <alignment horizontal="left" vertical="center" wrapText="1" indent="2"/>
    </xf>
    <xf numFmtId="0" fontId="40" fillId="59" borderId="356" applyNumberFormat="0" applyFont="0" applyAlignment="0" applyProtection="0"/>
    <xf numFmtId="0" fontId="5" fillId="59" borderId="356" applyNumberFormat="0" applyFont="0" applyAlignment="0" applyProtection="0"/>
    <xf numFmtId="0" fontId="62" fillId="56" borderId="353" applyNumberFormat="0" applyAlignment="0" applyProtection="0"/>
    <xf numFmtId="0" fontId="26" fillId="15" borderId="0" applyNumberFormat="0" applyBorder="0" applyAlignment="0" applyProtection="0"/>
    <xf numFmtId="0" fontId="34" fillId="0" borderId="389">
      <alignment horizontal="left" vertical="center" wrapText="1" indent="2"/>
    </xf>
    <xf numFmtId="0" fontId="32" fillId="34" borderId="379">
      <alignment horizontal="right" vertical="center"/>
    </xf>
    <xf numFmtId="0" fontId="34" fillId="33" borderId="364"/>
    <xf numFmtId="0" fontId="65" fillId="0" borderId="362" applyNumberFormat="0" applyFill="0" applyAlignment="0" applyProtection="0"/>
    <xf numFmtId="0" fontId="50" fillId="0" borderId="376" applyNumberFormat="0" applyFill="0" applyAlignment="0" applyProtection="0"/>
    <xf numFmtId="0" fontId="65" fillId="0" borderId="355" applyNumberFormat="0" applyFill="0" applyAlignment="0" applyProtection="0"/>
    <xf numFmtId="0" fontId="34" fillId="32" borderId="365">
      <alignment horizontal="left" vertical="center"/>
    </xf>
    <xf numFmtId="0" fontId="45" fillId="56" borderId="361" applyNumberFormat="0" applyAlignment="0" applyProtection="0"/>
    <xf numFmtId="4" fontId="32" fillId="34" borderId="364">
      <alignment horizontal="right" vertical="center"/>
    </xf>
    <xf numFmtId="4" fontId="36" fillId="32" borderId="404">
      <alignment horizontal="right" vertical="center"/>
    </xf>
    <xf numFmtId="0" fontId="34" fillId="33" borderId="370"/>
    <xf numFmtId="0" fontId="26" fillId="15" borderId="0" applyNumberFormat="0" applyBorder="0" applyAlignment="0" applyProtection="0"/>
    <xf numFmtId="0" fontId="46" fillId="56" borderId="375" applyNumberFormat="0" applyAlignment="0" applyProtection="0"/>
    <xf numFmtId="0" fontId="49" fillId="43" borderId="361" applyNumberFormat="0" applyAlignment="0" applyProtection="0"/>
    <xf numFmtId="0" fontId="36" fillId="32" borderId="364">
      <alignment horizontal="right" vertical="center"/>
    </xf>
    <xf numFmtId="0" fontId="58" fillId="43" borderId="375" applyNumberFormat="0" applyAlignment="0" applyProtection="0"/>
    <xf numFmtId="0" fontId="32" fillId="34" borderId="365">
      <alignment horizontal="right" vertical="center"/>
    </xf>
    <xf numFmtId="0" fontId="34" fillId="0" borderId="364" applyNumberFormat="0" applyFill="0" applyAlignment="0" applyProtection="0"/>
    <xf numFmtId="0" fontId="58" fillId="43" borderId="375" applyNumberFormat="0" applyAlignment="0" applyProtection="0"/>
    <xf numFmtId="0" fontId="32" fillId="34" borderId="364">
      <alignment horizontal="right" vertical="center"/>
    </xf>
    <xf numFmtId="0" fontId="26" fillId="18" borderId="0" applyNumberFormat="0" applyBorder="0" applyAlignment="0" applyProtection="0"/>
    <xf numFmtId="0" fontId="32" fillId="34" borderId="371">
      <alignment horizontal="right" vertical="center"/>
    </xf>
    <xf numFmtId="4" fontId="32" fillId="34" borderId="372">
      <alignment horizontal="right" vertical="center"/>
    </xf>
    <xf numFmtId="0" fontId="46" fillId="56" borderId="361" applyNumberFormat="0" applyAlignment="0" applyProtection="0"/>
    <xf numFmtId="0" fontId="34" fillId="33" borderId="397"/>
    <xf numFmtId="0" fontId="49" fillId="43" borderId="375" applyNumberFormat="0" applyAlignment="0" applyProtection="0"/>
    <xf numFmtId="4" fontId="32" fillId="34" borderId="365">
      <alignment horizontal="right" vertical="center"/>
    </xf>
    <xf numFmtId="4" fontId="34" fillId="33" borderId="364"/>
    <xf numFmtId="0" fontId="45" fillId="56" borderId="361" applyNumberFormat="0" applyAlignment="0" applyProtection="0"/>
    <xf numFmtId="0" fontId="40" fillId="59" borderId="363" applyNumberFormat="0" applyFont="0" applyAlignment="0" applyProtection="0"/>
    <xf numFmtId="0" fontId="34" fillId="34" borderId="381">
      <alignment horizontal="left" vertical="center" wrapText="1" indent="2"/>
    </xf>
    <xf numFmtId="0" fontId="32" fillId="34" borderId="370">
      <alignment horizontal="right" vertical="center"/>
    </xf>
    <xf numFmtId="0" fontId="32" fillId="34" borderId="365">
      <alignment horizontal="right" vertical="center"/>
    </xf>
    <xf numFmtId="4" fontId="32" fillId="34" borderId="370">
      <alignment horizontal="right" vertical="center"/>
    </xf>
    <xf numFmtId="0" fontId="46" fillId="56" borderId="391" applyNumberFormat="0" applyAlignment="0" applyProtection="0"/>
    <xf numFmtId="4" fontId="36" fillId="32" borderId="370">
      <alignment horizontal="right" vertical="center"/>
    </xf>
    <xf numFmtId="0" fontId="1" fillId="0" borderId="0" applyNumberFormat="0" applyFill="0" applyBorder="0" applyAlignment="0" applyProtection="0"/>
    <xf numFmtId="4" fontId="32" fillId="34" borderId="378">
      <alignment horizontal="right" vertical="center"/>
    </xf>
    <xf numFmtId="0" fontId="40" fillId="59" borderId="403" applyNumberFormat="0" applyFont="0" applyAlignment="0" applyProtection="0"/>
    <xf numFmtId="4" fontId="32" fillId="34" borderId="388">
      <alignment horizontal="right" vertical="center"/>
    </xf>
    <xf numFmtId="0" fontId="29" fillId="13" borderId="13" applyNumberFormat="0" applyAlignment="0" applyProtection="0"/>
    <xf numFmtId="0" fontId="46" fillId="56" borderId="375" applyNumberFormat="0" applyAlignment="0" applyProtection="0"/>
    <xf numFmtId="0" fontId="50" fillId="0" borderId="384" applyNumberFormat="0" applyFill="0" applyAlignment="0" applyProtection="0"/>
    <xf numFmtId="4" fontId="36" fillId="32" borderId="364">
      <alignment horizontal="right" vertical="center"/>
    </xf>
    <xf numFmtId="4" fontId="32" fillId="34" borderId="398">
      <alignment horizontal="right" vertical="center"/>
    </xf>
    <xf numFmtId="0" fontId="58" fillId="43" borderId="361" applyNumberFormat="0" applyAlignment="0" applyProtection="0"/>
    <xf numFmtId="0" fontId="32" fillId="34" borderId="370">
      <alignment horizontal="right" vertical="center"/>
    </xf>
    <xf numFmtId="0" fontId="32" fillId="34" borderId="371">
      <alignment horizontal="right" vertical="center"/>
    </xf>
    <xf numFmtId="0" fontId="32" fillId="34" borderId="365">
      <alignment horizontal="right" vertical="center"/>
    </xf>
    <xf numFmtId="0" fontId="46" fillId="56" borderId="354" applyNumberFormat="0" applyAlignment="0" applyProtection="0"/>
    <xf numFmtId="4" fontId="32" fillId="34" borderId="364">
      <alignment horizontal="right" vertical="center"/>
    </xf>
    <xf numFmtId="0" fontId="43" fillId="56" borderId="374" applyNumberFormat="0" applyAlignment="0" applyProtection="0"/>
    <xf numFmtId="0" fontId="58" fillId="43" borderId="383" applyNumberFormat="0" applyAlignment="0" applyProtection="0"/>
    <xf numFmtId="0" fontId="32" fillId="34" borderId="364">
      <alignment horizontal="right" vertical="center"/>
    </xf>
    <xf numFmtId="0" fontId="34" fillId="0" borderId="364">
      <alignment horizontal="right" vertical="center"/>
    </xf>
    <xf numFmtId="0" fontId="32" fillId="34" borderId="364">
      <alignment horizontal="right" vertical="center"/>
    </xf>
    <xf numFmtId="0" fontId="58" fillId="43" borderId="361" applyNumberFormat="0" applyAlignment="0" applyProtection="0"/>
    <xf numFmtId="0" fontId="58" fillId="43" borderId="354" applyNumberFormat="0" applyAlignment="0" applyProtection="0"/>
    <xf numFmtId="0" fontId="46" fillId="56" borderId="391" applyNumberFormat="0" applyAlignment="0" applyProtection="0"/>
    <xf numFmtId="173" fontId="34" fillId="60" borderId="370" applyNumberFormat="0" applyFont="0" applyBorder="0" applyAlignment="0" applyProtection="0">
      <alignment horizontal="right" vertical="center"/>
    </xf>
    <xf numFmtId="0" fontId="29" fillId="13" borderId="13" applyNumberFormat="0" applyAlignment="0" applyProtection="0"/>
    <xf numFmtId="0" fontId="40" fillId="59" borderId="356" applyNumberFormat="0" applyFont="0" applyAlignment="0" applyProtection="0"/>
    <xf numFmtId="0" fontId="62" fillId="56" borderId="353" applyNumberFormat="0" applyAlignment="0" applyProtection="0"/>
    <xf numFmtId="0" fontId="50" fillId="0" borderId="362" applyNumberFormat="0" applyFill="0" applyAlignment="0" applyProtection="0"/>
    <xf numFmtId="0" fontId="65" fillId="0" borderId="355" applyNumberFormat="0" applyFill="0" applyAlignment="0" applyProtection="0"/>
    <xf numFmtId="0" fontId="65" fillId="0" borderId="376" applyNumberFormat="0" applyFill="0" applyAlignment="0" applyProtection="0"/>
    <xf numFmtId="0" fontId="62" fillId="56" borderId="368" applyNumberFormat="0" applyAlignment="0" applyProtection="0"/>
    <xf numFmtId="49" fontId="34" fillId="0" borderId="364" applyNumberFormat="0" applyFont="0" applyFill="0" applyBorder="0" applyProtection="0">
      <alignment horizontal="left" vertical="center" indent="2"/>
    </xf>
    <xf numFmtId="49" fontId="34" fillId="0" borderId="365" applyNumberFormat="0" applyFont="0" applyFill="0" applyBorder="0" applyProtection="0">
      <alignment horizontal="left" vertical="center" indent="5"/>
    </xf>
    <xf numFmtId="0" fontId="65" fillId="0" borderId="362" applyNumberFormat="0" applyFill="0" applyAlignment="0" applyProtection="0"/>
    <xf numFmtId="4" fontId="34" fillId="0" borderId="364">
      <alignment horizontal="right" vertical="center"/>
    </xf>
    <xf numFmtId="0" fontId="5" fillId="59" borderId="363" applyNumberFormat="0" applyFont="0" applyAlignment="0" applyProtection="0"/>
    <xf numFmtId="0" fontId="28" fillId="13" borderId="14" applyNumberFormat="0" applyAlignment="0" applyProtection="0"/>
    <xf numFmtId="0" fontId="34" fillId="0" borderId="367">
      <alignment horizontal="left" vertical="center" wrapText="1" indent="2"/>
    </xf>
    <xf numFmtId="0" fontId="32" fillId="34" borderId="366">
      <alignment horizontal="right" vertical="center"/>
    </xf>
    <xf numFmtId="0" fontId="45" fillId="56" borderId="361" applyNumberFormat="0" applyAlignment="0" applyProtection="0"/>
    <xf numFmtId="4" fontId="32" fillId="34" borderId="364">
      <alignment horizontal="right" vertical="center"/>
    </xf>
    <xf numFmtId="0" fontId="28" fillId="13" borderId="14" applyNumberFormat="0" applyAlignment="0" applyProtection="0"/>
    <xf numFmtId="0" fontId="45" fillId="56" borderId="375" applyNumberFormat="0" applyAlignment="0" applyProtection="0"/>
    <xf numFmtId="173" fontId="34" fillId="60" borderId="364" applyNumberFormat="0" applyFont="0" applyBorder="0" applyAlignment="0" applyProtection="0">
      <alignment horizontal="right" vertical="center"/>
    </xf>
    <xf numFmtId="173" fontId="34" fillId="60" borderId="370" applyNumberFormat="0" applyFont="0" applyBorder="0" applyAlignment="0" applyProtection="0">
      <alignment horizontal="right" vertical="center"/>
    </xf>
    <xf numFmtId="49" fontId="33" fillId="0" borderId="364" applyNumberFormat="0" applyFill="0" applyBorder="0" applyProtection="0">
      <alignment horizontal="left" vertical="center"/>
    </xf>
    <xf numFmtId="0" fontId="43" fillId="56" borderId="382" applyNumberFormat="0" applyAlignment="0" applyProtection="0"/>
    <xf numFmtId="49" fontId="34" fillId="0" borderId="378" applyNumberFormat="0" applyFont="0" applyFill="0" applyBorder="0" applyProtection="0">
      <alignment horizontal="left" vertical="center" indent="2"/>
    </xf>
    <xf numFmtId="4" fontId="32" fillId="34" borderId="380">
      <alignment horizontal="right" vertical="center"/>
    </xf>
    <xf numFmtId="0" fontId="32" fillId="32" borderId="357">
      <alignment horizontal="right" vertical="center"/>
    </xf>
    <xf numFmtId="4" fontId="32" fillId="32" borderId="357">
      <alignment horizontal="right" vertical="center"/>
    </xf>
    <xf numFmtId="0" fontId="36" fillId="32" borderId="357">
      <alignment horizontal="right" vertical="center"/>
    </xf>
    <xf numFmtId="4" fontId="36" fillId="32" borderId="357">
      <alignment horizontal="right" vertical="center"/>
    </xf>
    <xf numFmtId="0" fontId="32" fillId="34" borderId="357">
      <alignment horizontal="right" vertical="center"/>
    </xf>
    <xf numFmtId="4" fontId="32" fillId="34" borderId="357">
      <alignment horizontal="right" vertical="center"/>
    </xf>
    <xf numFmtId="0" fontId="32" fillId="34" borderId="357">
      <alignment horizontal="right" vertical="center"/>
    </xf>
    <xf numFmtId="4" fontId="32" fillId="34" borderId="357">
      <alignment horizontal="right" vertical="center"/>
    </xf>
    <xf numFmtId="0" fontId="32" fillId="34" borderId="358">
      <alignment horizontal="right" vertical="center"/>
    </xf>
    <xf numFmtId="4" fontId="32" fillId="34" borderId="358">
      <alignment horizontal="right" vertical="center"/>
    </xf>
    <xf numFmtId="0" fontId="32" fillId="34" borderId="359">
      <alignment horizontal="right" vertical="center"/>
    </xf>
    <xf numFmtId="4" fontId="32" fillId="34" borderId="359">
      <alignment horizontal="right" vertical="center"/>
    </xf>
    <xf numFmtId="0" fontId="46" fillId="56" borderId="354" applyNumberFormat="0" applyAlignment="0" applyProtection="0"/>
    <xf numFmtId="0" fontId="34" fillId="34" borderId="360">
      <alignment horizontal="left" vertical="center" wrapText="1" indent="2"/>
    </xf>
    <xf numFmtId="0" fontId="34" fillId="0" borderId="360">
      <alignment horizontal="left" vertical="center" wrapText="1" indent="2"/>
    </xf>
    <xf numFmtId="0" fontId="34" fillId="32" borderId="358">
      <alignment horizontal="left" vertical="center"/>
    </xf>
    <xf numFmtId="4" fontId="32" fillId="34" borderId="378">
      <alignment horizontal="right" vertical="center"/>
    </xf>
    <xf numFmtId="0" fontId="58" fillId="43" borderId="354" applyNumberFormat="0" applyAlignment="0" applyProtection="0"/>
    <xf numFmtId="0" fontId="34" fillId="0" borderId="357">
      <alignment horizontal="right" vertical="center"/>
    </xf>
    <xf numFmtId="4" fontId="34" fillId="0" borderId="357">
      <alignment horizontal="right" vertical="center"/>
    </xf>
    <xf numFmtId="0" fontId="26" fillId="17" borderId="0" applyNumberFormat="0" applyBorder="0" applyAlignment="0" applyProtection="0"/>
    <xf numFmtId="0" fontId="34" fillId="0" borderId="357" applyNumberFormat="0" applyFill="0" applyAlignment="0" applyProtection="0"/>
    <xf numFmtId="0" fontId="62" fillId="56" borderId="353" applyNumberFormat="0" applyAlignment="0" applyProtection="0"/>
    <xf numFmtId="173" fontId="34" fillId="60" borderId="357" applyNumberFormat="0" applyFont="0" applyBorder="0" applyAlignment="0" applyProtection="0">
      <alignment horizontal="right" vertical="center"/>
    </xf>
    <xf numFmtId="0" fontId="34" fillId="33" borderId="357"/>
    <xf numFmtId="4" fontId="34" fillId="33" borderId="357"/>
    <xf numFmtId="0" fontId="65" fillId="0" borderId="355" applyNumberFormat="0" applyFill="0" applyAlignment="0" applyProtection="0"/>
    <xf numFmtId="0" fontId="12" fillId="16" borderId="0" applyNumberFormat="0" applyBorder="0" applyAlignment="0" applyProtection="0"/>
    <xf numFmtId="4" fontId="36" fillId="32" borderId="378">
      <alignment horizontal="right" vertical="center"/>
    </xf>
    <xf numFmtId="0" fontId="62" fillId="56" borderId="390" applyNumberFormat="0" applyAlignment="0" applyProtection="0"/>
    <xf numFmtId="4" fontId="32" fillId="34" borderId="366">
      <alignment horizontal="right" vertical="center"/>
    </xf>
    <xf numFmtId="0" fontId="34" fillId="33" borderId="364"/>
    <xf numFmtId="49" fontId="34" fillId="0" borderId="364" applyNumberFormat="0" applyFont="0" applyFill="0" applyBorder="0" applyProtection="0">
      <alignment horizontal="left" vertical="center" indent="2"/>
    </xf>
    <xf numFmtId="0" fontId="32" fillId="32" borderId="386">
      <alignment horizontal="right" vertical="center"/>
    </xf>
    <xf numFmtId="0" fontId="65" fillId="0" borderId="362" applyNumberFormat="0" applyFill="0" applyAlignment="0" applyProtection="0"/>
    <xf numFmtId="0" fontId="26" fillId="21" borderId="0" applyNumberFormat="0" applyBorder="0" applyAlignment="0" applyProtection="0"/>
    <xf numFmtId="0" fontId="45" fillId="56" borderId="383" applyNumberFormat="0" applyAlignment="0" applyProtection="0"/>
    <xf numFmtId="4" fontId="36" fillId="32" borderId="364">
      <alignment horizontal="right" vertical="center"/>
    </xf>
    <xf numFmtId="0" fontId="32" fillId="32" borderId="397">
      <alignment horizontal="right" vertical="center"/>
    </xf>
    <xf numFmtId="0" fontId="46" fillId="56" borderId="361" applyNumberFormat="0" applyAlignment="0" applyProtection="0"/>
    <xf numFmtId="173" fontId="34" fillId="60" borderId="370" applyNumberFormat="0" applyFont="0" applyBorder="0" applyAlignment="0" applyProtection="0">
      <alignment horizontal="right" vertical="center"/>
    </xf>
    <xf numFmtId="0" fontId="34" fillId="33" borderId="378"/>
    <xf numFmtId="4" fontId="32" fillId="34" borderId="378">
      <alignment horizontal="right" vertical="center"/>
    </xf>
    <xf numFmtId="0" fontId="40" fillId="59" borderId="369" applyNumberFormat="0" applyFont="0" applyAlignment="0" applyProtection="0"/>
    <xf numFmtId="0" fontId="50" fillId="0" borderId="362" applyNumberFormat="0" applyFill="0" applyAlignment="0" applyProtection="0"/>
    <xf numFmtId="0" fontId="34" fillId="33" borderId="364"/>
    <xf numFmtId="0" fontId="45" fillId="56" borderId="361" applyNumberFormat="0" applyAlignment="0" applyProtection="0"/>
    <xf numFmtId="49" fontId="33" fillId="0" borderId="364" applyNumberFormat="0" applyFill="0" applyBorder="0" applyProtection="0">
      <alignment horizontal="left" vertical="center"/>
    </xf>
    <xf numFmtId="0" fontId="34" fillId="0" borderId="364" applyNumberFormat="0" applyFill="0" applyAlignment="0" applyProtection="0"/>
    <xf numFmtId="0" fontId="5" fillId="59" borderId="363" applyNumberFormat="0" applyFont="0" applyAlignment="0" applyProtection="0"/>
    <xf numFmtId="0" fontId="26" fillId="15" borderId="0" applyNumberFormat="0" applyBorder="0" applyAlignment="0" applyProtection="0"/>
    <xf numFmtId="0" fontId="12" fillId="28" borderId="0" applyNumberFormat="0" applyBorder="0" applyAlignment="0" applyProtection="0"/>
    <xf numFmtId="4" fontId="34" fillId="0" borderId="364">
      <alignment horizontal="right" vertical="center"/>
    </xf>
    <xf numFmtId="0" fontId="26" fillId="20" borderId="0" applyNumberFormat="0" applyBorder="0" applyAlignment="0" applyProtection="0"/>
    <xf numFmtId="0" fontId="45" fillId="56" borderId="361" applyNumberFormat="0" applyAlignment="0" applyProtection="0"/>
    <xf numFmtId="0" fontId="32" fillId="34" borderId="371">
      <alignment horizontal="right" vertical="center"/>
    </xf>
    <xf numFmtId="0" fontId="26" fillId="15" borderId="0" applyNumberFormat="0" applyBorder="0" applyAlignment="0" applyProtection="0"/>
    <xf numFmtId="0" fontId="34" fillId="0" borderId="389">
      <alignment horizontal="left" vertical="center" wrapText="1" indent="2"/>
    </xf>
    <xf numFmtId="0" fontId="45" fillId="56" borderId="401" applyNumberFormat="0" applyAlignment="0" applyProtection="0"/>
    <xf numFmtId="0" fontId="26" fillId="23" borderId="0" applyNumberFormat="0" applyBorder="0" applyAlignment="0" applyProtection="0"/>
    <xf numFmtId="0" fontId="26" fillId="17" borderId="0" applyNumberFormat="0" applyBorder="0" applyAlignment="0" applyProtection="0"/>
    <xf numFmtId="0" fontId="40" fillId="59" borderId="369" applyNumberFormat="0" applyFont="0" applyAlignment="0" applyProtection="0"/>
    <xf numFmtId="49" fontId="34" fillId="0" borderId="365" applyNumberFormat="0" applyFont="0" applyFill="0" applyBorder="0" applyProtection="0">
      <alignment horizontal="left" vertical="center" indent="5"/>
    </xf>
    <xf numFmtId="0" fontId="65" fillId="0" borderId="362" applyNumberFormat="0" applyFill="0" applyAlignment="0" applyProtection="0"/>
    <xf numFmtId="0" fontId="40" fillId="59" borderId="363" applyNumberFormat="0" applyFont="0" applyAlignment="0" applyProtection="0"/>
    <xf numFmtId="0" fontId="32" fillId="34" borderId="365">
      <alignment horizontal="right" vertical="center"/>
    </xf>
    <xf numFmtId="0" fontId="43" fillId="56" borderId="368" applyNumberFormat="0" applyAlignment="0" applyProtection="0"/>
    <xf numFmtId="4" fontId="32" fillId="34" borderId="366">
      <alignment horizontal="right" vertical="center"/>
    </xf>
    <xf numFmtId="4" fontId="36" fillId="32" borderId="364">
      <alignment horizontal="right" vertical="center"/>
    </xf>
    <xf numFmtId="0" fontId="58" fillId="43" borderId="361" applyNumberFormat="0" applyAlignment="0" applyProtection="0"/>
    <xf numFmtId="0" fontId="46" fillId="56" borderId="361" applyNumberFormat="0" applyAlignment="0" applyProtection="0"/>
    <xf numFmtId="0" fontId="36" fillId="32" borderId="364">
      <alignment horizontal="right" vertical="center"/>
    </xf>
    <xf numFmtId="0" fontId="65" fillId="0" borderId="362" applyNumberFormat="0" applyFill="0" applyAlignment="0" applyProtection="0"/>
    <xf numFmtId="0" fontId="46" fillId="56" borderId="361" applyNumberFormat="0" applyAlignment="0" applyProtection="0"/>
    <xf numFmtId="0" fontId="30" fillId="0" borderId="0" applyNumberFormat="0" applyFill="0" applyBorder="0" applyAlignment="0" applyProtection="0"/>
    <xf numFmtId="0" fontId="12" fillId="25" borderId="0" applyNumberFormat="0" applyBorder="0" applyAlignment="0" applyProtection="0"/>
    <xf numFmtId="0" fontId="26" fillId="30" borderId="0" applyNumberFormat="0" applyBorder="0" applyAlignment="0" applyProtection="0"/>
    <xf numFmtId="0" fontId="5" fillId="59" borderId="363" applyNumberFormat="0" applyFont="0" applyAlignment="0" applyProtection="0"/>
    <xf numFmtId="0" fontId="26" fillId="27" borderId="0" applyNumberFormat="0" applyBorder="0" applyAlignment="0" applyProtection="0"/>
    <xf numFmtId="0" fontId="26" fillId="17" borderId="0" applyNumberFormat="0" applyBorder="0" applyAlignment="0" applyProtection="0"/>
    <xf numFmtId="0" fontId="45" fillId="56" borderId="375" applyNumberFormat="0" applyAlignment="0" applyProtection="0"/>
    <xf numFmtId="0" fontId="26" fillId="14" borderId="0" applyNumberFormat="0" applyBorder="0" applyAlignment="0" applyProtection="0"/>
    <xf numFmtId="0" fontId="46" fillId="56" borderId="401" applyNumberFormat="0" applyAlignment="0" applyProtection="0"/>
    <xf numFmtId="0" fontId="62" fillId="56" borderId="368" applyNumberFormat="0" applyAlignment="0" applyProtection="0"/>
    <xf numFmtId="0" fontId="32" fillId="34" borderId="364">
      <alignment horizontal="right" vertical="center"/>
    </xf>
    <xf numFmtId="0" fontId="34" fillId="33" borderId="397"/>
    <xf numFmtId="4" fontId="36" fillId="32" borderId="364">
      <alignment horizontal="right" vertical="center"/>
    </xf>
    <xf numFmtId="0" fontId="1" fillId="0" borderId="0" applyNumberFormat="0" applyFill="0" applyBorder="0" applyAlignment="0" applyProtection="0"/>
    <xf numFmtId="49" fontId="34" fillId="0" borderId="357" applyNumberFormat="0" applyFont="0" applyFill="0" applyBorder="0" applyProtection="0">
      <alignment horizontal="left" vertical="center" indent="2"/>
    </xf>
    <xf numFmtId="49" fontId="34" fillId="0" borderId="358" applyNumberFormat="0" applyFont="0" applyFill="0" applyBorder="0" applyProtection="0">
      <alignment horizontal="left" vertical="center" indent="5"/>
    </xf>
    <xf numFmtId="0" fontId="26" fillId="15" borderId="0" applyNumberFormat="0" applyBorder="0" applyAlignment="0" applyProtection="0"/>
    <xf numFmtId="0" fontId="32" fillId="34" borderId="366">
      <alignment horizontal="right" vertical="center"/>
    </xf>
    <xf numFmtId="0" fontId="36" fillId="32" borderId="370">
      <alignment horizontal="right" vertical="center"/>
    </xf>
    <xf numFmtId="0" fontId="32" fillId="32" borderId="364">
      <alignment horizontal="right" vertical="center"/>
    </xf>
    <xf numFmtId="0" fontId="45" fillId="56" borderId="394" applyNumberFormat="0" applyAlignment="0" applyProtection="0"/>
    <xf numFmtId="0" fontId="65" fillId="0" borderId="376" applyNumberFormat="0" applyFill="0" applyAlignment="0" applyProtection="0"/>
    <xf numFmtId="0" fontId="50" fillId="0" borderId="362" applyNumberFormat="0" applyFill="0" applyAlignment="0" applyProtection="0"/>
    <xf numFmtId="0" fontId="26" fillId="27" borderId="0" applyNumberFormat="0" applyBorder="0" applyAlignment="0" applyProtection="0"/>
    <xf numFmtId="0" fontId="32" fillId="34" borderId="404">
      <alignment horizontal="right" vertical="center"/>
    </xf>
    <xf numFmtId="0" fontId="34" fillId="0" borderId="367">
      <alignment horizontal="left" vertical="center" wrapText="1" indent="2"/>
    </xf>
    <xf numFmtId="4" fontId="34" fillId="0" borderId="357" applyFill="0" applyBorder="0" applyProtection="0">
      <alignment horizontal="right" vertical="center"/>
    </xf>
    <xf numFmtId="49" fontId="33" fillId="0" borderId="357" applyNumberFormat="0" applyFill="0" applyBorder="0" applyProtection="0">
      <alignment horizontal="left" vertical="center"/>
    </xf>
    <xf numFmtId="4" fontId="32" fillId="34" borderId="386">
      <alignment horizontal="right" vertical="center"/>
    </xf>
    <xf numFmtId="0" fontId="50" fillId="0" borderId="362" applyNumberFormat="0" applyFill="0" applyAlignment="0" applyProtection="0"/>
    <xf numFmtId="4" fontId="34" fillId="0" borderId="364" applyFill="0" applyBorder="0" applyProtection="0">
      <alignment horizontal="right" vertical="center"/>
    </xf>
    <xf numFmtId="0" fontId="45" fillId="56" borderId="361" applyNumberFormat="0" applyAlignment="0" applyProtection="0"/>
    <xf numFmtId="0" fontId="49" fillId="43" borderId="361" applyNumberFormat="0" applyAlignment="0" applyProtection="0"/>
    <xf numFmtId="0" fontId="34" fillId="34" borderId="367">
      <alignment horizontal="left" vertical="center" wrapText="1" indent="2"/>
    </xf>
    <xf numFmtId="4" fontId="32" fillId="34" borderId="387">
      <alignment horizontal="right" vertical="center"/>
    </xf>
    <xf numFmtId="4" fontId="32" fillId="34" borderId="364">
      <alignment horizontal="right" vertical="center"/>
    </xf>
    <xf numFmtId="0" fontId="45" fillId="56" borderId="361" applyNumberFormat="0" applyAlignment="0" applyProtection="0"/>
    <xf numFmtId="4" fontId="34" fillId="0" borderId="370">
      <alignment horizontal="right" vertical="center"/>
    </xf>
    <xf numFmtId="0" fontId="45" fillId="56" borderId="394" applyNumberFormat="0" applyAlignment="0" applyProtection="0"/>
    <xf numFmtId="0" fontId="32" fillId="34" borderId="364">
      <alignment horizontal="right" vertical="center"/>
    </xf>
    <xf numFmtId="0" fontId="43" fillId="56" borderId="368" applyNumberFormat="0" applyAlignment="0" applyProtection="0"/>
    <xf numFmtId="0" fontId="65" fillId="0" borderId="362" applyNumberFormat="0" applyFill="0" applyAlignment="0" applyProtection="0"/>
    <xf numFmtId="0" fontId="34" fillId="0" borderId="364">
      <alignment horizontal="right" vertical="center"/>
    </xf>
    <xf numFmtId="0" fontId="46" fillId="56" borderId="361" applyNumberFormat="0" applyAlignment="0" applyProtection="0"/>
    <xf numFmtId="49" fontId="34" fillId="0" borderId="370" applyNumberFormat="0" applyFont="0" applyFill="0" applyBorder="0" applyProtection="0">
      <alignment horizontal="left" vertical="center" indent="2"/>
    </xf>
    <xf numFmtId="0" fontId="46" fillId="56" borderId="361" applyNumberFormat="0" applyAlignment="0" applyProtection="0"/>
    <xf numFmtId="0" fontId="32" fillId="34" borderId="366">
      <alignment horizontal="right" vertical="center"/>
    </xf>
    <xf numFmtId="0" fontId="32" fillId="34" borderId="364">
      <alignment horizontal="right" vertical="center"/>
    </xf>
    <xf numFmtId="0" fontId="34" fillId="33" borderId="364"/>
    <xf numFmtId="0" fontId="50" fillId="0" borderId="392" applyNumberFormat="0" applyFill="0" applyAlignment="0" applyProtection="0"/>
    <xf numFmtId="0" fontId="1" fillId="0" borderId="0" applyNumberFormat="0" applyFill="0" applyBorder="0" applyAlignment="0" applyProtection="0"/>
    <xf numFmtId="0" fontId="34" fillId="32" borderId="365">
      <alignment horizontal="left" vertical="center"/>
    </xf>
    <xf numFmtId="0" fontId="32" fillId="34" borderId="387">
      <alignment horizontal="right" vertical="center"/>
    </xf>
    <xf numFmtId="173" fontId="34" fillId="60" borderId="364" applyNumberFormat="0" applyFont="0" applyBorder="0" applyAlignment="0" applyProtection="0">
      <alignment horizontal="right" vertical="center"/>
    </xf>
    <xf numFmtId="4" fontId="32" fillId="34" borderId="386">
      <alignment horizontal="right" vertical="center"/>
    </xf>
    <xf numFmtId="0" fontId="34" fillId="34" borderId="373">
      <alignment horizontal="left" vertical="center" wrapText="1" indent="2"/>
    </xf>
    <xf numFmtId="0" fontId="43" fillId="56" borderId="353" applyNumberFormat="0" applyAlignment="0" applyProtection="0"/>
    <xf numFmtId="0" fontId="45" fillId="56" borderId="354" applyNumberFormat="0" applyAlignment="0" applyProtection="0"/>
    <xf numFmtId="0" fontId="50" fillId="0" borderId="355" applyNumberFormat="0" applyFill="0" applyAlignment="0" applyProtection="0"/>
    <xf numFmtId="4" fontId="32" fillId="34" borderId="388">
      <alignment horizontal="right" vertical="center"/>
    </xf>
    <xf numFmtId="4" fontId="36" fillId="32" borderId="364">
      <alignment horizontal="right" vertical="center"/>
    </xf>
    <xf numFmtId="0" fontId="43" fillId="56" borderId="368" applyNumberFormat="0" applyAlignment="0" applyProtection="0"/>
    <xf numFmtId="4" fontId="32" fillId="34" borderId="371">
      <alignment horizontal="right" vertical="center"/>
    </xf>
    <xf numFmtId="173" fontId="34" fillId="60" borderId="370" applyNumberFormat="0" applyFont="0" applyBorder="0" applyAlignment="0" applyProtection="0">
      <alignment horizontal="right" vertical="center"/>
    </xf>
    <xf numFmtId="4" fontId="36" fillId="32" borderId="370">
      <alignment horizontal="right" vertical="center"/>
    </xf>
    <xf numFmtId="0" fontId="32" fillId="34" borderId="366">
      <alignment horizontal="right" vertical="center"/>
    </xf>
    <xf numFmtId="0" fontId="43" fillId="56" borderId="368" applyNumberFormat="0" applyAlignment="0" applyProtection="0"/>
    <xf numFmtId="0" fontId="26" fillId="18" borderId="0" applyNumberFormat="0" applyBorder="0" applyAlignment="0" applyProtection="0"/>
    <xf numFmtId="4" fontId="36" fillId="32" borderId="370">
      <alignment horizontal="right" vertical="center"/>
    </xf>
    <xf numFmtId="49" fontId="33" fillId="0" borderId="378" applyNumberFormat="0" applyFill="0" applyBorder="0" applyProtection="0">
      <alignment horizontal="left" vertical="center"/>
    </xf>
    <xf numFmtId="4" fontId="34" fillId="33" borderId="370"/>
    <xf numFmtId="0" fontId="5" fillId="59" borderId="363" applyNumberFormat="0" applyFont="0" applyAlignment="0" applyProtection="0"/>
    <xf numFmtId="0" fontId="26" fillId="23" borderId="0" applyNumberFormat="0" applyBorder="0" applyAlignment="0" applyProtection="0"/>
    <xf numFmtId="0" fontId="65" fillId="0" borderId="376" applyNumberFormat="0" applyFill="0" applyAlignment="0" applyProtection="0"/>
    <xf numFmtId="0" fontId="26" fillId="29" borderId="0" applyNumberFormat="0" applyBorder="0" applyAlignment="0" applyProtection="0"/>
    <xf numFmtId="0" fontId="32" fillId="34" borderId="364">
      <alignment horizontal="right" vertical="center"/>
    </xf>
    <xf numFmtId="4" fontId="34" fillId="0" borderId="370" applyFill="0" applyBorder="0" applyProtection="0">
      <alignment horizontal="right" vertical="center"/>
    </xf>
    <xf numFmtId="0" fontId="34" fillId="34" borderId="367">
      <alignment horizontal="left" vertical="center" wrapText="1" indent="2"/>
    </xf>
    <xf numFmtId="4" fontId="36" fillId="32" borderId="364">
      <alignment horizontal="right" vertical="center"/>
    </xf>
    <xf numFmtId="4" fontId="32" fillId="34" borderId="366">
      <alignment horizontal="right" vertical="center"/>
    </xf>
    <xf numFmtId="4" fontId="32" fillId="34" borderId="364">
      <alignment horizontal="right" vertical="center"/>
    </xf>
    <xf numFmtId="4" fontId="34" fillId="33" borderId="364"/>
    <xf numFmtId="0" fontId="65" fillId="0" borderId="376" applyNumberFormat="0" applyFill="0" applyAlignment="0" applyProtection="0"/>
    <xf numFmtId="0" fontId="49" fillId="43" borderId="354" applyNumberFormat="0" applyAlignment="0" applyProtection="0"/>
    <xf numFmtId="49" fontId="34" fillId="0" borderId="364" applyNumberFormat="0" applyFont="0" applyFill="0" applyBorder="0" applyProtection="0">
      <alignment horizontal="left" vertical="center" indent="2"/>
    </xf>
    <xf numFmtId="173" fontId="34" fillId="60" borderId="364" applyNumberFormat="0" applyFont="0" applyBorder="0" applyAlignment="0" applyProtection="0">
      <alignment horizontal="right" vertical="center"/>
    </xf>
    <xf numFmtId="0" fontId="45" fillId="56" borderId="383" applyNumberFormat="0" applyAlignment="0" applyProtection="0"/>
    <xf numFmtId="4" fontId="34" fillId="0" borderId="370">
      <alignment horizontal="right" vertical="center"/>
    </xf>
    <xf numFmtId="4" fontId="34" fillId="0" borderId="378" applyFill="0" applyBorder="0" applyProtection="0">
      <alignment horizontal="right" vertical="center"/>
    </xf>
    <xf numFmtId="0" fontId="58" fillId="43" borderId="375" applyNumberFormat="0" applyAlignment="0" applyProtection="0"/>
    <xf numFmtId="4" fontId="32" fillId="34" borderId="366">
      <alignment horizontal="right" vertical="center"/>
    </xf>
    <xf numFmtId="0" fontId="26" fillId="23" borderId="0" applyNumberFormat="0" applyBorder="0" applyAlignment="0" applyProtection="0"/>
    <xf numFmtId="0" fontId="50" fillId="0" borderId="395" applyNumberFormat="0" applyFill="0" applyAlignment="0" applyProtection="0"/>
    <xf numFmtId="0" fontId="28" fillId="13" borderId="14" applyNumberFormat="0" applyAlignment="0" applyProtection="0"/>
    <xf numFmtId="0" fontId="43" fillId="56" borderId="374" applyNumberFormat="0" applyAlignment="0" applyProtection="0"/>
    <xf numFmtId="0" fontId="65" fillId="0" borderId="384" applyNumberFormat="0" applyFill="0" applyAlignment="0" applyProtection="0"/>
    <xf numFmtId="0" fontId="46" fillId="56" borderId="383" applyNumberFormat="0" applyAlignment="0" applyProtection="0"/>
    <xf numFmtId="0" fontId="58" fillId="43" borderId="361" applyNumberFormat="0" applyAlignment="0" applyProtection="0"/>
    <xf numFmtId="0" fontId="34" fillId="34" borderId="367">
      <alignment horizontal="left" vertical="center" wrapText="1" indent="2"/>
    </xf>
    <xf numFmtId="0" fontId="50" fillId="0" borderId="362" applyNumberFormat="0" applyFill="0" applyAlignment="0" applyProtection="0"/>
    <xf numFmtId="4" fontId="34" fillId="33" borderId="364"/>
    <xf numFmtId="49" fontId="33" fillId="0" borderId="378" applyNumberFormat="0" applyFill="0" applyBorder="0" applyProtection="0">
      <alignment horizontal="left" vertical="center"/>
    </xf>
    <xf numFmtId="0" fontId="34" fillId="34" borderId="360">
      <alignment horizontal="left" vertical="center" wrapText="1" indent="2"/>
    </xf>
    <xf numFmtId="0" fontId="34" fillId="0" borderId="360">
      <alignment horizontal="left" vertical="center" wrapText="1" indent="2"/>
    </xf>
    <xf numFmtId="4" fontId="32" fillId="34" borderId="370">
      <alignment horizontal="right" vertical="center"/>
    </xf>
    <xf numFmtId="0" fontId="34" fillId="32" borderId="379">
      <alignment horizontal="left" vertical="center"/>
    </xf>
    <xf numFmtId="0" fontId="32" fillId="34" borderId="388">
      <alignment horizontal="right" vertical="center"/>
    </xf>
    <xf numFmtId="0" fontId="34" fillId="0" borderId="378">
      <alignment horizontal="right" vertical="center"/>
    </xf>
    <xf numFmtId="0" fontId="34" fillId="32" borderId="379">
      <alignment horizontal="left" vertical="center"/>
    </xf>
    <xf numFmtId="0" fontId="34" fillId="33" borderId="386"/>
    <xf numFmtId="0" fontId="58" fillId="43" borderId="361" applyNumberFormat="0" applyAlignment="0" applyProtection="0"/>
    <xf numFmtId="0" fontId="32" fillId="34" borderId="370">
      <alignment horizontal="right" vertical="center"/>
    </xf>
    <xf numFmtId="0" fontId="26" fillId="27" borderId="0" applyNumberFormat="0" applyBorder="0" applyAlignment="0" applyProtection="0"/>
    <xf numFmtId="0" fontId="12" fillId="25" borderId="0" applyNumberFormat="0" applyBorder="0" applyAlignment="0" applyProtection="0"/>
    <xf numFmtId="0" fontId="26" fillId="23" borderId="0" applyNumberFormat="0" applyBorder="0" applyAlignment="0" applyProtection="0"/>
    <xf numFmtId="4" fontId="34" fillId="0" borderId="386" applyFill="0" applyBorder="0" applyProtection="0">
      <alignment horizontal="right" vertical="center"/>
    </xf>
    <xf numFmtId="0" fontId="34" fillId="34" borderId="400">
      <alignment horizontal="left" vertical="center" wrapText="1" indent="2"/>
    </xf>
    <xf numFmtId="0" fontId="46" fillId="56" borderId="375" applyNumberFormat="0" applyAlignment="0" applyProtection="0"/>
    <xf numFmtId="0" fontId="12" fillId="22" borderId="0" applyNumberFormat="0" applyBorder="0" applyAlignment="0" applyProtection="0"/>
    <xf numFmtId="0" fontId="49" fillId="43" borderId="383" applyNumberFormat="0" applyAlignment="0" applyProtection="0"/>
    <xf numFmtId="0" fontId="32" fillId="34" borderId="372">
      <alignment horizontal="right" vertical="center"/>
    </xf>
    <xf numFmtId="0" fontId="46" fillId="56" borderId="375" applyNumberFormat="0" applyAlignment="0" applyProtection="0"/>
    <xf numFmtId="4" fontId="34" fillId="33" borderId="370"/>
    <xf numFmtId="0" fontId="34" fillId="0" borderId="364">
      <alignment horizontal="right" vertical="center"/>
    </xf>
    <xf numFmtId="0" fontId="65" fillId="0" borderId="376" applyNumberFormat="0" applyFill="0" applyAlignment="0" applyProtection="0"/>
    <xf numFmtId="0" fontId="43" fillId="56" borderId="368" applyNumberFormat="0" applyAlignment="0" applyProtection="0"/>
    <xf numFmtId="4" fontId="32" fillId="32" borderId="364">
      <alignment horizontal="right" vertical="center"/>
    </xf>
    <xf numFmtId="0" fontId="50" fillId="0" borderId="362" applyNumberFormat="0" applyFill="0" applyAlignment="0" applyProtection="0"/>
    <xf numFmtId="0" fontId="46" fillId="56" borderId="361" applyNumberFormat="0" applyAlignment="0" applyProtection="0"/>
    <xf numFmtId="4" fontId="32" fillId="34" borderId="365">
      <alignment horizontal="right" vertical="center"/>
    </xf>
    <xf numFmtId="0" fontId="45" fillId="56" borderId="375" applyNumberFormat="0" applyAlignment="0" applyProtection="0"/>
    <xf numFmtId="0" fontId="45" fillId="56" borderId="361" applyNumberFormat="0" applyAlignment="0" applyProtection="0"/>
    <xf numFmtId="0" fontId="34" fillId="0" borderId="367">
      <alignment horizontal="left" vertical="center" wrapText="1" indent="2"/>
    </xf>
    <xf numFmtId="49" fontId="34" fillId="0" borderId="364" applyNumberFormat="0" applyFont="0" applyFill="0" applyBorder="0" applyProtection="0">
      <alignment horizontal="left" vertical="center" indent="2"/>
    </xf>
    <xf numFmtId="0" fontId="58" fillId="43" borderId="361" applyNumberFormat="0" applyAlignment="0" applyProtection="0"/>
    <xf numFmtId="0" fontId="40" fillId="59" borderId="363" applyNumberFormat="0" applyFont="0" applyAlignment="0" applyProtection="0"/>
    <xf numFmtId="4" fontId="32" fillId="34" borderId="365">
      <alignment horizontal="right" vertical="center"/>
    </xf>
    <xf numFmtId="0" fontId="34" fillId="34" borderId="367">
      <alignment horizontal="left" vertical="center" wrapText="1" indent="2"/>
    </xf>
    <xf numFmtId="0" fontId="50" fillId="0" borderId="362" applyNumberFormat="0" applyFill="0" applyAlignment="0" applyProtection="0"/>
    <xf numFmtId="0" fontId="62" fillId="56" borderId="368" applyNumberFormat="0" applyAlignment="0" applyProtection="0"/>
    <xf numFmtId="0" fontId="40" fillId="59" borderId="363" applyNumberFormat="0" applyFont="0" applyAlignment="0" applyProtection="0"/>
    <xf numFmtId="0" fontId="58" fillId="43" borderId="361" applyNumberFormat="0" applyAlignment="0" applyProtection="0"/>
    <xf numFmtId="0" fontId="34" fillId="0" borderId="364" applyNumberFormat="0" applyFill="0" applyAlignment="0" applyProtection="0"/>
    <xf numFmtId="0" fontId="32" fillId="32" borderId="364">
      <alignment horizontal="right" vertical="center"/>
    </xf>
    <xf numFmtId="0" fontId="32" fillId="34" borderId="364">
      <alignment horizontal="right" vertical="center"/>
    </xf>
    <xf numFmtId="0" fontId="40" fillId="59" borderId="363" applyNumberFormat="0" applyFont="0" applyAlignment="0" applyProtection="0"/>
    <xf numFmtId="0" fontId="50" fillId="0" borderId="362" applyNumberFormat="0" applyFill="0" applyAlignment="0" applyProtection="0"/>
    <xf numFmtId="0" fontId="32" fillId="32" borderId="364">
      <alignment horizontal="right" vertical="center"/>
    </xf>
    <xf numFmtId="4" fontId="34" fillId="0" borderId="364" applyFill="0" applyBorder="0" applyProtection="0">
      <alignment horizontal="right" vertical="center"/>
    </xf>
    <xf numFmtId="4" fontId="32" fillId="34" borderId="370">
      <alignment horizontal="right" vertical="center"/>
    </xf>
    <xf numFmtId="49" fontId="34" fillId="0" borderId="364" applyNumberFormat="0" applyFont="0" applyFill="0" applyBorder="0" applyProtection="0">
      <alignment horizontal="left" vertical="center" indent="2"/>
    </xf>
    <xf numFmtId="0" fontId="49" fillId="43" borderId="361" applyNumberFormat="0" applyAlignment="0" applyProtection="0"/>
    <xf numFmtId="0" fontId="32" fillId="32" borderId="386">
      <alignment horizontal="right" vertical="center"/>
    </xf>
    <xf numFmtId="0" fontId="12" fillId="22" borderId="0" applyNumberFormat="0" applyBorder="0" applyAlignment="0" applyProtection="0"/>
    <xf numFmtId="4" fontId="32" fillId="34" borderId="388">
      <alignment horizontal="right" vertical="center"/>
    </xf>
    <xf numFmtId="0" fontId="12" fillId="31" borderId="0" applyNumberFormat="0" applyBorder="0" applyAlignment="0" applyProtection="0"/>
    <xf numFmtId="0" fontId="32" fillId="34" borderId="372">
      <alignment horizontal="right" vertical="center"/>
    </xf>
    <xf numFmtId="0" fontId="26" fillId="29" borderId="0" applyNumberFormat="0" applyBorder="0" applyAlignment="0" applyProtection="0"/>
    <xf numFmtId="0" fontId="49" fillId="43" borderId="383" applyNumberFormat="0" applyAlignment="0" applyProtection="0"/>
    <xf numFmtId="0" fontId="26" fillId="26" borderId="0" applyNumberFormat="0" applyBorder="0" applyAlignment="0" applyProtection="0"/>
    <xf numFmtId="0" fontId="26" fillId="24" borderId="0" applyNumberFormat="0" applyBorder="0" applyAlignment="0" applyProtection="0"/>
    <xf numFmtId="0" fontId="32" fillId="34" borderId="386">
      <alignment horizontal="right" vertical="center"/>
    </xf>
    <xf numFmtId="0" fontId="12" fillId="16" borderId="0" applyNumberFormat="0" applyBorder="0" applyAlignment="0" applyProtection="0"/>
    <xf numFmtId="0" fontId="26" fillId="18" borderId="0" applyNumberFormat="0" applyBorder="0" applyAlignment="0" applyProtection="0"/>
    <xf numFmtId="0" fontId="12" fillId="19" borderId="0" applyNumberFormat="0" applyBorder="0" applyAlignment="0" applyProtection="0"/>
    <xf numFmtId="0" fontId="32" fillId="34" borderId="378">
      <alignment horizontal="right" vertical="center"/>
    </xf>
    <xf numFmtId="0" fontId="2" fillId="0" borderId="15" applyNumberFormat="0" applyFill="0" applyAlignment="0" applyProtection="0"/>
    <xf numFmtId="4" fontId="34" fillId="0" borderId="370" applyFill="0" applyBorder="0" applyProtection="0">
      <alignment horizontal="right" vertical="center"/>
    </xf>
    <xf numFmtId="0" fontId="62" fillId="56" borderId="374" applyNumberFormat="0" applyAlignment="0" applyProtection="0"/>
    <xf numFmtId="4" fontId="34" fillId="33" borderId="378"/>
    <xf numFmtId="0" fontId="40" fillId="59" borderId="377" applyNumberFormat="0" applyFont="0" applyAlignment="0" applyProtection="0"/>
    <xf numFmtId="0" fontId="65" fillId="0" borderId="384" applyNumberFormat="0" applyFill="0" applyAlignment="0" applyProtection="0"/>
    <xf numFmtId="0" fontId="43" fillId="56" borderId="368" applyNumberFormat="0" applyAlignment="0" applyProtection="0"/>
    <xf numFmtId="0" fontId="26" fillId="23" borderId="0" applyNumberFormat="0" applyBorder="0" applyAlignment="0" applyProtection="0"/>
    <xf numFmtId="0" fontId="1" fillId="0" borderId="0" applyNumberFormat="0" applyFill="0" applyBorder="0" applyAlignment="0" applyProtection="0"/>
    <xf numFmtId="4" fontId="32" fillId="34" borderId="357">
      <alignment horizontal="right" vertical="center"/>
    </xf>
    <xf numFmtId="0" fontId="34" fillId="33" borderId="357"/>
    <xf numFmtId="0" fontId="45" fillId="56" borderId="354" applyNumberFormat="0" applyAlignment="0" applyProtection="0"/>
    <xf numFmtId="0" fontId="32" fillId="32" borderId="357">
      <alignment horizontal="right" vertical="center"/>
    </xf>
    <xf numFmtId="0" fontId="34" fillId="0" borderId="357">
      <alignment horizontal="right" vertical="center"/>
    </xf>
    <xf numFmtId="0" fontId="65" fillId="0" borderId="355" applyNumberFormat="0" applyFill="0" applyAlignment="0" applyProtection="0"/>
    <xf numFmtId="0" fontId="34" fillId="32" borderId="358">
      <alignment horizontal="left" vertical="center"/>
    </xf>
    <xf numFmtId="0" fontId="58" fillId="43" borderId="354" applyNumberFormat="0" applyAlignment="0" applyProtection="0"/>
    <xf numFmtId="173" fontId="34" fillId="60" borderId="357" applyNumberFormat="0" applyFont="0" applyBorder="0" applyAlignment="0" applyProtection="0">
      <alignment horizontal="right" vertical="center"/>
    </xf>
    <xf numFmtId="0" fontId="40" fillId="59" borderId="356" applyNumberFormat="0" applyFont="0" applyAlignment="0" applyProtection="0"/>
    <xf numFmtId="0" fontId="34" fillId="0" borderId="360">
      <alignment horizontal="left" vertical="center" wrapText="1" indent="2"/>
    </xf>
    <xf numFmtId="4" fontId="34" fillId="33" borderId="357"/>
    <xf numFmtId="49" fontId="33" fillId="0" borderId="357" applyNumberFormat="0" applyFill="0" applyBorder="0" applyProtection="0">
      <alignment horizontal="left" vertical="center"/>
    </xf>
    <xf numFmtId="0" fontId="34" fillId="0" borderId="357">
      <alignment horizontal="right" vertical="center"/>
    </xf>
    <xf numFmtId="4" fontId="32" fillId="34" borderId="359">
      <alignment horizontal="right" vertical="center"/>
    </xf>
    <xf numFmtId="4" fontId="32" fillId="34" borderId="357">
      <alignment horizontal="right" vertical="center"/>
    </xf>
    <xf numFmtId="4" fontId="32" fillId="34" borderId="357">
      <alignment horizontal="right" vertical="center"/>
    </xf>
    <xf numFmtId="0" fontId="36" fillId="32" borderId="357">
      <alignment horizontal="right" vertical="center"/>
    </xf>
    <xf numFmtId="0" fontId="32" fillId="32" borderId="357">
      <alignment horizontal="right" vertical="center"/>
    </xf>
    <xf numFmtId="49" fontId="34" fillId="0" borderId="357" applyNumberFormat="0" applyFont="0" applyFill="0" applyBorder="0" applyProtection="0">
      <alignment horizontal="left" vertical="center" indent="2"/>
    </xf>
    <xf numFmtId="0" fontId="58" fillId="43" borderId="354" applyNumberFormat="0" applyAlignment="0" applyProtection="0"/>
    <xf numFmtId="0" fontId="43" fillId="56" borderId="353" applyNumberFormat="0" applyAlignment="0" applyProtection="0"/>
    <xf numFmtId="49" fontId="34" fillId="0" borderId="357" applyNumberFormat="0" applyFont="0" applyFill="0" applyBorder="0" applyProtection="0">
      <alignment horizontal="left" vertical="center" indent="2"/>
    </xf>
    <xf numFmtId="0" fontId="49" fillId="43" borderId="354" applyNumberFormat="0" applyAlignment="0" applyProtection="0"/>
    <xf numFmtId="4" fontId="34" fillId="0" borderId="357" applyFill="0" applyBorder="0" applyProtection="0">
      <alignment horizontal="right" vertical="center"/>
    </xf>
    <xf numFmtId="0" fontId="46" fillId="56" borderId="354" applyNumberFormat="0" applyAlignment="0" applyProtection="0"/>
    <xf numFmtId="0" fontId="65" fillId="0" borderId="355" applyNumberFormat="0" applyFill="0" applyAlignment="0" applyProtection="0"/>
    <xf numFmtId="0" fontId="62" fillId="56" borderId="353" applyNumberFormat="0" applyAlignment="0" applyProtection="0"/>
    <xf numFmtId="0" fontId="34" fillId="0" borderId="357" applyNumberFormat="0" applyFill="0" applyAlignment="0" applyProtection="0"/>
    <xf numFmtId="4" fontId="34" fillId="0" borderId="357">
      <alignment horizontal="right" vertical="center"/>
    </xf>
    <xf numFmtId="0" fontId="34" fillId="0" borderId="357">
      <alignment horizontal="right" vertical="center"/>
    </xf>
    <xf numFmtId="0" fontId="58" fillId="43" borderId="354" applyNumberFormat="0" applyAlignment="0" applyProtection="0"/>
    <xf numFmtId="0" fontId="43" fillId="56" borderId="353" applyNumberFormat="0" applyAlignment="0" applyProtection="0"/>
    <xf numFmtId="0" fontId="45" fillId="56" borderId="354" applyNumberFormat="0" applyAlignment="0" applyProtection="0"/>
    <xf numFmtId="0" fontId="34" fillId="34" borderId="360">
      <alignment horizontal="left" vertical="center" wrapText="1" indent="2"/>
    </xf>
    <xf numFmtId="0" fontId="46" fillId="56" borderId="354" applyNumberFormat="0" applyAlignment="0" applyProtection="0"/>
    <xf numFmtId="0" fontId="46" fillId="56" borderId="354" applyNumberFormat="0" applyAlignment="0" applyProtection="0"/>
    <xf numFmtId="4" fontId="32" fillId="34" borderId="358">
      <alignment horizontal="right" vertical="center"/>
    </xf>
    <xf numFmtId="0" fontId="32" fillId="34" borderId="358">
      <alignment horizontal="right" vertical="center"/>
    </xf>
    <xf numFmtId="0" fontId="32" fillId="34" borderId="357">
      <alignment horizontal="right" vertical="center"/>
    </xf>
    <xf numFmtId="4" fontId="36" fillId="32" borderId="357">
      <alignment horizontal="right" vertical="center"/>
    </xf>
    <xf numFmtId="0" fontId="49" fillId="43" borderId="354" applyNumberFormat="0" applyAlignment="0" applyProtection="0"/>
    <xf numFmtId="0" fontId="50" fillId="0" borderId="355" applyNumberFormat="0" applyFill="0" applyAlignment="0" applyProtection="0"/>
    <xf numFmtId="0" fontId="65" fillId="0" borderId="355" applyNumberFormat="0" applyFill="0" applyAlignment="0" applyProtection="0"/>
    <xf numFmtId="0" fontId="40" fillId="59" borderId="356" applyNumberFormat="0" applyFont="0" applyAlignment="0" applyProtection="0"/>
    <xf numFmtId="0" fontId="58" fillId="43" borderId="354" applyNumberFormat="0" applyAlignment="0" applyProtection="0"/>
    <xf numFmtId="49" fontId="33" fillId="0" borderId="357" applyNumberFormat="0" applyFill="0" applyBorder="0" applyProtection="0">
      <alignment horizontal="left" vertical="center"/>
    </xf>
    <xf numFmtId="0" fontId="34" fillId="34" borderId="360">
      <alignment horizontal="left" vertical="center" wrapText="1" indent="2"/>
    </xf>
    <xf numFmtId="0" fontId="46" fillId="56" borderId="354" applyNumberFormat="0" applyAlignment="0" applyProtection="0"/>
    <xf numFmtId="0" fontId="34" fillId="0" borderId="360">
      <alignment horizontal="left" vertical="center" wrapText="1" indent="2"/>
    </xf>
    <xf numFmtId="0" fontId="40" fillId="59" borderId="356" applyNumberFormat="0" applyFont="0" applyAlignment="0" applyProtection="0"/>
    <xf numFmtId="0" fontId="5" fillId="59" borderId="356" applyNumberFormat="0" applyFont="0" applyAlignment="0" applyProtection="0"/>
    <xf numFmtId="0" fontId="62" fillId="56" borderId="353" applyNumberFormat="0" applyAlignment="0" applyProtection="0"/>
    <xf numFmtId="0" fontId="65" fillId="0" borderId="355" applyNumberFormat="0" applyFill="0" applyAlignment="0" applyProtection="0"/>
    <xf numFmtId="4" fontId="34" fillId="33" borderId="357"/>
    <xf numFmtId="0" fontId="32" fillId="34" borderId="357">
      <alignment horizontal="right" vertical="center"/>
    </xf>
    <xf numFmtId="0" fontId="65" fillId="0" borderId="355" applyNumberFormat="0" applyFill="0" applyAlignment="0" applyProtection="0"/>
    <xf numFmtId="4" fontId="32" fillId="34" borderId="359">
      <alignment horizontal="right" vertical="center"/>
    </xf>
    <xf numFmtId="0" fontId="45" fillId="56" borderId="354" applyNumberFormat="0" applyAlignment="0" applyProtection="0"/>
    <xf numFmtId="0" fontId="32" fillId="34" borderId="358">
      <alignment horizontal="right" vertical="center"/>
    </xf>
    <xf numFmtId="0" fontId="46" fillId="56" borderId="354" applyNumberFormat="0" applyAlignment="0" applyProtection="0"/>
    <xf numFmtId="0" fontId="50" fillId="0" borderId="355" applyNumberFormat="0" applyFill="0" applyAlignment="0" applyProtection="0"/>
    <xf numFmtId="0" fontId="40" fillId="59" borderId="356" applyNumberFormat="0" applyFont="0" applyAlignment="0" applyProtection="0"/>
    <xf numFmtId="4" fontId="32" fillId="34" borderId="358">
      <alignment horizontal="right" vertical="center"/>
    </xf>
    <xf numFmtId="0" fontId="34" fillId="34" borderId="360">
      <alignment horizontal="left" vertical="center" wrapText="1" indent="2"/>
    </xf>
    <xf numFmtId="0" fontId="34" fillId="33" borderId="357"/>
    <xf numFmtId="173" fontId="34" fillId="60" borderId="357" applyNumberFormat="0" applyFont="0" applyBorder="0" applyAlignment="0" applyProtection="0">
      <alignment horizontal="right" vertical="center"/>
    </xf>
    <xf numFmtId="0" fontId="34" fillId="0" borderId="357" applyNumberFormat="0" applyFill="0" applyAlignment="0" applyProtection="0"/>
    <xf numFmtId="4" fontId="34" fillId="0" borderId="357" applyFill="0" applyBorder="0" applyProtection="0">
      <alignment horizontal="right" vertical="center"/>
    </xf>
    <xf numFmtId="4" fontId="32" fillId="32" borderId="357">
      <alignment horizontal="right" vertical="center"/>
    </xf>
    <xf numFmtId="0" fontId="50" fillId="0" borderId="355" applyNumberFormat="0" applyFill="0" applyAlignment="0" applyProtection="0"/>
    <xf numFmtId="49" fontId="33" fillId="0" borderId="357" applyNumberFormat="0" applyFill="0" applyBorder="0" applyProtection="0">
      <alignment horizontal="left" vertical="center"/>
    </xf>
    <xf numFmtId="49" fontId="34" fillId="0" borderId="358" applyNumberFormat="0" applyFont="0" applyFill="0" applyBorder="0" applyProtection="0">
      <alignment horizontal="left" vertical="center" indent="5"/>
    </xf>
    <xf numFmtId="0" fontId="34" fillId="32" borderId="358">
      <alignment horizontal="left" vertical="center"/>
    </xf>
    <xf numFmtId="0" fontId="46" fillId="56" borderId="354" applyNumberFormat="0" applyAlignment="0" applyProtection="0"/>
    <xf numFmtId="4" fontId="32" fillId="34" borderId="359">
      <alignment horizontal="right" vertical="center"/>
    </xf>
    <xf numFmtId="0" fontId="58" fillId="43" borderId="354" applyNumberFormat="0" applyAlignment="0" applyProtection="0"/>
    <xf numFmtId="0" fontId="58" fillId="43" borderId="354" applyNumberFormat="0" applyAlignment="0" applyProtection="0"/>
    <xf numFmtId="0" fontId="40" fillId="59" borderId="356" applyNumberFormat="0" applyFont="0" applyAlignment="0" applyProtection="0"/>
    <xf numFmtId="0" fontId="62" fillId="56" borderId="353" applyNumberFormat="0" applyAlignment="0" applyProtection="0"/>
    <xf numFmtId="0" fontId="65" fillId="0" borderId="355" applyNumberFormat="0" applyFill="0" applyAlignment="0" applyProtection="0"/>
    <xf numFmtId="0" fontId="32" fillId="34" borderId="357">
      <alignment horizontal="right" vertical="center"/>
    </xf>
    <xf numFmtId="0" fontId="5" fillId="59" borderId="356" applyNumberFormat="0" applyFont="0" applyAlignment="0" applyProtection="0"/>
    <xf numFmtId="4" fontId="34" fillId="0" borderId="357">
      <alignment horizontal="right" vertical="center"/>
    </xf>
    <xf numFmtId="0" fontId="65" fillId="0" borderId="355" applyNumberFormat="0" applyFill="0" applyAlignment="0" applyProtection="0"/>
    <xf numFmtId="0" fontId="32" fillId="34" borderId="357">
      <alignment horizontal="right" vertical="center"/>
    </xf>
    <xf numFmtId="0" fontId="32" fillId="34" borderId="357">
      <alignment horizontal="right" vertical="center"/>
    </xf>
    <xf numFmtId="4" fontId="36" fillId="32" borderId="357">
      <alignment horizontal="right" vertical="center"/>
    </xf>
    <xf numFmtId="0" fontId="32" fillId="32" borderId="357">
      <alignment horizontal="right" vertical="center"/>
    </xf>
    <xf numFmtId="4" fontId="32" fillId="32" borderId="357">
      <alignment horizontal="right" vertical="center"/>
    </xf>
    <xf numFmtId="0" fontId="36" fillId="32" borderId="357">
      <alignment horizontal="right" vertical="center"/>
    </xf>
    <xf numFmtId="4" fontId="36" fillId="32" borderId="357">
      <alignment horizontal="right" vertical="center"/>
    </xf>
    <xf numFmtId="0" fontId="32" fillId="34" borderId="357">
      <alignment horizontal="right" vertical="center"/>
    </xf>
    <xf numFmtId="4" fontId="32" fillId="34" borderId="357">
      <alignment horizontal="right" vertical="center"/>
    </xf>
    <xf numFmtId="0" fontId="32" fillId="34" borderId="357">
      <alignment horizontal="right" vertical="center"/>
    </xf>
    <xf numFmtId="4" fontId="32" fillId="34" borderId="357">
      <alignment horizontal="right" vertical="center"/>
    </xf>
    <xf numFmtId="0" fontId="32" fillId="34" borderId="358">
      <alignment horizontal="right" vertical="center"/>
    </xf>
    <xf numFmtId="4" fontId="32" fillId="34" borderId="358">
      <alignment horizontal="right" vertical="center"/>
    </xf>
    <xf numFmtId="0" fontId="32" fillId="34" borderId="359">
      <alignment horizontal="right" vertical="center"/>
    </xf>
    <xf numFmtId="4" fontId="32" fillId="34" borderId="359">
      <alignment horizontal="right" vertical="center"/>
    </xf>
    <xf numFmtId="0" fontId="46" fillId="56" borderId="354" applyNumberFormat="0" applyAlignment="0" applyProtection="0"/>
    <xf numFmtId="0" fontId="34" fillId="34" borderId="360">
      <alignment horizontal="left" vertical="center" wrapText="1" indent="2"/>
    </xf>
    <xf numFmtId="0" fontId="34" fillId="0" borderId="360">
      <alignment horizontal="left" vertical="center" wrapText="1" indent="2"/>
    </xf>
    <xf numFmtId="0" fontId="34" fillId="32" borderId="358">
      <alignment horizontal="left" vertical="center"/>
    </xf>
    <xf numFmtId="0" fontId="58" fillId="43" borderId="354" applyNumberFormat="0" applyAlignment="0" applyProtection="0"/>
    <xf numFmtId="0" fontId="34" fillId="0" borderId="357">
      <alignment horizontal="right" vertical="center"/>
    </xf>
    <xf numFmtId="4" fontId="34" fillId="0" borderId="357">
      <alignment horizontal="right" vertical="center"/>
    </xf>
    <xf numFmtId="0" fontId="34" fillId="0" borderId="357" applyNumberFormat="0" applyFill="0" applyAlignment="0" applyProtection="0"/>
    <xf numFmtId="0" fontId="62" fillId="56" borderId="353" applyNumberFormat="0" applyAlignment="0" applyProtection="0"/>
    <xf numFmtId="173" fontId="34" fillId="60" borderId="357" applyNumberFormat="0" applyFont="0" applyBorder="0" applyAlignment="0" applyProtection="0">
      <alignment horizontal="right" vertical="center"/>
    </xf>
    <xf numFmtId="0" fontId="34" fillId="33" borderId="357"/>
    <xf numFmtId="4" fontId="34" fillId="33" borderId="357"/>
    <xf numFmtId="0" fontId="65" fillId="0" borderId="355" applyNumberFormat="0" applyFill="0" applyAlignment="0" applyProtection="0"/>
    <xf numFmtId="0" fontId="5" fillId="59" borderId="356" applyNumberFormat="0" applyFont="0" applyAlignment="0" applyProtection="0"/>
    <xf numFmtId="0" fontId="40" fillId="59" borderId="356" applyNumberFormat="0" applyFont="0" applyAlignment="0" applyProtection="0"/>
    <xf numFmtId="0" fontId="34" fillId="0" borderId="357" applyNumberFormat="0" applyFill="0" applyAlignment="0" applyProtection="0"/>
    <xf numFmtId="0" fontId="50" fillId="0" borderId="355" applyNumberFormat="0" applyFill="0" applyAlignment="0" applyProtection="0"/>
    <xf numFmtId="0" fontId="65" fillId="0" borderId="355" applyNumberFormat="0" applyFill="0" applyAlignment="0" applyProtection="0"/>
    <xf numFmtId="0" fontId="49" fillId="43" borderId="354" applyNumberFormat="0" applyAlignment="0" applyProtection="0"/>
    <xf numFmtId="0" fontId="46" fillId="56" borderId="354" applyNumberFormat="0" applyAlignment="0" applyProtection="0"/>
    <xf numFmtId="4" fontId="36" fillId="32" borderId="357">
      <alignment horizontal="right" vertical="center"/>
    </xf>
    <xf numFmtId="0" fontId="32" fillId="32" borderId="357">
      <alignment horizontal="right" vertical="center"/>
    </xf>
    <xf numFmtId="173" fontId="34" fillId="60" borderId="357" applyNumberFormat="0" applyFont="0" applyBorder="0" applyAlignment="0" applyProtection="0">
      <alignment horizontal="right" vertical="center"/>
    </xf>
    <xf numFmtId="0" fontId="50" fillId="0" borderId="355" applyNumberFormat="0" applyFill="0" applyAlignment="0" applyProtection="0"/>
    <xf numFmtId="49" fontId="34" fillId="0" borderId="357" applyNumberFormat="0" applyFont="0" applyFill="0" applyBorder="0" applyProtection="0">
      <alignment horizontal="left" vertical="center" indent="2"/>
    </xf>
    <xf numFmtId="49" fontId="34" fillId="0" borderId="358" applyNumberFormat="0" applyFont="0" applyFill="0" applyBorder="0" applyProtection="0">
      <alignment horizontal="left" vertical="center" indent="5"/>
    </xf>
    <xf numFmtId="49" fontId="34" fillId="0" borderId="357" applyNumberFormat="0" applyFont="0" applyFill="0" applyBorder="0" applyProtection="0">
      <alignment horizontal="left" vertical="center" indent="2"/>
    </xf>
    <xf numFmtId="4" fontId="34" fillId="0" borderId="357" applyFill="0" applyBorder="0" applyProtection="0">
      <alignment horizontal="right" vertical="center"/>
    </xf>
    <xf numFmtId="49" fontId="33" fillId="0" borderId="357" applyNumberFormat="0" applyFill="0" applyBorder="0" applyProtection="0">
      <alignment horizontal="left" vertical="center"/>
    </xf>
    <xf numFmtId="0" fontId="34" fillId="0" borderId="360">
      <alignment horizontal="left" vertical="center" wrapText="1" indent="2"/>
    </xf>
    <xf numFmtId="0" fontId="62" fillId="56" borderId="353" applyNumberFormat="0" applyAlignment="0" applyProtection="0"/>
    <xf numFmtId="0" fontId="32" fillId="34" borderId="359">
      <alignment horizontal="right" vertical="center"/>
    </xf>
    <xf numFmtId="0" fontId="49" fillId="43" borderId="354" applyNumberFormat="0" applyAlignment="0" applyProtection="0"/>
    <xf numFmtId="0" fontId="32" fillId="34" borderId="359">
      <alignment horizontal="right" vertical="center"/>
    </xf>
    <xf numFmtId="4" fontId="32" fillId="34" borderId="357">
      <alignment horizontal="right" vertical="center"/>
    </xf>
    <xf numFmtId="0" fontId="32" fillId="34" borderId="357">
      <alignment horizontal="right" vertical="center"/>
    </xf>
    <xf numFmtId="0" fontId="43" fillId="56" borderId="353" applyNumberFormat="0" applyAlignment="0" applyProtection="0"/>
    <xf numFmtId="0" fontId="45" fillId="56" borderId="354" applyNumberFormat="0" applyAlignment="0" applyProtection="0"/>
    <xf numFmtId="0" fontId="50" fillId="0" borderId="355" applyNumberFormat="0" applyFill="0" applyAlignment="0" applyProtection="0"/>
    <xf numFmtId="0" fontId="34" fillId="33" borderId="357"/>
    <xf numFmtId="4" fontId="34" fillId="33" borderId="357"/>
    <xf numFmtId="4" fontId="32" fillId="34" borderId="357">
      <alignment horizontal="right" vertical="center"/>
    </xf>
    <xf numFmtId="0" fontId="36" fillId="32" borderId="357">
      <alignment horizontal="right" vertical="center"/>
    </xf>
    <xf numFmtId="0" fontId="49" fillId="43" borderId="354" applyNumberFormat="0" applyAlignment="0" applyProtection="0"/>
    <xf numFmtId="0" fontId="46" fillId="56" borderId="354" applyNumberFormat="0" applyAlignment="0" applyProtection="0"/>
    <xf numFmtId="4" fontId="34" fillId="0" borderId="357">
      <alignment horizontal="right" vertical="center"/>
    </xf>
    <xf numFmtId="0" fontId="34" fillId="34" borderId="360">
      <alignment horizontal="left" vertical="center" wrapText="1" indent="2"/>
    </xf>
    <xf numFmtId="0" fontId="34" fillId="0" borderId="360">
      <alignment horizontal="left" vertical="center" wrapText="1" indent="2"/>
    </xf>
    <xf numFmtId="0" fontId="62" fillId="56" borderId="353" applyNumberFormat="0" applyAlignment="0" applyProtection="0"/>
    <xf numFmtId="0" fontId="58" fillId="43" borderId="354" applyNumberFormat="0" applyAlignment="0" applyProtection="0"/>
    <xf numFmtId="0" fontId="45" fillId="56" borderId="354" applyNumberFormat="0" applyAlignment="0" applyProtection="0"/>
    <xf numFmtId="0" fontId="43" fillId="56" borderId="353" applyNumberFormat="0" applyAlignment="0" applyProtection="0"/>
    <xf numFmtId="0" fontId="32" fillId="34" borderId="359">
      <alignment horizontal="right" vertical="center"/>
    </xf>
    <xf numFmtId="0" fontId="36" fillId="32" borderId="357">
      <alignment horizontal="right" vertical="center"/>
    </xf>
    <xf numFmtId="4" fontId="32" fillId="32" borderId="357">
      <alignment horizontal="right" vertical="center"/>
    </xf>
    <xf numFmtId="4" fontId="32" fillId="34" borderId="357">
      <alignment horizontal="right" vertical="center"/>
    </xf>
    <xf numFmtId="49" fontId="34" fillId="0" borderId="358" applyNumberFormat="0" applyFont="0" applyFill="0" applyBorder="0" applyProtection="0">
      <alignment horizontal="left" vertical="center" indent="5"/>
    </xf>
    <xf numFmtId="4" fontId="34" fillId="0" borderId="357" applyFill="0" applyBorder="0" applyProtection="0">
      <alignment horizontal="right" vertical="center"/>
    </xf>
    <xf numFmtId="4" fontId="32" fillId="32" borderId="357">
      <alignment horizontal="right" vertical="center"/>
    </xf>
    <xf numFmtId="4" fontId="32" fillId="32" borderId="397">
      <alignment horizontal="right" vertical="center"/>
    </xf>
    <xf numFmtId="0" fontId="58" fillId="43" borderId="354" applyNumberFormat="0" applyAlignment="0" applyProtection="0"/>
    <xf numFmtId="0" fontId="49" fillId="43" borderId="354" applyNumberFormat="0" applyAlignment="0" applyProtection="0"/>
    <xf numFmtId="0" fontId="45" fillId="56" borderId="354" applyNumberFormat="0" applyAlignment="0" applyProtection="0"/>
    <xf numFmtId="0" fontId="34" fillId="34" borderId="360">
      <alignment horizontal="left" vertical="center" wrapText="1" indent="2"/>
    </xf>
    <xf numFmtId="0" fontId="34" fillId="0" borderId="360">
      <alignment horizontal="left" vertical="center" wrapText="1" indent="2"/>
    </xf>
    <xf numFmtId="0" fontId="34" fillId="34" borderId="360">
      <alignment horizontal="left" vertical="center" wrapText="1" indent="2"/>
    </xf>
    <xf numFmtId="0" fontId="34" fillId="0" borderId="360">
      <alignment horizontal="left" vertical="center" wrapText="1" indent="2"/>
    </xf>
    <xf numFmtId="0" fontId="43" fillId="56" borderId="353" applyNumberFormat="0" applyAlignment="0" applyProtection="0"/>
    <xf numFmtId="0" fontId="45" fillId="56" borderId="354" applyNumberFormat="0" applyAlignment="0" applyProtection="0"/>
    <xf numFmtId="0" fontId="46" fillId="56" borderId="354" applyNumberFormat="0" applyAlignment="0" applyProtection="0"/>
    <xf numFmtId="0" fontId="49" fillId="43" borderId="354" applyNumberFormat="0" applyAlignment="0" applyProtection="0"/>
    <xf numFmtId="0" fontId="50" fillId="0" borderId="355" applyNumberFormat="0" applyFill="0" applyAlignment="0" applyProtection="0"/>
    <xf numFmtId="0" fontId="58" fillId="43" borderId="354" applyNumberFormat="0" applyAlignment="0" applyProtection="0"/>
    <xf numFmtId="0" fontId="40" fillId="59" borderId="356" applyNumberFormat="0" applyFont="0" applyAlignment="0" applyProtection="0"/>
    <xf numFmtId="0" fontId="5" fillId="59" borderId="356" applyNumberFormat="0" applyFont="0" applyAlignment="0" applyProtection="0"/>
    <xf numFmtId="0" fontId="62" fillId="56" borderId="353" applyNumberFormat="0" applyAlignment="0" applyProtection="0"/>
    <xf numFmtId="0" fontId="65" fillId="0" borderId="355" applyNumberFormat="0" applyFill="0" applyAlignment="0" applyProtection="0"/>
    <xf numFmtId="0" fontId="46" fillId="56" borderId="354" applyNumberFormat="0" applyAlignment="0" applyProtection="0"/>
    <xf numFmtId="0" fontId="58" fillId="43" borderId="354" applyNumberFormat="0" applyAlignment="0" applyProtection="0"/>
    <xf numFmtId="0" fontId="40" fillId="59" borderId="356" applyNumberFormat="0" applyFont="0" applyAlignment="0" applyProtection="0"/>
    <xf numFmtId="0" fontId="62" fillId="56" borderId="353" applyNumberFormat="0" applyAlignment="0" applyProtection="0"/>
    <xf numFmtId="0" fontId="65" fillId="0" borderId="355" applyNumberFormat="0" applyFill="0" applyAlignment="0" applyProtection="0"/>
    <xf numFmtId="0" fontId="34" fillId="32" borderId="365">
      <alignment horizontal="left" vertical="center"/>
    </xf>
    <xf numFmtId="4" fontId="34" fillId="0" borderId="364">
      <alignment horizontal="right" vertical="center"/>
    </xf>
    <xf numFmtId="0" fontId="32" fillId="34" borderId="348">
      <alignment horizontal="right" vertical="center"/>
    </xf>
    <xf numFmtId="4" fontId="32" fillId="34" borderId="348">
      <alignment horizontal="right" vertical="center"/>
    </xf>
    <xf numFmtId="0" fontId="46" fillId="56" borderId="354" applyNumberFormat="0" applyAlignment="0" applyProtection="0"/>
    <xf numFmtId="0" fontId="34" fillId="34" borderId="349">
      <alignment horizontal="left" vertical="center" wrapText="1" indent="2"/>
    </xf>
    <xf numFmtId="0" fontId="34" fillId="0" borderId="349">
      <alignment horizontal="left" vertical="center" wrapText="1" indent="2"/>
    </xf>
    <xf numFmtId="0" fontId="58" fillId="43" borderId="375" applyNumberFormat="0" applyAlignment="0" applyProtection="0"/>
    <xf numFmtId="0" fontId="58" fillId="43" borderId="354" applyNumberFormat="0" applyAlignment="0" applyProtection="0"/>
    <xf numFmtId="0" fontId="62" fillId="56" borderId="353" applyNumberFormat="0" applyAlignment="0" applyProtection="0"/>
    <xf numFmtId="0" fontId="65" fillId="0" borderId="355" applyNumberFormat="0" applyFill="0" applyAlignment="0" applyProtection="0"/>
    <xf numFmtId="0" fontId="46" fillId="56" borderId="361" applyNumberFormat="0" applyAlignment="0" applyProtection="0"/>
    <xf numFmtId="0" fontId="43" fillId="56" borderId="353" applyNumberFormat="0" applyAlignment="0" applyProtection="0"/>
    <xf numFmtId="0" fontId="45" fillId="56" borderId="354" applyNumberFormat="0" applyAlignment="0" applyProtection="0"/>
    <xf numFmtId="0" fontId="50" fillId="0" borderId="355" applyNumberFormat="0" applyFill="0" applyAlignment="0" applyProtection="0"/>
    <xf numFmtId="49" fontId="34" fillId="0" borderId="357" applyNumberFormat="0" applyFont="0" applyFill="0" applyBorder="0" applyProtection="0">
      <alignment horizontal="left" vertical="center" indent="2"/>
    </xf>
    <xf numFmtId="0" fontId="32" fillId="32" borderId="357">
      <alignment horizontal="right" vertical="center"/>
    </xf>
    <xf numFmtId="4" fontId="32" fillId="32" borderId="357">
      <alignment horizontal="right" vertical="center"/>
    </xf>
    <xf numFmtId="0" fontId="36" fillId="32" borderId="357">
      <alignment horizontal="right" vertical="center"/>
    </xf>
    <xf numFmtId="4" fontId="36" fillId="32" borderId="357">
      <alignment horizontal="right" vertical="center"/>
    </xf>
    <xf numFmtId="0" fontId="32" fillId="34" borderId="357">
      <alignment horizontal="right" vertical="center"/>
    </xf>
    <xf numFmtId="4" fontId="32" fillId="34" borderId="357">
      <alignment horizontal="right" vertical="center"/>
    </xf>
    <xf numFmtId="0" fontId="32" fillId="34" borderId="357">
      <alignment horizontal="right" vertical="center"/>
    </xf>
    <xf numFmtId="4" fontId="32" fillId="34" borderId="357">
      <alignment horizontal="right" vertical="center"/>
    </xf>
    <xf numFmtId="0" fontId="49" fillId="43" borderId="354" applyNumberFormat="0" applyAlignment="0" applyProtection="0"/>
    <xf numFmtId="0" fontId="34" fillId="0" borderId="357">
      <alignment horizontal="right" vertical="center"/>
    </xf>
    <xf numFmtId="4" fontId="34" fillId="0" borderId="357">
      <alignment horizontal="right" vertical="center"/>
    </xf>
    <xf numFmtId="4" fontId="34" fillId="0" borderId="357" applyFill="0" applyBorder="0" applyProtection="0">
      <alignment horizontal="right" vertical="center"/>
    </xf>
    <xf numFmtId="49" fontId="33" fillId="0" borderId="357" applyNumberFormat="0" applyFill="0" applyBorder="0" applyProtection="0">
      <alignment horizontal="left" vertical="center"/>
    </xf>
    <xf numFmtId="0" fontId="34" fillId="0" borderId="357" applyNumberFormat="0" applyFill="0" applyAlignment="0" applyProtection="0"/>
    <xf numFmtId="173" fontId="34" fillId="60" borderId="357" applyNumberFormat="0" applyFont="0" applyBorder="0" applyAlignment="0" applyProtection="0">
      <alignment horizontal="right" vertical="center"/>
    </xf>
    <xf numFmtId="0" fontId="34" fillId="33" borderId="357"/>
    <xf numFmtId="4" fontId="34" fillId="33" borderId="357"/>
    <xf numFmtId="4" fontId="32" fillId="34" borderId="357">
      <alignment horizontal="right" vertical="center"/>
    </xf>
    <xf numFmtId="0" fontId="34" fillId="33" borderId="357"/>
    <xf numFmtId="0" fontId="45" fillId="56" borderId="354" applyNumberFormat="0" applyAlignment="0" applyProtection="0"/>
    <xf numFmtId="0" fontId="32" fillId="32" borderId="357">
      <alignment horizontal="right" vertical="center"/>
    </xf>
    <xf numFmtId="0" fontId="34" fillId="0" borderId="357">
      <alignment horizontal="right" vertical="center"/>
    </xf>
    <xf numFmtId="0" fontId="65" fillId="0" borderId="355" applyNumberFormat="0" applyFill="0" applyAlignment="0" applyProtection="0"/>
    <xf numFmtId="0" fontId="34" fillId="32" borderId="358">
      <alignment horizontal="left" vertical="center"/>
    </xf>
    <xf numFmtId="0" fontId="58" fillId="43" borderId="354" applyNumberFormat="0" applyAlignment="0" applyProtection="0"/>
    <xf numFmtId="173" fontId="34" fillId="60" borderId="357" applyNumberFormat="0" applyFont="0" applyBorder="0" applyAlignment="0" applyProtection="0">
      <alignment horizontal="right" vertical="center"/>
    </xf>
    <xf numFmtId="0" fontId="40" fillId="59" borderId="356" applyNumberFormat="0" applyFont="0" applyAlignment="0" applyProtection="0"/>
    <xf numFmtId="0" fontId="34" fillId="0" borderId="360">
      <alignment horizontal="left" vertical="center" wrapText="1" indent="2"/>
    </xf>
    <xf numFmtId="4" fontId="34" fillId="33" borderId="357"/>
    <xf numFmtId="49" fontId="33" fillId="0" borderId="357" applyNumberFormat="0" applyFill="0" applyBorder="0" applyProtection="0">
      <alignment horizontal="left" vertical="center"/>
    </xf>
    <xf numFmtId="0" fontId="34" fillId="0" borderId="357">
      <alignment horizontal="right" vertical="center"/>
    </xf>
    <xf numFmtId="4" fontId="32" fillId="34" borderId="359">
      <alignment horizontal="right" vertical="center"/>
    </xf>
    <xf numFmtId="4" fontId="32" fillId="34" borderId="357">
      <alignment horizontal="right" vertical="center"/>
    </xf>
    <xf numFmtId="4" fontId="32" fillId="34" borderId="357">
      <alignment horizontal="right" vertical="center"/>
    </xf>
    <xf numFmtId="0" fontId="36" fillId="32" borderId="357">
      <alignment horizontal="right" vertical="center"/>
    </xf>
    <xf numFmtId="0" fontId="32" fillId="32" borderId="357">
      <alignment horizontal="right" vertical="center"/>
    </xf>
    <xf numFmtId="49" fontId="34" fillId="0" borderId="357" applyNumberFormat="0" applyFont="0" applyFill="0" applyBorder="0" applyProtection="0">
      <alignment horizontal="left" vertical="center" indent="2"/>
    </xf>
    <xf numFmtId="0" fontId="58" fillId="43" borderId="354" applyNumberFormat="0" applyAlignment="0" applyProtection="0"/>
    <xf numFmtId="0" fontId="43" fillId="56" borderId="353" applyNumberFormat="0" applyAlignment="0" applyProtection="0"/>
    <xf numFmtId="49" fontId="34" fillId="0" borderId="357" applyNumberFormat="0" applyFont="0" applyFill="0" applyBorder="0" applyProtection="0">
      <alignment horizontal="left" vertical="center" indent="2"/>
    </xf>
    <xf numFmtId="0" fontId="49" fillId="43" borderId="354" applyNumberFormat="0" applyAlignment="0" applyProtection="0"/>
    <xf numFmtId="4" fontId="34" fillId="0" borderId="357" applyFill="0" applyBorder="0" applyProtection="0">
      <alignment horizontal="right" vertical="center"/>
    </xf>
    <xf numFmtId="0" fontId="46" fillId="56" borderId="354" applyNumberFormat="0" applyAlignment="0" applyProtection="0"/>
    <xf numFmtId="0" fontId="65" fillId="0" borderId="355" applyNumberFormat="0" applyFill="0" applyAlignment="0" applyProtection="0"/>
    <xf numFmtId="0" fontId="62" fillId="56" borderId="353" applyNumberFormat="0" applyAlignment="0" applyProtection="0"/>
    <xf numFmtId="0" fontId="34" fillId="0" borderId="357" applyNumberFormat="0" applyFill="0" applyAlignment="0" applyProtection="0"/>
    <xf numFmtId="4" fontId="34" fillId="0" borderId="357">
      <alignment horizontal="right" vertical="center"/>
    </xf>
    <xf numFmtId="0" fontId="34" fillId="0" borderId="357">
      <alignment horizontal="right" vertical="center"/>
    </xf>
    <xf numFmtId="0" fontId="58" fillId="43" borderId="354" applyNumberFormat="0" applyAlignment="0" applyProtection="0"/>
    <xf numFmtId="0" fontId="43" fillId="56" borderId="353" applyNumberFormat="0" applyAlignment="0" applyProtection="0"/>
    <xf numFmtId="0" fontId="45" fillId="56" borderId="354" applyNumberFormat="0" applyAlignment="0" applyProtection="0"/>
    <xf numFmtId="0" fontId="34" fillId="34" borderId="360">
      <alignment horizontal="left" vertical="center" wrapText="1" indent="2"/>
    </xf>
    <xf numFmtId="0" fontId="46" fillId="56" borderId="354" applyNumberFormat="0" applyAlignment="0" applyProtection="0"/>
    <xf numFmtId="0" fontId="46" fillId="56" borderId="354" applyNumberFormat="0" applyAlignment="0" applyProtection="0"/>
    <xf numFmtId="4" fontId="32" fillId="34" borderId="358">
      <alignment horizontal="right" vertical="center"/>
    </xf>
    <xf numFmtId="0" fontId="32" fillId="34" borderId="358">
      <alignment horizontal="right" vertical="center"/>
    </xf>
    <xf numFmtId="0" fontId="32" fillId="34" borderId="357">
      <alignment horizontal="right" vertical="center"/>
    </xf>
    <xf numFmtId="4" fontId="36" fillId="32" borderId="357">
      <alignment horizontal="right" vertical="center"/>
    </xf>
    <xf numFmtId="0" fontId="49" fillId="43" borderId="354" applyNumberFormat="0" applyAlignment="0" applyProtection="0"/>
    <xf numFmtId="0" fontId="50" fillId="0" borderId="355" applyNumberFormat="0" applyFill="0" applyAlignment="0" applyProtection="0"/>
    <xf numFmtId="0" fontId="65" fillId="0" borderId="355" applyNumberFormat="0" applyFill="0" applyAlignment="0" applyProtection="0"/>
    <xf numFmtId="0" fontId="40" fillId="59" borderId="356" applyNumberFormat="0" applyFont="0" applyAlignment="0" applyProtection="0"/>
    <xf numFmtId="0" fontId="58" fillId="43" borderId="354" applyNumberFormat="0" applyAlignment="0" applyProtection="0"/>
    <xf numFmtId="49" fontId="33" fillId="0" borderId="357" applyNumberFormat="0" applyFill="0" applyBorder="0" applyProtection="0">
      <alignment horizontal="left" vertical="center"/>
    </xf>
    <xf numFmtId="0" fontId="34" fillId="34" borderId="360">
      <alignment horizontal="left" vertical="center" wrapText="1" indent="2"/>
    </xf>
    <xf numFmtId="0" fontId="46" fillId="56" borderId="354" applyNumberFormat="0" applyAlignment="0" applyProtection="0"/>
    <xf numFmtId="0" fontId="34" fillId="0" borderId="360">
      <alignment horizontal="left" vertical="center" wrapText="1" indent="2"/>
    </xf>
    <xf numFmtId="0" fontId="40" fillId="59" borderId="356" applyNumberFormat="0" applyFont="0" applyAlignment="0" applyProtection="0"/>
    <xf numFmtId="0" fontId="5" fillId="59" borderId="356" applyNumberFormat="0" applyFont="0" applyAlignment="0" applyProtection="0"/>
    <xf numFmtId="0" fontId="62" fillId="56" borderId="353" applyNumberFormat="0" applyAlignment="0" applyProtection="0"/>
    <xf numFmtId="0" fontId="65" fillId="0" borderId="355" applyNumberFormat="0" applyFill="0" applyAlignment="0" applyProtection="0"/>
    <xf numFmtId="4" fontId="34" fillId="33" borderId="357"/>
    <xf numFmtId="0" fontId="32" fillId="34" borderId="357">
      <alignment horizontal="right" vertical="center"/>
    </xf>
    <xf numFmtId="0" fontId="65" fillId="0" borderId="355" applyNumberFormat="0" applyFill="0" applyAlignment="0" applyProtection="0"/>
    <xf numFmtId="4" fontId="32" fillId="34" borderId="359">
      <alignment horizontal="right" vertical="center"/>
    </xf>
    <xf numFmtId="0" fontId="45" fillId="56" borderId="354" applyNumberFormat="0" applyAlignment="0" applyProtection="0"/>
    <xf numFmtId="0" fontId="32" fillId="34" borderId="358">
      <alignment horizontal="right" vertical="center"/>
    </xf>
    <xf numFmtId="0" fontId="46" fillId="56" borderId="354" applyNumberFormat="0" applyAlignment="0" applyProtection="0"/>
    <xf numFmtId="0" fontId="50" fillId="0" borderId="355" applyNumberFormat="0" applyFill="0" applyAlignment="0" applyProtection="0"/>
    <xf numFmtId="0" fontId="40" fillId="59" borderId="356" applyNumberFormat="0" applyFont="0" applyAlignment="0" applyProtection="0"/>
    <xf numFmtId="4" fontId="32" fillId="34" borderId="358">
      <alignment horizontal="right" vertical="center"/>
    </xf>
    <xf numFmtId="0" fontId="34" fillId="34" borderId="360">
      <alignment horizontal="left" vertical="center" wrapText="1" indent="2"/>
    </xf>
    <xf numFmtId="0" fontId="34" fillId="33" borderId="357"/>
    <xf numFmtId="173" fontId="34" fillId="60" borderId="357" applyNumberFormat="0" applyFont="0" applyBorder="0" applyAlignment="0" applyProtection="0">
      <alignment horizontal="right" vertical="center"/>
    </xf>
    <xf numFmtId="0" fontId="34" fillId="0" borderId="357" applyNumberFormat="0" applyFill="0" applyAlignment="0" applyProtection="0"/>
    <xf numFmtId="4" fontId="34" fillId="0" borderId="357" applyFill="0" applyBorder="0" applyProtection="0">
      <alignment horizontal="right" vertical="center"/>
    </xf>
    <xf numFmtId="4" fontId="32" fillId="32" borderId="357">
      <alignment horizontal="right" vertical="center"/>
    </xf>
    <xf numFmtId="0" fontId="50" fillId="0" borderId="355" applyNumberFormat="0" applyFill="0" applyAlignment="0" applyProtection="0"/>
    <xf numFmtId="49" fontId="33" fillId="0" borderId="357" applyNumberFormat="0" applyFill="0" applyBorder="0" applyProtection="0">
      <alignment horizontal="left" vertical="center"/>
    </xf>
    <xf numFmtId="49" fontId="34" fillId="0" borderId="358" applyNumberFormat="0" applyFont="0" applyFill="0" applyBorder="0" applyProtection="0">
      <alignment horizontal="left" vertical="center" indent="5"/>
    </xf>
    <xf numFmtId="0" fontId="34" fillId="32" borderId="358">
      <alignment horizontal="left" vertical="center"/>
    </xf>
    <xf numFmtId="0" fontId="46" fillId="56" borderId="354" applyNumberFormat="0" applyAlignment="0" applyProtection="0"/>
    <xf numFmtId="4" fontId="32" fillId="34" borderId="359">
      <alignment horizontal="right" vertical="center"/>
    </xf>
    <xf numFmtId="0" fontId="58" fillId="43" borderId="354" applyNumberFormat="0" applyAlignment="0" applyProtection="0"/>
    <xf numFmtId="0" fontId="58" fillId="43" borderId="354" applyNumberFormat="0" applyAlignment="0" applyProtection="0"/>
    <xf numFmtId="0" fontId="40" fillId="59" borderId="356" applyNumberFormat="0" applyFont="0" applyAlignment="0" applyProtection="0"/>
    <xf numFmtId="0" fontId="62" fillId="56" borderId="353" applyNumberFormat="0" applyAlignment="0" applyProtection="0"/>
    <xf numFmtId="0" fontId="65" fillId="0" borderId="355" applyNumberFormat="0" applyFill="0" applyAlignment="0" applyProtection="0"/>
    <xf numFmtId="0" fontId="32" fillId="34" borderId="357">
      <alignment horizontal="right" vertical="center"/>
    </xf>
    <xf numFmtId="0" fontId="5" fillId="59" borderId="356" applyNumberFormat="0" applyFont="0" applyAlignment="0" applyProtection="0"/>
    <xf numFmtId="4" fontId="34" fillId="0" borderId="357">
      <alignment horizontal="right" vertical="center"/>
    </xf>
    <xf numFmtId="0" fontId="65" fillId="0" borderId="355" applyNumberFormat="0" applyFill="0" applyAlignment="0" applyProtection="0"/>
    <xf numFmtId="0" fontId="32" fillId="34" borderId="357">
      <alignment horizontal="right" vertical="center"/>
    </xf>
    <xf numFmtId="0" fontId="32" fillId="34" borderId="357">
      <alignment horizontal="right" vertical="center"/>
    </xf>
    <xf numFmtId="4" fontId="36" fillId="32" borderId="357">
      <alignment horizontal="right" vertical="center"/>
    </xf>
    <xf numFmtId="0" fontId="32" fillId="32" borderId="357">
      <alignment horizontal="right" vertical="center"/>
    </xf>
    <xf numFmtId="4" fontId="32" fillId="32" borderId="357">
      <alignment horizontal="right" vertical="center"/>
    </xf>
    <xf numFmtId="0" fontId="36" fillId="32" borderId="357">
      <alignment horizontal="right" vertical="center"/>
    </xf>
    <xf numFmtId="4" fontId="36" fillId="32" borderId="357">
      <alignment horizontal="right" vertical="center"/>
    </xf>
    <xf numFmtId="0" fontId="32" fillId="34" borderId="357">
      <alignment horizontal="right" vertical="center"/>
    </xf>
    <xf numFmtId="4" fontId="32" fillId="34" borderId="357">
      <alignment horizontal="right" vertical="center"/>
    </xf>
    <xf numFmtId="0" fontId="32" fillId="34" borderId="357">
      <alignment horizontal="right" vertical="center"/>
    </xf>
    <xf numFmtId="4" fontId="32" fillId="34" borderId="357">
      <alignment horizontal="right" vertical="center"/>
    </xf>
    <xf numFmtId="0" fontId="32" fillId="34" borderId="358">
      <alignment horizontal="right" vertical="center"/>
    </xf>
    <xf numFmtId="4" fontId="32" fillId="34" borderId="358">
      <alignment horizontal="right" vertical="center"/>
    </xf>
    <xf numFmtId="0" fontId="32" fillId="34" borderId="359">
      <alignment horizontal="right" vertical="center"/>
    </xf>
    <xf numFmtId="4" fontId="32" fillId="34" borderId="359">
      <alignment horizontal="right" vertical="center"/>
    </xf>
    <xf numFmtId="0" fontId="46" fillId="56" borderId="354" applyNumberFormat="0" applyAlignment="0" applyProtection="0"/>
    <xf numFmtId="0" fontId="34" fillId="34" borderId="360">
      <alignment horizontal="left" vertical="center" wrapText="1" indent="2"/>
    </xf>
    <xf numFmtId="0" fontId="34" fillId="0" borderId="360">
      <alignment horizontal="left" vertical="center" wrapText="1" indent="2"/>
    </xf>
    <xf numFmtId="0" fontId="34" fillId="32" borderId="358">
      <alignment horizontal="left" vertical="center"/>
    </xf>
    <xf numFmtId="0" fontId="58" fillId="43" borderId="354" applyNumberFormat="0" applyAlignment="0" applyProtection="0"/>
    <xf numFmtId="0" fontId="34" fillId="0" borderId="357">
      <alignment horizontal="right" vertical="center"/>
    </xf>
    <xf numFmtId="4" fontId="34" fillId="0" borderId="357">
      <alignment horizontal="right" vertical="center"/>
    </xf>
    <xf numFmtId="0" fontId="34" fillId="0" borderId="357" applyNumberFormat="0" applyFill="0" applyAlignment="0" applyProtection="0"/>
    <xf numFmtId="0" fontId="62" fillId="56" borderId="353" applyNumberFormat="0" applyAlignment="0" applyProtection="0"/>
    <xf numFmtId="173" fontId="34" fillId="60" borderId="357" applyNumberFormat="0" applyFont="0" applyBorder="0" applyAlignment="0" applyProtection="0">
      <alignment horizontal="right" vertical="center"/>
    </xf>
    <xf numFmtId="0" fontId="34" fillId="33" borderId="357"/>
    <xf numFmtId="4" fontId="34" fillId="33" borderId="357"/>
    <xf numFmtId="0" fontId="65" fillId="0" borderId="355" applyNumberFormat="0" applyFill="0" applyAlignment="0" applyProtection="0"/>
    <xf numFmtId="0" fontId="5" fillId="59" borderId="356" applyNumberFormat="0" applyFont="0" applyAlignment="0" applyProtection="0"/>
    <xf numFmtId="0" fontId="40" fillId="59" borderId="356" applyNumberFormat="0" applyFont="0" applyAlignment="0" applyProtection="0"/>
    <xf numFmtId="0" fontId="34" fillId="0" borderId="357" applyNumberFormat="0" applyFill="0" applyAlignment="0" applyProtection="0"/>
    <xf numFmtId="0" fontId="50" fillId="0" borderId="355" applyNumberFormat="0" applyFill="0" applyAlignment="0" applyProtection="0"/>
    <xf numFmtId="0" fontId="65" fillId="0" borderId="355" applyNumberFormat="0" applyFill="0" applyAlignment="0" applyProtection="0"/>
    <xf numFmtId="0" fontId="49" fillId="43" borderId="354" applyNumberFormat="0" applyAlignment="0" applyProtection="0"/>
    <xf numFmtId="0" fontId="46" fillId="56" borderId="354" applyNumberFormat="0" applyAlignment="0" applyProtection="0"/>
    <xf numFmtId="4" fontId="36" fillId="32" borderId="357">
      <alignment horizontal="right" vertical="center"/>
    </xf>
    <xf numFmtId="0" fontId="32" fillId="32" borderId="357">
      <alignment horizontal="right" vertical="center"/>
    </xf>
    <xf numFmtId="173" fontId="34" fillId="60" borderId="357" applyNumberFormat="0" applyFont="0" applyBorder="0" applyAlignment="0" applyProtection="0">
      <alignment horizontal="right" vertical="center"/>
    </xf>
    <xf numFmtId="0" fontId="50" fillId="0" borderId="355" applyNumberFormat="0" applyFill="0" applyAlignment="0" applyProtection="0"/>
    <xf numFmtId="49" fontId="34" fillId="0" borderId="357" applyNumberFormat="0" applyFont="0" applyFill="0" applyBorder="0" applyProtection="0">
      <alignment horizontal="left" vertical="center" indent="2"/>
    </xf>
    <xf numFmtId="49" fontId="34" fillId="0" borderId="358" applyNumberFormat="0" applyFont="0" applyFill="0" applyBorder="0" applyProtection="0">
      <alignment horizontal="left" vertical="center" indent="5"/>
    </xf>
    <xf numFmtId="49" fontId="34" fillId="0" borderId="357" applyNumberFormat="0" applyFont="0" applyFill="0" applyBorder="0" applyProtection="0">
      <alignment horizontal="left" vertical="center" indent="2"/>
    </xf>
    <xf numFmtId="4" fontId="34" fillId="0" borderId="357" applyFill="0" applyBorder="0" applyProtection="0">
      <alignment horizontal="right" vertical="center"/>
    </xf>
    <xf numFmtId="49" fontId="33" fillId="0" borderId="357" applyNumberFormat="0" applyFill="0" applyBorder="0" applyProtection="0">
      <alignment horizontal="left" vertical="center"/>
    </xf>
    <xf numFmtId="0" fontId="34" fillId="0" borderId="360">
      <alignment horizontal="left" vertical="center" wrapText="1" indent="2"/>
    </xf>
    <xf numFmtId="0" fontId="62" fillId="56" borderId="353" applyNumberFormat="0" applyAlignment="0" applyProtection="0"/>
    <xf numFmtId="0" fontId="32" fillId="34" borderId="359">
      <alignment horizontal="right" vertical="center"/>
    </xf>
    <xf numFmtId="0" fontId="49" fillId="43" borderId="354" applyNumberFormat="0" applyAlignment="0" applyProtection="0"/>
    <xf numFmtId="0" fontId="32" fillId="34" borderId="359">
      <alignment horizontal="right" vertical="center"/>
    </xf>
    <xf numFmtId="4" fontId="32" fillId="34" borderId="357">
      <alignment horizontal="right" vertical="center"/>
    </xf>
    <xf numFmtId="0" fontId="32" fillId="34" borderId="357">
      <alignment horizontal="right" vertical="center"/>
    </xf>
    <xf numFmtId="0" fontId="43" fillId="56" borderId="353" applyNumberFormat="0" applyAlignment="0" applyProtection="0"/>
    <xf numFmtId="0" fontId="45" fillId="56" borderId="354" applyNumberFormat="0" applyAlignment="0" applyProtection="0"/>
    <xf numFmtId="0" fontId="50" fillId="0" borderId="355" applyNumberFormat="0" applyFill="0" applyAlignment="0" applyProtection="0"/>
    <xf numFmtId="0" fontId="34" fillId="33" borderId="357"/>
    <xf numFmtId="4" fontId="34" fillId="33" borderId="357"/>
    <xf numFmtId="4" fontId="32" fillId="34" borderId="357">
      <alignment horizontal="right" vertical="center"/>
    </xf>
    <xf numFmtId="0" fontId="36" fillId="32" borderId="357">
      <alignment horizontal="right" vertical="center"/>
    </xf>
    <xf numFmtId="0" fontId="49" fillId="43" borderId="354" applyNumberFormat="0" applyAlignment="0" applyProtection="0"/>
    <xf numFmtId="0" fontId="46" fillId="56" borderId="354" applyNumberFormat="0" applyAlignment="0" applyProtection="0"/>
    <xf numFmtId="4" fontId="34" fillId="0" borderId="357">
      <alignment horizontal="right" vertical="center"/>
    </xf>
    <xf numFmtId="0" fontId="34" fillId="34" borderId="360">
      <alignment horizontal="left" vertical="center" wrapText="1" indent="2"/>
    </xf>
    <xf numFmtId="0" fontId="34" fillId="0" borderId="360">
      <alignment horizontal="left" vertical="center" wrapText="1" indent="2"/>
    </xf>
    <xf numFmtId="0" fontId="62" fillId="56" borderId="353" applyNumberFormat="0" applyAlignment="0" applyProtection="0"/>
    <xf numFmtId="0" fontId="58" fillId="43" borderId="354" applyNumberFormat="0" applyAlignment="0" applyProtection="0"/>
    <xf numFmtId="0" fontId="45" fillId="56" borderId="354" applyNumberFormat="0" applyAlignment="0" applyProtection="0"/>
    <xf numFmtId="0" fontId="43" fillId="56" borderId="353" applyNumberFormat="0" applyAlignment="0" applyProtection="0"/>
    <xf numFmtId="0" fontId="32" fillId="34" borderId="359">
      <alignment horizontal="right" vertical="center"/>
    </xf>
    <xf numFmtId="0" fontId="36" fillId="32" borderId="357">
      <alignment horizontal="right" vertical="center"/>
    </xf>
    <xf numFmtId="4" fontId="32" fillId="32" borderId="357">
      <alignment horizontal="right" vertical="center"/>
    </xf>
    <xf numFmtId="4" fontId="32" fillId="34" borderId="357">
      <alignment horizontal="right" vertical="center"/>
    </xf>
    <xf numFmtId="49" fontId="34" fillId="0" borderId="358" applyNumberFormat="0" applyFont="0" applyFill="0" applyBorder="0" applyProtection="0">
      <alignment horizontal="left" vertical="center" indent="5"/>
    </xf>
    <xf numFmtId="4" fontId="34" fillId="0" borderId="357" applyFill="0" applyBorder="0" applyProtection="0">
      <alignment horizontal="right" vertical="center"/>
    </xf>
    <xf numFmtId="4" fontId="32" fillId="32" borderId="357">
      <alignment horizontal="right" vertical="center"/>
    </xf>
    <xf numFmtId="0" fontId="58" fillId="43" borderId="354" applyNumberFormat="0" applyAlignment="0" applyProtection="0"/>
    <xf numFmtId="0" fontId="49" fillId="43" borderId="354" applyNumberFormat="0" applyAlignment="0" applyProtection="0"/>
    <xf numFmtId="0" fontId="45" fillId="56" borderId="354" applyNumberFormat="0" applyAlignment="0" applyProtection="0"/>
    <xf numFmtId="0" fontId="34" fillId="34" borderId="360">
      <alignment horizontal="left" vertical="center" wrapText="1" indent="2"/>
    </xf>
    <xf numFmtId="0" fontId="34" fillId="0" borderId="360">
      <alignment horizontal="left" vertical="center" wrapText="1" indent="2"/>
    </xf>
    <xf numFmtId="0" fontId="34" fillId="34" borderId="360">
      <alignment horizontal="left" vertical="center" wrapText="1" indent="2"/>
    </xf>
    <xf numFmtId="4" fontId="34" fillId="33" borderId="370"/>
    <xf numFmtId="173" fontId="34" fillId="60" borderId="364" applyNumberFormat="0" applyFont="0" applyBorder="0" applyAlignment="0" applyProtection="0">
      <alignment horizontal="right" vertical="center"/>
    </xf>
    <xf numFmtId="0" fontId="58" fillId="43" borderId="361" applyNumberFormat="0" applyAlignment="0" applyProtection="0"/>
    <xf numFmtId="0" fontId="32" fillId="32" borderId="364">
      <alignment horizontal="right" vertical="center"/>
    </xf>
    <xf numFmtId="0" fontId="26" fillId="18" borderId="0" applyNumberFormat="0" applyBorder="0" applyAlignment="0" applyProtection="0"/>
    <xf numFmtId="0" fontId="26" fillId="20" borderId="0" applyNumberFormat="0" applyBorder="0" applyAlignment="0" applyProtection="0"/>
    <xf numFmtId="0" fontId="5" fillId="59" borderId="369" applyNumberFormat="0" applyFont="0" applyAlignment="0" applyProtection="0"/>
    <xf numFmtId="0" fontId="49" fillId="43" borderId="383" applyNumberFormat="0" applyAlignment="0" applyProtection="0"/>
    <xf numFmtId="0" fontId="49" fillId="43" borderId="391" applyNumberFormat="0" applyAlignment="0" applyProtection="0"/>
    <xf numFmtId="0" fontId="12" fillId="22" borderId="0" applyNumberFormat="0" applyBorder="0" applyAlignment="0" applyProtection="0"/>
    <xf numFmtId="0" fontId="65" fillId="0" borderId="395" applyNumberFormat="0" applyFill="0" applyAlignment="0" applyProtection="0"/>
    <xf numFmtId="0" fontId="65" fillId="0" borderId="376" applyNumberFormat="0" applyFill="0" applyAlignment="0" applyProtection="0"/>
    <xf numFmtId="0" fontId="46" fillId="56" borderId="375" applyNumberFormat="0" applyAlignment="0" applyProtection="0"/>
    <xf numFmtId="0" fontId="43" fillId="56" borderId="390" applyNumberFormat="0" applyAlignment="0" applyProtection="0"/>
    <xf numFmtId="0" fontId="34" fillId="32" borderId="365">
      <alignment horizontal="left" vertical="center"/>
    </xf>
    <xf numFmtId="0" fontId="34" fillId="34" borderId="373">
      <alignment horizontal="left" vertical="center" wrapText="1" indent="2"/>
    </xf>
    <xf numFmtId="0" fontId="40" fillId="59" borderId="363" applyNumberFormat="0" applyFont="0" applyAlignment="0" applyProtection="0"/>
    <xf numFmtId="0" fontId="34" fillId="32" borderId="379">
      <alignment horizontal="left" vertical="center"/>
    </xf>
    <xf numFmtId="0" fontId="49" fillId="43" borderId="383" applyNumberFormat="0" applyAlignment="0" applyProtection="0"/>
    <xf numFmtId="4" fontId="32" fillId="34" borderId="380">
      <alignment horizontal="right" vertical="center"/>
    </xf>
    <xf numFmtId="4" fontId="34" fillId="33" borderId="397"/>
    <xf numFmtId="0" fontId="40" fillId="59" borderId="403" applyNumberFormat="0" applyFont="0" applyAlignment="0" applyProtection="0"/>
    <xf numFmtId="0" fontId="46" fillId="56" borderId="401" applyNumberFormat="0" applyAlignment="0" applyProtection="0"/>
    <xf numFmtId="49" fontId="34" fillId="0" borderId="386" applyNumberFormat="0" applyFont="0" applyFill="0" applyBorder="0" applyProtection="0">
      <alignment horizontal="left" vertical="center" indent="2"/>
    </xf>
    <xf numFmtId="0" fontId="26" fillId="26" borderId="0" applyNumberFormat="0" applyBorder="0" applyAlignment="0" applyProtection="0"/>
    <xf numFmtId="0" fontId="26" fillId="17" borderId="0" applyNumberFormat="0" applyBorder="0" applyAlignment="0" applyProtection="0"/>
    <xf numFmtId="0" fontId="12" fillId="28" borderId="0" applyNumberFormat="0" applyBorder="0" applyAlignment="0" applyProtection="0"/>
    <xf numFmtId="0" fontId="40" fillId="59" borderId="385" applyNumberFormat="0" applyFont="0" applyAlignment="0" applyProtection="0"/>
    <xf numFmtId="0" fontId="26" fillId="27" borderId="0" applyNumberFormat="0" applyBorder="0" applyAlignment="0" applyProtection="0"/>
    <xf numFmtId="0" fontId="40" fillId="59" borderId="369" applyNumberFormat="0" applyFont="0" applyAlignment="0" applyProtection="0"/>
    <xf numFmtId="0" fontId="12" fillId="25" borderId="0" applyNumberFormat="0" applyBorder="0" applyAlignment="0" applyProtection="0"/>
    <xf numFmtId="0" fontId="5" fillId="59" borderId="369" applyNumberFormat="0" applyFont="0" applyAlignment="0" applyProtection="0"/>
    <xf numFmtId="0" fontId="34" fillId="0" borderId="373">
      <alignment horizontal="left" vertical="center" wrapText="1" indent="2"/>
    </xf>
    <xf numFmtId="0" fontId="34" fillId="34" borderId="367">
      <alignment horizontal="left" vertical="center" wrapText="1" indent="2"/>
    </xf>
    <xf numFmtId="0" fontId="32" fillId="34" borderId="380">
      <alignment horizontal="right" vertical="center"/>
    </xf>
    <xf numFmtId="4" fontId="34" fillId="33" borderId="364"/>
    <xf numFmtId="0" fontId="65" fillId="0" borderId="362" applyNumberFormat="0" applyFill="0" applyAlignment="0" applyProtection="0"/>
    <xf numFmtId="173" fontId="34" fillId="60" borderId="364" applyNumberFormat="0" applyFont="0" applyBorder="0" applyAlignment="0" applyProtection="0">
      <alignment horizontal="right" vertical="center"/>
    </xf>
    <xf numFmtId="0" fontId="34" fillId="0" borderId="364">
      <alignment horizontal="right" vertical="center"/>
    </xf>
    <xf numFmtId="4" fontId="34" fillId="0" borderId="364">
      <alignment horizontal="right" vertical="center"/>
    </xf>
    <xf numFmtId="0" fontId="12" fillId="31" borderId="0" applyNumberFormat="0" applyBorder="0" applyAlignment="0" applyProtection="0"/>
    <xf numFmtId="0" fontId="34" fillId="0" borderId="367">
      <alignment horizontal="left" vertical="center" wrapText="1" indent="2"/>
    </xf>
    <xf numFmtId="4" fontId="32" fillId="34" borderId="364">
      <alignment horizontal="right" vertical="center"/>
    </xf>
    <xf numFmtId="0" fontId="32" fillId="34" borderId="365">
      <alignment horizontal="right" vertical="center"/>
    </xf>
    <xf numFmtId="4" fontId="32" fillId="34" borderId="365">
      <alignment horizontal="right" vertical="center"/>
    </xf>
    <xf numFmtId="0" fontId="32" fillId="34" borderId="364">
      <alignment horizontal="right" vertical="center"/>
    </xf>
    <xf numFmtId="4" fontId="32" fillId="32" borderId="364">
      <alignment horizontal="right" vertical="center"/>
    </xf>
    <xf numFmtId="0" fontId="36" fillId="32" borderId="364">
      <alignment horizontal="right" vertical="center"/>
    </xf>
    <xf numFmtId="0" fontId="45" fillId="56" borderId="375" applyNumberFormat="0" applyAlignment="0" applyProtection="0"/>
    <xf numFmtId="49" fontId="34" fillId="0" borderId="370" applyNumberFormat="0" applyFont="0" applyFill="0" applyBorder="0" applyProtection="0">
      <alignment horizontal="left" vertical="center" indent="2"/>
    </xf>
    <xf numFmtId="49" fontId="34" fillId="0" borderId="371" applyNumberFormat="0" applyFont="0" applyFill="0" applyBorder="0" applyProtection="0">
      <alignment horizontal="left" vertical="center" indent="5"/>
    </xf>
    <xf numFmtId="49" fontId="34" fillId="0" borderId="370" applyNumberFormat="0" applyFont="0" applyFill="0" applyBorder="0" applyProtection="0">
      <alignment horizontal="left" vertical="center" indent="2"/>
    </xf>
    <xf numFmtId="0" fontId="34" fillId="34" borderId="373">
      <alignment horizontal="left" vertical="center" wrapText="1" indent="2"/>
    </xf>
    <xf numFmtId="0" fontId="40" fillId="59" borderId="377" applyNumberFormat="0" applyFont="0" applyAlignment="0" applyProtection="0"/>
    <xf numFmtId="0" fontId="26" fillId="17" borderId="0" applyNumberFormat="0" applyBorder="0" applyAlignment="0" applyProtection="0"/>
    <xf numFmtId="0" fontId="26" fillId="21" borderId="0" applyNumberFormat="0" applyBorder="0" applyAlignment="0" applyProtection="0"/>
    <xf numFmtId="0" fontId="65" fillId="0" borderId="362" applyNumberFormat="0" applyFill="0" applyAlignment="0" applyProtection="0"/>
    <xf numFmtId="0" fontId="46" fillId="56" borderId="375" applyNumberFormat="0" applyAlignment="0" applyProtection="0"/>
    <xf numFmtId="0" fontId="26" fillId="14" borderId="0" applyNumberFormat="0" applyBorder="0" applyAlignment="0" applyProtection="0"/>
    <xf numFmtId="0" fontId="2" fillId="0" borderId="15" applyNumberFormat="0" applyFill="0" applyAlignment="0" applyProtection="0"/>
    <xf numFmtId="4" fontId="34" fillId="0" borderId="378" applyFill="0" applyBorder="0" applyProtection="0">
      <alignment horizontal="right" vertical="center"/>
    </xf>
    <xf numFmtId="0" fontId="62" fillId="56" borderId="374" applyNumberFormat="0" applyAlignment="0" applyProtection="0"/>
    <xf numFmtId="0" fontId="26" fillId="17" borderId="0" applyNumberFormat="0" applyBorder="0" applyAlignment="0" applyProtection="0"/>
    <xf numFmtId="0" fontId="45" fillId="56" borderId="401" applyNumberFormat="0" applyAlignment="0" applyProtection="0"/>
    <xf numFmtId="4" fontId="32" fillId="34" borderId="399">
      <alignment horizontal="right" vertical="center"/>
    </xf>
    <xf numFmtId="0" fontId="34" fillId="32" borderId="371">
      <alignment horizontal="left" vertical="center"/>
    </xf>
    <xf numFmtId="0" fontId="34" fillId="34" borderId="389">
      <alignment horizontal="left" vertical="center" wrapText="1" indent="2"/>
    </xf>
    <xf numFmtId="0" fontId="49" fillId="43" borderId="375" applyNumberFormat="0" applyAlignment="0" applyProtection="0"/>
    <xf numFmtId="0" fontId="32" fillId="34" borderId="397">
      <alignment horizontal="right" vertical="center"/>
    </xf>
    <xf numFmtId="173" fontId="34" fillId="60" borderId="378" applyNumberFormat="0" applyFont="0" applyBorder="0" applyAlignment="0" applyProtection="0">
      <alignment horizontal="right" vertical="center"/>
    </xf>
    <xf numFmtId="0" fontId="34" fillId="0" borderId="381">
      <alignment horizontal="left" vertical="center" wrapText="1" indent="2"/>
    </xf>
    <xf numFmtId="4" fontId="32" fillId="34" borderId="370">
      <alignment horizontal="right" vertical="center"/>
    </xf>
    <xf numFmtId="4" fontId="34" fillId="0" borderId="370">
      <alignment horizontal="right" vertical="center"/>
    </xf>
    <xf numFmtId="0" fontId="5" fillId="59" borderId="369" applyNumberFormat="0" applyFont="0" applyAlignment="0" applyProtection="0"/>
    <xf numFmtId="49" fontId="34" fillId="0" borderId="379" applyNumberFormat="0" applyFont="0" applyFill="0" applyBorder="0" applyProtection="0">
      <alignment horizontal="left" vertical="center" indent="5"/>
    </xf>
    <xf numFmtId="0" fontId="28" fillId="13" borderId="14" applyNumberFormat="0" applyAlignment="0" applyProtection="0"/>
    <xf numFmtId="0" fontId="62" fillId="56" borderId="390" applyNumberFormat="0" applyAlignment="0" applyProtection="0"/>
    <xf numFmtId="0" fontId="40" fillId="59" borderId="369" applyNumberFormat="0" applyFont="0" applyAlignment="0" applyProtection="0"/>
    <xf numFmtId="0" fontId="45" fillId="56" borderId="391" applyNumberFormat="0" applyAlignment="0" applyProtection="0"/>
    <xf numFmtId="4" fontId="32" fillId="34" borderId="370">
      <alignment horizontal="right" vertical="center"/>
    </xf>
    <xf numFmtId="0" fontId="45" fillId="56" borderId="375" applyNumberFormat="0" applyAlignment="0" applyProtection="0"/>
    <xf numFmtId="0" fontId="46" fillId="56" borderId="375" applyNumberFormat="0" applyAlignment="0" applyProtection="0"/>
    <xf numFmtId="4" fontId="32" fillId="32" borderId="378">
      <alignment horizontal="right" vertical="center"/>
    </xf>
    <xf numFmtId="0" fontId="5" fillId="59" borderId="396" applyNumberFormat="0" applyFont="0" applyAlignment="0" applyProtection="0"/>
    <xf numFmtId="0" fontId="62" fillId="56" borderId="382" applyNumberFormat="0" applyAlignment="0" applyProtection="0"/>
    <xf numFmtId="0" fontId="34" fillId="0" borderId="404" applyNumberFormat="0" applyFill="0" applyAlignment="0" applyProtection="0"/>
    <xf numFmtId="0" fontId="26" fillId="15" borderId="0" applyNumberFormat="0" applyBorder="0" applyAlignment="0" applyProtection="0"/>
    <xf numFmtId="0" fontId="65" fillId="0" borderId="362" applyNumberFormat="0" applyFill="0" applyAlignment="0" applyProtection="0"/>
    <xf numFmtId="0" fontId="40" fillId="59" borderId="363" applyNumberFormat="0" applyFont="0" applyAlignment="0" applyProtection="0"/>
    <xf numFmtId="0" fontId="50" fillId="0" borderId="376" applyNumberFormat="0" applyFill="0" applyAlignment="0" applyProtection="0"/>
    <xf numFmtId="0" fontId="32" fillId="34" borderId="387">
      <alignment horizontal="right" vertical="center"/>
    </xf>
    <xf numFmtId="0" fontId="5" fillId="59" borderId="363" applyNumberFormat="0" applyFont="0" applyAlignment="0" applyProtection="0"/>
    <xf numFmtId="0" fontId="50" fillId="0" borderId="395" applyNumberFormat="0" applyFill="0" applyAlignment="0" applyProtection="0"/>
    <xf numFmtId="0" fontId="40" fillId="59" borderId="428" applyNumberFormat="0" applyFont="0" applyAlignment="0" applyProtection="0"/>
    <xf numFmtId="0" fontId="32" fillId="34" borderId="388">
      <alignment horizontal="right" vertical="center"/>
    </xf>
    <xf numFmtId="0" fontId="26" fillId="14" borderId="0" applyNumberFormat="0" applyBorder="0" applyAlignment="0" applyProtection="0"/>
    <xf numFmtId="0" fontId="32" fillId="34" borderId="398">
      <alignment horizontal="right" vertical="center"/>
    </xf>
    <xf numFmtId="0" fontId="34" fillId="0" borderId="373">
      <alignment horizontal="left" vertical="center" wrapText="1" indent="2"/>
    </xf>
    <xf numFmtId="4" fontId="34" fillId="0" borderId="378">
      <alignment horizontal="right" vertical="center"/>
    </xf>
    <xf numFmtId="4" fontId="32" fillId="34" borderId="371">
      <alignment horizontal="right" vertical="center"/>
    </xf>
    <xf numFmtId="0" fontId="2" fillId="0" borderId="15" applyNumberFormat="0" applyFill="0" applyAlignment="0" applyProtection="0"/>
    <xf numFmtId="0" fontId="58" fillId="43" borderId="361" applyNumberFormat="0" applyAlignment="0" applyProtection="0"/>
    <xf numFmtId="0" fontId="26" fillId="15" borderId="0" applyNumberFormat="0" applyBorder="0" applyAlignment="0" applyProtection="0"/>
    <xf numFmtId="0" fontId="34" fillId="34" borderId="367">
      <alignment horizontal="left" vertical="center" wrapText="1" indent="2"/>
    </xf>
    <xf numFmtId="4" fontId="36" fillId="32" borderId="364">
      <alignment horizontal="right" vertical="center"/>
    </xf>
    <xf numFmtId="0" fontId="34" fillId="34" borderId="373">
      <alignment horizontal="left" vertical="center" wrapText="1" indent="2"/>
    </xf>
    <xf numFmtId="4" fontId="34" fillId="33" borderId="378"/>
    <xf numFmtId="0" fontId="34" fillId="0" borderId="378">
      <alignment horizontal="right" vertical="center"/>
    </xf>
    <xf numFmtId="4" fontId="32" fillId="34" borderId="378">
      <alignment horizontal="right" vertical="center"/>
    </xf>
    <xf numFmtId="0" fontId="26" fillId="21" borderId="0" applyNumberFormat="0" applyBorder="0" applyAlignment="0" applyProtection="0"/>
    <xf numFmtId="0" fontId="26" fillId="15" borderId="0" applyNumberFormat="0" applyBorder="0" applyAlignment="0" applyProtection="0"/>
    <xf numFmtId="0" fontId="34" fillId="0" borderId="370" applyNumberFormat="0" applyFill="0" applyAlignment="0" applyProtection="0"/>
    <xf numFmtId="0" fontId="2" fillId="0" borderId="15" applyNumberFormat="0" applyFill="0" applyAlignment="0" applyProtection="0"/>
    <xf numFmtId="0" fontId="12" fillId="16" borderId="0" applyNumberFormat="0" applyBorder="0" applyAlignment="0" applyProtection="0"/>
    <xf numFmtId="0" fontId="40" fillId="59" borderId="377" applyNumberFormat="0" applyFont="0" applyAlignment="0" applyProtection="0"/>
    <xf numFmtId="4" fontId="36" fillId="32" borderId="364">
      <alignment horizontal="right" vertical="center"/>
    </xf>
    <xf numFmtId="4" fontId="32" fillId="32" borderId="364">
      <alignment horizontal="right" vertical="center"/>
    </xf>
    <xf numFmtId="0" fontId="34" fillId="0" borderId="367">
      <alignment horizontal="left" vertical="center" wrapText="1" indent="2"/>
    </xf>
    <xf numFmtId="0" fontId="62" fillId="56" borderId="368" applyNumberFormat="0" applyAlignment="0" applyProtection="0"/>
    <xf numFmtId="0" fontId="34" fillId="0" borderId="364">
      <alignment horizontal="right" vertical="center"/>
    </xf>
    <xf numFmtId="0" fontId="65" fillId="0" borderId="362" applyNumberFormat="0" applyFill="0" applyAlignment="0" applyProtection="0"/>
    <xf numFmtId="49" fontId="33" fillId="0" borderId="364" applyNumberFormat="0" applyFill="0" applyBorder="0" applyProtection="0">
      <alignment horizontal="left" vertical="center"/>
    </xf>
    <xf numFmtId="4" fontId="34" fillId="33" borderId="364"/>
    <xf numFmtId="0" fontId="58" fillId="43" borderId="361" applyNumberFormat="0" applyAlignment="0" applyProtection="0"/>
    <xf numFmtId="0" fontId="34" fillId="34" borderId="400">
      <alignment horizontal="left" vertical="center" wrapText="1" indent="2"/>
    </xf>
    <xf numFmtId="0" fontId="32" fillId="34" borderId="370">
      <alignment horizontal="right" vertical="center"/>
    </xf>
    <xf numFmtId="173" fontId="34" fillId="60" borderId="364" applyNumberFormat="0" applyFont="0" applyBorder="0" applyAlignment="0" applyProtection="0">
      <alignment horizontal="right" vertical="center"/>
    </xf>
    <xf numFmtId="0" fontId="34" fillId="0" borderId="370" applyNumberFormat="0" applyFill="0" applyAlignment="0" applyProtection="0"/>
    <xf numFmtId="0" fontId="46" fillId="56" borderId="361" applyNumberFormat="0" applyAlignment="0" applyProtection="0"/>
    <xf numFmtId="4" fontId="32" fillId="34" borderId="378">
      <alignment horizontal="right" vertical="center"/>
    </xf>
    <xf numFmtId="0" fontId="34" fillId="0" borderId="370">
      <alignment horizontal="right" vertical="center"/>
    </xf>
    <xf numFmtId="0" fontId="62" fillId="56" borderId="374" applyNumberFormat="0" applyAlignment="0" applyProtection="0"/>
    <xf numFmtId="0" fontId="36" fillId="32" borderId="370">
      <alignment horizontal="right" vertical="center"/>
    </xf>
    <xf numFmtId="0" fontId="58" fillId="43" borderId="361" applyNumberFormat="0" applyAlignment="0" applyProtection="0"/>
    <xf numFmtId="0" fontId="43" fillId="56" borderId="368" applyNumberFormat="0" applyAlignment="0" applyProtection="0"/>
    <xf numFmtId="0" fontId="34" fillId="0" borderId="370" applyNumberFormat="0" applyFill="0" applyAlignment="0" applyProtection="0"/>
    <xf numFmtId="49" fontId="33" fillId="0" borderId="364" applyNumberFormat="0" applyFill="0" applyBorder="0" applyProtection="0">
      <alignment horizontal="left" vertical="center"/>
    </xf>
    <xf numFmtId="0" fontId="65" fillId="0" borderId="362" applyNumberFormat="0" applyFill="0" applyAlignment="0" applyProtection="0"/>
    <xf numFmtId="0" fontId="34" fillId="0" borderId="364">
      <alignment horizontal="right" vertical="center"/>
    </xf>
    <xf numFmtId="0" fontId="32" fillId="34" borderId="365">
      <alignment horizontal="right" vertical="center"/>
    </xf>
    <xf numFmtId="0" fontId="65" fillId="0" borderId="362" applyNumberFormat="0" applyFill="0" applyAlignment="0" applyProtection="0"/>
    <xf numFmtId="0" fontId="34" fillId="0" borderId="404" applyNumberFormat="0" applyFill="0" applyAlignment="0" applyProtection="0"/>
    <xf numFmtId="0" fontId="30" fillId="0" borderId="0" applyNumberFormat="0" applyFill="0" applyBorder="0" applyAlignment="0" applyProtection="0"/>
    <xf numFmtId="0" fontId="32" fillId="34" borderId="378">
      <alignment horizontal="right" vertical="center"/>
    </xf>
    <xf numFmtId="0" fontId="34" fillId="0" borderId="386">
      <alignment horizontal="right" vertical="center"/>
    </xf>
    <xf numFmtId="0" fontId="26" fillId="29" borderId="0" applyNumberFormat="0" applyBorder="0" applyAlignment="0" applyProtection="0"/>
    <xf numFmtId="0" fontId="34" fillId="0" borderId="418" applyNumberFormat="0" applyFill="0" applyAlignment="0" applyProtection="0"/>
    <xf numFmtId="0" fontId="34" fillId="32" borderId="371">
      <alignment horizontal="left" vertical="center"/>
    </xf>
    <xf numFmtId="0" fontId="36" fillId="32" borderId="370">
      <alignment horizontal="right" vertical="center"/>
    </xf>
    <xf numFmtId="4" fontId="34" fillId="0" borderId="364" applyFill="0" applyBorder="0" applyProtection="0">
      <alignment horizontal="right" vertical="center"/>
    </xf>
    <xf numFmtId="0" fontId="45" fillId="56" borderId="375" applyNumberFormat="0" applyAlignment="0" applyProtection="0"/>
    <xf numFmtId="0" fontId="34" fillId="33" borderId="370"/>
    <xf numFmtId="0" fontId="46" fillId="56" borderId="391" applyNumberFormat="0" applyAlignment="0" applyProtection="0"/>
    <xf numFmtId="0" fontId="62" fillId="56" borderId="374" applyNumberFormat="0" applyAlignment="0" applyProtection="0"/>
    <xf numFmtId="4" fontId="32" fillId="34" borderId="380">
      <alignment horizontal="right" vertical="center"/>
    </xf>
    <xf numFmtId="0" fontId="26" fillId="15" borderId="0" applyNumberFormat="0" applyBorder="0" applyAlignment="0" applyProtection="0"/>
    <xf numFmtId="0" fontId="34" fillId="0" borderId="367">
      <alignment horizontal="left" vertical="center" wrapText="1" indent="2"/>
    </xf>
    <xf numFmtId="4" fontId="32" fillId="34" borderId="412">
      <alignment horizontal="right" vertical="center"/>
    </xf>
    <xf numFmtId="0" fontId="65" fillId="0" borderId="362" applyNumberFormat="0" applyFill="0" applyAlignment="0" applyProtection="0"/>
    <xf numFmtId="0" fontId="43" fillId="56" borderId="368" applyNumberFormat="0" applyAlignment="0" applyProtection="0"/>
    <xf numFmtId="0" fontId="32" fillId="34" borderId="364">
      <alignment horizontal="right" vertical="center"/>
    </xf>
    <xf numFmtId="0" fontId="45" fillId="56" borderId="361" applyNumberFormat="0" applyAlignment="0" applyProtection="0"/>
    <xf numFmtId="0" fontId="34" fillId="34" borderId="373">
      <alignment horizontal="left" vertical="center" wrapText="1" indent="2"/>
    </xf>
    <xf numFmtId="0" fontId="32" fillId="34" borderId="386">
      <alignment horizontal="right" vertical="center"/>
    </xf>
    <xf numFmtId="0" fontId="34" fillId="32" borderId="365">
      <alignment horizontal="left" vertical="center"/>
    </xf>
    <xf numFmtId="0" fontId="65" fillId="0" borderId="384" applyNumberFormat="0" applyFill="0" applyAlignment="0" applyProtection="0"/>
    <xf numFmtId="0" fontId="58" fillId="43" borderId="391" applyNumberFormat="0" applyAlignment="0" applyProtection="0"/>
    <xf numFmtId="0" fontId="26" fillId="14" borderId="0" applyNumberFormat="0" applyBorder="0" applyAlignment="0" applyProtection="0"/>
    <xf numFmtId="0" fontId="46" fillId="56" borderId="383" applyNumberFormat="0" applyAlignment="0" applyProtection="0"/>
    <xf numFmtId="49" fontId="34" fillId="0" borderId="387" applyNumberFormat="0" applyFont="0" applyFill="0" applyBorder="0" applyProtection="0">
      <alignment horizontal="left" vertical="center" indent="5"/>
    </xf>
    <xf numFmtId="0" fontId="32" fillId="32" borderId="364">
      <alignment horizontal="right" vertical="center"/>
    </xf>
    <xf numFmtId="0" fontId="32" fillId="34" borderId="371">
      <alignment horizontal="right" vertical="center"/>
    </xf>
    <xf numFmtId="4" fontId="36" fillId="32" borderId="370">
      <alignment horizontal="right" vertical="center"/>
    </xf>
    <xf numFmtId="0" fontId="50" fillId="0" borderId="362" applyNumberFormat="0" applyFill="0" applyAlignment="0" applyProtection="0"/>
    <xf numFmtId="0" fontId="30" fillId="0" borderId="0" applyNumberFormat="0" applyFill="0" applyBorder="0" applyAlignment="0" applyProtection="0"/>
    <xf numFmtId="0" fontId="34" fillId="0" borderId="364">
      <alignment horizontal="right" vertical="center"/>
    </xf>
    <xf numFmtId="0" fontId="5" fillId="59" borderId="363" applyNumberFormat="0" applyFont="0" applyAlignment="0" applyProtection="0"/>
    <xf numFmtId="4" fontId="34" fillId="0" borderId="370">
      <alignment horizontal="right" vertical="center"/>
    </xf>
    <xf numFmtId="0" fontId="12" fillId="16" borderId="0" applyNumberFormat="0" applyBorder="0" applyAlignment="0" applyProtection="0"/>
    <xf numFmtId="0" fontId="34" fillId="0" borderId="370">
      <alignment horizontal="right" vertical="center"/>
    </xf>
    <xf numFmtId="0" fontId="12" fillId="31" borderId="0" applyNumberFormat="0" applyBorder="0" applyAlignment="0" applyProtection="0"/>
    <xf numFmtId="0" fontId="58" fillId="43" borderId="361" applyNumberFormat="0" applyAlignment="0" applyProtection="0"/>
    <xf numFmtId="4" fontId="34" fillId="0" borderId="378">
      <alignment horizontal="right" vertical="center"/>
    </xf>
    <xf numFmtId="49" fontId="34" fillId="0" borderId="365" applyNumberFormat="0" applyFont="0" applyFill="0" applyBorder="0" applyProtection="0">
      <alignment horizontal="left" vertical="center" indent="5"/>
    </xf>
    <xf numFmtId="4" fontId="34" fillId="0" borderId="378" applyFill="0" applyBorder="0" applyProtection="0">
      <alignment horizontal="right" vertical="center"/>
    </xf>
    <xf numFmtId="0" fontId="34" fillId="0" borderId="364" applyNumberFormat="0" applyFill="0" applyAlignment="0" applyProtection="0"/>
    <xf numFmtId="0" fontId="50" fillId="0" borderId="362" applyNumberFormat="0" applyFill="0" applyAlignment="0" applyProtection="0"/>
    <xf numFmtId="0" fontId="62" fillId="56" borderId="368" applyNumberFormat="0" applyAlignment="0" applyProtection="0"/>
    <xf numFmtId="4" fontId="32" fillId="34" borderId="364">
      <alignment horizontal="right" vertical="center"/>
    </xf>
    <xf numFmtId="4" fontId="34" fillId="33" borderId="364"/>
    <xf numFmtId="0" fontId="65" fillId="0" borderId="362" applyNumberFormat="0" applyFill="0" applyAlignment="0" applyProtection="0"/>
    <xf numFmtId="0" fontId="32" fillId="34" borderId="370">
      <alignment horizontal="right" vertical="center"/>
    </xf>
    <xf numFmtId="0" fontId="43" fillId="56" borderId="368" applyNumberFormat="0" applyAlignment="0" applyProtection="0"/>
    <xf numFmtId="0" fontId="45" fillId="56" borderId="361" applyNumberFormat="0" applyAlignment="0" applyProtection="0"/>
    <xf numFmtId="0" fontId="46" fillId="56" borderId="361" applyNumberFormat="0" applyAlignment="0" applyProtection="0"/>
    <xf numFmtId="0" fontId="62" fillId="56" borderId="368" applyNumberFormat="0" applyAlignment="0" applyProtection="0"/>
    <xf numFmtId="0" fontId="32" fillId="34" borderId="366">
      <alignment horizontal="right" vertical="center"/>
    </xf>
    <xf numFmtId="0" fontId="34" fillId="0" borderId="364" applyNumberFormat="0" applyFill="0" applyAlignment="0" applyProtection="0"/>
    <xf numFmtId="49" fontId="34" fillId="0" borderId="365" applyNumberFormat="0" applyFont="0" applyFill="0" applyBorder="0" applyProtection="0">
      <alignment horizontal="left" vertical="center" indent="5"/>
    </xf>
    <xf numFmtId="0" fontId="65" fillId="0" borderId="362" applyNumberFormat="0" applyFill="0" applyAlignment="0" applyProtection="0"/>
    <xf numFmtId="0" fontId="34" fillId="0" borderId="364" applyNumberFormat="0" applyFill="0" applyAlignment="0" applyProtection="0"/>
    <xf numFmtId="0" fontId="50" fillId="0" borderId="376" applyNumberFormat="0" applyFill="0" applyAlignment="0" applyProtection="0"/>
    <xf numFmtId="0" fontId="40" fillId="59" borderId="369" applyNumberFormat="0" applyFont="0" applyAlignment="0" applyProtection="0"/>
    <xf numFmtId="4" fontId="34" fillId="0" borderId="378">
      <alignment horizontal="right" vertical="center"/>
    </xf>
    <xf numFmtId="0" fontId="62" fillId="56" borderId="390" applyNumberFormat="0" applyAlignment="0" applyProtection="0"/>
    <xf numFmtId="0" fontId="40" fillId="59" borderId="409" applyNumberFormat="0" applyFont="0" applyAlignment="0" applyProtection="0"/>
    <xf numFmtId="0" fontId="50" fillId="0" borderId="384" applyNumberFormat="0" applyFill="0" applyAlignment="0" applyProtection="0"/>
    <xf numFmtId="0" fontId="45" fillId="56" borderId="401" applyNumberFormat="0" applyAlignment="0" applyProtection="0"/>
    <xf numFmtId="0" fontId="40" fillId="59" borderId="363" applyNumberFormat="0" applyFont="0" applyAlignment="0" applyProtection="0"/>
    <xf numFmtId="173" fontId="34" fillId="60" borderId="386" applyNumberFormat="0" applyFont="0" applyBorder="0" applyAlignment="0" applyProtection="0">
      <alignment horizontal="right" vertical="center"/>
    </xf>
    <xf numFmtId="0" fontId="58" fillId="43" borderId="394" applyNumberFormat="0" applyAlignment="0" applyProtection="0"/>
    <xf numFmtId="0" fontId="26" fillId="21" borderId="0" applyNumberFormat="0" applyBorder="0" applyAlignment="0" applyProtection="0"/>
    <xf numFmtId="0" fontId="26" fillId="26" borderId="0" applyNumberFormat="0" applyBorder="0" applyAlignment="0" applyProtection="0"/>
    <xf numFmtId="4" fontId="32" fillId="34" borderId="372">
      <alignment horizontal="right" vertical="center"/>
    </xf>
    <xf numFmtId="4" fontId="32" fillId="34" borderId="372">
      <alignment horizontal="right" vertical="center"/>
    </xf>
    <xf numFmtId="0" fontId="65" fillId="0" borderId="376" applyNumberFormat="0" applyFill="0" applyAlignment="0" applyProtection="0"/>
    <xf numFmtId="0" fontId="26" fillId="23" borderId="0" applyNumberFormat="0" applyBorder="0" applyAlignment="0" applyProtection="0"/>
    <xf numFmtId="0" fontId="12" fillId="28" borderId="0" applyNumberFormat="0" applyBorder="0" applyAlignment="0" applyProtection="0"/>
    <xf numFmtId="0" fontId="34" fillId="0" borderId="367">
      <alignment horizontal="left" vertical="center" wrapText="1" indent="2"/>
    </xf>
    <xf numFmtId="0" fontId="49" fillId="43" borderId="383" applyNumberFormat="0" applyAlignment="0" applyProtection="0"/>
    <xf numFmtId="4" fontId="32" fillId="32" borderId="364">
      <alignment horizontal="right" vertical="center"/>
    </xf>
    <xf numFmtId="4" fontId="32" fillId="32" borderId="378">
      <alignment horizontal="right" vertical="center"/>
    </xf>
    <xf numFmtId="0" fontId="62" fillId="56" borderId="368" applyNumberFormat="0" applyAlignment="0" applyProtection="0"/>
    <xf numFmtId="49" fontId="34" fillId="0" borderId="365" applyNumberFormat="0" applyFont="0" applyFill="0" applyBorder="0" applyProtection="0">
      <alignment horizontal="left" vertical="center" indent="5"/>
    </xf>
    <xf numFmtId="4" fontId="34" fillId="0" borderId="364">
      <alignment horizontal="right" vertical="center"/>
    </xf>
    <xf numFmtId="49" fontId="34" fillId="0" borderId="370" applyNumberFormat="0" applyFont="0" applyFill="0" applyBorder="0" applyProtection="0">
      <alignment horizontal="left" vertical="center" indent="2"/>
    </xf>
    <xf numFmtId="4" fontId="32" fillId="34" borderId="370">
      <alignment horizontal="right" vertical="center"/>
    </xf>
    <xf numFmtId="0" fontId="12" fillId="25" borderId="0" applyNumberFormat="0" applyBorder="0" applyAlignment="0" applyProtection="0"/>
    <xf numFmtId="0" fontId="26" fillId="29" borderId="0" applyNumberFormat="0" applyBorder="0" applyAlignment="0" applyProtection="0"/>
    <xf numFmtId="0" fontId="50" fillId="0" borderId="362" applyNumberFormat="0" applyFill="0" applyAlignment="0" applyProtection="0"/>
    <xf numFmtId="0" fontId="32" fillId="34" borderId="410">
      <alignment horizontal="right" vertical="center"/>
    </xf>
    <xf numFmtId="4" fontId="32" fillId="34" borderId="366">
      <alignment horizontal="right" vertical="center"/>
    </xf>
    <xf numFmtId="4" fontId="32" fillId="34" borderId="364">
      <alignment horizontal="right" vertical="center"/>
    </xf>
    <xf numFmtId="4" fontId="32" fillId="34" borderId="364">
      <alignment horizontal="right" vertical="center"/>
    </xf>
    <xf numFmtId="0" fontId="65" fillId="0" borderId="362" applyNumberFormat="0" applyFill="0" applyAlignment="0" applyProtection="0"/>
    <xf numFmtId="0" fontId="46" fillId="56" borderId="361" applyNumberFormat="0" applyAlignment="0" applyProtection="0"/>
    <xf numFmtId="0" fontId="49" fillId="43" borderId="361" applyNumberFormat="0" applyAlignment="0" applyProtection="0"/>
    <xf numFmtId="0" fontId="62" fillId="56" borderId="374" applyNumberFormat="0" applyAlignment="0" applyProtection="0"/>
    <xf numFmtId="0" fontId="29" fillId="13" borderId="13" applyNumberFormat="0" applyAlignment="0" applyProtection="0"/>
    <xf numFmtId="49" fontId="33" fillId="0" borderId="364" applyNumberFormat="0" applyFill="0" applyBorder="0" applyProtection="0">
      <alignment horizontal="left" vertical="center"/>
    </xf>
    <xf numFmtId="0" fontId="5" fillId="59" borderId="363" applyNumberFormat="0" applyFont="0" applyAlignment="0" applyProtection="0"/>
    <xf numFmtId="0" fontId="34" fillId="0" borderId="378">
      <alignment horizontal="right" vertical="center"/>
    </xf>
    <xf numFmtId="4" fontId="32" fillId="34" borderId="364">
      <alignment horizontal="right" vertical="center"/>
    </xf>
    <xf numFmtId="0" fontId="12" fillId="19" borderId="0" applyNumberFormat="0" applyBorder="0" applyAlignment="0" applyProtection="0"/>
    <xf numFmtId="0" fontId="12" fillId="22" borderId="0" applyNumberFormat="0" applyBorder="0" applyAlignment="0" applyProtection="0"/>
    <xf numFmtId="49" fontId="34" fillId="0" borderId="370" applyNumberFormat="0" applyFont="0" applyFill="0" applyBorder="0" applyProtection="0">
      <alignment horizontal="left" vertical="center" indent="2"/>
    </xf>
    <xf numFmtId="4" fontId="32" fillId="34" borderId="370">
      <alignment horizontal="right" vertical="center"/>
    </xf>
    <xf numFmtId="4" fontId="34" fillId="0" borderId="397">
      <alignment horizontal="right" vertical="center"/>
    </xf>
    <xf numFmtId="49" fontId="34" fillId="0" borderId="364" applyNumberFormat="0" applyFont="0" applyFill="0" applyBorder="0" applyProtection="0">
      <alignment horizontal="left" vertical="center" indent="2"/>
    </xf>
    <xf numFmtId="0" fontId="65" fillId="0" borderId="362" applyNumberFormat="0" applyFill="0" applyAlignment="0" applyProtection="0"/>
    <xf numFmtId="4" fontId="34" fillId="0" borderId="364" applyFill="0" applyBorder="0" applyProtection="0">
      <alignment horizontal="right" vertical="center"/>
    </xf>
    <xf numFmtId="0" fontId="58" fillId="43" borderId="361" applyNumberFormat="0" applyAlignment="0" applyProtection="0"/>
    <xf numFmtId="49" fontId="33" fillId="0" borderId="364" applyNumberFormat="0" applyFill="0" applyBorder="0" applyProtection="0">
      <alignment horizontal="left" vertical="center"/>
    </xf>
    <xf numFmtId="49" fontId="34" fillId="0" borderId="364" applyNumberFormat="0" applyFont="0" applyFill="0" applyBorder="0" applyProtection="0">
      <alignment horizontal="left" vertical="center" indent="2"/>
    </xf>
    <xf numFmtId="4" fontId="34" fillId="0" borderId="364" applyFill="0" applyBorder="0" applyProtection="0">
      <alignment horizontal="right" vertical="center"/>
    </xf>
    <xf numFmtId="0" fontId="65" fillId="0" borderId="376" applyNumberFormat="0" applyFill="0" applyAlignment="0" applyProtection="0"/>
    <xf numFmtId="173" fontId="34" fillId="60" borderId="364" applyNumberFormat="0" applyFont="0" applyBorder="0" applyAlignment="0" applyProtection="0">
      <alignment horizontal="right" vertical="center"/>
    </xf>
    <xf numFmtId="0" fontId="40" fillId="59" borderId="369" applyNumberFormat="0" applyFont="0" applyAlignment="0" applyProtection="0"/>
    <xf numFmtId="4" fontId="32" fillId="34" borderId="372">
      <alignment horizontal="right" vertical="center"/>
    </xf>
    <xf numFmtId="4" fontId="32" fillId="34" borderId="405">
      <alignment horizontal="right" vertical="center"/>
    </xf>
    <xf numFmtId="0" fontId="36" fillId="32" borderId="364">
      <alignment horizontal="right" vertical="center"/>
    </xf>
    <xf numFmtId="0" fontId="12" fillId="31" borderId="0" applyNumberFormat="0" applyBorder="0" applyAlignment="0" applyProtection="0"/>
    <xf numFmtId="4" fontId="36" fillId="32" borderId="370">
      <alignment horizontal="right" vertical="center"/>
    </xf>
    <xf numFmtId="0" fontId="26" fillId="26" borderId="0" applyNumberFormat="0" applyBorder="0" applyAlignment="0" applyProtection="0"/>
    <xf numFmtId="0" fontId="43" fillId="56" borderId="374" applyNumberFormat="0" applyAlignment="0" applyProtection="0"/>
    <xf numFmtId="0" fontId="49" fillId="43" borderId="361" applyNumberFormat="0" applyAlignment="0" applyProtection="0"/>
    <xf numFmtId="4" fontId="32" fillId="34" borderId="364">
      <alignment horizontal="right" vertical="center"/>
    </xf>
    <xf numFmtId="0" fontId="34" fillId="32" borderId="365">
      <alignment horizontal="left" vertical="center"/>
    </xf>
    <xf numFmtId="0" fontId="26" fillId="27" borderId="0" applyNumberFormat="0" applyBorder="0" applyAlignment="0" applyProtection="0"/>
    <xf numFmtId="0" fontId="50" fillId="0" borderId="376" applyNumberFormat="0" applyFill="0" applyAlignment="0" applyProtection="0"/>
    <xf numFmtId="0" fontId="32" fillId="34" borderId="370">
      <alignment horizontal="right" vertical="center"/>
    </xf>
    <xf numFmtId="0" fontId="40" fillId="59" borderId="385" applyNumberFormat="0" applyFont="0" applyAlignment="0" applyProtection="0"/>
    <xf numFmtId="0" fontId="65" fillId="0" borderId="384" applyNumberFormat="0" applyFill="0" applyAlignment="0" applyProtection="0"/>
    <xf numFmtId="0" fontId="32" fillId="34" borderId="370">
      <alignment horizontal="right" vertical="center"/>
    </xf>
    <xf numFmtId="4" fontId="32" fillId="34" borderId="370">
      <alignment horizontal="right" vertical="center"/>
    </xf>
    <xf numFmtId="0" fontId="50" fillId="0" borderId="376" applyNumberFormat="0" applyFill="0" applyAlignment="0" applyProtection="0"/>
    <xf numFmtId="0" fontId="50" fillId="0" borderId="376" applyNumberFormat="0" applyFill="0" applyAlignment="0" applyProtection="0"/>
    <xf numFmtId="0" fontId="40" fillId="59" borderId="369" applyNumberFormat="0" applyFont="0" applyAlignment="0" applyProtection="0"/>
    <xf numFmtId="0" fontId="12" fillId="28" borderId="0" applyNumberFormat="0" applyBorder="0" applyAlignment="0" applyProtection="0"/>
    <xf numFmtId="4" fontId="32" fillId="32" borderId="370">
      <alignment horizontal="right" vertical="center"/>
    </xf>
    <xf numFmtId="0" fontId="32" fillId="34" borderId="364">
      <alignment horizontal="right" vertical="center"/>
    </xf>
    <xf numFmtId="0" fontId="34" fillId="34" borderId="367">
      <alignment horizontal="left" vertical="center" wrapText="1" indent="2"/>
    </xf>
    <xf numFmtId="173" fontId="34" fillId="60" borderId="364" applyNumberFormat="0" applyFont="0" applyBorder="0" applyAlignment="0" applyProtection="0">
      <alignment horizontal="right" vertical="center"/>
    </xf>
    <xf numFmtId="0" fontId="40" fillId="59" borderId="363" applyNumberFormat="0" applyFont="0" applyAlignment="0" applyProtection="0"/>
    <xf numFmtId="49" fontId="34" fillId="0" borderId="364" applyNumberFormat="0" applyFont="0" applyFill="0" applyBorder="0" applyProtection="0">
      <alignment horizontal="left" vertical="center" indent="2"/>
    </xf>
    <xf numFmtId="4" fontId="32" fillId="34" borderId="372">
      <alignment horizontal="right" vertical="center"/>
    </xf>
    <xf numFmtId="0" fontId="26" fillId="29" borderId="0" applyNumberFormat="0" applyBorder="0" applyAlignment="0" applyProtection="0"/>
    <xf numFmtId="0" fontId="65" fillId="0" borderId="392" applyNumberFormat="0" applyFill="0" applyAlignment="0" applyProtection="0"/>
    <xf numFmtId="0" fontId="26" fillId="14" borderId="0" applyNumberFormat="0" applyBorder="0" applyAlignment="0" applyProtection="0"/>
    <xf numFmtId="49" fontId="33" fillId="0" borderId="364" applyNumberFormat="0" applyFill="0" applyBorder="0" applyProtection="0">
      <alignment horizontal="left" vertical="center"/>
    </xf>
    <xf numFmtId="0" fontId="32" fillId="34" borderId="378">
      <alignment horizontal="right" vertical="center"/>
    </xf>
    <xf numFmtId="173" fontId="34" fillId="60" borderId="364" applyNumberFormat="0" applyFont="0" applyBorder="0" applyAlignment="0" applyProtection="0">
      <alignment horizontal="right" vertical="center"/>
    </xf>
    <xf numFmtId="0" fontId="62" fillId="56" borderId="368" applyNumberFormat="0" applyAlignment="0" applyProtection="0"/>
    <xf numFmtId="0" fontId="34" fillId="0" borderId="364">
      <alignment horizontal="right" vertical="center"/>
    </xf>
    <xf numFmtId="0" fontId="34" fillId="0" borderId="397" applyNumberFormat="0" applyFill="0" applyAlignment="0" applyProtection="0"/>
    <xf numFmtId="0" fontId="34" fillId="33" borderId="364"/>
    <xf numFmtId="4" fontId="32" fillId="34" borderId="364">
      <alignment horizontal="right" vertical="center"/>
    </xf>
    <xf numFmtId="0" fontId="34" fillId="33" borderId="364"/>
    <xf numFmtId="0" fontId="58" fillId="43" borderId="361" applyNumberFormat="0" applyAlignment="0" applyProtection="0"/>
    <xf numFmtId="4" fontId="32" fillId="34" borderId="372">
      <alignment horizontal="right" vertical="center"/>
    </xf>
    <xf numFmtId="0" fontId="36" fillId="32" borderId="364">
      <alignment horizontal="right" vertical="center"/>
    </xf>
    <xf numFmtId="0" fontId="34" fillId="0" borderId="367">
      <alignment horizontal="left" vertical="center" wrapText="1" indent="2"/>
    </xf>
    <xf numFmtId="0" fontId="32" fillId="32" borderId="364">
      <alignment horizontal="right" vertical="center"/>
    </xf>
    <xf numFmtId="0" fontId="49" fillId="43" borderId="361" applyNumberFormat="0" applyAlignment="0" applyProtection="0"/>
    <xf numFmtId="0" fontId="34" fillId="34" borderId="367">
      <alignment horizontal="left" vertical="center" wrapText="1" indent="2"/>
    </xf>
    <xf numFmtId="0" fontId="34" fillId="33" borderId="370"/>
    <xf numFmtId="0" fontId="26" fillId="15" borderId="0" applyNumberFormat="0" applyBorder="0" applyAlignment="0" applyProtection="0"/>
    <xf numFmtId="0" fontId="40" fillId="59" borderId="396" applyNumberFormat="0" applyFont="0" applyAlignment="0" applyProtection="0"/>
    <xf numFmtId="0" fontId="46" fillId="56" borderId="391" applyNumberFormat="0" applyAlignment="0" applyProtection="0"/>
    <xf numFmtId="0" fontId="58" fillId="43" borderId="383" applyNumberFormat="0" applyAlignment="0" applyProtection="0"/>
    <xf numFmtId="0" fontId="26" fillId="24" borderId="0" applyNumberFormat="0" applyBorder="0" applyAlignment="0" applyProtection="0"/>
    <xf numFmtId="0" fontId="34" fillId="33" borderId="370"/>
    <xf numFmtId="0" fontId="26" fillId="17" borderId="0" applyNumberFormat="0" applyBorder="0" applyAlignment="0" applyProtection="0"/>
    <xf numFmtId="0" fontId="45" fillId="56" borderId="361" applyNumberFormat="0" applyAlignment="0" applyProtection="0"/>
    <xf numFmtId="0" fontId="36" fillId="32" borderId="364">
      <alignment horizontal="right" vertical="center"/>
    </xf>
    <xf numFmtId="4" fontId="32" fillId="34" borderId="372">
      <alignment horizontal="right" vertical="center"/>
    </xf>
    <xf numFmtId="173" fontId="34" fillId="60" borderId="386" applyNumberFormat="0" applyFont="0" applyBorder="0" applyAlignment="0" applyProtection="0">
      <alignment horizontal="right" vertical="center"/>
    </xf>
    <xf numFmtId="0" fontId="5" fillId="59" borderId="385" applyNumberFormat="0" applyFont="0" applyAlignment="0" applyProtection="0"/>
    <xf numFmtId="0" fontId="26" fillId="20" borderId="0" applyNumberFormat="0" applyBorder="0" applyAlignment="0" applyProtection="0"/>
    <xf numFmtId="173" fontId="34" fillId="60" borderId="378" applyNumberFormat="0" applyFont="0" applyBorder="0" applyAlignment="0" applyProtection="0">
      <alignment horizontal="right" vertical="center"/>
    </xf>
    <xf numFmtId="49" fontId="33" fillId="0" borderId="370" applyNumberFormat="0" applyFill="0" applyBorder="0" applyProtection="0">
      <alignment horizontal="left" vertical="center"/>
    </xf>
    <xf numFmtId="0" fontId="30" fillId="0" borderId="0" applyNumberFormat="0" applyFill="0" applyBorder="0" applyAlignment="0" applyProtection="0"/>
    <xf numFmtId="0" fontId="32" fillId="34" borderId="386">
      <alignment horizontal="right" vertical="center"/>
    </xf>
    <xf numFmtId="0" fontId="65" fillId="0" borderId="395" applyNumberFormat="0" applyFill="0" applyAlignment="0" applyProtection="0"/>
    <xf numFmtId="0" fontId="32" fillId="34" borderId="364">
      <alignment horizontal="right" vertical="center"/>
    </xf>
    <xf numFmtId="4" fontId="34" fillId="0" borderId="364" applyFill="0" applyBorder="0" applyProtection="0">
      <alignment horizontal="right" vertical="center"/>
    </xf>
    <xf numFmtId="0" fontId="34" fillId="34" borderId="367">
      <alignment horizontal="left" vertical="center" wrapText="1" indent="2"/>
    </xf>
    <xf numFmtId="0" fontId="40" fillId="59" borderId="363" applyNumberFormat="0" applyFont="0" applyAlignment="0" applyProtection="0"/>
    <xf numFmtId="0" fontId="49" fillId="43" borderId="361" applyNumberFormat="0" applyAlignment="0" applyProtection="0"/>
    <xf numFmtId="4" fontId="34" fillId="33" borderId="364"/>
    <xf numFmtId="4" fontId="34" fillId="0" borderId="364" applyFill="0" applyBorder="0" applyProtection="0">
      <alignment horizontal="right" vertical="center"/>
    </xf>
    <xf numFmtId="0" fontId="65" fillId="0" borderId="362" applyNumberFormat="0" applyFill="0" applyAlignment="0" applyProtection="0"/>
    <xf numFmtId="0" fontId="34" fillId="32" borderId="365">
      <alignment horizontal="left" vertical="center"/>
    </xf>
    <xf numFmtId="0" fontId="34" fillId="0" borderId="367">
      <alignment horizontal="left" vertical="center" wrapText="1" indent="2"/>
    </xf>
    <xf numFmtId="0" fontId="34" fillId="34" borderId="373">
      <alignment horizontal="left" vertical="center" wrapText="1" indent="2"/>
    </xf>
    <xf numFmtId="0" fontId="58" fillId="43" borderId="361" applyNumberFormat="0" applyAlignment="0" applyProtection="0"/>
    <xf numFmtId="0" fontId="32" fillId="32" borderId="370">
      <alignment horizontal="right" vertical="center"/>
    </xf>
    <xf numFmtId="0" fontId="34" fillId="34" borderId="367">
      <alignment horizontal="left" vertical="center" wrapText="1" indent="2"/>
    </xf>
    <xf numFmtId="0" fontId="34" fillId="0" borderId="400">
      <alignment horizontal="left" vertical="center" wrapText="1" indent="2"/>
    </xf>
    <xf numFmtId="0" fontId="1" fillId="0" borderId="0" applyNumberFormat="0" applyFill="0" applyBorder="0" applyAlignment="0" applyProtection="0"/>
    <xf numFmtId="0" fontId="58" fillId="43" borderId="375" applyNumberFormat="0" applyAlignment="0" applyProtection="0"/>
    <xf numFmtId="0" fontId="5" fillId="59" borderId="377" applyNumberFormat="0" applyFont="0" applyAlignment="0" applyProtection="0"/>
    <xf numFmtId="0" fontId="40" fillId="59" borderId="363" applyNumberFormat="0" applyFont="0" applyAlignment="0" applyProtection="0"/>
    <xf numFmtId="0" fontId="58" fillId="43" borderId="361" applyNumberFormat="0" applyAlignment="0" applyProtection="0"/>
    <xf numFmtId="0" fontId="32" fillId="32" borderId="370">
      <alignment horizontal="right" vertical="center"/>
    </xf>
    <xf numFmtId="4" fontId="34" fillId="33" borderId="364"/>
    <xf numFmtId="0" fontId="46" fillId="56" borderId="361" applyNumberFormat="0" applyAlignment="0" applyProtection="0"/>
    <xf numFmtId="0" fontId="58" fillId="43" borderId="361" applyNumberFormat="0" applyAlignment="0" applyProtection="0"/>
    <xf numFmtId="4" fontId="32" fillId="34" borderId="364">
      <alignment horizontal="right" vertical="center"/>
    </xf>
    <xf numFmtId="0" fontId="50" fillId="0" borderId="362" applyNumberFormat="0" applyFill="0" applyAlignment="0" applyProtection="0"/>
    <xf numFmtId="0" fontId="1" fillId="0" borderId="0" applyNumberFormat="0" applyFill="0" applyBorder="0" applyAlignment="0" applyProtection="0"/>
    <xf numFmtId="0" fontId="32" fillId="34" borderId="387">
      <alignment horizontal="right" vertical="center"/>
    </xf>
    <xf numFmtId="4" fontId="34" fillId="0" borderId="386" applyFill="0" applyBorder="0" applyProtection="0">
      <alignment horizontal="right" vertical="center"/>
    </xf>
    <xf numFmtId="0" fontId="65" fillId="0" borderId="384" applyNumberFormat="0" applyFill="0" applyAlignment="0" applyProtection="0"/>
    <xf numFmtId="49" fontId="34" fillId="0" borderId="398" applyNumberFormat="0" applyFont="0" applyFill="0" applyBorder="0" applyProtection="0">
      <alignment horizontal="left" vertical="center" indent="5"/>
    </xf>
    <xf numFmtId="0" fontId="49" fillId="43" borderId="375" applyNumberFormat="0" applyAlignment="0" applyProtection="0"/>
    <xf numFmtId="0" fontId="46" fillId="56" borderId="361" applyNumberFormat="0" applyAlignment="0" applyProtection="0"/>
    <xf numFmtId="0" fontId="65" fillId="0" borderId="376" applyNumberFormat="0" applyFill="0" applyAlignment="0" applyProtection="0"/>
    <xf numFmtId="0" fontId="49" fillId="43" borderId="361" applyNumberFormat="0" applyAlignment="0" applyProtection="0"/>
    <xf numFmtId="0" fontId="45" fillId="56" borderId="375" applyNumberFormat="0" applyAlignment="0" applyProtection="0"/>
    <xf numFmtId="4" fontId="34" fillId="33" borderId="370"/>
    <xf numFmtId="4" fontId="36" fillId="32" borderId="386">
      <alignment horizontal="right" vertical="center"/>
    </xf>
    <xf numFmtId="0" fontId="65" fillId="0" borderId="395" applyNumberFormat="0" applyFill="0" applyAlignment="0" applyProtection="0"/>
    <xf numFmtId="4" fontId="32" fillId="34" borderId="370">
      <alignment horizontal="right" vertical="center"/>
    </xf>
    <xf numFmtId="0" fontId="34" fillId="34" borderId="367">
      <alignment horizontal="left" vertical="center" wrapText="1" indent="2"/>
    </xf>
    <xf numFmtId="4" fontId="34" fillId="0" borderId="397" applyFill="0" applyBorder="0" applyProtection="0">
      <alignment horizontal="right" vertical="center"/>
    </xf>
    <xf numFmtId="0" fontId="62" fillId="56" borderId="368" applyNumberFormat="0" applyAlignment="0" applyProtection="0"/>
    <xf numFmtId="0" fontId="58" fillId="43" borderId="361" applyNumberFormat="0" applyAlignment="0" applyProtection="0"/>
    <xf numFmtId="4" fontId="32" fillId="34" borderId="364">
      <alignment horizontal="right" vertical="center"/>
    </xf>
    <xf numFmtId="0" fontId="34" fillId="33" borderId="364"/>
    <xf numFmtId="4" fontId="34" fillId="33" borderId="378"/>
    <xf numFmtId="0" fontId="34" fillId="32" borderId="371">
      <alignment horizontal="left" vertical="center"/>
    </xf>
    <xf numFmtId="0" fontId="34" fillId="0" borderId="367">
      <alignment horizontal="left" vertical="center" wrapText="1" indent="2"/>
    </xf>
    <xf numFmtId="4" fontId="34" fillId="0" borderId="370">
      <alignment horizontal="right" vertical="center"/>
    </xf>
    <xf numFmtId="0" fontId="12" fillId="25" borderId="0" applyNumberFormat="0" applyBorder="0" applyAlignment="0" applyProtection="0"/>
    <xf numFmtId="0" fontId="34" fillId="34" borderId="381">
      <alignment horizontal="left" vertical="center" wrapText="1" indent="2"/>
    </xf>
    <xf numFmtId="4" fontId="32" fillId="32" borderId="386">
      <alignment horizontal="right" vertical="center"/>
    </xf>
    <xf numFmtId="0" fontId="45" fillId="56" borderId="361" applyNumberFormat="0" applyAlignment="0" applyProtection="0"/>
    <xf numFmtId="0" fontId="32" fillId="34" borderId="370">
      <alignment horizontal="right" vertical="center"/>
    </xf>
    <xf numFmtId="0" fontId="32" fillId="34" borderId="372">
      <alignment horizontal="right" vertical="center"/>
    </xf>
    <xf numFmtId="4" fontId="32" fillId="32" borderId="364">
      <alignment horizontal="right" vertical="center"/>
    </xf>
    <xf numFmtId="0" fontId="62" fillId="56" borderId="393" applyNumberFormat="0" applyAlignment="0" applyProtection="0"/>
    <xf numFmtId="0" fontId="32" fillId="32" borderId="364">
      <alignment horizontal="right" vertical="center"/>
    </xf>
    <xf numFmtId="0" fontId="32" fillId="34" borderId="364">
      <alignment horizontal="right" vertical="center"/>
    </xf>
    <xf numFmtId="0" fontId="36" fillId="32" borderId="370">
      <alignment horizontal="right" vertical="center"/>
    </xf>
    <xf numFmtId="0" fontId="50" fillId="0" borderId="384" applyNumberFormat="0" applyFill="0" applyAlignment="0" applyProtection="0"/>
    <xf numFmtId="0" fontId="65" fillId="0" borderId="376" applyNumberFormat="0" applyFill="0" applyAlignment="0" applyProtection="0"/>
    <xf numFmtId="0" fontId="26" fillId="30" borderId="0" applyNumberFormat="0" applyBorder="0" applyAlignment="0" applyProtection="0"/>
    <xf numFmtId="0" fontId="36" fillId="32" borderId="370">
      <alignment horizontal="right" vertical="center"/>
    </xf>
    <xf numFmtId="0" fontId="62" fillId="56" borderId="368" applyNumberFormat="0" applyAlignment="0" applyProtection="0"/>
    <xf numFmtId="0" fontId="32" fillId="32" borderId="404">
      <alignment horizontal="right" vertical="center"/>
    </xf>
    <xf numFmtId="49" fontId="34" fillId="0" borderId="364" applyNumberFormat="0" applyFont="0" applyFill="0" applyBorder="0" applyProtection="0">
      <alignment horizontal="left" vertical="center" indent="2"/>
    </xf>
    <xf numFmtId="0" fontId="40" fillId="59" borderId="385" applyNumberFormat="0" applyFont="0" applyAlignment="0" applyProtection="0"/>
    <xf numFmtId="0" fontId="40" fillId="59" borderId="363" applyNumberFormat="0" applyFont="0" applyAlignment="0" applyProtection="0"/>
    <xf numFmtId="173" fontId="34" fillId="60" borderId="364" applyNumberFormat="0" applyFont="0" applyBorder="0" applyAlignment="0" applyProtection="0">
      <alignment horizontal="right" vertical="center"/>
    </xf>
    <xf numFmtId="0" fontId="58" fillId="43" borderId="361" applyNumberFormat="0" applyAlignment="0" applyProtection="0"/>
    <xf numFmtId="0" fontId="32" fillId="34" borderId="364">
      <alignment horizontal="right" vertical="center"/>
    </xf>
    <xf numFmtId="0" fontId="34" fillId="33" borderId="364"/>
    <xf numFmtId="0" fontId="62" fillId="56" borderId="368" applyNumberFormat="0" applyAlignment="0" applyProtection="0"/>
    <xf numFmtId="0" fontId="46" fillId="56" borderId="361" applyNumberFormat="0" applyAlignment="0" applyProtection="0"/>
    <xf numFmtId="0" fontId="45" fillId="56" borderId="361" applyNumberFormat="0" applyAlignment="0" applyProtection="0"/>
    <xf numFmtId="0" fontId="49" fillId="43" borderId="361" applyNumberFormat="0" applyAlignment="0" applyProtection="0"/>
    <xf numFmtId="0" fontId="49" fillId="43" borderId="361" applyNumberFormat="0" applyAlignment="0" applyProtection="0"/>
    <xf numFmtId="0" fontId="34" fillId="0" borderId="367">
      <alignment horizontal="left" vertical="center" wrapText="1" indent="2"/>
    </xf>
    <xf numFmtId="4" fontId="32" fillId="34" borderId="365">
      <alignment horizontal="right" vertical="center"/>
    </xf>
    <xf numFmtId="4" fontId="34" fillId="0" borderId="364">
      <alignment horizontal="right" vertical="center"/>
    </xf>
    <xf numFmtId="49" fontId="33" fillId="0" borderId="364" applyNumberFormat="0" applyFill="0" applyBorder="0" applyProtection="0">
      <alignment horizontal="left" vertical="center"/>
    </xf>
    <xf numFmtId="4" fontId="34" fillId="0" borderId="364">
      <alignment horizontal="right" vertical="center"/>
    </xf>
    <xf numFmtId="0" fontId="62" fillId="56" borderId="368" applyNumberFormat="0" applyAlignment="0" applyProtection="0"/>
    <xf numFmtId="0" fontId="46" fillId="56" borderId="375" applyNumberFormat="0" applyAlignment="0" applyProtection="0"/>
    <xf numFmtId="4" fontId="36" fillId="32" borderId="370">
      <alignment horizontal="right" vertical="center"/>
    </xf>
    <xf numFmtId="0" fontId="34" fillId="32" borderId="387">
      <alignment horizontal="left" vertical="center"/>
    </xf>
    <xf numFmtId="4" fontId="34" fillId="33" borderId="370"/>
    <xf numFmtId="0" fontId="32" fillId="34" borderId="370">
      <alignment horizontal="right" vertical="center"/>
    </xf>
    <xf numFmtId="0" fontId="32" fillId="34" borderId="378">
      <alignment horizontal="right" vertical="center"/>
    </xf>
    <xf numFmtId="0" fontId="5" fillId="59" borderId="369" applyNumberFormat="0" applyFont="0" applyAlignment="0" applyProtection="0"/>
    <xf numFmtId="0" fontId="34" fillId="0" borderId="367">
      <alignment horizontal="left" vertical="center" wrapText="1" indent="2"/>
    </xf>
    <xf numFmtId="0" fontId="12" fillId="22" borderId="0" applyNumberFormat="0" applyBorder="0" applyAlignment="0" applyProtection="0"/>
    <xf numFmtId="0" fontId="26" fillId="18" borderId="0" applyNumberFormat="0" applyBorder="0" applyAlignment="0" applyProtection="0"/>
    <xf numFmtId="0" fontId="26" fillId="21" borderId="0" applyNumberFormat="0" applyBorder="0" applyAlignment="0" applyProtection="0"/>
    <xf numFmtId="0" fontId="34" fillId="33" borderId="370"/>
    <xf numFmtId="4" fontId="32" fillId="34" borderId="371">
      <alignment horizontal="right" vertical="center"/>
    </xf>
    <xf numFmtId="0" fontId="32" fillId="34" borderId="398">
      <alignment horizontal="right" vertical="center"/>
    </xf>
    <xf numFmtId="0" fontId="1" fillId="0" borderId="0" applyNumberFormat="0" applyFill="0" applyBorder="0" applyAlignment="0" applyProtection="0"/>
    <xf numFmtId="4" fontId="34" fillId="33" borderId="386"/>
    <xf numFmtId="0" fontId="34" fillId="33" borderId="370"/>
    <xf numFmtId="0" fontId="40" fillId="59" borderId="363" applyNumberFormat="0" applyFont="0" applyAlignment="0" applyProtection="0"/>
    <xf numFmtId="4" fontId="36" fillId="32" borderId="386">
      <alignment horizontal="right" vertical="center"/>
    </xf>
    <xf numFmtId="0" fontId="32" fillId="32" borderId="364">
      <alignment horizontal="right" vertical="center"/>
    </xf>
    <xf numFmtId="0" fontId="12" fillId="19" borderId="0" applyNumberFormat="0" applyBorder="0" applyAlignment="0" applyProtection="0"/>
    <xf numFmtId="49" fontId="34" fillId="0" borderId="371" applyNumberFormat="0" applyFont="0" applyFill="0" applyBorder="0" applyProtection="0">
      <alignment horizontal="left" vertical="center" indent="5"/>
    </xf>
    <xf numFmtId="0" fontId="34" fillId="0" borderId="364" applyNumberFormat="0" applyFill="0" applyAlignment="0" applyProtection="0"/>
    <xf numFmtId="49" fontId="33" fillId="0" borderId="364" applyNumberFormat="0" applyFill="0" applyBorder="0" applyProtection="0">
      <alignment horizontal="left" vertical="center"/>
    </xf>
    <xf numFmtId="0" fontId="34" fillId="0" borderId="364">
      <alignment horizontal="right" vertical="center"/>
    </xf>
    <xf numFmtId="0" fontId="49" fillId="43" borderId="375" applyNumberFormat="0" applyAlignment="0" applyProtection="0"/>
    <xf numFmtId="0" fontId="32" fillId="34" borderId="372">
      <alignment horizontal="right" vertical="center"/>
    </xf>
    <xf numFmtId="0" fontId="34" fillId="0" borderId="370">
      <alignment horizontal="right" vertical="center"/>
    </xf>
    <xf numFmtId="4" fontId="32" fillId="32" borderId="364">
      <alignment horizontal="right" vertical="center"/>
    </xf>
    <xf numFmtId="0" fontId="40" fillId="59" borderId="369" applyNumberFormat="0" applyFont="0" applyAlignment="0" applyProtection="0"/>
    <xf numFmtId="0" fontId="46" fillId="56" borderId="361" applyNumberFormat="0" applyAlignment="0" applyProtection="0"/>
    <xf numFmtId="0" fontId="32" fillId="34" borderId="366">
      <alignment horizontal="right" vertical="center"/>
    </xf>
    <xf numFmtId="4" fontId="32" fillId="32" borderId="364">
      <alignment horizontal="right" vertical="center"/>
    </xf>
    <xf numFmtId="0" fontId="32" fillId="34" borderId="364">
      <alignment horizontal="right" vertical="center"/>
    </xf>
    <xf numFmtId="0" fontId="46" fillId="56" borderId="361" applyNumberFormat="0" applyAlignment="0" applyProtection="0"/>
    <xf numFmtId="4" fontId="32" fillId="34" borderId="371">
      <alignment horizontal="right" vertical="center"/>
    </xf>
    <xf numFmtId="0" fontId="5" fillId="59" borderId="377" applyNumberFormat="0" applyFont="0" applyAlignment="0" applyProtection="0"/>
    <xf numFmtId="0" fontId="28" fillId="13" borderId="14" applyNumberFormat="0" applyAlignment="0" applyProtection="0"/>
    <xf numFmtId="4" fontId="34" fillId="0" borderId="364" applyFill="0" applyBorder="0" applyProtection="0">
      <alignment horizontal="right" vertical="center"/>
    </xf>
    <xf numFmtId="0" fontId="40" fillId="59" borderId="363" applyNumberFormat="0" applyFont="0" applyAlignment="0" applyProtection="0"/>
    <xf numFmtId="0" fontId="34" fillId="0" borderId="370">
      <alignment horizontal="right" vertical="center"/>
    </xf>
    <xf numFmtId="0" fontId="26" fillId="24" borderId="0" applyNumberFormat="0" applyBorder="0" applyAlignment="0" applyProtection="0"/>
    <xf numFmtId="0" fontId="49" fillId="43" borderId="375" applyNumberFormat="0" applyAlignment="0" applyProtection="0"/>
    <xf numFmtId="0" fontId="43" fillId="56" borderId="374" applyNumberFormat="0" applyAlignment="0" applyProtection="0"/>
    <xf numFmtId="0" fontId="45" fillId="56" borderId="415" applyNumberFormat="0" applyAlignment="0" applyProtection="0"/>
    <xf numFmtId="0" fontId="50" fillId="0" borderId="384" applyNumberFormat="0" applyFill="0" applyAlignment="0" applyProtection="0"/>
    <xf numFmtId="0" fontId="32" fillId="32" borderId="364">
      <alignment horizontal="right" vertical="center"/>
    </xf>
    <xf numFmtId="0" fontId="50" fillId="0" borderId="362" applyNumberFormat="0" applyFill="0" applyAlignment="0" applyProtection="0"/>
    <xf numFmtId="0" fontId="34" fillId="0" borderId="364" applyNumberFormat="0" applyFill="0" applyAlignment="0" applyProtection="0"/>
    <xf numFmtId="0" fontId="50" fillId="0" borderId="362" applyNumberFormat="0" applyFill="0" applyAlignment="0" applyProtection="0"/>
    <xf numFmtId="4" fontId="34" fillId="0" borderId="364" applyFill="0" applyBorder="0" applyProtection="0">
      <alignment horizontal="right" vertical="center"/>
    </xf>
    <xf numFmtId="49" fontId="34" fillId="0" borderId="365" applyNumberFormat="0" applyFont="0" applyFill="0" applyBorder="0" applyProtection="0">
      <alignment horizontal="left" vertical="center" indent="5"/>
    </xf>
    <xf numFmtId="0" fontId="34" fillId="0" borderId="364" applyNumberFormat="0" applyFill="0" applyAlignment="0" applyProtection="0"/>
    <xf numFmtId="0" fontId="46" fillId="56" borderId="375" applyNumberFormat="0" applyAlignment="0" applyProtection="0"/>
    <xf numFmtId="0" fontId="34" fillId="0" borderId="364" applyNumberFormat="0" applyFill="0" applyAlignment="0" applyProtection="0"/>
    <xf numFmtId="173" fontId="34" fillId="60" borderId="370" applyNumberFormat="0" applyFont="0" applyBorder="0" applyAlignment="0" applyProtection="0">
      <alignment horizontal="right" vertical="center"/>
    </xf>
    <xf numFmtId="0" fontId="29" fillId="13" borderId="13" applyNumberFormat="0" applyAlignment="0" applyProtection="0"/>
    <xf numFmtId="4" fontId="32" fillId="34" borderId="364">
      <alignment horizontal="right" vertical="center"/>
    </xf>
    <xf numFmtId="0" fontId="26" fillId="30" borderId="0" applyNumberFormat="0" applyBorder="0" applyAlignment="0" applyProtection="0"/>
    <xf numFmtId="0" fontId="46" fillId="56" borderId="375" applyNumberFormat="0" applyAlignment="0" applyProtection="0"/>
    <xf numFmtId="0" fontId="26" fillId="14" borderId="0" applyNumberFormat="0" applyBorder="0" applyAlignment="0" applyProtection="0"/>
    <xf numFmtId="4" fontId="32" fillId="32" borderId="370">
      <alignment horizontal="right" vertical="center"/>
    </xf>
    <xf numFmtId="0" fontId="49" fillId="43" borderId="361" applyNumberFormat="0" applyAlignment="0" applyProtection="0"/>
    <xf numFmtId="0" fontId="46" fillId="56" borderId="361" applyNumberFormat="0" applyAlignment="0" applyProtection="0"/>
    <xf numFmtId="4" fontId="34" fillId="0" borderId="364">
      <alignment horizontal="right" vertical="center"/>
    </xf>
    <xf numFmtId="0" fontId="34" fillId="34" borderId="367">
      <alignment horizontal="left" vertical="center" wrapText="1" indent="2"/>
    </xf>
    <xf numFmtId="0" fontId="34" fillId="0" borderId="367">
      <alignment horizontal="left" vertical="center" wrapText="1" indent="2"/>
    </xf>
    <xf numFmtId="0" fontId="62" fillId="56" borderId="368" applyNumberFormat="0" applyAlignment="0" applyProtection="0"/>
    <xf numFmtId="0" fontId="58" fillId="43" borderId="361" applyNumberFormat="0" applyAlignment="0" applyProtection="0"/>
    <xf numFmtId="0" fontId="45" fillId="56" borderId="361" applyNumberFormat="0" applyAlignment="0" applyProtection="0"/>
    <xf numFmtId="0" fontId="43" fillId="56" borderId="368" applyNumberFormat="0" applyAlignment="0" applyProtection="0"/>
    <xf numFmtId="0" fontId="32" fillId="34" borderId="366">
      <alignment horizontal="right" vertical="center"/>
    </xf>
    <xf numFmtId="0" fontId="36" fillId="32" borderId="364">
      <alignment horizontal="right" vertical="center"/>
    </xf>
    <xf numFmtId="4" fontId="32" fillId="32" borderId="364">
      <alignment horizontal="right" vertical="center"/>
    </xf>
    <xf numFmtId="4" fontId="32" fillId="34" borderId="364">
      <alignment horizontal="right" vertical="center"/>
    </xf>
    <xf numFmtId="49" fontId="34" fillId="0" borderId="365" applyNumberFormat="0" applyFont="0" applyFill="0" applyBorder="0" applyProtection="0">
      <alignment horizontal="left" vertical="center" indent="5"/>
    </xf>
    <xf numFmtId="4" fontId="34" fillId="0" borderId="364" applyFill="0" applyBorder="0" applyProtection="0">
      <alignment horizontal="right" vertical="center"/>
    </xf>
    <xf numFmtId="4" fontId="32" fillId="32" borderId="364">
      <alignment horizontal="right" vertical="center"/>
    </xf>
    <xf numFmtId="0" fontId="58" fillId="43" borderId="361" applyNumberFormat="0" applyAlignment="0" applyProtection="0"/>
    <xf numFmtId="0" fontId="49" fillId="43" borderId="361" applyNumberFormat="0" applyAlignment="0" applyProtection="0"/>
    <xf numFmtId="0" fontId="45" fillId="56" borderId="361" applyNumberFormat="0" applyAlignment="0" applyProtection="0"/>
    <xf numFmtId="0" fontId="34" fillId="34" borderId="367">
      <alignment horizontal="left" vertical="center" wrapText="1" indent="2"/>
    </xf>
    <xf numFmtId="0" fontId="34" fillId="0" borderId="367">
      <alignment horizontal="left" vertical="center" wrapText="1" indent="2"/>
    </xf>
    <xf numFmtId="0" fontId="34" fillId="34" borderId="367">
      <alignment horizontal="left" vertical="center" wrapText="1" indent="2"/>
    </xf>
    <xf numFmtId="4" fontId="32" fillId="34" borderId="371">
      <alignment horizontal="right" vertical="center"/>
    </xf>
    <xf numFmtId="0" fontId="34" fillId="0" borderId="370">
      <alignment horizontal="right" vertical="center"/>
    </xf>
    <xf numFmtId="4" fontId="34" fillId="0" borderId="370">
      <alignment horizontal="right" vertical="center"/>
    </xf>
    <xf numFmtId="0" fontId="62" fillId="56" borderId="408" applyNumberFormat="0" applyAlignment="0" applyProtection="0"/>
    <xf numFmtId="0" fontId="34" fillId="0" borderId="373">
      <alignment horizontal="left" vertical="center" wrapText="1" indent="2"/>
    </xf>
    <xf numFmtId="4" fontId="32" fillId="34" borderId="370">
      <alignment horizontal="right" vertical="center"/>
    </xf>
    <xf numFmtId="0" fontId="32" fillId="34" borderId="371">
      <alignment horizontal="right" vertical="center"/>
    </xf>
    <xf numFmtId="4" fontId="32" fillId="34" borderId="371">
      <alignment horizontal="right" vertical="center"/>
    </xf>
    <xf numFmtId="0" fontId="32" fillId="34" borderId="370">
      <alignment horizontal="right" vertical="center"/>
    </xf>
    <xf numFmtId="4" fontId="32" fillId="32" borderId="370">
      <alignment horizontal="right" vertical="center"/>
    </xf>
    <xf numFmtId="0" fontId="36" fillId="32" borderId="370">
      <alignment horizontal="right" vertical="center"/>
    </xf>
    <xf numFmtId="0" fontId="34" fillId="34" borderId="421">
      <alignment horizontal="left" vertical="center" wrapText="1" indent="2"/>
    </xf>
    <xf numFmtId="0" fontId="34" fillId="0" borderId="378" applyNumberFormat="0" applyFill="0" applyAlignment="0" applyProtection="0"/>
    <xf numFmtId="0" fontId="32" fillId="34" borderId="380">
      <alignment horizontal="right" vertical="center"/>
    </xf>
    <xf numFmtId="4" fontId="36" fillId="32" borderId="378">
      <alignment horizontal="right" vertical="center"/>
    </xf>
    <xf numFmtId="4" fontId="32" fillId="34" borderId="386">
      <alignment horizontal="right" vertical="center"/>
    </xf>
    <xf numFmtId="0" fontId="62" fillId="56" borderId="382" applyNumberFormat="0" applyAlignment="0" applyProtection="0"/>
    <xf numFmtId="49" fontId="34" fillId="0" borderId="386" applyNumberFormat="0" applyFont="0" applyFill="0" applyBorder="0" applyProtection="0">
      <alignment horizontal="left" vertical="center" indent="2"/>
    </xf>
    <xf numFmtId="0" fontId="32" fillId="34" borderId="378">
      <alignment horizontal="right" vertical="center"/>
    </xf>
    <xf numFmtId="0" fontId="46" fillId="56" borderId="391" applyNumberFormat="0" applyAlignment="0" applyProtection="0"/>
    <xf numFmtId="0" fontId="32" fillId="34" borderId="397">
      <alignment horizontal="right" vertical="center"/>
    </xf>
    <xf numFmtId="4" fontId="32" fillId="34" borderId="379">
      <alignment horizontal="right" vertical="center"/>
    </xf>
    <xf numFmtId="0" fontId="26" fillId="20" borderId="0" applyNumberFormat="0" applyBorder="0" applyAlignment="0" applyProtection="0"/>
    <xf numFmtId="49" fontId="33" fillId="0" borderId="386" applyNumberFormat="0" applyFill="0" applyBorder="0" applyProtection="0">
      <alignment horizontal="left" vertical="center"/>
    </xf>
    <xf numFmtId="0" fontId="46" fillId="56" borderId="394" applyNumberFormat="0" applyAlignment="0" applyProtection="0"/>
    <xf numFmtId="0" fontId="36" fillId="32" borderId="386">
      <alignment horizontal="right" vertical="center"/>
    </xf>
    <xf numFmtId="49" fontId="33" fillId="0" borderId="378" applyNumberFormat="0" applyFill="0" applyBorder="0" applyProtection="0">
      <alignment horizontal="left" vertical="center"/>
    </xf>
    <xf numFmtId="0" fontId="32" fillId="34" borderId="388">
      <alignment horizontal="right" vertical="center"/>
    </xf>
    <xf numFmtId="0" fontId="34" fillId="0" borderId="386">
      <alignment horizontal="right" vertical="center"/>
    </xf>
    <xf numFmtId="0" fontId="46" fillId="56" borderId="383" applyNumberFormat="0" applyAlignment="0" applyProtection="0"/>
    <xf numFmtId="0" fontId="34" fillId="0" borderId="389">
      <alignment horizontal="left" vertical="center" wrapText="1" indent="2"/>
    </xf>
    <xf numFmtId="4" fontId="32" fillId="34" borderId="387">
      <alignment horizontal="right" vertical="center"/>
    </xf>
    <xf numFmtId="4" fontId="34" fillId="0" borderId="378" applyFill="0" applyBorder="0" applyProtection="0">
      <alignment horizontal="right" vertical="center"/>
    </xf>
    <xf numFmtId="49" fontId="34" fillId="0" borderId="387" applyNumberFormat="0" applyFont="0" applyFill="0" applyBorder="0" applyProtection="0">
      <alignment horizontal="left" vertical="center" indent="5"/>
    </xf>
    <xf numFmtId="4" fontId="32" fillId="34" borderId="399">
      <alignment horizontal="right" vertical="center"/>
    </xf>
    <xf numFmtId="0" fontId="34" fillId="33" borderId="418"/>
    <xf numFmtId="0" fontId="26" fillId="20" borderId="0" applyNumberFormat="0" applyBorder="0" applyAlignment="0" applyProtection="0"/>
    <xf numFmtId="0" fontId="65" fillId="0" borderId="384" applyNumberFormat="0" applyFill="0" applyAlignment="0" applyProtection="0"/>
    <xf numFmtId="4" fontId="32" fillId="34" borderId="399">
      <alignment horizontal="right" vertical="center"/>
    </xf>
    <xf numFmtId="0" fontId="40" fillId="59" borderId="377" applyNumberFormat="0" applyFont="0" applyAlignment="0" applyProtection="0"/>
    <xf numFmtId="0" fontId="50" fillId="0" borderId="392" applyNumberFormat="0" applyFill="0" applyAlignment="0" applyProtection="0"/>
    <xf numFmtId="0" fontId="30" fillId="0" borderId="0" applyNumberFormat="0" applyFill="0" applyBorder="0" applyAlignment="0" applyProtection="0"/>
    <xf numFmtId="4" fontId="34" fillId="0" borderId="378">
      <alignment horizontal="right" vertical="center"/>
    </xf>
    <xf numFmtId="0" fontId="62" fillId="56" borderId="382" applyNumberFormat="0" applyAlignment="0" applyProtection="0"/>
    <xf numFmtId="0" fontId="34" fillId="34" borderId="381">
      <alignment horizontal="left" vertical="center" wrapText="1" indent="2"/>
    </xf>
    <xf numFmtId="0" fontId="36" fillId="32" borderId="378">
      <alignment horizontal="right" vertical="center"/>
    </xf>
    <xf numFmtId="0" fontId="34" fillId="33" borderId="397"/>
    <xf numFmtId="0" fontId="50" fillId="0" borderId="402" applyNumberFormat="0" applyFill="0" applyAlignment="0" applyProtection="0"/>
    <xf numFmtId="0" fontId="32" fillId="34" borderId="378">
      <alignment horizontal="right" vertical="center"/>
    </xf>
    <xf numFmtId="0" fontId="43" fillId="56" borderId="390" applyNumberFormat="0" applyAlignment="0" applyProtection="0"/>
    <xf numFmtId="0" fontId="40" fillId="59" borderId="369" applyNumberFormat="0" applyFont="0" applyAlignment="0" applyProtection="0"/>
    <xf numFmtId="0" fontId="32" fillId="34" borderId="380">
      <alignment horizontal="right" vertical="center"/>
    </xf>
    <xf numFmtId="0" fontId="30" fillId="0" borderId="0" applyNumberFormat="0" applyFill="0" applyBorder="0" applyAlignment="0" applyProtection="0"/>
    <xf numFmtId="0" fontId="5" fillId="59" borderId="369" applyNumberFormat="0" applyFont="0" applyAlignment="0" applyProtection="0"/>
    <xf numFmtId="173" fontId="34" fillId="60" borderId="378" applyNumberFormat="0" applyFont="0" applyBorder="0" applyAlignment="0" applyProtection="0">
      <alignment horizontal="right" vertical="center"/>
    </xf>
    <xf numFmtId="0" fontId="32" fillId="34" borderId="386">
      <alignment horizontal="right" vertical="center"/>
    </xf>
    <xf numFmtId="0" fontId="43" fillId="56" borderId="382" applyNumberFormat="0" applyAlignment="0" applyProtection="0"/>
    <xf numFmtId="0" fontId="46" fillId="56" borderId="383" applyNumberFormat="0" applyAlignment="0" applyProtection="0"/>
    <xf numFmtId="173" fontId="34" fillId="60" borderId="378" applyNumberFormat="0" applyFont="0" applyBorder="0" applyAlignment="0" applyProtection="0">
      <alignment horizontal="right" vertical="center"/>
    </xf>
    <xf numFmtId="0" fontId="46" fillId="56" borderId="391" applyNumberFormat="0" applyAlignment="0" applyProtection="0"/>
    <xf numFmtId="0" fontId="46" fillId="56" borderId="391" applyNumberFormat="0" applyAlignment="0" applyProtection="0"/>
    <xf numFmtId="0" fontId="26" fillId="27" borderId="0" applyNumberFormat="0" applyBorder="0" applyAlignment="0" applyProtection="0"/>
    <xf numFmtId="0" fontId="58" fillId="43" borderId="375" applyNumberFormat="0" applyAlignment="0" applyProtection="0"/>
    <xf numFmtId="0" fontId="26" fillId="20" borderId="0" applyNumberFormat="0" applyBorder="0" applyAlignment="0" applyProtection="0"/>
    <xf numFmtId="0" fontId="34" fillId="34" borderId="373">
      <alignment horizontal="left" vertical="center" wrapText="1" indent="2"/>
    </xf>
    <xf numFmtId="4" fontId="36" fillId="32" borderId="370">
      <alignment horizontal="right" vertical="center"/>
    </xf>
    <xf numFmtId="0" fontId="40" fillId="59" borderId="385" applyNumberFormat="0" applyFont="0" applyAlignment="0" applyProtection="0"/>
    <xf numFmtId="4" fontId="36" fillId="32" borderId="386">
      <alignment horizontal="right" vertical="center"/>
    </xf>
    <xf numFmtId="4" fontId="34" fillId="33" borderId="418"/>
    <xf numFmtId="0" fontId="26" fillId="21" borderId="0" applyNumberFormat="0" applyBorder="0" applyAlignment="0" applyProtection="0"/>
    <xf numFmtId="0" fontId="65" fillId="0" borderId="392" applyNumberFormat="0" applyFill="0" applyAlignment="0" applyProtection="0"/>
    <xf numFmtId="4" fontId="34" fillId="0" borderId="386">
      <alignment horizontal="right" vertical="center"/>
    </xf>
    <xf numFmtId="0" fontId="2" fillId="0" borderId="15" applyNumberFormat="0" applyFill="0" applyAlignment="0" applyProtection="0"/>
    <xf numFmtId="0" fontId="26" fillId="23" borderId="0" applyNumberFormat="0" applyBorder="0" applyAlignment="0" applyProtection="0"/>
    <xf numFmtId="0" fontId="2" fillId="0" borderId="15" applyNumberFormat="0" applyFill="0" applyAlignment="0" applyProtection="0"/>
    <xf numFmtId="4" fontId="36" fillId="32" borderId="370">
      <alignment horizontal="right" vertical="center"/>
    </xf>
    <xf numFmtId="4" fontId="32" fillId="32" borderId="370">
      <alignment horizontal="right" vertical="center"/>
    </xf>
    <xf numFmtId="0" fontId="34" fillId="0" borderId="373">
      <alignment horizontal="left" vertical="center" wrapText="1" indent="2"/>
    </xf>
    <xf numFmtId="0" fontId="62" fillId="56" borderId="374" applyNumberFormat="0" applyAlignment="0" applyProtection="0"/>
    <xf numFmtId="0" fontId="34" fillId="0" borderId="370">
      <alignment horizontal="right" vertical="center"/>
    </xf>
    <xf numFmtId="0" fontId="65" fillId="0" borderId="376" applyNumberFormat="0" applyFill="0" applyAlignment="0" applyProtection="0"/>
    <xf numFmtId="49" fontId="33" fillId="0" borderId="370" applyNumberFormat="0" applyFill="0" applyBorder="0" applyProtection="0">
      <alignment horizontal="left" vertical="center"/>
    </xf>
    <xf numFmtId="4" fontId="34" fillId="33" borderId="370"/>
    <xf numFmtId="0" fontId="58" fillId="43" borderId="375" applyNumberFormat="0" applyAlignment="0" applyProtection="0"/>
    <xf numFmtId="4" fontId="34" fillId="33" borderId="386"/>
    <xf numFmtId="0" fontId="46" fillId="56" borderId="394" applyNumberFormat="0" applyAlignment="0" applyProtection="0"/>
    <xf numFmtId="173" fontId="34" fillId="60" borderId="370" applyNumberFormat="0" applyFont="0" applyBorder="0" applyAlignment="0" applyProtection="0">
      <alignment horizontal="right" vertical="center"/>
    </xf>
    <xf numFmtId="0" fontId="34" fillId="34" borderId="381">
      <alignment horizontal="left" vertical="center" wrapText="1" indent="2"/>
    </xf>
    <xf numFmtId="0" fontId="46" fillId="56" borderId="375" applyNumberFormat="0" applyAlignment="0" applyProtection="0"/>
    <xf numFmtId="0" fontId="34" fillId="0" borderId="381">
      <alignment horizontal="left" vertical="center" wrapText="1" indent="2"/>
    </xf>
    <xf numFmtId="4" fontId="32" fillId="32" borderId="378">
      <alignment horizontal="right" vertical="center"/>
    </xf>
    <xf numFmtId="49" fontId="34" fillId="0" borderId="386" applyNumberFormat="0" applyFont="0" applyFill="0" applyBorder="0" applyProtection="0">
      <alignment horizontal="left" vertical="center" indent="2"/>
    </xf>
    <xf numFmtId="0" fontId="50" fillId="0" borderId="392" applyNumberFormat="0" applyFill="0" applyAlignment="0" applyProtection="0"/>
    <xf numFmtId="0" fontId="58" fillId="43" borderId="375" applyNumberFormat="0" applyAlignment="0" applyProtection="0"/>
    <xf numFmtId="0" fontId="43" fillId="56" borderId="374" applyNumberFormat="0" applyAlignment="0" applyProtection="0"/>
    <xf numFmtId="0" fontId="12" fillId="28" borderId="0" applyNumberFormat="0" applyBorder="0" applyAlignment="0" applyProtection="0"/>
    <xf numFmtId="49" fontId="33" fillId="0" borderId="370" applyNumberFormat="0" applyFill="0" applyBorder="0" applyProtection="0">
      <alignment horizontal="left" vertical="center"/>
    </xf>
    <xf numFmtId="0" fontId="65" fillId="0" borderId="376" applyNumberFormat="0" applyFill="0" applyAlignment="0" applyProtection="0"/>
    <xf numFmtId="0" fontId="34" fillId="0" borderId="370">
      <alignment horizontal="right" vertical="center"/>
    </xf>
    <xf numFmtId="0" fontId="32" fillId="34" borderId="371">
      <alignment horizontal="right" vertical="center"/>
    </xf>
    <xf numFmtId="0" fontId="65" fillId="0" borderId="376" applyNumberFormat="0" applyFill="0" applyAlignment="0" applyProtection="0"/>
    <xf numFmtId="0" fontId="62" fillId="56" borderId="390" applyNumberFormat="0" applyAlignment="0" applyProtection="0"/>
    <xf numFmtId="4" fontId="34" fillId="0" borderId="397">
      <alignment horizontal="right" vertical="center"/>
    </xf>
    <xf numFmtId="4" fontId="32" fillId="32" borderId="378">
      <alignment horizontal="right" vertical="center"/>
    </xf>
    <xf numFmtId="4" fontId="34" fillId="0" borderId="386">
      <alignment horizontal="right" vertical="center"/>
    </xf>
    <xf numFmtId="0" fontId="29" fillId="13" borderId="13" applyNumberFormat="0" applyAlignment="0" applyProtection="0"/>
    <xf numFmtId="4" fontId="34" fillId="0" borderId="378" applyFill="0" applyBorder="0" applyProtection="0">
      <alignment horizontal="right" vertical="center"/>
    </xf>
    <xf numFmtId="0" fontId="26" fillId="15" borderId="0" applyNumberFormat="0" applyBorder="0" applyAlignment="0" applyProtection="0"/>
    <xf numFmtId="4" fontId="34" fillId="0" borderId="370" applyFill="0" applyBorder="0" applyProtection="0">
      <alignment horizontal="right" vertical="center"/>
    </xf>
    <xf numFmtId="0" fontId="36" fillId="32" borderId="386">
      <alignment horizontal="right" vertical="center"/>
    </xf>
    <xf numFmtId="0" fontId="65" fillId="0" borderId="384" applyNumberFormat="0" applyFill="0" applyAlignment="0" applyProtection="0"/>
    <xf numFmtId="0" fontId="34" fillId="0" borderId="378" applyNumberFormat="0" applyFill="0" applyAlignment="0" applyProtection="0"/>
    <xf numFmtId="4" fontId="32" fillId="34" borderId="418">
      <alignment horizontal="right" vertical="center"/>
    </xf>
    <xf numFmtId="0" fontId="1" fillId="0" borderId="0" applyNumberFormat="0" applyFill="0" applyBorder="0" applyAlignment="0" applyProtection="0"/>
    <xf numFmtId="0" fontId="40" fillId="59" borderId="377" applyNumberFormat="0" applyFont="0" applyAlignment="0" applyProtection="0"/>
    <xf numFmtId="0" fontId="34" fillId="0" borderId="373">
      <alignment horizontal="left" vertical="center" wrapText="1" indent="2"/>
    </xf>
    <xf numFmtId="4" fontId="34" fillId="0" borderId="378">
      <alignment horizontal="right" vertical="center"/>
    </xf>
    <xf numFmtId="0" fontId="65" fillId="0" borderId="376" applyNumberFormat="0" applyFill="0" applyAlignment="0" applyProtection="0"/>
    <xf numFmtId="0" fontId="43" fillId="56" borderId="374" applyNumberFormat="0" applyAlignment="0" applyProtection="0"/>
    <xf numFmtId="0" fontId="32" fillId="34" borderId="370">
      <alignment horizontal="right" vertical="center"/>
    </xf>
    <xf numFmtId="0" fontId="45" fillId="56" borderId="375" applyNumberFormat="0" applyAlignment="0" applyProtection="0"/>
    <xf numFmtId="0" fontId="65" fillId="0" borderId="384" applyNumberFormat="0" applyFill="0" applyAlignment="0" applyProtection="0"/>
    <xf numFmtId="4" fontId="32" fillId="34" borderId="380">
      <alignment horizontal="right" vertical="center"/>
    </xf>
    <xf numFmtId="0" fontId="34" fillId="32" borderId="371">
      <alignment horizontal="left" vertical="center"/>
    </xf>
    <xf numFmtId="0" fontId="5" fillId="59" borderId="377" applyNumberFormat="0" applyFont="0" applyAlignment="0" applyProtection="0"/>
    <xf numFmtId="4" fontId="36" fillId="32" borderId="386">
      <alignment horizontal="right" vertical="center"/>
    </xf>
    <xf numFmtId="0" fontId="32" fillId="34" borderId="378">
      <alignment horizontal="right" vertical="center"/>
    </xf>
    <xf numFmtId="0" fontId="32" fillId="34" borderId="380">
      <alignment horizontal="right" vertical="center"/>
    </xf>
    <xf numFmtId="0" fontId="46" fillId="56" borderId="383" applyNumberFormat="0" applyAlignment="0" applyProtection="0"/>
    <xf numFmtId="0" fontId="32" fillId="32" borderId="370">
      <alignment horizontal="right" vertical="center"/>
    </xf>
    <xf numFmtId="0" fontId="34" fillId="34" borderId="413">
      <alignment horizontal="left" vertical="center" wrapText="1" indent="2"/>
    </xf>
    <xf numFmtId="4" fontId="36" fillId="32" borderId="404">
      <alignment horizontal="right" vertical="center"/>
    </xf>
    <xf numFmtId="0" fontId="50" fillId="0" borderId="376" applyNumberFormat="0" applyFill="0" applyAlignment="0" applyProtection="0"/>
    <xf numFmtId="0" fontId="45" fillId="56" borderId="394" applyNumberFormat="0" applyAlignment="0" applyProtection="0"/>
    <xf numFmtId="0" fontId="34" fillId="0" borderId="370">
      <alignment horizontal="right" vertical="center"/>
    </xf>
    <xf numFmtId="0" fontId="5" fillId="59" borderId="369" applyNumberFormat="0" applyFont="0" applyAlignment="0" applyProtection="0"/>
    <xf numFmtId="0" fontId="46" fillId="56" borderId="383" applyNumberFormat="0" applyAlignment="0" applyProtection="0"/>
    <xf numFmtId="173" fontId="34" fillId="60" borderId="386" applyNumberFormat="0" applyFont="0" applyBorder="0" applyAlignment="0" applyProtection="0">
      <alignment horizontal="right" vertical="center"/>
    </xf>
    <xf numFmtId="4" fontId="34" fillId="33" borderId="418"/>
    <xf numFmtId="0" fontId="12" fillId="31" borderId="0" applyNumberFormat="0" applyBorder="0" applyAlignment="0" applyProtection="0"/>
    <xf numFmtId="0" fontId="32" fillId="34" borderId="378">
      <alignment horizontal="right" vertical="center"/>
    </xf>
    <xf numFmtId="0" fontId="58" fillId="43" borderId="375" applyNumberFormat="0" applyAlignment="0" applyProtection="0"/>
    <xf numFmtId="0" fontId="12" fillId="16" borderId="0" applyNumberFormat="0" applyBorder="0" applyAlignment="0" applyProtection="0"/>
    <xf numFmtId="49" fontId="34" fillId="0" borderId="371" applyNumberFormat="0" applyFont="0" applyFill="0" applyBorder="0" applyProtection="0">
      <alignment horizontal="left" vertical="center" indent="5"/>
    </xf>
    <xf numFmtId="0" fontId="32" fillId="34" borderId="386">
      <alignment horizontal="right" vertical="center"/>
    </xf>
    <xf numFmtId="0" fontId="34" fillId="0" borderId="370" applyNumberFormat="0" applyFill="0" applyAlignment="0" applyProtection="0"/>
    <xf numFmtId="0" fontId="50" fillId="0" borderId="376" applyNumberFormat="0" applyFill="0" applyAlignment="0" applyProtection="0"/>
    <xf numFmtId="0" fontId="62" fillId="56" borderId="374" applyNumberFormat="0" applyAlignment="0" applyProtection="0"/>
    <xf numFmtId="4" fontId="32" fillId="34" borderId="370">
      <alignment horizontal="right" vertical="center"/>
    </xf>
    <xf numFmtId="4" fontId="34" fillId="33" borderId="370"/>
    <xf numFmtId="0" fontId="65" fillId="0" borderId="376" applyNumberFormat="0" applyFill="0" applyAlignment="0" applyProtection="0"/>
    <xf numFmtId="0" fontId="50" fillId="0" borderId="384" applyNumberFormat="0" applyFill="0" applyAlignment="0" applyProtection="0"/>
    <xf numFmtId="0" fontId="43" fillId="56" borderId="374" applyNumberFormat="0" applyAlignment="0" applyProtection="0"/>
    <xf numFmtId="0" fontId="45" fillId="56" borderId="375" applyNumberFormat="0" applyAlignment="0" applyProtection="0"/>
    <xf numFmtId="0" fontId="46" fillId="56" borderId="375" applyNumberFormat="0" applyAlignment="0" applyProtection="0"/>
    <xf numFmtId="0" fontId="62" fillId="56" borderId="374" applyNumberFormat="0" applyAlignment="0" applyProtection="0"/>
    <xf numFmtId="0" fontId="32" fillId="34" borderId="372">
      <alignment horizontal="right" vertical="center"/>
    </xf>
    <xf numFmtId="0" fontId="34" fillId="0" borderId="370" applyNumberFormat="0" applyFill="0" applyAlignment="0" applyProtection="0"/>
    <xf numFmtId="49" fontId="34" fillId="0" borderId="371" applyNumberFormat="0" applyFont="0" applyFill="0" applyBorder="0" applyProtection="0">
      <alignment horizontal="left" vertical="center" indent="5"/>
    </xf>
    <xf numFmtId="0" fontId="65" fillId="0" borderId="376" applyNumberFormat="0" applyFill="0" applyAlignment="0" applyProtection="0"/>
    <xf numFmtId="0" fontId="34" fillId="0" borderId="370" applyNumberFormat="0" applyFill="0" applyAlignment="0" applyProtection="0"/>
    <xf numFmtId="0" fontId="65" fillId="0" borderId="392" applyNumberFormat="0" applyFill="0" applyAlignment="0" applyProtection="0"/>
    <xf numFmtId="0" fontId="26" fillId="27" borderId="0" applyNumberFormat="0" applyBorder="0" applyAlignment="0" applyProtection="0"/>
    <xf numFmtId="173" fontId="34" fillId="60" borderId="378" applyNumberFormat="0" applyFont="0" applyBorder="0" applyAlignment="0" applyProtection="0">
      <alignment horizontal="right" vertical="center"/>
    </xf>
    <xf numFmtId="4" fontId="32" fillId="34" borderId="420">
      <alignment horizontal="right" vertical="center"/>
    </xf>
    <xf numFmtId="0" fontId="26" fillId="24" borderId="0" applyNumberFormat="0" applyBorder="0" applyAlignment="0" applyProtection="0"/>
    <xf numFmtId="49" fontId="33" fillId="0" borderId="378" applyNumberFormat="0" applyFill="0" applyBorder="0" applyProtection="0">
      <alignment horizontal="left" vertical="center"/>
    </xf>
    <xf numFmtId="4" fontId="34" fillId="0" borderId="386">
      <alignment horizontal="right" vertical="center"/>
    </xf>
    <xf numFmtId="0" fontId="40" fillId="59" borderId="369" applyNumberFormat="0" applyFont="0" applyAlignment="0" applyProtection="0"/>
    <xf numFmtId="0" fontId="34" fillId="0" borderId="410">
      <alignment horizontal="right" vertical="center"/>
    </xf>
    <xf numFmtId="0" fontId="32" fillId="34" borderId="378">
      <alignment horizontal="right" vertical="center"/>
    </xf>
    <xf numFmtId="0" fontId="43" fillId="56" borderId="382" applyNumberFormat="0" applyAlignment="0" applyProtection="0"/>
    <xf numFmtId="0" fontId="32" fillId="34" borderId="397">
      <alignment horizontal="right" vertical="center"/>
    </xf>
    <xf numFmtId="4" fontId="34" fillId="0" borderId="378" applyFill="0" applyBorder="0" applyProtection="0">
      <alignment horizontal="right" vertical="center"/>
    </xf>
    <xf numFmtId="4" fontId="34" fillId="33" borderId="386"/>
    <xf numFmtId="4" fontId="36" fillId="32" borderId="378">
      <alignment horizontal="right" vertical="center"/>
    </xf>
    <xf numFmtId="0" fontId="26" fillId="29" borderId="0" applyNumberFormat="0" applyBorder="0" applyAlignment="0" applyProtection="0"/>
    <xf numFmtId="0" fontId="32" fillId="34" borderId="397">
      <alignment horizontal="right" vertical="center"/>
    </xf>
    <xf numFmtId="0" fontId="34" fillId="0" borderId="418" applyNumberFormat="0" applyFill="0" applyAlignment="0" applyProtection="0"/>
    <xf numFmtId="0" fontId="34" fillId="0" borderId="373">
      <alignment horizontal="left" vertical="center" wrapText="1" indent="2"/>
    </xf>
    <xf numFmtId="0" fontId="29" fillId="13" borderId="13" applyNumberFormat="0" applyAlignment="0" applyProtection="0"/>
    <xf numFmtId="4" fontId="32" fillId="32" borderId="370">
      <alignment horizontal="right" vertical="center"/>
    </xf>
    <xf numFmtId="0" fontId="32" fillId="34" borderId="388">
      <alignment horizontal="right" vertical="center"/>
    </xf>
    <xf numFmtId="0" fontId="65" fillId="0" borderId="392" applyNumberFormat="0" applyFill="0" applyAlignment="0" applyProtection="0"/>
    <xf numFmtId="0" fontId="62" fillId="56" borderId="374" applyNumberFormat="0" applyAlignment="0" applyProtection="0"/>
    <xf numFmtId="49" fontId="34" fillId="0" borderId="371" applyNumberFormat="0" applyFont="0" applyFill="0" applyBorder="0" applyProtection="0">
      <alignment horizontal="left" vertical="center" indent="5"/>
    </xf>
    <xf numFmtId="4" fontId="34" fillId="0" borderId="370">
      <alignment horizontal="right" vertical="center"/>
    </xf>
    <xf numFmtId="0" fontId="34" fillId="0" borderId="378">
      <alignment horizontal="right" vertical="center"/>
    </xf>
    <xf numFmtId="4" fontId="36" fillId="32" borderId="378">
      <alignment horizontal="right" vertical="center"/>
    </xf>
    <xf numFmtId="0" fontId="62" fillId="56" borderId="382" applyNumberFormat="0" applyAlignment="0" applyProtection="0"/>
    <xf numFmtId="0" fontId="26" fillId="29" borderId="0" applyNumberFormat="0" applyBorder="0" applyAlignment="0" applyProtection="0"/>
    <xf numFmtId="0" fontId="50" fillId="0" borderId="376" applyNumberFormat="0" applyFill="0" applyAlignment="0" applyProtection="0"/>
    <xf numFmtId="4" fontId="32" fillId="34" borderId="372">
      <alignment horizontal="right" vertical="center"/>
    </xf>
    <xf numFmtId="4" fontId="32" fillId="34" borderId="370">
      <alignment horizontal="right" vertical="center"/>
    </xf>
    <xf numFmtId="4" fontId="32" fillId="34" borderId="370">
      <alignment horizontal="right" vertical="center"/>
    </xf>
    <xf numFmtId="0" fontId="65" fillId="0" borderId="376" applyNumberFormat="0" applyFill="0" applyAlignment="0" applyProtection="0"/>
    <xf numFmtId="0" fontId="46" fillId="56" borderId="375" applyNumberFormat="0" applyAlignment="0" applyProtection="0"/>
    <xf numFmtId="4" fontId="32" fillId="34" borderId="387">
      <alignment horizontal="right" vertical="center"/>
    </xf>
    <xf numFmtId="0" fontId="29" fillId="13" borderId="13" applyNumberFormat="0" applyAlignment="0" applyProtection="0"/>
    <xf numFmtId="49" fontId="33" fillId="0" borderId="370" applyNumberFormat="0" applyFill="0" applyBorder="0" applyProtection="0">
      <alignment horizontal="left" vertical="center"/>
    </xf>
    <xf numFmtId="0" fontId="5" fillId="59" borderId="369" applyNumberFormat="0" applyFont="0" applyAlignment="0" applyProtection="0"/>
    <xf numFmtId="0" fontId="26" fillId="23" borderId="0" applyNumberFormat="0" applyBorder="0" applyAlignment="0" applyProtection="0"/>
    <xf numFmtId="4" fontId="32" fillId="34" borderId="370">
      <alignment horizontal="right" vertical="center"/>
    </xf>
    <xf numFmtId="0" fontId="26" fillId="26" borderId="0" applyNumberFormat="0" applyBorder="0" applyAlignment="0" applyProtection="0"/>
    <xf numFmtId="0" fontId="32" fillId="34" borderId="378">
      <alignment horizontal="right" vertical="center"/>
    </xf>
    <xf numFmtId="49" fontId="33" fillId="0" borderId="410" applyNumberFormat="0" applyFill="0" applyBorder="0" applyProtection="0">
      <alignment horizontal="left" vertical="center"/>
    </xf>
    <xf numFmtId="0" fontId="34" fillId="0" borderId="381">
      <alignment horizontal="left" vertical="center" wrapText="1" indent="2"/>
    </xf>
    <xf numFmtId="49" fontId="34" fillId="0" borderId="378" applyNumberFormat="0" applyFont="0" applyFill="0" applyBorder="0" applyProtection="0">
      <alignment horizontal="left" vertical="center" indent="2"/>
    </xf>
    <xf numFmtId="49" fontId="34" fillId="0" borderId="370" applyNumberFormat="0" applyFont="0" applyFill="0" applyBorder="0" applyProtection="0">
      <alignment horizontal="left" vertical="center" indent="2"/>
    </xf>
    <xf numFmtId="0" fontId="65" fillId="0" borderId="376" applyNumberFormat="0" applyFill="0" applyAlignment="0" applyProtection="0"/>
    <xf numFmtId="4" fontId="34" fillId="0" borderId="370" applyFill="0" applyBorder="0" applyProtection="0">
      <alignment horizontal="right" vertical="center"/>
    </xf>
    <xf numFmtId="0" fontId="58" fillId="43" borderId="375" applyNumberFormat="0" applyAlignment="0" applyProtection="0"/>
    <xf numFmtId="49" fontId="33" fillId="0" borderId="370" applyNumberFormat="0" applyFill="0" applyBorder="0" applyProtection="0">
      <alignment horizontal="left" vertical="center"/>
    </xf>
    <xf numFmtId="49" fontId="34" fillId="0" borderId="370" applyNumberFormat="0" applyFont="0" applyFill="0" applyBorder="0" applyProtection="0">
      <alignment horizontal="left" vertical="center" indent="2"/>
    </xf>
    <xf numFmtId="4" fontId="34" fillId="0" borderId="370" applyFill="0" applyBorder="0" applyProtection="0">
      <alignment horizontal="right" vertical="center"/>
    </xf>
    <xf numFmtId="0" fontId="32" fillId="34" borderId="399">
      <alignment horizontal="right" vertical="center"/>
    </xf>
    <xf numFmtId="173" fontId="34" fillId="60" borderId="370" applyNumberFormat="0" applyFont="0" applyBorder="0" applyAlignment="0" applyProtection="0">
      <alignment horizontal="right" vertical="center"/>
    </xf>
    <xf numFmtId="0" fontId="32" fillId="34" borderId="386">
      <alignment horizontal="right" vertical="center"/>
    </xf>
    <xf numFmtId="0" fontId="26" fillId="29" borderId="0" applyNumberFormat="0" applyBorder="0" applyAlignment="0" applyProtection="0"/>
    <xf numFmtId="0" fontId="34" fillId="32" borderId="379">
      <alignment horizontal="left" vertical="center"/>
    </xf>
    <xf numFmtId="0" fontId="36" fillId="32" borderId="370">
      <alignment horizontal="right" vertical="center"/>
    </xf>
    <xf numFmtId="0" fontId="49" fillId="43" borderId="391" applyNumberFormat="0" applyAlignment="0" applyProtection="0"/>
    <xf numFmtId="0" fontId="36" fillId="32" borderId="378">
      <alignment horizontal="right" vertical="center"/>
    </xf>
    <xf numFmtId="0" fontId="62" fillId="56" borderId="382" applyNumberFormat="0" applyAlignment="0" applyProtection="0"/>
    <xf numFmtId="0" fontId="65" fillId="0" borderId="384" applyNumberFormat="0" applyFill="0" applyAlignment="0" applyProtection="0"/>
    <xf numFmtId="0" fontId="49" fillId="43" borderId="375" applyNumberFormat="0" applyAlignment="0" applyProtection="0"/>
    <xf numFmtId="4" fontId="32" fillId="34" borderId="370">
      <alignment horizontal="right" vertical="center"/>
    </xf>
    <xf numFmtId="0" fontId="34" fillId="32" borderId="371">
      <alignment horizontal="left" vertical="center"/>
    </xf>
    <xf numFmtId="0" fontId="46" fillId="56" borderId="383" applyNumberFormat="0" applyAlignment="0" applyProtection="0"/>
    <xf numFmtId="4" fontId="32" fillId="34" borderId="378">
      <alignment horizontal="right" vertical="center"/>
    </xf>
    <xf numFmtId="0" fontId="46" fillId="56" borderId="415" applyNumberFormat="0" applyAlignment="0" applyProtection="0"/>
    <xf numFmtId="4" fontId="34" fillId="33" borderId="404"/>
    <xf numFmtId="0" fontId="65" fillId="0" borderId="384" applyNumberFormat="0" applyFill="0" applyAlignment="0" applyProtection="0"/>
    <xf numFmtId="4" fontId="36" fillId="32" borderId="386">
      <alignment horizontal="right" vertical="center"/>
    </xf>
    <xf numFmtId="0" fontId="32" fillId="34" borderId="378">
      <alignment horizontal="right" vertical="center"/>
    </xf>
    <xf numFmtId="0" fontId="34" fillId="33" borderId="378"/>
    <xf numFmtId="0" fontId="26" fillId="17" borderId="0" applyNumberFormat="0" applyBorder="0" applyAlignment="0" applyProtection="0"/>
    <xf numFmtId="0" fontId="50" fillId="0" borderId="384" applyNumberFormat="0" applyFill="0" applyAlignment="0" applyProtection="0"/>
    <xf numFmtId="0" fontId="12" fillId="28" borderId="0" applyNumberFormat="0" applyBorder="0" applyAlignment="0" applyProtection="0"/>
    <xf numFmtId="0" fontId="62" fillId="56" borderId="382" applyNumberFormat="0" applyAlignment="0" applyProtection="0"/>
    <xf numFmtId="0" fontId="32" fillId="34" borderId="370">
      <alignment horizontal="right" vertical="center"/>
    </xf>
    <xf numFmtId="0" fontId="34" fillId="34" borderId="373">
      <alignment horizontal="left" vertical="center" wrapText="1" indent="2"/>
    </xf>
    <xf numFmtId="173" fontId="34" fillId="60" borderId="370" applyNumberFormat="0" applyFont="0" applyBorder="0" applyAlignment="0" applyProtection="0">
      <alignment horizontal="right" vertical="center"/>
    </xf>
    <xf numFmtId="0" fontId="40" fillId="59" borderId="369" applyNumberFormat="0" applyFont="0" applyAlignment="0" applyProtection="0"/>
    <xf numFmtId="49" fontId="34" fillId="0" borderId="370" applyNumberFormat="0" applyFont="0" applyFill="0" applyBorder="0" applyProtection="0">
      <alignment horizontal="left" vertical="center" indent="2"/>
    </xf>
    <xf numFmtId="0" fontId="43" fillId="56" borderId="382" applyNumberFormat="0" applyAlignment="0" applyProtection="0"/>
    <xf numFmtId="0" fontId="65" fillId="0" borderId="384" applyNumberFormat="0" applyFill="0" applyAlignment="0" applyProtection="0"/>
    <xf numFmtId="0" fontId="26" fillId="26" borderId="0" applyNumberFormat="0" applyBorder="0" applyAlignment="0" applyProtection="0"/>
    <xf numFmtId="0" fontId="26" fillId="14" borderId="0" applyNumberFormat="0" applyBorder="0" applyAlignment="0" applyProtection="0"/>
    <xf numFmtId="49" fontId="33" fillId="0" borderId="370" applyNumberFormat="0" applyFill="0" applyBorder="0" applyProtection="0">
      <alignment horizontal="left" vertical="center"/>
    </xf>
    <xf numFmtId="0" fontId="45" fillId="56" borderId="391" applyNumberFormat="0" applyAlignment="0" applyProtection="0"/>
    <xf numFmtId="173" fontId="34" fillId="60" borderId="370" applyNumberFormat="0" applyFont="0" applyBorder="0" applyAlignment="0" applyProtection="0">
      <alignment horizontal="right" vertical="center"/>
    </xf>
    <xf numFmtId="0" fontId="62" fillId="56" borderId="374" applyNumberFormat="0" applyAlignment="0" applyProtection="0"/>
    <xf numFmtId="0" fontId="34" fillId="0" borderId="370">
      <alignment horizontal="right" vertical="center"/>
    </xf>
    <xf numFmtId="0" fontId="58" fillId="43" borderId="383" applyNumberFormat="0" applyAlignment="0" applyProtection="0"/>
    <xf numFmtId="0" fontId="34" fillId="33" borderId="370"/>
    <xf numFmtId="4" fontId="32" fillId="34" borderId="370">
      <alignment horizontal="right" vertical="center"/>
    </xf>
    <xf numFmtId="0" fontId="34" fillId="33" borderId="370"/>
    <xf numFmtId="0" fontId="58" fillId="43" borderId="375" applyNumberFormat="0" applyAlignment="0" applyProtection="0"/>
    <xf numFmtId="0" fontId="26" fillId="24" borderId="0" applyNumberFormat="0" applyBorder="0" applyAlignment="0" applyProtection="0"/>
    <xf numFmtId="0" fontId="36" fillId="32" borderId="370">
      <alignment horizontal="right" vertical="center"/>
    </xf>
    <xf numFmtId="0" fontId="34" fillId="0" borderId="373">
      <alignment horizontal="left" vertical="center" wrapText="1" indent="2"/>
    </xf>
    <xf numFmtId="0" fontId="32" fillId="32" borderId="370">
      <alignment horizontal="right" vertical="center"/>
    </xf>
    <xf numFmtId="0" fontId="49" fillId="43" borderId="375" applyNumberFormat="0" applyAlignment="0" applyProtection="0"/>
    <xf numFmtId="0" fontId="34" fillId="34" borderId="373">
      <alignment horizontal="left" vertical="center" wrapText="1" indent="2"/>
    </xf>
    <xf numFmtId="0" fontId="40" fillId="59" borderId="377" applyNumberFormat="0" applyFont="0" applyAlignment="0" applyProtection="0"/>
    <xf numFmtId="0" fontId="36" fillId="32" borderId="378">
      <alignment horizontal="right" vertical="center"/>
    </xf>
    <xf numFmtId="0" fontId="36" fillId="32" borderId="378">
      <alignment horizontal="right" vertical="center"/>
    </xf>
    <xf numFmtId="4" fontId="32" fillId="34" borderId="380">
      <alignment horizontal="right" vertical="center"/>
    </xf>
    <xf numFmtId="0" fontId="26" fillId="24" borderId="0" applyNumberFormat="0" applyBorder="0" applyAlignment="0" applyProtection="0"/>
    <xf numFmtId="4" fontId="32" fillId="34" borderId="379">
      <alignment horizontal="right" vertical="center"/>
    </xf>
    <xf numFmtId="0" fontId="32" fillId="34" borderId="378">
      <alignment horizontal="right" vertical="center"/>
    </xf>
    <xf numFmtId="0" fontId="12" fillId="28" borderId="0" applyNumberFormat="0" applyBorder="0" applyAlignment="0" applyProtection="0"/>
    <xf numFmtId="0" fontId="32" fillId="34" borderId="378">
      <alignment horizontal="right" vertical="center"/>
    </xf>
    <xf numFmtId="0" fontId="45" fillId="56" borderId="375" applyNumberFormat="0" applyAlignment="0" applyProtection="0"/>
    <xf numFmtId="0" fontId="36" fillId="32" borderId="370">
      <alignment horizontal="right" vertical="center"/>
    </xf>
    <xf numFmtId="0" fontId="32" fillId="32" borderId="378">
      <alignment horizontal="right" vertical="center"/>
    </xf>
    <xf numFmtId="0" fontId="32" fillId="32" borderId="386">
      <alignment horizontal="right" vertical="center"/>
    </xf>
    <xf numFmtId="4" fontId="36" fillId="32" borderId="404">
      <alignment horizontal="right" vertical="center"/>
    </xf>
    <xf numFmtId="0" fontId="1" fillId="0" borderId="0" applyNumberFormat="0" applyFill="0" applyBorder="0" applyAlignment="0" applyProtection="0"/>
    <xf numFmtId="0" fontId="26" fillId="20" borderId="0" applyNumberFormat="0" applyBorder="0" applyAlignment="0" applyProtection="0"/>
    <xf numFmtId="0" fontId="34" fillId="34" borderId="381">
      <alignment horizontal="left" vertical="center" wrapText="1" indent="2"/>
    </xf>
    <xf numFmtId="0" fontId="45" fillId="56" borderId="415" applyNumberFormat="0" applyAlignment="0" applyProtection="0"/>
    <xf numFmtId="0" fontId="30" fillId="0" borderId="0" applyNumberFormat="0" applyFill="0" applyBorder="0" applyAlignment="0" applyProtection="0"/>
    <xf numFmtId="49" fontId="34" fillId="0" borderId="378" applyNumberFormat="0" applyFont="0" applyFill="0" applyBorder="0" applyProtection="0">
      <alignment horizontal="left" vertical="center" indent="2"/>
    </xf>
    <xf numFmtId="49" fontId="33" fillId="0" borderId="404" applyNumberFormat="0" applyFill="0" applyBorder="0" applyProtection="0">
      <alignment horizontal="left" vertical="center"/>
    </xf>
    <xf numFmtId="0" fontId="32" fillId="34" borderId="370">
      <alignment horizontal="right" vertical="center"/>
    </xf>
    <xf numFmtId="4" fontId="34" fillId="0" borderId="370" applyFill="0" applyBorder="0" applyProtection="0">
      <alignment horizontal="right" vertical="center"/>
    </xf>
    <xf numFmtId="0" fontId="34" fillId="34" borderId="373">
      <alignment horizontal="left" vertical="center" wrapText="1" indent="2"/>
    </xf>
    <xf numFmtId="0" fontId="40" fillId="59" borderId="369" applyNumberFormat="0" applyFont="0" applyAlignment="0" applyProtection="0"/>
    <xf numFmtId="0" fontId="49" fillId="43" borderId="375" applyNumberFormat="0" applyAlignment="0" applyProtection="0"/>
    <xf numFmtId="4" fontId="34" fillId="33" borderId="370"/>
    <xf numFmtId="4" fontId="34" fillId="0" borderId="370" applyFill="0" applyBorder="0" applyProtection="0">
      <alignment horizontal="right" vertical="center"/>
    </xf>
    <xf numFmtId="0" fontId="65" fillId="0" borderId="376" applyNumberFormat="0" applyFill="0" applyAlignment="0" applyProtection="0"/>
    <xf numFmtId="0" fontId="34" fillId="32" borderId="371">
      <alignment horizontal="left" vertical="center"/>
    </xf>
    <xf numFmtId="0" fontId="34" fillId="0" borderId="373">
      <alignment horizontal="left" vertical="center" wrapText="1" indent="2"/>
    </xf>
    <xf numFmtId="0" fontId="34" fillId="34" borderId="389">
      <alignment horizontal="left" vertical="center" wrapText="1" indent="2"/>
    </xf>
    <xf numFmtId="0" fontId="58" fillId="43" borderId="375" applyNumberFormat="0" applyAlignment="0" applyProtection="0"/>
    <xf numFmtId="49" fontId="34" fillId="0" borderId="410" applyNumberFormat="0" applyFont="0" applyFill="0" applyBorder="0" applyProtection="0">
      <alignment horizontal="left" vertical="center" indent="2"/>
    </xf>
    <xf numFmtId="0" fontId="34" fillId="34" borderId="373">
      <alignment horizontal="left" vertical="center" wrapText="1" indent="2"/>
    </xf>
    <xf numFmtId="4" fontId="36" fillId="32" borderId="397">
      <alignment horizontal="right" vertical="center"/>
    </xf>
    <xf numFmtId="0" fontId="26" fillId="18" borderId="0" applyNumberFormat="0" applyBorder="0" applyAlignment="0" applyProtection="0"/>
    <xf numFmtId="49" fontId="34" fillId="0" borderId="397" applyNumberFormat="0" applyFont="0" applyFill="0" applyBorder="0" applyProtection="0">
      <alignment horizontal="left" vertical="center" indent="2"/>
    </xf>
    <xf numFmtId="0" fontId="26" fillId="23" borderId="0" applyNumberFormat="0" applyBorder="0" applyAlignment="0" applyProtection="0"/>
    <xf numFmtId="0" fontId="40" fillId="59" borderId="369" applyNumberFormat="0" applyFont="0" applyAlignment="0" applyProtection="0"/>
    <xf numFmtId="0" fontId="58" fillId="43" borderId="375" applyNumberFormat="0" applyAlignment="0" applyProtection="0"/>
    <xf numFmtId="0" fontId="46" fillId="56" borderId="383" applyNumberFormat="0" applyAlignment="0" applyProtection="0"/>
    <xf numFmtId="4" fontId="34" fillId="33" borderId="370"/>
    <xf numFmtId="0" fontId="46" fillId="56" borderId="375" applyNumberFormat="0" applyAlignment="0" applyProtection="0"/>
    <xf numFmtId="0" fontId="58" fillId="43" borderId="375" applyNumberFormat="0" applyAlignment="0" applyProtection="0"/>
    <xf numFmtId="4" fontId="32" fillId="34" borderId="370">
      <alignment horizontal="right" vertical="center"/>
    </xf>
    <xf numFmtId="0" fontId="50" fillId="0" borderId="376" applyNumberFormat="0" applyFill="0" applyAlignment="0" applyProtection="0"/>
    <xf numFmtId="0" fontId="58" fillId="43" borderId="394" applyNumberFormat="0" applyAlignment="0" applyProtection="0"/>
    <xf numFmtId="0" fontId="12" fillId="19" borderId="0" applyNumberFormat="0" applyBorder="0" applyAlignment="0" applyProtection="0"/>
    <xf numFmtId="0" fontId="58" fillId="43" borderId="383" applyNumberFormat="0" applyAlignment="0" applyProtection="0"/>
    <xf numFmtId="0" fontId="40" fillId="59" borderId="377" applyNumberFormat="0" applyFont="0" applyAlignment="0" applyProtection="0"/>
    <xf numFmtId="4" fontId="32" fillId="32" borderId="386">
      <alignment horizontal="right" vertical="center"/>
    </xf>
    <xf numFmtId="0" fontId="32" fillId="34" borderId="405">
      <alignment horizontal="right" vertical="center"/>
    </xf>
    <xf numFmtId="0" fontId="34" fillId="0" borderId="400">
      <alignment horizontal="left" vertical="center" wrapText="1" indent="2"/>
    </xf>
    <xf numFmtId="0" fontId="2" fillId="0" borderId="15" applyNumberFormat="0" applyFill="0" applyAlignment="0" applyProtection="0"/>
    <xf numFmtId="0" fontId="49" fillId="43" borderId="375" applyNumberFormat="0" applyAlignment="0" applyProtection="0"/>
    <xf numFmtId="0" fontId="62" fillId="56" borderId="390" applyNumberFormat="0" applyAlignment="0" applyProtection="0"/>
    <xf numFmtId="0" fontId="26" fillId="29" borderId="0" applyNumberFormat="0" applyBorder="0" applyAlignment="0" applyProtection="0"/>
    <xf numFmtId="0" fontId="32" fillId="32" borderId="378">
      <alignment horizontal="right" vertical="center"/>
    </xf>
    <xf numFmtId="0" fontId="34" fillId="0" borderId="386">
      <alignment horizontal="right" vertical="center"/>
    </xf>
    <xf numFmtId="0" fontId="46" fillId="56" borderId="383" applyNumberFormat="0" applyAlignment="0" applyProtection="0"/>
    <xf numFmtId="0" fontId="26" fillId="27" borderId="0" applyNumberFormat="0" applyBorder="0" applyAlignment="0" applyProtection="0"/>
    <xf numFmtId="0" fontId="34" fillId="34" borderId="373">
      <alignment horizontal="left" vertical="center" wrapText="1" indent="2"/>
    </xf>
    <xf numFmtId="0" fontId="65" fillId="0" borderId="395" applyNumberFormat="0" applyFill="0" applyAlignment="0" applyProtection="0"/>
    <xf numFmtId="0" fontId="62" fillId="56" borderId="374" applyNumberFormat="0" applyAlignment="0" applyProtection="0"/>
    <xf numFmtId="0" fontId="58" fillId="43" borderId="375" applyNumberFormat="0" applyAlignment="0" applyProtection="0"/>
    <xf numFmtId="4" fontId="32" fillId="34" borderId="370">
      <alignment horizontal="right" vertical="center"/>
    </xf>
    <xf numFmtId="0" fontId="34" fillId="33" borderId="370"/>
    <xf numFmtId="4" fontId="32" fillId="34" borderId="386">
      <alignment horizontal="right" vertical="center"/>
    </xf>
    <xf numFmtId="0" fontId="58" fillId="43" borderId="391" applyNumberFormat="0" applyAlignment="0" applyProtection="0"/>
    <xf numFmtId="0" fontId="34" fillId="0" borderId="373">
      <alignment horizontal="left" vertical="center" wrapText="1" indent="2"/>
    </xf>
    <xf numFmtId="0" fontId="12" fillId="19" borderId="0" applyNumberFormat="0" applyBorder="0" applyAlignment="0" applyProtection="0"/>
    <xf numFmtId="0" fontId="32" fillId="32" borderId="378">
      <alignment horizontal="right" vertical="center"/>
    </xf>
    <xf numFmtId="0" fontId="12" fillId="25" borderId="0" applyNumberFormat="0" applyBorder="0" applyAlignment="0" applyProtection="0"/>
    <xf numFmtId="0" fontId="26" fillId="30" borderId="0" applyNumberFormat="0" applyBorder="0" applyAlignment="0" applyProtection="0"/>
    <xf numFmtId="0" fontId="32" fillId="34" borderId="387">
      <alignment horizontal="right" vertical="center"/>
    </xf>
    <xf numFmtId="0" fontId="45" fillId="56" borderId="375" applyNumberFormat="0" applyAlignment="0" applyProtection="0"/>
    <xf numFmtId="4" fontId="32" fillId="34" borderId="386">
      <alignment horizontal="right" vertical="center"/>
    </xf>
    <xf numFmtId="4" fontId="34" fillId="33" borderId="378"/>
    <xf numFmtId="4" fontId="32" fillId="32" borderId="370">
      <alignment horizontal="right" vertical="center"/>
    </xf>
    <xf numFmtId="4" fontId="32" fillId="34" borderId="378">
      <alignment horizontal="right" vertical="center"/>
    </xf>
    <xf numFmtId="0" fontId="32" fillId="32" borderId="370">
      <alignment horizontal="right" vertical="center"/>
    </xf>
    <xf numFmtId="0" fontId="32" fillId="34" borderId="370">
      <alignment horizontal="right" vertical="center"/>
    </xf>
    <xf numFmtId="0" fontId="32" fillId="32" borderId="378">
      <alignment horizontal="right" vertical="center"/>
    </xf>
    <xf numFmtId="4" fontId="34" fillId="0" borderId="378">
      <alignment horizontal="right" vertical="center"/>
    </xf>
    <xf numFmtId="0" fontId="26" fillId="30" borderId="0" applyNumberFormat="0" applyBorder="0" applyAlignment="0" applyProtection="0"/>
    <xf numFmtId="0" fontId="49" fillId="43" borderId="383" applyNumberFormat="0" applyAlignment="0" applyProtection="0"/>
    <xf numFmtId="0" fontId="62" fillId="56" borderId="374" applyNumberFormat="0" applyAlignment="0" applyProtection="0"/>
    <xf numFmtId="0" fontId="49" fillId="43" borderId="391" applyNumberFormat="0" applyAlignment="0" applyProtection="0"/>
    <xf numFmtId="49" fontId="34" fillId="0" borderId="370" applyNumberFormat="0" applyFont="0" applyFill="0" applyBorder="0" applyProtection="0">
      <alignment horizontal="left" vertical="center" indent="2"/>
    </xf>
    <xf numFmtId="49" fontId="33" fillId="0" borderId="378" applyNumberFormat="0" applyFill="0" applyBorder="0" applyProtection="0">
      <alignment horizontal="left" vertical="center"/>
    </xf>
    <xf numFmtId="0" fontId="40" fillId="59" borderId="369" applyNumberFormat="0" applyFont="0" applyAlignment="0" applyProtection="0"/>
    <xf numFmtId="173" fontId="34" fillId="60" borderId="370" applyNumberFormat="0" applyFont="0" applyBorder="0" applyAlignment="0" applyProtection="0">
      <alignment horizontal="right" vertical="center"/>
    </xf>
    <xf numFmtId="0" fontId="58" fillId="43" borderId="375" applyNumberFormat="0" applyAlignment="0" applyProtection="0"/>
    <xf numFmtId="0" fontId="32" fillId="34" borderId="370">
      <alignment horizontal="right" vertical="center"/>
    </xf>
    <xf numFmtId="0" fontId="34" fillId="33" borderId="370"/>
    <xf numFmtId="0" fontId="62" fillId="56" borderId="374" applyNumberFormat="0" applyAlignment="0" applyProtection="0"/>
    <xf numFmtId="0" fontId="46" fillId="56" borderId="375" applyNumberFormat="0" applyAlignment="0" applyProtection="0"/>
    <xf numFmtId="0" fontId="45" fillId="56" borderId="375" applyNumberFormat="0" applyAlignment="0" applyProtection="0"/>
    <xf numFmtId="0" fontId="49" fillId="43" borderId="375" applyNumberFormat="0" applyAlignment="0" applyProtection="0"/>
    <xf numFmtId="0" fontId="49" fillId="43" borderId="375" applyNumberFormat="0" applyAlignment="0" applyProtection="0"/>
    <xf numFmtId="0" fontId="34" fillId="0" borderId="373">
      <alignment horizontal="left" vertical="center" wrapText="1" indent="2"/>
    </xf>
    <xf numFmtId="4" fontId="32" fillId="34" borderId="371">
      <alignment horizontal="right" vertical="center"/>
    </xf>
    <xf numFmtId="4" fontId="34" fillId="0" borderId="370">
      <alignment horizontal="right" vertical="center"/>
    </xf>
    <xf numFmtId="49" fontId="33" fillId="0" borderId="370" applyNumberFormat="0" applyFill="0" applyBorder="0" applyProtection="0">
      <alignment horizontal="left" vertical="center"/>
    </xf>
    <xf numFmtId="4" fontId="34" fillId="0" borderId="370">
      <alignment horizontal="right" vertical="center"/>
    </xf>
    <xf numFmtId="0" fontId="62" fillId="56" borderId="374" applyNumberFormat="0" applyAlignment="0" applyProtection="0"/>
    <xf numFmtId="0" fontId="45" fillId="56" borderId="383" applyNumberFormat="0" applyAlignment="0" applyProtection="0"/>
    <xf numFmtId="0" fontId="34" fillId="33" borderId="378"/>
    <xf numFmtId="0" fontId="34" fillId="33" borderId="378"/>
    <xf numFmtId="0" fontId="34" fillId="32" borderId="405">
      <alignment horizontal="left" vertical="center"/>
    </xf>
    <xf numFmtId="0" fontId="62" fillId="56" borderId="393" applyNumberFormat="0" applyAlignment="0" applyProtection="0"/>
    <xf numFmtId="0" fontId="58" fillId="43" borderId="401" applyNumberFormat="0" applyAlignment="0" applyProtection="0"/>
    <xf numFmtId="0" fontId="26" fillId="23" borderId="0" applyNumberFormat="0" applyBorder="0" applyAlignment="0" applyProtection="0"/>
    <xf numFmtId="0" fontId="34" fillId="0" borderId="373">
      <alignment horizontal="left" vertical="center" wrapText="1" indent="2"/>
    </xf>
    <xf numFmtId="0" fontId="12" fillId="22" borderId="0" applyNumberFormat="0" applyBorder="0" applyAlignment="0" applyProtection="0"/>
    <xf numFmtId="0" fontId="5" fillId="59" borderId="377" applyNumberFormat="0" applyFont="0" applyAlignment="0" applyProtection="0"/>
    <xf numFmtId="4" fontId="32" fillId="34" borderId="380">
      <alignment horizontal="right" vertical="center"/>
    </xf>
    <xf numFmtId="0" fontId="34" fillId="0" borderId="378">
      <alignment horizontal="right" vertical="center"/>
    </xf>
    <xf numFmtId="0" fontId="34" fillId="34" borderId="389">
      <alignment horizontal="left" vertical="center" wrapText="1" indent="2"/>
    </xf>
    <xf numFmtId="0" fontId="65" fillId="0" borderId="395" applyNumberFormat="0" applyFill="0" applyAlignment="0" applyProtection="0"/>
    <xf numFmtId="0" fontId="40" fillId="59" borderId="385" applyNumberFormat="0" applyFont="0" applyAlignment="0" applyProtection="0"/>
    <xf numFmtId="0" fontId="34" fillId="0" borderId="378">
      <alignment horizontal="right" vertical="center"/>
    </xf>
    <xf numFmtId="4" fontId="32" fillId="34" borderId="397">
      <alignment horizontal="right" vertical="center"/>
    </xf>
    <xf numFmtId="0" fontId="26" fillId="21" borderId="0" applyNumberFormat="0" applyBorder="0" applyAlignment="0" applyProtection="0"/>
    <xf numFmtId="0" fontId="40" fillId="59" borderId="369" applyNumberFormat="0" applyFont="0" applyAlignment="0" applyProtection="0"/>
    <xf numFmtId="0" fontId="50" fillId="0" borderId="384" applyNumberFormat="0" applyFill="0" applyAlignment="0" applyProtection="0"/>
    <xf numFmtId="0" fontId="32" fillId="32" borderId="370">
      <alignment horizontal="right" vertical="center"/>
    </xf>
    <xf numFmtId="0" fontId="12" fillId="19" borderId="0" applyNumberFormat="0" applyBorder="0" applyAlignment="0" applyProtection="0"/>
    <xf numFmtId="0" fontId="26" fillId="30" borderId="0" applyNumberFormat="0" applyBorder="0" applyAlignment="0" applyProtection="0"/>
    <xf numFmtId="0" fontId="34" fillId="0" borderId="370" applyNumberFormat="0" applyFill="0" applyAlignment="0" applyProtection="0"/>
    <xf numFmtId="49" fontId="33" fillId="0" borderId="370" applyNumberFormat="0" applyFill="0" applyBorder="0" applyProtection="0">
      <alignment horizontal="left" vertical="center"/>
    </xf>
    <xf numFmtId="0" fontId="34" fillId="0" borderId="370">
      <alignment horizontal="right" vertical="center"/>
    </xf>
    <xf numFmtId="173" fontId="34" fillId="60" borderId="378" applyNumberFormat="0" applyFont="0" applyBorder="0" applyAlignment="0" applyProtection="0">
      <alignment horizontal="right" vertical="center"/>
    </xf>
    <xf numFmtId="0" fontId="34" fillId="0" borderId="381">
      <alignment horizontal="left" vertical="center" wrapText="1" indent="2"/>
    </xf>
    <xf numFmtId="0" fontId="49" fillId="43" borderId="383" applyNumberFormat="0" applyAlignment="0" applyProtection="0"/>
    <xf numFmtId="4" fontId="32" fillId="34" borderId="386">
      <alignment horizontal="right" vertical="center"/>
    </xf>
    <xf numFmtId="4" fontId="32" fillId="32" borderId="370">
      <alignment horizontal="right" vertical="center"/>
    </xf>
    <xf numFmtId="0" fontId="45" fillId="56" borderId="383" applyNumberFormat="0" applyAlignment="0" applyProtection="0"/>
    <xf numFmtId="0" fontId="46" fillId="56" borderId="375" applyNumberFormat="0" applyAlignment="0" applyProtection="0"/>
    <xf numFmtId="0" fontId="32" fillId="34" borderId="372">
      <alignment horizontal="right" vertical="center"/>
    </xf>
    <xf numFmtId="4" fontId="32" fillId="32" borderId="370">
      <alignment horizontal="right" vertical="center"/>
    </xf>
    <xf numFmtId="0" fontId="32" fillId="34" borderId="370">
      <alignment horizontal="right" vertical="center"/>
    </xf>
    <xf numFmtId="0" fontId="46" fillId="56" borderId="375" applyNumberFormat="0" applyAlignment="0" applyProtection="0"/>
    <xf numFmtId="0" fontId="43" fillId="56" borderId="382" applyNumberFormat="0" applyAlignment="0" applyProtection="0"/>
    <xf numFmtId="49" fontId="34" fillId="0" borderId="378" applyNumberFormat="0" applyFont="0" applyFill="0" applyBorder="0" applyProtection="0">
      <alignment horizontal="left" vertical="center" indent="2"/>
    </xf>
    <xf numFmtId="0" fontId="28" fillId="13" borderId="14" applyNumberFormat="0" applyAlignment="0" applyProtection="0"/>
    <xf numFmtId="4" fontId="34" fillId="0" borderId="370" applyFill="0" applyBorder="0" applyProtection="0">
      <alignment horizontal="right" vertical="center"/>
    </xf>
    <xf numFmtId="0" fontId="40" fillId="59" borderId="369" applyNumberFormat="0" applyFont="0" applyAlignment="0" applyProtection="0"/>
    <xf numFmtId="0" fontId="58" fillId="43" borderId="383" applyNumberFormat="0" applyAlignment="0" applyProtection="0"/>
    <xf numFmtId="0" fontId="32" fillId="34" borderId="386">
      <alignment horizontal="right" vertical="center"/>
    </xf>
    <xf numFmtId="0" fontId="65" fillId="0" borderId="384" applyNumberFormat="0" applyFill="0" applyAlignment="0" applyProtection="0"/>
    <xf numFmtId="0" fontId="58" fillId="43" borderId="383" applyNumberFormat="0" applyAlignment="0" applyProtection="0"/>
    <xf numFmtId="0" fontId="58" fillId="43" borderId="383" applyNumberFormat="0" applyAlignment="0" applyProtection="0"/>
    <xf numFmtId="0" fontId="26" fillId="30" borderId="0" applyNumberFormat="0" applyBorder="0" applyAlignment="0" applyProtection="0"/>
    <xf numFmtId="0" fontId="26" fillId="14" borderId="0" applyNumberFormat="0" applyBorder="0" applyAlignment="0" applyProtection="0"/>
    <xf numFmtId="0" fontId="32" fillId="32" borderId="370">
      <alignment horizontal="right" vertical="center"/>
    </xf>
    <xf numFmtId="0" fontId="50" fillId="0" borderId="376" applyNumberFormat="0" applyFill="0" applyAlignment="0" applyProtection="0"/>
    <xf numFmtId="0" fontId="34" fillId="0" borderId="370" applyNumberFormat="0" applyFill="0" applyAlignment="0" applyProtection="0"/>
    <xf numFmtId="0" fontId="50" fillId="0" borderId="376" applyNumberFormat="0" applyFill="0" applyAlignment="0" applyProtection="0"/>
    <xf numFmtId="4" fontId="34" fillId="0" borderId="370" applyFill="0" applyBorder="0" applyProtection="0">
      <alignment horizontal="right" vertical="center"/>
    </xf>
    <xf numFmtId="49" fontId="34" fillId="0" borderId="371" applyNumberFormat="0" applyFont="0" applyFill="0" applyBorder="0" applyProtection="0">
      <alignment horizontal="left" vertical="center" indent="5"/>
    </xf>
    <xf numFmtId="0" fontId="34" fillId="0" borderId="370" applyNumberFormat="0" applyFill="0" applyAlignment="0" applyProtection="0"/>
    <xf numFmtId="4" fontId="32" fillId="34" borderId="379">
      <alignment horizontal="right" vertical="center"/>
    </xf>
    <xf numFmtId="0" fontId="34" fillId="0" borderId="370" applyNumberFormat="0" applyFill="0" applyAlignment="0" applyProtection="0"/>
    <xf numFmtId="0" fontId="34" fillId="0" borderId="378" applyNumberFormat="0" applyFill="0" applyAlignment="0" applyProtection="0"/>
    <xf numFmtId="0" fontId="58" fillId="43" borderId="391" applyNumberFormat="0" applyAlignment="0" applyProtection="0"/>
    <xf numFmtId="4" fontId="32" fillId="34" borderId="370">
      <alignment horizontal="right" vertical="center"/>
    </xf>
    <xf numFmtId="0" fontId="65" fillId="0" borderId="384" applyNumberFormat="0" applyFill="0" applyAlignment="0" applyProtection="0"/>
    <xf numFmtId="49" fontId="33" fillId="0" borderId="404" applyNumberFormat="0" applyFill="0" applyBorder="0" applyProtection="0">
      <alignment horizontal="left" vertical="center"/>
    </xf>
    <xf numFmtId="0" fontId="12" fillId="22" borderId="0" applyNumberFormat="0" applyBorder="0" applyAlignment="0" applyProtection="0"/>
    <xf numFmtId="0" fontId="46" fillId="56" borderId="401" applyNumberFormat="0" applyAlignment="0" applyProtection="0"/>
    <xf numFmtId="0" fontId="49" fillId="43" borderId="375" applyNumberFormat="0" applyAlignment="0" applyProtection="0"/>
    <xf numFmtId="0" fontId="46" fillId="56" borderId="375" applyNumberFormat="0" applyAlignment="0" applyProtection="0"/>
    <xf numFmtId="4" fontId="34" fillId="0" borderId="370">
      <alignment horizontal="right" vertical="center"/>
    </xf>
    <xf numFmtId="0" fontId="34" fillId="34" borderId="373">
      <alignment horizontal="left" vertical="center" wrapText="1" indent="2"/>
    </xf>
    <xf numFmtId="0" fontId="34" fillId="0" borderId="373">
      <alignment horizontal="left" vertical="center" wrapText="1" indent="2"/>
    </xf>
    <xf numFmtId="0" fontId="62" fillId="56" borderId="374" applyNumberFormat="0" applyAlignment="0" applyProtection="0"/>
    <xf numFmtId="0" fontId="58" fillId="43" borderId="375" applyNumberFormat="0" applyAlignment="0" applyProtection="0"/>
    <xf numFmtId="0" fontId="45" fillId="56" borderId="375" applyNumberFormat="0" applyAlignment="0" applyProtection="0"/>
    <xf numFmtId="0" fontId="43" fillId="56" borderId="374" applyNumberFormat="0" applyAlignment="0" applyProtection="0"/>
    <xf numFmtId="0" fontId="32" fillId="34" borderId="372">
      <alignment horizontal="right" vertical="center"/>
    </xf>
    <xf numFmtId="0" fontId="36" fillId="32" borderId="370">
      <alignment horizontal="right" vertical="center"/>
    </xf>
    <xf numFmtId="4" fontId="32" fillId="32" borderId="370">
      <alignment horizontal="right" vertical="center"/>
    </xf>
    <xf numFmtId="4" fontId="32" fillId="34" borderId="370">
      <alignment horizontal="right" vertical="center"/>
    </xf>
    <xf numFmtId="49" fontId="34" fillId="0" borderId="371" applyNumberFormat="0" applyFont="0" applyFill="0" applyBorder="0" applyProtection="0">
      <alignment horizontal="left" vertical="center" indent="5"/>
    </xf>
    <xf numFmtId="4" fontId="34" fillId="0" borderId="370" applyFill="0" applyBorder="0" applyProtection="0">
      <alignment horizontal="right" vertical="center"/>
    </xf>
    <xf numFmtId="4" fontId="32" fillId="32" borderId="370">
      <alignment horizontal="right" vertical="center"/>
    </xf>
    <xf numFmtId="0" fontId="58" fillId="43" borderId="375" applyNumberFormat="0" applyAlignment="0" applyProtection="0"/>
    <xf numFmtId="0" fontId="49" fillId="43" borderId="375" applyNumberFormat="0" applyAlignment="0" applyProtection="0"/>
    <xf numFmtId="0" fontId="45" fillId="56" borderId="375" applyNumberFormat="0" applyAlignment="0" applyProtection="0"/>
    <xf numFmtId="0" fontId="34" fillId="34" borderId="373">
      <alignment horizontal="left" vertical="center" wrapText="1" indent="2"/>
    </xf>
    <xf numFmtId="0" fontId="34" fillId="0" borderId="373">
      <alignment horizontal="left" vertical="center" wrapText="1" indent="2"/>
    </xf>
    <xf numFmtId="0" fontId="34" fillId="34" borderId="373">
      <alignment horizontal="left" vertical="center" wrapText="1" indent="2"/>
    </xf>
    <xf numFmtId="4" fontId="32" fillId="34" borderId="406">
      <alignment horizontal="right" vertical="center"/>
    </xf>
    <xf numFmtId="0" fontId="26" fillId="17" borderId="0" applyNumberFormat="0" applyBorder="0" applyAlignment="0" applyProtection="0"/>
    <xf numFmtId="0" fontId="32" fillId="34" borderId="380">
      <alignment horizontal="right" vertical="center"/>
    </xf>
    <xf numFmtId="4" fontId="36" fillId="32" borderId="386">
      <alignment horizontal="right" vertical="center"/>
    </xf>
    <xf numFmtId="4" fontId="32" fillId="34" borderId="387">
      <alignment horizontal="right" vertical="center"/>
    </xf>
    <xf numFmtId="0" fontId="65" fillId="0" borderId="384" applyNumberFormat="0" applyFill="0" applyAlignment="0" applyProtection="0"/>
    <xf numFmtId="0" fontId="34" fillId="0" borderId="413">
      <alignment horizontal="left" vertical="center" wrapText="1" indent="2"/>
    </xf>
    <xf numFmtId="0" fontId="34" fillId="34" borderId="381">
      <alignment horizontal="left" vertical="center" wrapText="1" indent="2"/>
    </xf>
    <xf numFmtId="0" fontId="12" fillId="19" borderId="0" applyNumberFormat="0" applyBorder="0" applyAlignment="0" applyProtection="0"/>
    <xf numFmtId="0" fontId="50" fillId="0" borderId="384" applyNumberFormat="0" applyFill="0" applyAlignment="0" applyProtection="0"/>
    <xf numFmtId="0" fontId="46" fillId="56" borderId="391" applyNumberFormat="0" applyAlignment="0" applyProtection="0"/>
    <xf numFmtId="0" fontId="34" fillId="33" borderId="378"/>
    <xf numFmtId="49" fontId="34" fillId="0" borderId="378" applyNumberFormat="0" applyFont="0" applyFill="0" applyBorder="0" applyProtection="0">
      <alignment horizontal="left" vertical="center" indent="2"/>
    </xf>
    <xf numFmtId="0" fontId="62" fillId="56" borderId="382" applyNumberFormat="0" applyAlignment="0" applyProtection="0"/>
    <xf numFmtId="0" fontId="58" fillId="43" borderId="383" applyNumberFormat="0" applyAlignment="0" applyProtection="0"/>
    <xf numFmtId="0" fontId="34" fillId="0" borderId="378" applyNumberFormat="0" applyFill="0" applyAlignment="0" applyProtection="0"/>
    <xf numFmtId="0" fontId="12" fillId="19" borderId="0" applyNumberFormat="0" applyBorder="0" applyAlignment="0" applyProtection="0"/>
    <xf numFmtId="0" fontId="46" fillId="56" borderId="394" applyNumberFormat="0" applyAlignment="0" applyProtection="0"/>
    <xf numFmtId="0" fontId="43" fillId="56" borderId="382" applyNumberFormat="0" applyAlignment="0" applyProtection="0"/>
    <xf numFmtId="4" fontId="32" fillId="32" borderId="397">
      <alignment horizontal="right" vertical="center"/>
    </xf>
    <xf numFmtId="4" fontId="32" fillId="34" borderId="406">
      <alignment horizontal="right" vertical="center"/>
    </xf>
    <xf numFmtId="173" fontId="34" fillId="60" borderId="397" applyNumberFormat="0" applyFont="0" applyBorder="0" applyAlignment="0" applyProtection="0">
      <alignment horizontal="right" vertical="center"/>
    </xf>
    <xf numFmtId="0" fontId="26" fillId="27" borderId="0" applyNumberFormat="0" applyBorder="0" applyAlignment="0" applyProtection="0"/>
    <xf numFmtId="4" fontId="32" fillId="34" borderId="388">
      <alignment horizontal="right" vertical="center"/>
    </xf>
    <xf numFmtId="0" fontId="45" fillId="56" borderId="383" applyNumberFormat="0" applyAlignment="0" applyProtection="0"/>
    <xf numFmtId="0" fontId="50" fillId="0" borderId="384" applyNumberFormat="0" applyFill="0" applyAlignment="0" applyProtection="0"/>
    <xf numFmtId="0" fontId="36" fillId="32" borderId="378">
      <alignment horizontal="right" vertical="center"/>
    </xf>
    <xf numFmtId="0" fontId="58" fillId="43" borderId="383" applyNumberFormat="0" applyAlignment="0" applyProtection="0"/>
    <xf numFmtId="0" fontId="26" fillId="14" borderId="0" applyNumberFormat="0" applyBorder="0" applyAlignment="0" applyProtection="0"/>
    <xf numFmtId="0" fontId="26" fillId="18" borderId="0" applyNumberFormat="0" applyBorder="0" applyAlignment="0" applyProtection="0"/>
    <xf numFmtId="4" fontId="32" fillId="34" borderId="380">
      <alignment horizontal="right" vertical="center"/>
    </xf>
    <xf numFmtId="0" fontId="34" fillId="0" borderId="378" applyNumberFormat="0" applyFill="0" applyAlignment="0" applyProtection="0"/>
    <xf numFmtId="0" fontId="58" fillId="43" borderId="383" applyNumberFormat="0" applyAlignment="0" applyProtection="0"/>
    <xf numFmtId="49" fontId="34" fillId="0" borderId="378" applyNumberFormat="0" applyFont="0" applyFill="0" applyBorder="0" applyProtection="0">
      <alignment horizontal="left" vertical="center" indent="2"/>
    </xf>
    <xf numFmtId="0" fontId="32" fillId="34" borderId="397">
      <alignment horizontal="right" vertical="center"/>
    </xf>
    <xf numFmtId="0" fontId="49" fillId="43" borderId="394" applyNumberFormat="0" applyAlignment="0" applyProtection="0"/>
    <xf numFmtId="4" fontId="34" fillId="0" borderId="410" applyFill="0" applyBorder="0" applyProtection="0">
      <alignment horizontal="right" vertical="center"/>
    </xf>
    <xf numFmtId="0" fontId="26" fillId="26" borderId="0" applyNumberFormat="0" applyBorder="0" applyAlignment="0" applyProtection="0"/>
    <xf numFmtId="0" fontId="36" fillId="32" borderId="378">
      <alignment horizontal="right" vertical="center"/>
    </xf>
    <xf numFmtId="0" fontId="49" fillId="43" borderId="383" applyNumberFormat="0" applyAlignment="0" applyProtection="0"/>
    <xf numFmtId="0" fontId="34" fillId="33" borderId="378"/>
    <xf numFmtId="0" fontId="32" fillId="34" borderId="398">
      <alignment horizontal="right" vertical="center"/>
    </xf>
    <xf numFmtId="4" fontId="34" fillId="33" borderId="378"/>
    <xf numFmtId="4" fontId="34" fillId="0" borderId="378">
      <alignment horizontal="right" vertical="center"/>
    </xf>
    <xf numFmtId="0" fontId="32" fillId="34" borderId="405">
      <alignment horizontal="right" vertical="center"/>
    </xf>
    <xf numFmtId="0" fontId="12" fillId="16" borderId="0" applyNumberFormat="0" applyBorder="0" applyAlignment="0" applyProtection="0"/>
    <xf numFmtId="0" fontId="58" fillId="43" borderId="383" applyNumberFormat="0" applyAlignment="0" applyProtection="0"/>
    <xf numFmtId="0" fontId="34" fillId="34" borderId="381">
      <alignment horizontal="left" vertical="center" wrapText="1" indent="2"/>
    </xf>
    <xf numFmtId="4" fontId="36" fillId="32" borderId="378">
      <alignment horizontal="right" vertical="center"/>
    </xf>
    <xf numFmtId="0" fontId="34" fillId="33" borderId="386"/>
    <xf numFmtId="0" fontId="46" fillId="56" borderId="401" applyNumberFormat="0" applyAlignment="0" applyProtection="0"/>
    <xf numFmtId="0" fontId="26" fillId="17" borderId="0" applyNumberFormat="0" applyBorder="0" applyAlignment="0" applyProtection="0"/>
    <xf numFmtId="0" fontId="62" fillId="56" borderId="382" applyNumberFormat="0" applyAlignment="0" applyProtection="0"/>
    <xf numFmtId="0" fontId="40" fillId="59" borderId="403" applyNumberFormat="0" applyFont="0" applyAlignment="0" applyProtection="0"/>
    <xf numFmtId="0" fontId="65" fillId="0" borderId="384" applyNumberFormat="0" applyFill="0" applyAlignment="0" applyProtection="0"/>
    <xf numFmtId="4" fontId="34" fillId="0" borderId="397">
      <alignment horizontal="right" vertical="center"/>
    </xf>
    <xf numFmtId="4" fontId="34" fillId="0" borderId="378">
      <alignment horizontal="right" vertical="center"/>
    </xf>
    <xf numFmtId="4" fontId="36" fillId="32" borderId="378">
      <alignment horizontal="right" vertical="center"/>
    </xf>
    <xf numFmtId="0" fontId="12" fillId="16" borderId="0" applyNumberFormat="0" applyBorder="0" applyAlignment="0" applyProtection="0"/>
    <xf numFmtId="0" fontId="65" fillId="0" borderId="392" applyNumberFormat="0" applyFill="0" applyAlignment="0" applyProtection="0"/>
    <xf numFmtId="0" fontId="5" fillId="59" borderId="377" applyNumberFormat="0" applyFont="0" applyAlignment="0" applyProtection="0"/>
    <xf numFmtId="0" fontId="58" fillId="43" borderId="383" applyNumberFormat="0" applyAlignment="0" applyProtection="0"/>
    <xf numFmtId="4" fontId="32" fillId="34" borderId="379">
      <alignment horizontal="right" vertical="center"/>
    </xf>
    <xf numFmtId="4" fontId="34" fillId="33" borderId="378"/>
    <xf numFmtId="0" fontId="36" fillId="32" borderId="397">
      <alignment horizontal="right" vertical="center"/>
    </xf>
    <xf numFmtId="49" fontId="34" fillId="0" borderId="379" applyNumberFormat="0" applyFont="0" applyFill="0" applyBorder="0" applyProtection="0">
      <alignment horizontal="left" vertical="center" indent="5"/>
    </xf>
    <xf numFmtId="0" fontId="26" fillId="17" borderId="0" applyNumberFormat="0" applyBorder="0" applyAlignment="0" applyProtection="0"/>
    <xf numFmtId="0" fontId="34" fillId="0" borderId="381">
      <alignment horizontal="left" vertical="center" wrapText="1" indent="2"/>
    </xf>
    <xf numFmtId="0" fontId="34" fillId="34" borderId="389">
      <alignment horizontal="left" vertical="center" wrapText="1" indent="2"/>
    </xf>
    <xf numFmtId="0" fontId="50" fillId="0" borderId="392" applyNumberFormat="0" applyFill="0" applyAlignment="0" applyProtection="0"/>
    <xf numFmtId="4" fontId="34" fillId="33" borderId="378"/>
    <xf numFmtId="0" fontId="32" fillId="34" borderId="404">
      <alignment horizontal="right" vertical="center"/>
    </xf>
    <xf numFmtId="0" fontId="26" fillId="30" borderId="0" applyNumberFormat="0" applyBorder="0" applyAlignment="0" applyProtection="0"/>
    <xf numFmtId="0" fontId="34" fillId="0" borderId="378">
      <alignment horizontal="right" vertical="center"/>
    </xf>
    <xf numFmtId="0" fontId="5" fillId="59" borderId="417" applyNumberFormat="0" applyFont="0" applyAlignment="0" applyProtection="0"/>
    <xf numFmtId="0" fontId="40" fillId="59" borderId="377" applyNumberFormat="0" applyFont="0" applyAlignment="0" applyProtection="0"/>
    <xf numFmtId="4" fontId="32" fillId="34" borderId="388">
      <alignment horizontal="right" vertical="center"/>
    </xf>
    <xf numFmtId="0" fontId="34" fillId="34" borderId="381">
      <alignment horizontal="left" vertical="center" wrapText="1" indent="2"/>
    </xf>
    <xf numFmtId="0" fontId="32" fillId="34" borderId="399">
      <alignment horizontal="right" vertical="center"/>
    </xf>
    <xf numFmtId="0" fontId="34" fillId="0" borderId="386" applyNumberFormat="0" applyFill="0" applyAlignment="0" applyProtection="0"/>
    <xf numFmtId="0" fontId="58" fillId="43" borderId="401" applyNumberFormat="0" applyAlignment="0" applyProtection="0"/>
    <xf numFmtId="0" fontId="58" fillId="43" borderId="391" applyNumberFormat="0" applyAlignment="0" applyProtection="0"/>
    <xf numFmtId="0" fontId="46" fillId="56" borderId="383" applyNumberFormat="0" applyAlignment="0" applyProtection="0"/>
    <xf numFmtId="0" fontId="12" fillId="28" borderId="0" applyNumberFormat="0" applyBorder="0" applyAlignment="0" applyProtection="0"/>
    <xf numFmtId="4" fontId="34" fillId="0" borderId="404">
      <alignment horizontal="right" vertical="center"/>
    </xf>
    <xf numFmtId="49" fontId="33" fillId="0" borderId="378" applyNumberFormat="0" applyFill="0" applyBorder="0" applyProtection="0">
      <alignment horizontal="left" vertical="center"/>
    </xf>
    <xf numFmtId="49" fontId="33" fillId="0" borderId="378" applyNumberFormat="0" applyFill="0" applyBorder="0" applyProtection="0">
      <alignment horizontal="left" vertical="center"/>
    </xf>
    <xf numFmtId="0" fontId="65" fillId="0" borderId="392" applyNumberFormat="0" applyFill="0" applyAlignment="0" applyProtection="0"/>
    <xf numFmtId="0" fontId="32" fillId="34" borderId="380">
      <alignment horizontal="right" vertical="center"/>
    </xf>
    <xf numFmtId="0" fontId="32" fillId="34" borderId="378">
      <alignment horizontal="right" vertical="center"/>
    </xf>
    <xf numFmtId="0" fontId="45" fillId="56" borderId="383" applyNumberFormat="0" applyAlignment="0" applyProtection="0"/>
    <xf numFmtId="0" fontId="34" fillId="32" borderId="398">
      <alignment horizontal="left" vertical="center"/>
    </xf>
    <xf numFmtId="0" fontId="46" fillId="56" borderId="383" applyNumberFormat="0" applyAlignment="0" applyProtection="0"/>
    <xf numFmtId="49" fontId="33" fillId="0" borderId="386" applyNumberFormat="0" applyFill="0" applyBorder="0" applyProtection="0">
      <alignment horizontal="left" vertical="center"/>
    </xf>
    <xf numFmtId="0" fontId="34" fillId="33" borderId="378"/>
    <xf numFmtId="49" fontId="34" fillId="0" borderId="386" applyNumberFormat="0" applyFont="0" applyFill="0" applyBorder="0" applyProtection="0">
      <alignment horizontal="left" vertical="center" indent="2"/>
    </xf>
    <xf numFmtId="0" fontId="32" fillId="32" borderId="378">
      <alignment horizontal="right" vertical="center"/>
    </xf>
    <xf numFmtId="0" fontId="32" fillId="34" borderId="406">
      <alignment horizontal="right" vertical="center"/>
    </xf>
    <xf numFmtId="0" fontId="36" fillId="32" borderId="386">
      <alignment horizontal="right" vertical="center"/>
    </xf>
    <xf numFmtId="0" fontId="5" fillId="59" borderId="377" applyNumberFormat="0" applyFont="0" applyAlignment="0" applyProtection="0"/>
    <xf numFmtId="0" fontId="43" fillId="56" borderId="393" applyNumberFormat="0" applyAlignment="0" applyProtection="0"/>
    <xf numFmtId="4" fontId="34" fillId="0" borderId="378" applyFill="0" applyBorder="0" applyProtection="0">
      <alignment horizontal="right" vertical="center"/>
    </xf>
    <xf numFmtId="0" fontId="46" fillId="56" borderId="394" applyNumberFormat="0" applyAlignment="0" applyProtection="0"/>
    <xf numFmtId="0" fontId="40" fillId="59" borderId="396" applyNumberFormat="0" applyFont="0" applyAlignment="0" applyProtection="0"/>
    <xf numFmtId="4" fontId="32" fillId="34" borderId="378">
      <alignment horizontal="right" vertical="center"/>
    </xf>
    <xf numFmtId="0" fontId="58" fillId="43" borderId="391" applyNumberFormat="0" applyAlignment="0" applyProtection="0"/>
    <xf numFmtId="0" fontId="50" fillId="0" borderId="384" applyNumberFormat="0" applyFill="0" applyAlignment="0" applyProtection="0"/>
    <xf numFmtId="49" fontId="34" fillId="0" borderId="378" applyNumberFormat="0" applyFont="0" applyFill="0" applyBorder="0" applyProtection="0">
      <alignment horizontal="left" vertical="center" indent="2"/>
    </xf>
    <xf numFmtId="0" fontId="34" fillId="34" borderId="400">
      <alignment horizontal="left" vertical="center" wrapText="1" indent="2"/>
    </xf>
    <xf numFmtId="0" fontId="12" fillId="22" borderId="0" applyNumberFormat="0" applyBorder="0" applyAlignment="0" applyProtection="0"/>
    <xf numFmtId="0" fontId="34" fillId="32" borderId="379">
      <alignment horizontal="left" vertical="center"/>
    </xf>
    <xf numFmtId="0" fontId="34" fillId="32" borderId="387">
      <alignment horizontal="left" vertical="center"/>
    </xf>
    <xf numFmtId="4" fontId="34" fillId="0" borderId="386">
      <alignment horizontal="right" vertical="center"/>
    </xf>
    <xf numFmtId="0" fontId="34" fillId="34" borderId="407">
      <alignment horizontal="left" vertical="center" wrapText="1" indent="2"/>
    </xf>
    <xf numFmtId="0" fontId="34" fillId="0" borderId="404">
      <alignment horizontal="right" vertical="center"/>
    </xf>
    <xf numFmtId="0" fontId="34" fillId="0" borderId="410">
      <alignment horizontal="right" vertical="center"/>
    </xf>
    <xf numFmtId="0" fontId="26" fillId="15" borderId="0" applyNumberFormat="0" applyBorder="0" applyAlignment="0" applyProtection="0"/>
    <xf numFmtId="0" fontId="49" fillId="43" borderId="401" applyNumberFormat="0" applyAlignment="0" applyProtection="0"/>
    <xf numFmtId="4" fontId="32" fillId="34" borderId="404">
      <alignment horizontal="right" vertical="center"/>
    </xf>
    <xf numFmtId="0" fontId="32" fillId="34" borderId="378">
      <alignment horizontal="right" vertical="center"/>
    </xf>
    <xf numFmtId="0" fontId="65" fillId="0" borderId="424" applyNumberFormat="0" applyFill="0" applyAlignment="0" applyProtection="0"/>
    <xf numFmtId="0" fontId="40" fillId="59" borderId="377" applyNumberFormat="0" applyFont="0" applyAlignment="0" applyProtection="0"/>
    <xf numFmtId="0" fontId="26" fillId="27" borderId="0" applyNumberFormat="0" applyBorder="0" applyAlignment="0" applyProtection="0"/>
    <xf numFmtId="0" fontId="46" fillId="56" borderId="383" applyNumberFormat="0" applyAlignment="0" applyProtection="0"/>
    <xf numFmtId="0" fontId="58" fillId="43" borderId="383" applyNumberFormat="0" applyAlignment="0" applyProtection="0"/>
    <xf numFmtId="4" fontId="34" fillId="0" borderId="418" applyFill="0" applyBorder="0" applyProtection="0">
      <alignment horizontal="right" vertical="center"/>
    </xf>
    <xf numFmtId="4" fontId="32" fillId="34" borderId="387">
      <alignment horizontal="right" vertical="center"/>
    </xf>
    <xf numFmtId="0" fontId="62" fillId="56" borderId="414" applyNumberFormat="0" applyAlignment="0" applyProtection="0"/>
    <xf numFmtId="0" fontId="58" fillId="43" borderId="383" applyNumberFormat="0" applyAlignment="0" applyProtection="0"/>
    <xf numFmtId="0" fontId="45" fillId="56" borderId="394" applyNumberFormat="0" applyAlignment="0" applyProtection="0"/>
    <xf numFmtId="0" fontId="58" fillId="43" borderId="383" applyNumberFormat="0" applyAlignment="0" applyProtection="0"/>
    <xf numFmtId="0" fontId="49" fillId="43" borderId="383" applyNumberFormat="0" applyAlignment="0" applyProtection="0"/>
    <xf numFmtId="0" fontId="12" fillId="16" borderId="0" applyNumberFormat="0" applyBorder="0" applyAlignment="0" applyProtection="0"/>
    <xf numFmtId="0" fontId="49" fillId="43" borderId="391" applyNumberFormat="0" applyAlignment="0" applyProtection="0"/>
    <xf numFmtId="0" fontId="43" fillId="56" borderId="382" applyNumberFormat="0" applyAlignment="0" applyProtection="0"/>
    <xf numFmtId="0" fontId="58" fillId="43" borderId="383" applyNumberFormat="0" applyAlignment="0" applyProtection="0"/>
    <xf numFmtId="4" fontId="32" fillId="32" borderId="378">
      <alignment horizontal="right" vertical="center"/>
    </xf>
    <xf numFmtId="0" fontId="36" fillId="32" borderId="378">
      <alignment horizontal="right" vertical="center"/>
    </xf>
    <xf numFmtId="0" fontId="30" fillId="0" borderId="0" applyNumberFormat="0" applyFill="0" applyBorder="0" applyAlignment="0" applyProtection="0"/>
    <xf numFmtId="0" fontId="45" fillId="56" borderId="383" applyNumberFormat="0" applyAlignment="0" applyProtection="0"/>
    <xf numFmtId="0" fontId="12" fillId="31" borderId="0" applyNumberFormat="0" applyBorder="0" applyAlignment="0" applyProtection="0"/>
    <xf numFmtId="0" fontId="5" fillId="59" borderId="385" applyNumberFormat="0" applyFont="0" applyAlignment="0" applyProtection="0"/>
    <xf numFmtId="0" fontId="5" fillId="59" borderId="377" applyNumberFormat="0" applyFont="0" applyAlignment="0" applyProtection="0"/>
    <xf numFmtId="0" fontId="34" fillId="0" borderId="397">
      <alignment horizontal="right" vertical="center"/>
    </xf>
    <xf numFmtId="0" fontId="65" fillId="0" borderId="392" applyNumberFormat="0" applyFill="0" applyAlignment="0" applyProtection="0"/>
    <xf numFmtId="0" fontId="5" fillId="59" borderId="385" applyNumberFormat="0" applyFont="0" applyAlignment="0" applyProtection="0"/>
    <xf numFmtId="0" fontId="32" fillId="34" borderId="397">
      <alignment horizontal="right" vertical="center"/>
    </xf>
    <xf numFmtId="0" fontId="12" fillId="16" borderId="0" applyNumberFormat="0" applyBorder="0" applyAlignment="0" applyProtection="0"/>
    <xf numFmtId="4" fontId="32" fillId="34" borderId="378">
      <alignment horizontal="right" vertical="center"/>
    </xf>
    <xf numFmtId="4" fontId="32" fillId="34" borderId="378">
      <alignment horizontal="right" vertical="center"/>
    </xf>
    <xf numFmtId="0" fontId="12" fillId="19" borderId="0" applyNumberFormat="0" applyBorder="0" applyAlignment="0" applyProtection="0"/>
    <xf numFmtId="4" fontId="32" fillId="34" borderId="380">
      <alignment horizontal="right" vertical="center"/>
    </xf>
    <xf numFmtId="0" fontId="58" fillId="43" borderId="383" applyNumberFormat="0" applyAlignment="0" applyProtection="0"/>
    <xf numFmtId="0" fontId="45" fillId="56" borderId="394" applyNumberFormat="0" applyAlignment="0" applyProtection="0"/>
    <xf numFmtId="49" fontId="34" fillId="0" borderId="410" applyNumberFormat="0" applyFont="0" applyFill="0" applyBorder="0" applyProtection="0">
      <alignment horizontal="left" vertical="center" indent="2"/>
    </xf>
    <xf numFmtId="173" fontId="34" fillId="60" borderId="378" applyNumberFormat="0" applyFont="0" applyBorder="0" applyAlignment="0" applyProtection="0">
      <alignment horizontal="right" vertical="center"/>
    </xf>
    <xf numFmtId="0" fontId="32" fillId="34" borderId="378">
      <alignment horizontal="right" vertical="center"/>
    </xf>
    <xf numFmtId="4" fontId="32" fillId="34" borderId="378">
      <alignment horizontal="right" vertical="center"/>
    </xf>
    <xf numFmtId="0" fontId="29" fillId="13" borderId="13" applyNumberFormat="0" applyAlignment="0" applyProtection="0"/>
    <xf numFmtId="0" fontId="32" fillId="34" borderId="388">
      <alignment horizontal="right" vertical="center"/>
    </xf>
    <xf numFmtId="0" fontId="50" fillId="0" borderId="384" applyNumberFormat="0" applyFill="0" applyAlignment="0" applyProtection="0"/>
    <xf numFmtId="4" fontId="34" fillId="33" borderId="386"/>
    <xf numFmtId="0" fontId="34" fillId="0" borderId="386">
      <alignment horizontal="right" vertical="center"/>
    </xf>
    <xf numFmtId="0" fontId="12" fillId="16" borderId="0" applyNumberFormat="0" applyBorder="0" applyAlignment="0" applyProtection="0"/>
    <xf numFmtId="4" fontId="32" fillId="34" borderId="399">
      <alignment horizontal="right" vertical="center"/>
    </xf>
    <xf numFmtId="4" fontId="32" fillId="34" borderId="379">
      <alignment horizontal="right" vertical="center"/>
    </xf>
    <xf numFmtId="0" fontId="32" fillId="34" borderId="379">
      <alignment horizontal="right" vertical="center"/>
    </xf>
    <xf numFmtId="173" fontId="34" fillId="60" borderId="386" applyNumberFormat="0" applyFont="0" applyBorder="0" applyAlignment="0" applyProtection="0">
      <alignment horizontal="right" vertical="center"/>
    </xf>
    <xf numFmtId="4" fontId="32" fillId="34" borderId="412">
      <alignment horizontal="right" vertical="center"/>
    </xf>
    <xf numFmtId="0" fontId="32" fillId="34" borderId="406">
      <alignment horizontal="right" vertical="center"/>
    </xf>
    <xf numFmtId="4" fontId="32" fillId="34" borderId="378">
      <alignment horizontal="right" vertical="center"/>
    </xf>
    <xf numFmtId="4" fontId="32" fillId="34" borderId="378">
      <alignment horizontal="right" vertical="center"/>
    </xf>
    <xf numFmtId="0" fontId="32" fillId="34" borderId="386">
      <alignment horizontal="right" vertical="center"/>
    </xf>
    <xf numFmtId="0" fontId="34" fillId="32" borderId="387">
      <alignment horizontal="left" vertical="center"/>
    </xf>
    <xf numFmtId="0" fontId="50" fillId="0" borderId="392" applyNumberFormat="0" applyFill="0" applyAlignment="0" applyProtection="0"/>
    <xf numFmtId="0" fontId="32" fillId="34" borderId="386">
      <alignment horizontal="right" vertical="center"/>
    </xf>
    <xf numFmtId="0" fontId="65" fillId="0" borderId="384" applyNumberFormat="0" applyFill="0" applyAlignment="0" applyProtection="0"/>
    <xf numFmtId="49" fontId="34" fillId="0" borderId="379" applyNumberFormat="0" applyFont="0" applyFill="0" applyBorder="0" applyProtection="0">
      <alignment horizontal="left" vertical="center" indent="5"/>
    </xf>
    <xf numFmtId="0" fontId="26" fillId="26" borderId="0" applyNumberFormat="0" applyBorder="0" applyAlignment="0" applyProtection="0"/>
    <xf numFmtId="4" fontId="32" fillId="34" borderId="378">
      <alignment horizontal="right" vertical="center"/>
    </xf>
    <xf numFmtId="4" fontId="32" fillId="34" borderId="418">
      <alignment horizontal="right" vertical="center"/>
    </xf>
    <xf numFmtId="0" fontId="29" fillId="13" borderId="13" applyNumberFormat="0" applyAlignment="0" applyProtection="0"/>
    <xf numFmtId="0" fontId="34" fillId="0" borderId="386" applyNumberFormat="0" applyFill="0" applyAlignment="0" applyProtection="0"/>
    <xf numFmtId="0" fontId="32" fillId="34" borderId="406">
      <alignment horizontal="right" vertical="center"/>
    </xf>
    <xf numFmtId="0" fontId="45" fillId="56" borderId="391" applyNumberFormat="0" applyAlignment="0" applyProtection="0"/>
    <xf numFmtId="4" fontId="32" fillId="34" borderId="378">
      <alignment horizontal="right" vertical="center"/>
    </xf>
    <xf numFmtId="0" fontId="46" fillId="56" borderId="391" applyNumberFormat="0" applyAlignment="0" applyProtection="0"/>
    <xf numFmtId="0" fontId="32" fillId="32" borderId="397">
      <alignment horizontal="right" vertical="center"/>
    </xf>
    <xf numFmtId="0" fontId="29" fillId="13" borderId="13" applyNumberFormat="0" applyAlignment="0" applyProtection="0"/>
    <xf numFmtId="0" fontId="26" fillId="30" borderId="0" applyNumberFormat="0" applyBorder="0" applyAlignment="0" applyProtection="0"/>
    <xf numFmtId="0" fontId="46" fillId="56" borderId="383" applyNumberFormat="0" applyAlignment="0" applyProtection="0"/>
    <xf numFmtId="0" fontId="62" fillId="56" borderId="382" applyNumberFormat="0" applyAlignment="0" applyProtection="0"/>
    <xf numFmtId="0" fontId="32" fillId="34" borderId="380">
      <alignment horizontal="right" vertical="center"/>
    </xf>
    <xf numFmtId="0" fontId="36" fillId="32" borderId="397">
      <alignment horizontal="right" vertical="center"/>
    </xf>
    <xf numFmtId="0" fontId="32" fillId="34" borderId="397">
      <alignment horizontal="right" vertical="center"/>
    </xf>
    <xf numFmtId="0" fontId="34" fillId="0" borderId="407">
      <alignment horizontal="left" vertical="center" wrapText="1" indent="2"/>
    </xf>
    <xf numFmtId="0" fontId="34" fillId="33" borderId="378"/>
    <xf numFmtId="0" fontId="26" fillId="23" borderId="0" applyNumberFormat="0" applyBorder="0" applyAlignment="0" applyProtection="0"/>
    <xf numFmtId="0" fontId="34" fillId="34" borderId="381">
      <alignment horizontal="left" vertical="center" wrapText="1" indent="2"/>
    </xf>
    <xf numFmtId="0" fontId="12" fillId="25" borderId="0" applyNumberFormat="0" applyBorder="0" applyAlignment="0" applyProtection="0"/>
    <xf numFmtId="0" fontId="32" fillId="34" borderId="378">
      <alignment horizontal="right" vertical="center"/>
    </xf>
    <xf numFmtId="0" fontId="40" fillId="59" borderId="377" applyNumberFormat="0" applyFont="0" applyAlignment="0" applyProtection="0"/>
    <xf numFmtId="0" fontId="32" fillId="34" borderId="379">
      <alignment horizontal="right" vertical="center"/>
    </xf>
    <xf numFmtId="0" fontId="32" fillId="34" borderId="398">
      <alignment horizontal="right" vertical="center"/>
    </xf>
    <xf numFmtId="0" fontId="32" fillId="34" borderId="404">
      <alignment horizontal="right" vertical="center"/>
    </xf>
    <xf numFmtId="0" fontId="46" fillId="56" borderId="383" applyNumberFormat="0" applyAlignment="0" applyProtection="0"/>
    <xf numFmtId="0" fontId="49" fillId="43" borderId="383" applyNumberFormat="0" applyAlignment="0" applyProtection="0"/>
    <xf numFmtId="0" fontId="62" fillId="56" borderId="382" applyNumberFormat="0" applyAlignment="0" applyProtection="0"/>
    <xf numFmtId="4" fontId="36" fillId="32" borderId="386">
      <alignment horizontal="right" vertical="center"/>
    </xf>
    <xf numFmtId="0" fontId="1" fillId="0" borderId="0" applyNumberFormat="0" applyFill="0" applyBorder="0" applyAlignment="0" applyProtection="0"/>
    <xf numFmtId="0" fontId="2" fillId="0" borderId="15" applyNumberFormat="0" applyFill="0" applyAlignment="0" applyProtection="0"/>
    <xf numFmtId="4" fontId="34" fillId="33" borderId="378"/>
    <xf numFmtId="0" fontId="34" fillId="0" borderId="378">
      <alignment horizontal="right" vertical="center"/>
    </xf>
    <xf numFmtId="49" fontId="34" fillId="0" borderId="378" applyNumberFormat="0" applyFont="0" applyFill="0" applyBorder="0" applyProtection="0">
      <alignment horizontal="left" vertical="center" indent="2"/>
    </xf>
    <xf numFmtId="0" fontId="34" fillId="33" borderId="410"/>
    <xf numFmtId="0" fontId="26" fillId="26" borderId="0" applyNumberFormat="0" applyBorder="0" applyAlignment="0" applyProtection="0"/>
    <xf numFmtId="0" fontId="46" fillId="56" borderId="391" applyNumberFormat="0" applyAlignment="0" applyProtection="0"/>
    <xf numFmtId="4" fontId="32" fillId="34" borderId="378">
      <alignment horizontal="right" vertical="center"/>
    </xf>
    <xf numFmtId="0" fontId="43" fillId="56" borderId="390" applyNumberFormat="0" applyAlignment="0" applyProtection="0"/>
    <xf numFmtId="4" fontId="34" fillId="0" borderId="418" applyFill="0" applyBorder="0" applyProtection="0">
      <alignment horizontal="right" vertical="center"/>
    </xf>
    <xf numFmtId="0" fontId="40" fillId="59" borderId="396" applyNumberFormat="0" applyFont="0" applyAlignment="0" applyProtection="0"/>
    <xf numFmtId="0" fontId="26" fillId="24" borderId="0" applyNumberFormat="0" applyBorder="0" applyAlignment="0" applyProtection="0"/>
    <xf numFmtId="0" fontId="34" fillId="0" borderId="410">
      <alignment horizontal="right" vertical="center"/>
    </xf>
    <xf numFmtId="49" fontId="33" fillId="0" borderId="378" applyNumberFormat="0" applyFill="0" applyBorder="0" applyProtection="0">
      <alignment horizontal="left" vertical="center"/>
    </xf>
    <xf numFmtId="49" fontId="34" fillId="0" borderId="379" applyNumberFormat="0" applyFont="0" applyFill="0" applyBorder="0" applyProtection="0">
      <alignment horizontal="left" vertical="center" indent="5"/>
    </xf>
    <xf numFmtId="0" fontId="34" fillId="32" borderId="398">
      <alignment horizontal="left" vertical="center"/>
    </xf>
    <xf numFmtId="0" fontId="32" fillId="34" borderId="379">
      <alignment horizontal="right" vertical="center"/>
    </xf>
    <xf numFmtId="0" fontId="12" fillId="28" borderId="0" applyNumberFormat="0" applyBorder="0" applyAlignment="0" applyProtection="0"/>
    <xf numFmtId="0" fontId="62" fillId="56" borderId="382" applyNumberFormat="0" applyAlignment="0" applyProtection="0"/>
    <xf numFmtId="4" fontId="36" fillId="32" borderId="378">
      <alignment horizontal="right" vertical="center"/>
    </xf>
    <xf numFmtId="0" fontId="5" fillId="59" borderId="377" applyNumberFormat="0" applyFont="0" applyAlignment="0" applyProtection="0"/>
    <xf numFmtId="4" fontId="32" fillId="34" borderId="379">
      <alignment horizontal="right" vertical="center"/>
    </xf>
    <xf numFmtId="0" fontId="32" fillId="32" borderId="418">
      <alignment horizontal="right" vertical="center"/>
    </xf>
    <xf numFmtId="0" fontId="26" fillId="18" borderId="0" applyNumberFormat="0" applyBorder="0" applyAlignment="0" applyProtection="0"/>
    <xf numFmtId="0" fontId="32" fillId="32" borderId="378">
      <alignment horizontal="right" vertical="center"/>
    </xf>
    <xf numFmtId="49" fontId="34" fillId="0" borderId="397" applyNumberFormat="0" applyFont="0" applyFill="0" applyBorder="0" applyProtection="0">
      <alignment horizontal="left" vertical="center" indent="2"/>
    </xf>
    <xf numFmtId="0" fontId="26" fillId="21" borderId="0" applyNumberFormat="0" applyBorder="0" applyAlignment="0" applyProtection="0"/>
    <xf numFmtId="0" fontId="49" fillId="43" borderId="383" applyNumberFormat="0" applyAlignment="0" applyProtection="0"/>
    <xf numFmtId="0" fontId="26" fillId="14" borderId="0" applyNumberFormat="0" applyBorder="0" applyAlignment="0" applyProtection="0"/>
    <xf numFmtId="0" fontId="58" fillId="43" borderId="391" applyNumberFormat="0" applyAlignment="0" applyProtection="0"/>
    <xf numFmtId="0" fontId="46" fillId="56" borderId="383" applyNumberFormat="0" applyAlignment="0" applyProtection="0"/>
    <xf numFmtId="0" fontId="65" fillId="0" borderId="384" applyNumberFormat="0" applyFill="0" applyAlignment="0" applyProtection="0"/>
    <xf numFmtId="0" fontId="26" fillId="18" borderId="0" applyNumberFormat="0" applyBorder="0" applyAlignment="0" applyProtection="0"/>
    <xf numFmtId="0" fontId="46" fillId="56" borderId="401" applyNumberFormat="0" applyAlignment="0" applyProtection="0"/>
    <xf numFmtId="0" fontId="32" fillId="34" borderId="386">
      <alignment horizontal="right" vertical="center"/>
    </xf>
    <xf numFmtId="0" fontId="46" fillId="56" borderId="383" applyNumberFormat="0" applyAlignment="0" applyProtection="0"/>
    <xf numFmtId="0" fontId="34" fillId="0" borderId="397">
      <alignment horizontal="right" vertical="center"/>
    </xf>
    <xf numFmtId="0" fontId="34" fillId="34" borderId="381">
      <alignment horizontal="left" vertical="center" wrapText="1" indent="2"/>
    </xf>
    <xf numFmtId="0" fontId="34" fillId="0" borderId="381">
      <alignment horizontal="left" vertical="center" wrapText="1" indent="2"/>
    </xf>
    <xf numFmtId="0" fontId="36" fillId="32" borderId="386">
      <alignment horizontal="right" vertical="center"/>
    </xf>
    <xf numFmtId="0" fontId="46" fillId="56" borderId="383" applyNumberFormat="0" applyAlignment="0" applyProtection="0"/>
    <xf numFmtId="0" fontId="46" fillId="56" borderId="394" applyNumberFormat="0" applyAlignment="0" applyProtection="0"/>
    <xf numFmtId="0" fontId="26" fillId="26" borderId="0" applyNumberFormat="0" applyBorder="0" applyAlignment="0" applyProtection="0"/>
    <xf numFmtId="0" fontId="26" fillId="20" borderId="0" applyNumberFormat="0" applyBorder="0" applyAlignment="0" applyProtection="0"/>
    <xf numFmtId="0" fontId="45" fillId="56" borderId="383" applyNumberFormat="0" applyAlignment="0" applyProtection="0"/>
    <xf numFmtId="0" fontId="28" fillId="13" borderId="14" applyNumberFormat="0" applyAlignment="0" applyProtection="0"/>
    <xf numFmtId="4" fontId="32" fillId="34" borderId="386">
      <alignment horizontal="right" vertical="center"/>
    </xf>
    <xf numFmtId="0" fontId="32" fillId="34" borderId="387">
      <alignment horizontal="right" vertical="center"/>
    </xf>
    <xf numFmtId="4" fontId="32" fillId="32" borderId="378">
      <alignment horizontal="right" vertical="center"/>
    </xf>
    <xf numFmtId="0" fontId="34" fillId="0" borderId="386" applyNumberFormat="0" applyFill="0" applyAlignment="0" applyProtection="0"/>
    <xf numFmtId="4" fontId="32" fillId="34" borderId="378">
      <alignment horizontal="right" vertical="center"/>
    </xf>
    <xf numFmtId="0" fontId="34" fillId="34" borderId="413">
      <alignment horizontal="left" vertical="center" wrapText="1" indent="2"/>
    </xf>
    <xf numFmtId="0" fontId="1" fillId="0" borderId="0" applyNumberFormat="0" applyFill="0" applyBorder="0" applyAlignment="0" applyProtection="0"/>
    <xf numFmtId="0" fontId="40" fillId="59" borderId="396" applyNumberFormat="0" applyFont="0" applyAlignment="0" applyProtection="0"/>
    <xf numFmtId="0" fontId="2" fillId="0" borderId="15" applyNumberFormat="0" applyFill="0" applyAlignment="0" applyProtection="0"/>
    <xf numFmtId="0" fontId="58" fillId="43" borderId="391" applyNumberFormat="0" applyAlignment="0" applyProtection="0"/>
    <xf numFmtId="0" fontId="43" fillId="56" borderId="382" applyNumberFormat="0" applyAlignment="0" applyProtection="0"/>
    <xf numFmtId="0" fontId="29" fillId="13" borderId="13" applyNumberFormat="0" applyAlignment="0" applyProtection="0"/>
    <xf numFmtId="49" fontId="34" fillId="0" borderId="397" applyNumberFormat="0" applyFont="0" applyFill="0" applyBorder="0" applyProtection="0">
      <alignment horizontal="left" vertical="center" indent="2"/>
    </xf>
    <xf numFmtId="0" fontId="65" fillId="0" borderId="384" applyNumberFormat="0" applyFill="0" applyAlignment="0" applyProtection="0"/>
    <xf numFmtId="4" fontId="36" fillId="32" borderId="386">
      <alignment horizontal="right" vertical="center"/>
    </xf>
    <xf numFmtId="0" fontId="65" fillId="0" borderId="395" applyNumberFormat="0" applyFill="0" applyAlignment="0" applyProtection="0"/>
    <xf numFmtId="4" fontId="34" fillId="33" borderId="386"/>
    <xf numFmtId="0" fontId="26" fillId="15" borderId="0" applyNumberFormat="0" applyBorder="0" applyAlignment="0" applyProtection="0"/>
    <xf numFmtId="4" fontId="32" fillId="34" borderId="398">
      <alignment horizontal="right" vertical="center"/>
    </xf>
    <xf numFmtId="49" fontId="33" fillId="0" borderId="378" applyNumberFormat="0" applyFill="0" applyBorder="0" applyProtection="0">
      <alignment horizontal="left" vertical="center"/>
    </xf>
    <xf numFmtId="0" fontId="34" fillId="0" borderId="381">
      <alignment horizontal="left" vertical="center" wrapText="1" indent="2"/>
    </xf>
    <xf numFmtId="0" fontId="32" fillId="34" borderId="386">
      <alignment horizontal="right" vertical="center"/>
    </xf>
    <xf numFmtId="0" fontId="5" fillId="59" borderId="385" applyNumberFormat="0" applyFont="0" applyAlignment="0" applyProtection="0"/>
    <xf numFmtId="0" fontId="26" fillId="26" borderId="0" applyNumberFormat="0" applyBorder="0" applyAlignment="0" applyProtection="0"/>
    <xf numFmtId="0" fontId="32" fillId="34" borderId="379">
      <alignment horizontal="right" vertical="center"/>
    </xf>
    <xf numFmtId="4" fontId="32" fillId="34" borderId="388">
      <alignment horizontal="right" vertical="center"/>
    </xf>
    <xf numFmtId="0" fontId="26" fillId="17" borderId="0" applyNumberFormat="0" applyBorder="0" applyAlignment="0" applyProtection="0"/>
    <xf numFmtId="0" fontId="34" fillId="0" borderId="378">
      <alignment horizontal="right" vertical="center"/>
    </xf>
    <xf numFmtId="0" fontId="43" fillId="56" borderId="390" applyNumberFormat="0" applyAlignment="0" applyProtection="0"/>
    <xf numFmtId="0" fontId="40" fillId="59" borderId="377" applyNumberFormat="0" applyFont="0" applyAlignment="0" applyProtection="0"/>
    <xf numFmtId="0" fontId="12" fillId="31" borderId="0" applyNumberFormat="0" applyBorder="0" applyAlignment="0" applyProtection="0"/>
    <xf numFmtId="0" fontId="34" fillId="0" borderId="386">
      <alignment horizontal="right" vertical="center"/>
    </xf>
    <xf numFmtId="4" fontId="32" fillId="34" borderId="388">
      <alignment horizontal="right" vertical="center"/>
    </xf>
    <xf numFmtId="173" fontId="34" fillId="60" borderId="378" applyNumberFormat="0" applyFont="0" applyBorder="0" applyAlignment="0" applyProtection="0">
      <alignment horizontal="right" vertical="center"/>
    </xf>
    <xf numFmtId="0" fontId="62" fillId="56" borderId="382" applyNumberFormat="0" applyAlignment="0" applyProtection="0"/>
    <xf numFmtId="0" fontId="34" fillId="0" borderId="381">
      <alignment horizontal="left" vertical="center" wrapText="1" indent="2"/>
    </xf>
    <xf numFmtId="0" fontId="32" fillId="34" borderId="388">
      <alignment horizontal="right" vertical="center"/>
    </xf>
    <xf numFmtId="4" fontId="32" fillId="34" borderId="386">
      <alignment horizontal="right" vertical="center"/>
    </xf>
    <xf numFmtId="0" fontId="46" fillId="56" borderId="415" applyNumberFormat="0" applyAlignment="0" applyProtection="0"/>
    <xf numFmtId="0" fontId="2" fillId="0" borderId="15" applyNumberFormat="0" applyFill="0" applyAlignment="0" applyProtection="0"/>
    <xf numFmtId="0" fontId="32" fillId="32" borderId="378">
      <alignment horizontal="right" vertical="center"/>
    </xf>
    <xf numFmtId="0" fontId="34" fillId="34" borderId="389">
      <alignment horizontal="left" vertical="center" wrapText="1" indent="2"/>
    </xf>
    <xf numFmtId="0" fontId="65" fillId="0" borderId="416" applyNumberFormat="0" applyFill="0" applyAlignment="0" applyProtection="0"/>
    <xf numFmtId="0" fontId="40" fillId="59" borderId="377" applyNumberFormat="0" applyFont="0" applyAlignment="0" applyProtection="0"/>
    <xf numFmtId="49" fontId="33" fillId="0" borderId="378" applyNumberFormat="0" applyFill="0" applyBorder="0" applyProtection="0">
      <alignment horizontal="left" vertical="center"/>
    </xf>
    <xf numFmtId="0" fontId="32" fillId="34" borderId="380">
      <alignment horizontal="right" vertical="center"/>
    </xf>
    <xf numFmtId="0" fontId="45" fillId="56" borderId="383" applyNumberFormat="0" applyAlignment="0" applyProtection="0"/>
    <xf numFmtId="4" fontId="34" fillId="0" borderId="378" applyFill="0" applyBorder="0" applyProtection="0">
      <alignment horizontal="right" vertical="center"/>
    </xf>
    <xf numFmtId="0" fontId="50" fillId="0" borderId="392" applyNumberFormat="0" applyFill="0" applyAlignment="0" applyProtection="0"/>
    <xf numFmtId="4" fontId="32" fillId="34" borderId="378">
      <alignment horizontal="right" vertical="center"/>
    </xf>
    <xf numFmtId="0" fontId="36" fillId="32" borderId="386">
      <alignment horizontal="right" vertical="center"/>
    </xf>
    <xf numFmtId="0" fontId="36" fillId="32" borderId="378">
      <alignment horizontal="right" vertical="center"/>
    </xf>
    <xf numFmtId="0" fontId="12" fillId="31" borderId="0" applyNumberFormat="0" applyBorder="0" applyAlignment="0" applyProtection="0"/>
    <xf numFmtId="0" fontId="32" fillId="34" borderId="399">
      <alignment horizontal="right" vertical="center"/>
    </xf>
    <xf numFmtId="0" fontId="40" fillId="59" borderId="396" applyNumberFormat="0" applyFont="0" applyAlignment="0" applyProtection="0"/>
    <xf numFmtId="0" fontId="34" fillId="34" borderId="400">
      <alignment horizontal="left" vertical="center" wrapText="1" indent="2"/>
    </xf>
    <xf numFmtId="4" fontId="32" fillId="34" borderId="379">
      <alignment horizontal="right" vertical="center"/>
    </xf>
    <xf numFmtId="49" fontId="34" fillId="0" borderId="397" applyNumberFormat="0" applyFont="0" applyFill="0" applyBorder="0" applyProtection="0">
      <alignment horizontal="left" vertical="center" indent="2"/>
    </xf>
    <xf numFmtId="49" fontId="34" fillId="0" borderId="378" applyNumberFormat="0" applyFont="0" applyFill="0" applyBorder="0" applyProtection="0">
      <alignment horizontal="left" vertical="center" indent="2"/>
    </xf>
    <xf numFmtId="0" fontId="34" fillId="0" borderId="381">
      <alignment horizontal="left" vertical="center" wrapText="1" indent="2"/>
    </xf>
    <xf numFmtId="0" fontId="34" fillId="0" borderId="407">
      <alignment horizontal="left" vertical="center" wrapText="1" indent="2"/>
    </xf>
    <xf numFmtId="0" fontId="62" fillId="56" borderId="382" applyNumberFormat="0" applyAlignment="0" applyProtection="0"/>
    <xf numFmtId="0" fontId="5" fillId="59" borderId="396" applyNumberFormat="0" applyFont="0" applyAlignment="0" applyProtection="0"/>
    <xf numFmtId="0" fontId="34" fillId="0" borderId="386" applyNumberFormat="0" applyFill="0" applyAlignment="0" applyProtection="0"/>
    <xf numFmtId="173" fontId="34" fillId="60" borderId="378" applyNumberFormat="0" applyFont="0" applyBorder="0" applyAlignment="0" applyProtection="0">
      <alignment horizontal="right" vertical="center"/>
    </xf>
    <xf numFmtId="49" fontId="34" fillId="0" borderId="386" applyNumberFormat="0" applyFont="0" applyFill="0" applyBorder="0" applyProtection="0">
      <alignment horizontal="left" vertical="center" indent="2"/>
    </xf>
    <xf numFmtId="0" fontId="26" fillId="21" borderId="0" applyNumberFormat="0" applyBorder="0" applyAlignment="0" applyProtection="0"/>
    <xf numFmtId="4" fontId="34" fillId="33" borderId="378"/>
    <xf numFmtId="0" fontId="62" fillId="56" borderId="408" applyNumberFormat="0" applyAlignment="0" applyProtection="0"/>
    <xf numFmtId="0" fontId="26" fillId="24" borderId="0" applyNumberFormat="0" applyBorder="0" applyAlignment="0" applyProtection="0"/>
    <xf numFmtId="0" fontId="34" fillId="0" borderId="378" applyNumberFormat="0" applyFill="0" applyAlignment="0" applyProtection="0"/>
    <xf numFmtId="0" fontId="43" fillId="56" borderId="382" applyNumberFormat="0" applyAlignment="0" applyProtection="0"/>
    <xf numFmtId="0" fontId="43" fillId="56" borderId="390" applyNumberFormat="0" applyAlignment="0" applyProtection="0"/>
    <xf numFmtId="0" fontId="26" fillId="23" borderId="0" applyNumberFormat="0" applyBorder="0" applyAlignment="0" applyProtection="0"/>
    <xf numFmtId="0" fontId="26" fillId="17" borderId="0" applyNumberFormat="0" applyBorder="0" applyAlignment="0" applyProtection="0"/>
    <xf numFmtId="0" fontId="32" fillId="34" borderId="379">
      <alignment horizontal="right" vertical="center"/>
    </xf>
    <xf numFmtId="0" fontId="34" fillId="33" borderId="386"/>
    <xf numFmtId="4" fontId="36" fillId="32" borderId="378">
      <alignment horizontal="right" vertical="center"/>
    </xf>
    <xf numFmtId="0" fontId="32" fillId="32" borderId="378">
      <alignment horizontal="right" vertical="center"/>
    </xf>
    <xf numFmtId="0" fontId="26" fillId="26" borderId="0" applyNumberFormat="0" applyBorder="0" applyAlignment="0" applyProtection="0"/>
    <xf numFmtId="0" fontId="65" fillId="0" borderId="392" applyNumberFormat="0" applyFill="0" applyAlignment="0" applyProtection="0"/>
    <xf numFmtId="4" fontId="32" fillId="34" borderId="404">
      <alignment horizontal="right" vertical="center"/>
    </xf>
    <xf numFmtId="173" fontId="34" fillId="60" borderId="404" applyNumberFormat="0" applyFont="0" applyBorder="0" applyAlignment="0" applyProtection="0">
      <alignment horizontal="right" vertical="center"/>
    </xf>
    <xf numFmtId="0" fontId="49" fillId="43" borderId="394" applyNumberFormat="0" applyAlignment="0" applyProtection="0"/>
    <xf numFmtId="0" fontId="46" fillId="56" borderId="401" applyNumberFormat="0" applyAlignment="0" applyProtection="0"/>
    <xf numFmtId="0" fontId="50" fillId="0" borderId="395" applyNumberFormat="0" applyFill="0" applyAlignment="0" applyProtection="0"/>
    <xf numFmtId="0" fontId="34" fillId="34" borderId="381">
      <alignment horizontal="left" vertical="center" wrapText="1" indent="2"/>
    </xf>
    <xf numFmtId="0" fontId="45" fillId="56" borderId="394" applyNumberFormat="0" applyAlignment="0" applyProtection="0"/>
    <xf numFmtId="0" fontId="50" fillId="0" borderId="392" applyNumberFormat="0" applyFill="0" applyAlignment="0" applyProtection="0"/>
    <xf numFmtId="0" fontId="46" fillId="56" borderId="401" applyNumberFormat="0" applyAlignment="0" applyProtection="0"/>
    <xf numFmtId="0" fontId="45" fillId="56" borderId="391" applyNumberFormat="0" applyAlignment="0" applyProtection="0"/>
    <xf numFmtId="0" fontId="26" fillId="17" borderId="0" applyNumberFormat="0" applyBorder="0" applyAlignment="0" applyProtection="0"/>
    <xf numFmtId="0" fontId="32" fillId="34" borderId="397">
      <alignment horizontal="right" vertical="center"/>
    </xf>
    <xf numFmtId="49" fontId="33" fillId="0" borderId="386" applyNumberFormat="0" applyFill="0" applyBorder="0" applyProtection="0">
      <alignment horizontal="left" vertical="center"/>
    </xf>
    <xf numFmtId="0" fontId="34" fillId="0" borderId="381">
      <alignment horizontal="left" vertical="center" wrapText="1" indent="2"/>
    </xf>
    <xf numFmtId="0" fontId="34" fillId="0" borderId="381">
      <alignment horizontal="left" vertical="center" wrapText="1" indent="2"/>
    </xf>
    <xf numFmtId="0" fontId="65" fillId="0" borderId="384" applyNumberFormat="0" applyFill="0" applyAlignment="0" applyProtection="0"/>
    <xf numFmtId="0" fontId="34" fillId="0" borderId="389">
      <alignment horizontal="left" vertical="center" wrapText="1" indent="2"/>
    </xf>
    <xf numFmtId="4" fontId="32" fillId="34" borderId="410">
      <alignment horizontal="right" vertical="center"/>
    </xf>
    <xf numFmtId="0" fontId="32" fillId="32" borderId="378">
      <alignment horizontal="right" vertical="center"/>
    </xf>
    <xf numFmtId="0" fontId="36" fillId="32" borderId="386">
      <alignment horizontal="right" vertical="center"/>
    </xf>
    <xf numFmtId="0" fontId="58" fillId="43" borderId="383" applyNumberFormat="0" applyAlignment="0" applyProtection="0"/>
    <xf numFmtId="4" fontId="36" fillId="32" borderId="378">
      <alignment horizontal="right" vertical="center"/>
    </xf>
    <xf numFmtId="0" fontId="32" fillId="34" borderId="398">
      <alignment horizontal="right" vertical="center"/>
    </xf>
    <xf numFmtId="0" fontId="34" fillId="32" borderId="405">
      <alignment horizontal="left" vertical="center"/>
    </xf>
    <xf numFmtId="0" fontId="26" fillId="23" borderId="0" applyNumberFormat="0" applyBorder="0" applyAlignment="0" applyProtection="0"/>
    <xf numFmtId="0" fontId="46" fillId="56" borderId="394" applyNumberFormat="0" applyAlignment="0" applyProtection="0"/>
    <xf numFmtId="173" fontId="34" fillId="60" borderId="378" applyNumberFormat="0" applyFont="0" applyBorder="0" applyAlignment="0" applyProtection="0">
      <alignment horizontal="right" vertical="center"/>
    </xf>
    <xf numFmtId="0" fontId="40" fillId="59" borderId="377" applyNumberFormat="0" applyFont="0" applyAlignment="0" applyProtection="0"/>
    <xf numFmtId="0" fontId="26" fillId="18" borderId="0" applyNumberFormat="0" applyBorder="0" applyAlignment="0" applyProtection="0"/>
    <xf numFmtId="0" fontId="40" fillId="59" borderId="377" applyNumberFormat="0" applyFont="0" applyAlignment="0" applyProtection="0"/>
    <xf numFmtId="0" fontId="26" fillId="18" borderId="0" applyNumberFormat="0" applyBorder="0" applyAlignment="0" applyProtection="0"/>
    <xf numFmtId="0" fontId="65" fillId="0" borderId="392" applyNumberFormat="0" applyFill="0" applyAlignment="0" applyProtection="0"/>
    <xf numFmtId="4" fontId="32" fillId="34" borderId="388">
      <alignment horizontal="right" vertical="center"/>
    </xf>
    <xf numFmtId="0" fontId="32" fillId="34" borderId="378">
      <alignment horizontal="right" vertical="center"/>
    </xf>
    <xf numFmtId="4" fontId="34" fillId="33" borderId="378"/>
    <xf numFmtId="49" fontId="34" fillId="0" borderId="378" applyNumberFormat="0" applyFont="0" applyFill="0" applyBorder="0" applyProtection="0">
      <alignment horizontal="left" vertical="center" indent="2"/>
    </xf>
    <xf numFmtId="0" fontId="50" fillId="0" borderId="395" applyNumberFormat="0" applyFill="0" applyAlignment="0" applyProtection="0"/>
    <xf numFmtId="0" fontId="32" fillId="32" borderId="404">
      <alignment horizontal="right" vertical="center"/>
    </xf>
    <xf numFmtId="0" fontId="65" fillId="0" borderId="392" applyNumberFormat="0" applyFill="0" applyAlignment="0" applyProtection="0"/>
    <xf numFmtId="0" fontId="12" fillId="25" borderId="0" applyNumberFormat="0" applyBorder="0" applyAlignment="0" applyProtection="0"/>
    <xf numFmtId="0" fontId="26" fillId="15" borderId="0" applyNumberFormat="0" applyBorder="0" applyAlignment="0" applyProtection="0"/>
    <xf numFmtId="0" fontId="26" fillId="29" borderId="0" applyNumberFormat="0" applyBorder="0" applyAlignment="0" applyProtection="0"/>
    <xf numFmtId="0" fontId="62" fillId="56" borderId="393" applyNumberFormat="0" applyAlignment="0" applyProtection="0"/>
    <xf numFmtId="0" fontId="12" fillId="25" borderId="0" applyNumberFormat="0" applyBorder="0" applyAlignment="0" applyProtection="0"/>
    <xf numFmtId="0" fontId="46" fillId="56" borderId="383" applyNumberFormat="0" applyAlignment="0" applyProtection="0"/>
    <xf numFmtId="0" fontId="34" fillId="33" borderId="378"/>
    <xf numFmtId="4" fontId="36" fillId="32" borderId="378">
      <alignment horizontal="right" vertical="center"/>
    </xf>
    <xf numFmtId="0" fontId="65" fillId="0" borderId="384" applyNumberFormat="0" applyFill="0" applyAlignment="0" applyProtection="0"/>
    <xf numFmtId="0" fontId="12" fillId="25" borderId="0" applyNumberFormat="0" applyBorder="0" applyAlignment="0" applyProtection="0"/>
    <xf numFmtId="0" fontId="43" fillId="56" borderId="390" applyNumberFormat="0" applyAlignment="0" applyProtection="0"/>
    <xf numFmtId="0" fontId="62" fillId="56" borderId="393" applyNumberFormat="0" applyAlignment="0" applyProtection="0"/>
    <xf numFmtId="0" fontId="36" fillId="32" borderId="378">
      <alignment horizontal="right" vertical="center"/>
    </xf>
    <xf numFmtId="0" fontId="26" fillId="30" borderId="0" applyNumberFormat="0" applyBorder="0" applyAlignment="0" applyProtection="0"/>
    <xf numFmtId="0" fontId="62" fillId="56" borderId="408" applyNumberFormat="0" applyAlignment="0" applyProtection="0"/>
    <xf numFmtId="0" fontId="62" fillId="56" borderId="382" applyNumberFormat="0" applyAlignment="0" applyProtection="0"/>
    <xf numFmtId="0" fontId="34" fillId="34" borderId="389">
      <alignment horizontal="left" vertical="center" wrapText="1" indent="2"/>
    </xf>
    <xf numFmtId="0" fontId="12" fillId="31" borderId="0" applyNumberFormat="0" applyBorder="0" applyAlignment="0" applyProtection="0"/>
    <xf numFmtId="0" fontId="26" fillId="21" borderId="0" applyNumberFormat="0" applyBorder="0" applyAlignment="0" applyProtection="0"/>
    <xf numFmtId="0" fontId="32" fillId="34" borderId="386">
      <alignment horizontal="right" vertical="center"/>
    </xf>
    <xf numFmtId="4" fontId="32" fillId="32" borderId="378">
      <alignment horizontal="right" vertical="center"/>
    </xf>
    <xf numFmtId="4" fontId="34" fillId="33" borderId="397"/>
    <xf numFmtId="4" fontId="34" fillId="0" borderId="386">
      <alignment horizontal="right" vertical="center"/>
    </xf>
    <xf numFmtId="0" fontId="45" fillId="56" borderId="391" applyNumberFormat="0" applyAlignment="0" applyProtection="0"/>
    <xf numFmtId="0" fontId="65" fillId="0" borderId="392" applyNumberFormat="0" applyFill="0" applyAlignment="0" applyProtection="0"/>
    <xf numFmtId="0" fontId="32" fillId="32" borderId="386">
      <alignment horizontal="right" vertical="center"/>
    </xf>
    <xf numFmtId="0" fontId="26" fillId="29" borderId="0" applyNumberFormat="0" applyBorder="0" applyAlignment="0" applyProtection="0"/>
    <xf numFmtId="0" fontId="32" fillId="34" borderId="378">
      <alignment horizontal="right" vertical="center"/>
    </xf>
    <xf numFmtId="0" fontId="45" fillId="56" borderId="391" applyNumberFormat="0" applyAlignment="0" applyProtection="0"/>
    <xf numFmtId="0" fontId="26" fillId="24" borderId="0" applyNumberFormat="0" applyBorder="0" applyAlignment="0" applyProtection="0"/>
    <xf numFmtId="0" fontId="50" fillId="0" borderId="384" applyNumberFormat="0" applyFill="0" applyAlignment="0" applyProtection="0"/>
    <xf numFmtId="0" fontId="26" fillId="20" borderId="0" applyNumberFormat="0" applyBorder="0" applyAlignment="0" applyProtection="0"/>
    <xf numFmtId="4" fontId="32" fillId="32" borderId="378">
      <alignment horizontal="right" vertical="center"/>
    </xf>
    <xf numFmtId="0" fontId="34" fillId="34" borderId="381">
      <alignment horizontal="left" vertical="center" wrapText="1" indent="2"/>
    </xf>
    <xf numFmtId="0" fontId="46" fillId="56" borderId="383" applyNumberFormat="0" applyAlignment="0" applyProtection="0"/>
    <xf numFmtId="0" fontId="45" fillId="56" borderId="383" applyNumberFormat="0" applyAlignment="0" applyProtection="0"/>
    <xf numFmtId="0" fontId="34" fillId="33" borderId="386"/>
    <xf numFmtId="0" fontId="32" fillId="34" borderId="379">
      <alignment horizontal="right" vertical="center"/>
    </xf>
    <xf numFmtId="0" fontId="40" fillId="59" borderId="396" applyNumberFormat="0" applyFont="0" applyAlignment="0" applyProtection="0"/>
    <xf numFmtId="0" fontId="2" fillId="0" borderId="15" applyNumberFormat="0" applyFill="0" applyAlignment="0" applyProtection="0"/>
    <xf numFmtId="4" fontId="34" fillId="33" borderId="397"/>
    <xf numFmtId="0" fontId="12" fillId="16" borderId="0" applyNumberFormat="0" applyBorder="0" applyAlignment="0" applyProtection="0"/>
    <xf numFmtId="0" fontId="32" fillId="34" borderId="378">
      <alignment horizontal="right" vertical="center"/>
    </xf>
    <xf numFmtId="0" fontId="49" fillId="43" borderId="383" applyNumberFormat="0" applyAlignment="0" applyProtection="0"/>
    <xf numFmtId="0" fontId="36" fillId="32" borderId="386">
      <alignment horizontal="right" vertical="center"/>
    </xf>
    <xf numFmtId="0" fontId="34" fillId="34" borderId="413">
      <alignment horizontal="left" vertical="center" wrapText="1" indent="2"/>
    </xf>
    <xf numFmtId="0" fontId="28" fillId="13" borderId="14" applyNumberFormat="0" applyAlignment="0" applyProtection="0"/>
    <xf numFmtId="0" fontId="5" fillId="59" borderId="385" applyNumberFormat="0" applyFont="0" applyAlignment="0" applyProtection="0"/>
    <xf numFmtId="0" fontId="26" fillId="29" borderId="0" applyNumberFormat="0" applyBorder="0" applyAlignment="0" applyProtection="0"/>
    <xf numFmtId="0" fontId="34" fillId="34" borderId="381">
      <alignment horizontal="left" vertical="center" wrapText="1" indent="2"/>
    </xf>
    <xf numFmtId="0" fontId="26" fillId="27" borderId="0" applyNumberFormat="0" applyBorder="0" applyAlignment="0" applyProtection="0"/>
    <xf numFmtId="0" fontId="58" fillId="43" borderId="391" applyNumberFormat="0" applyAlignment="0" applyProtection="0"/>
    <xf numFmtId="0" fontId="49" fillId="43" borderId="391" applyNumberFormat="0" applyAlignment="0" applyProtection="0"/>
    <xf numFmtId="4" fontId="32" fillId="34" borderId="386">
      <alignment horizontal="right" vertical="center"/>
    </xf>
    <xf numFmtId="4" fontId="34" fillId="0" borderId="378">
      <alignment horizontal="right" vertical="center"/>
    </xf>
    <xf numFmtId="0" fontId="46" fillId="56" borderId="394" applyNumberFormat="0" applyAlignment="0" applyProtection="0"/>
    <xf numFmtId="0" fontId="34" fillId="0" borderId="378">
      <alignment horizontal="right" vertical="center"/>
    </xf>
    <xf numFmtId="4" fontId="32" fillId="34" borderId="410">
      <alignment horizontal="right" vertical="center"/>
    </xf>
    <xf numFmtId="0" fontId="26" fillId="15" borderId="0" applyNumberFormat="0" applyBorder="0" applyAlignment="0" applyProtection="0"/>
    <xf numFmtId="0" fontId="34" fillId="33" borderId="386"/>
    <xf numFmtId="4" fontId="34" fillId="0" borderId="386">
      <alignment horizontal="right" vertical="center"/>
    </xf>
    <xf numFmtId="49" fontId="34" fillId="0" borderId="379" applyNumberFormat="0" applyFont="0" applyFill="0" applyBorder="0" applyProtection="0">
      <alignment horizontal="left" vertical="center" indent="5"/>
    </xf>
    <xf numFmtId="0" fontId="34" fillId="33" borderId="397"/>
    <xf numFmtId="0" fontId="34" fillId="34" borderId="389">
      <alignment horizontal="left" vertical="center" wrapText="1" indent="2"/>
    </xf>
    <xf numFmtId="0" fontId="34" fillId="0" borderId="410" applyNumberFormat="0" applyFill="0" applyAlignment="0" applyProtection="0"/>
    <xf numFmtId="49" fontId="33" fillId="0" borderId="410" applyNumberFormat="0" applyFill="0" applyBorder="0" applyProtection="0">
      <alignment horizontal="left" vertical="center"/>
    </xf>
    <xf numFmtId="0" fontId="34" fillId="32" borderId="379">
      <alignment horizontal="left" vertical="center"/>
    </xf>
    <xf numFmtId="0" fontId="34" fillId="0" borderId="381">
      <alignment horizontal="left" vertical="center" wrapText="1" indent="2"/>
    </xf>
    <xf numFmtId="0" fontId="50" fillId="0" borderId="392" applyNumberFormat="0" applyFill="0" applyAlignment="0" applyProtection="0"/>
    <xf numFmtId="4" fontId="32" fillId="34" borderId="386">
      <alignment horizontal="right" vertical="center"/>
    </xf>
    <xf numFmtId="0" fontId="30" fillId="0" borderId="0" applyNumberFormat="0" applyFill="0" applyBorder="0" applyAlignment="0" applyProtection="0"/>
    <xf numFmtId="4" fontId="34" fillId="0" borderId="404">
      <alignment horizontal="right" vertical="center"/>
    </xf>
    <xf numFmtId="0" fontId="43" fillId="56" borderId="393" applyNumberFormat="0" applyAlignment="0" applyProtection="0"/>
    <xf numFmtId="173" fontId="34" fillId="60" borderId="386" applyNumberFormat="0" applyFont="0" applyBorder="0" applyAlignment="0" applyProtection="0">
      <alignment horizontal="right" vertical="center"/>
    </xf>
    <xf numFmtId="0" fontId="46" fillId="56" borderId="391" applyNumberFormat="0" applyAlignment="0" applyProtection="0"/>
    <xf numFmtId="4" fontId="32" fillId="34" borderId="387">
      <alignment horizontal="right" vertical="center"/>
    </xf>
    <xf numFmtId="0" fontId="34" fillId="34" borderId="400">
      <alignment horizontal="left" vertical="center" wrapText="1" indent="2"/>
    </xf>
    <xf numFmtId="0" fontId="49" fillId="43" borderId="391" applyNumberFormat="0" applyAlignment="0" applyProtection="0"/>
    <xf numFmtId="0" fontId="32" fillId="32" borderId="378">
      <alignment horizontal="right" vertical="center"/>
    </xf>
    <xf numFmtId="0" fontId="50" fillId="0" borderId="384" applyNumberFormat="0" applyFill="0" applyAlignment="0" applyProtection="0"/>
    <xf numFmtId="0" fontId="34" fillId="0" borderId="378" applyNumberFormat="0" applyFill="0" applyAlignment="0" applyProtection="0"/>
    <xf numFmtId="0" fontId="50" fillId="0" borderId="384" applyNumberFormat="0" applyFill="0" applyAlignment="0" applyProtection="0"/>
    <xf numFmtId="4" fontId="34" fillId="0" borderId="378" applyFill="0" applyBorder="0" applyProtection="0">
      <alignment horizontal="right" vertical="center"/>
    </xf>
    <xf numFmtId="49" fontId="34" fillId="0" borderId="379" applyNumberFormat="0" applyFont="0" applyFill="0" applyBorder="0" applyProtection="0">
      <alignment horizontal="left" vertical="center" indent="5"/>
    </xf>
    <xf numFmtId="0" fontId="34" fillId="0" borderId="378" applyNumberFormat="0" applyFill="0" applyAlignment="0" applyProtection="0"/>
    <xf numFmtId="4" fontId="34" fillId="0" borderId="397">
      <alignment horizontal="right" vertical="center"/>
    </xf>
    <xf numFmtId="0" fontId="34" fillId="0" borderId="378" applyNumberFormat="0" applyFill="0" applyAlignment="0" applyProtection="0"/>
    <xf numFmtId="0" fontId="34" fillId="0" borderId="389">
      <alignment horizontal="left" vertical="center" wrapText="1" indent="2"/>
    </xf>
    <xf numFmtId="0" fontId="34" fillId="0" borderId="407">
      <alignment horizontal="left" vertical="center" wrapText="1" indent="2"/>
    </xf>
    <xf numFmtId="4" fontId="32" fillId="34" borderId="378">
      <alignment horizontal="right" vertical="center"/>
    </xf>
    <xf numFmtId="49" fontId="34" fillId="0" borderId="386" applyNumberFormat="0" applyFont="0" applyFill="0" applyBorder="0" applyProtection="0">
      <alignment horizontal="left" vertical="center" indent="2"/>
    </xf>
    <xf numFmtId="0" fontId="34" fillId="33" borderId="386"/>
    <xf numFmtId="0" fontId="12" fillId="22" borderId="0" applyNumberFormat="0" applyBorder="0" applyAlignment="0" applyProtection="0"/>
    <xf numFmtId="4" fontId="32" fillId="32" borderId="410">
      <alignment horizontal="right" vertical="center"/>
    </xf>
    <xf numFmtId="0" fontId="49" fillId="43" borderId="383" applyNumberFormat="0" applyAlignment="0" applyProtection="0"/>
    <xf numFmtId="0" fontId="46" fillId="56" borderId="383" applyNumberFormat="0" applyAlignment="0" applyProtection="0"/>
    <xf numFmtId="4" fontId="34" fillId="0" borderId="378">
      <alignment horizontal="right" vertical="center"/>
    </xf>
    <xf numFmtId="0" fontId="34" fillId="34" borderId="381">
      <alignment horizontal="left" vertical="center" wrapText="1" indent="2"/>
    </xf>
    <xf numFmtId="0" fontId="34" fillId="0" borderId="381">
      <alignment horizontal="left" vertical="center" wrapText="1" indent="2"/>
    </xf>
    <xf numFmtId="0" fontId="62" fillId="56" borderId="382" applyNumberFormat="0" applyAlignment="0" applyProtection="0"/>
    <xf numFmtId="0" fontId="58" fillId="43" borderId="383" applyNumberFormat="0" applyAlignment="0" applyProtection="0"/>
    <xf numFmtId="0" fontId="45" fillId="56" borderId="383" applyNumberFormat="0" applyAlignment="0" applyProtection="0"/>
    <xf numFmtId="0" fontId="43" fillId="56" borderId="382" applyNumberFormat="0" applyAlignment="0" applyProtection="0"/>
    <xf numFmtId="0" fontId="32" fillId="34" borderId="380">
      <alignment horizontal="right" vertical="center"/>
    </xf>
    <xf numFmtId="0" fontId="36" fillId="32" borderId="378">
      <alignment horizontal="right" vertical="center"/>
    </xf>
    <xf numFmtId="4" fontId="32" fillId="32" borderId="378">
      <alignment horizontal="right" vertical="center"/>
    </xf>
    <xf numFmtId="4" fontId="32" fillId="34" borderId="378">
      <alignment horizontal="right" vertical="center"/>
    </xf>
    <xf numFmtId="49" fontId="34" fillId="0" borderId="379" applyNumberFormat="0" applyFont="0" applyFill="0" applyBorder="0" applyProtection="0">
      <alignment horizontal="left" vertical="center" indent="5"/>
    </xf>
    <xf numFmtId="4" fontId="34" fillId="0" borderId="378" applyFill="0" applyBorder="0" applyProtection="0">
      <alignment horizontal="right" vertical="center"/>
    </xf>
    <xf numFmtId="4" fontId="32" fillId="32" borderId="378">
      <alignment horizontal="right" vertical="center"/>
    </xf>
    <xf numFmtId="0" fontId="58" fillId="43" borderId="383" applyNumberFormat="0" applyAlignment="0" applyProtection="0"/>
    <xf numFmtId="0" fontId="49" fillId="43" borderId="383" applyNumberFormat="0" applyAlignment="0" applyProtection="0"/>
    <xf numFmtId="0" fontId="45" fillId="56" borderId="383" applyNumberFormat="0" applyAlignment="0" applyProtection="0"/>
    <xf numFmtId="0" fontId="34" fillId="34" borderId="381">
      <alignment horizontal="left" vertical="center" wrapText="1" indent="2"/>
    </xf>
    <xf numFmtId="0" fontId="34" fillId="0" borderId="381">
      <alignment horizontal="left" vertical="center" wrapText="1" indent="2"/>
    </xf>
    <xf numFmtId="0" fontId="34" fillId="34" borderId="381">
      <alignment horizontal="left" vertical="center" wrapText="1" indent="2"/>
    </xf>
    <xf numFmtId="0" fontId="34" fillId="32" borderId="387">
      <alignment horizontal="left" vertical="center"/>
    </xf>
    <xf numFmtId="0" fontId="49" fillId="43" borderId="401" applyNumberFormat="0" applyAlignment="0" applyProtection="0"/>
    <xf numFmtId="0" fontId="26" fillId="20" borderId="0" applyNumberFormat="0" applyBorder="0" applyAlignment="0" applyProtection="0"/>
    <xf numFmtId="0" fontId="32" fillId="34" borderId="399">
      <alignment horizontal="right" vertical="center"/>
    </xf>
    <xf numFmtId="0" fontId="1" fillId="0" borderId="0" applyNumberFormat="0" applyFill="0" applyBorder="0" applyAlignment="0" applyProtection="0"/>
    <xf numFmtId="4" fontId="32" fillId="34" borderId="397">
      <alignment horizontal="right" vertical="center"/>
    </xf>
    <xf numFmtId="4" fontId="34" fillId="33" borderId="397"/>
    <xf numFmtId="4" fontId="32" fillId="34" borderId="397">
      <alignment horizontal="right" vertical="center"/>
    </xf>
    <xf numFmtId="4" fontId="32" fillId="34" borderId="429">
      <alignment horizontal="right" vertical="center"/>
    </xf>
    <xf numFmtId="4" fontId="34" fillId="0" borderId="404" applyFill="0" applyBorder="0" applyProtection="0">
      <alignment horizontal="right" vertical="center"/>
    </xf>
    <xf numFmtId="0" fontId="45" fillId="56" borderId="394" applyNumberFormat="0" applyAlignment="0" applyProtection="0"/>
    <xf numFmtId="0" fontId="26" fillId="20" borderId="0" applyNumberFormat="0" applyBorder="0" applyAlignment="0" applyProtection="0"/>
    <xf numFmtId="0" fontId="65" fillId="0" borderId="395" applyNumberFormat="0" applyFill="0" applyAlignment="0" applyProtection="0"/>
    <xf numFmtId="0" fontId="46" fillId="56" borderId="394" applyNumberFormat="0" applyAlignment="0" applyProtection="0"/>
    <xf numFmtId="0" fontId="26" fillId="14" borderId="0" applyNumberFormat="0" applyBorder="0" applyAlignment="0" applyProtection="0"/>
    <xf numFmtId="49" fontId="34" fillId="0" borderId="410" applyNumberFormat="0" applyFont="0" applyFill="0" applyBorder="0" applyProtection="0">
      <alignment horizontal="left" vertical="center" indent="2"/>
    </xf>
    <xf numFmtId="4" fontId="34" fillId="33" borderId="404"/>
    <xf numFmtId="0" fontId="34" fillId="34" borderId="400">
      <alignment horizontal="left" vertical="center" wrapText="1" indent="2"/>
    </xf>
    <xf numFmtId="173" fontId="34" fillId="60" borderId="397" applyNumberFormat="0" applyFont="0" applyBorder="0" applyAlignment="0" applyProtection="0">
      <alignment horizontal="right" vertical="center"/>
    </xf>
    <xf numFmtId="0" fontId="34" fillId="0" borderId="400">
      <alignment horizontal="left" vertical="center" wrapText="1" indent="2"/>
    </xf>
    <xf numFmtId="0" fontId="26" fillId="20" borderId="0" applyNumberFormat="0" applyBorder="0" applyAlignment="0" applyProtection="0"/>
    <xf numFmtId="0" fontId="30" fillId="0" borderId="0" applyNumberFormat="0" applyFill="0" applyBorder="0" applyAlignment="0" applyProtection="0"/>
    <xf numFmtId="0" fontId="46" fillId="56" borderId="394" applyNumberFormat="0" applyAlignment="0" applyProtection="0"/>
    <xf numFmtId="0" fontId="43" fillId="56" borderId="393" applyNumberFormat="0" applyAlignment="0" applyProtection="0"/>
    <xf numFmtId="0" fontId="43" fillId="56" borderId="393" applyNumberFormat="0" applyAlignment="0" applyProtection="0"/>
    <xf numFmtId="0" fontId="49" fillId="43" borderId="394" applyNumberFormat="0" applyAlignment="0" applyProtection="0"/>
    <xf numFmtId="0" fontId="36" fillId="32" borderId="404">
      <alignment horizontal="right" vertical="center"/>
    </xf>
    <xf numFmtId="0" fontId="50" fillId="0" borderId="395" applyNumberFormat="0" applyFill="0" applyAlignment="0" applyProtection="0"/>
    <xf numFmtId="0" fontId="34" fillId="32" borderId="398">
      <alignment horizontal="left" vertical="center"/>
    </xf>
    <xf numFmtId="0" fontId="40" fillId="59" borderId="417" applyNumberFormat="0" applyFont="0" applyAlignment="0" applyProtection="0"/>
    <xf numFmtId="0" fontId="40" fillId="59" borderId="385" applyNumberFormat="0" applyFont="0" applyAlignment="0" applyProtection="0"/>
    <xf numFmtId="4" fontId="36" fillId="32" borderId="418">
      <alignment horizontal="right" vertical="center"/>
    </xf>
    <xf numFmtId="4" fontId="32" fillId="34" borderId="397">
      <alignment horizontal="right" vertical="center"/>
    </xf>
    <xf numFmtId="0" fontId="5" fillId="59" borderId="385" applyNumberFormat="0" applyFont="0" applyAlignment="0" applyProtection="0"/>
    <xf numFmtId="0" fontId="32" fillId="34" borderId="410">
      <alignment horizontal="right" vertical="center"/>
    </xf>
    <xf numFmtId="0" fontId="29" fillId="13" borderId="13" applyNumberFormat="0" applyAlignment="0" applyProtection="0"/>
    <xf numFmtId="0" fontId="65" fillId="0" borderId="416" applyNumberFormat="0" applyFill="0" applyAlignment="0" applyProtection="0"/>
    <xf numFmtId="0" fontId="34" fillId="32" borderId="405">
      <alignment horizontal="left" vertical="center"/>
    </xf>
    <xf numFmtId="0" fontId="32" fillId="34" borderId="406">
      <alignment horizontal="right" vertical="center"/>
    </xf>
    <xf numFmtId="0" fontId="32" fillId="32" borderId="397">
      <alignment horizontal="right" vertical="center"/>
    </xf>
    <xf numFmtId="0" fontId="49" fillId="43" borderId="394" applyNumberFormat="0" applyAlignment="0" applyProtection="0"/>
    <xf numFmtId="0" fontId="65" fillId="0" borderId="395" applyNumberFormat="0" applyFill="0" applyAlignment="0" applyProtection="0"/>
    <xf numFmtId="0" fontId="26" fillId="27" borderId="0" applyNumberFormat="0" applyBorder="0" applyAlignment="0" applyProtection="0"/>
    <xf numFmtId="0" fontId="58" fillId="43" borderId="391" applyNumberFormat="0" applyAlignment="0" applyProtection="0"/>
    <xf numFmtId="0" fontId="34" fillId="0" borderId="397">
      <alignment horizontal="right" vertical="center"/>
    </xf>
    <xf numFmtId="0" fontId="34" fillId="34" borderId="389">
      <alignment horizontal="left" vertical="center" wrapText="1" indent="2"/>
    </xf>
    <xf numFmtId="4" fontId="36" fillId="32" borderId="386">
      <alignment horizontal="right" vertical="center"/>
    </xf>
    <xf numFmtId="0" fontId="65" fillId="0" borderId="416" applyNumberFormat="0" applyFill="0" applyAlignment="0" applyProtection="0"/>
    <xf numFmtId="0" fontId="49" fillId="43" borderId="401" applyNumberFormat="0" applyAlignment="0" applyProtection="0"/>
    <xf numFmtId="0" fontId="1" fillId="0" borderId="0" applyNumberFormat="0" applyFill="0" applyBorder="0" applyAlignment="0" applyProtection="0"/>
    <xf numFmtId="4" fontId="34" fillId="33" borderId="410"/>
    <xf numFmtId="0" fontId="26" fillId="21" borderId="0" applyNumberFormat="0" applyBorder="0" applyAlignment="0" applyProtection="0"/>
    <xf numFmtId="4" fontId="34" fillId="33" borderId="404"/>
    <xf numFmtId="0" fontId="43" fillId="56" borderId="393" applyNumberFormat="0" applyAlignment="0" applyProtection="0"/>
    <xf numFmtId="0" fontId="2" fillId="0" borderId="15" applyNumberFormat="0" applyFill="0" applyAlignment="0" applyProtection="0"/>
    <xf numFmtId="0" fontId="62" fillId="56" borderId="393" applyNumberFormat="0" applyAlignment="0" applyProtection="0"/>
    <xf numFmtId="0" fontId="65" fillId="0" borderId="402" applyNumberFormat="0" applyFill="0" applyAlignment="0" applyProtection="0"/>
    <xf numFmtId="4" fontId="36" fillId="32" borderId="386">
      <alignment horizontal="right" vertical="center"/>
    </xf>
    <xf numFmtId="4" fontId="32" fillId="32" borderId="386">
      <alignment horizontal="right" vertical="center"/>
    </xf>
    <xf numFmtId="0" fontId="34" fillId="0" borderId="389">
      <alignment horizontal="left" vertical="center" wrapText="1" indent="2"/>
    </xf>
    <xf numFmtId="0" fontId="62" fillId="56" borderId="390" applyNumberFormat="0" applyAlignment="0" applyProtection="0"/>
    <xf numFmtId="0" fontId="34" fillId="0" borderId="386">
      <alignment horizontal="right" vertical="center"/>
    </xf>
    <xf numFmtId="0" fontId="65" fillId="0" borderId="392" applyNumberFormat="0" applyFill="0" applyAlignment="0" applyProtection="0"/>
    <xf numFmtId="49" fontId="33" fillId="0" borderId="386" applyNumberFormat="0" applyFill="0" applyBorder="0" applyProtection="0">
      <alignment horizontal="left" vertical="center"/>
    </xf>
    <xf numFmtId="4" fontId="34" fillId="33" borderId="386"/>
    <xf numFmtId="0" fontId="58" fillId="43" borderId="391" applyNumberFormat="0" applyAlignment="0" applyProtection="0"/>
    <xf numFmtId="4" fontId="32" fillId="32" borderId="397">
      <alignment horizontal="right" vertical="center"/>
    </xf>
    <xf numFmtId="0" fontId="32" fillId="34" borderId="397">
      <alignment horizontal="right" vertical="center"/>
    </xf>
    <xf numFmtId="173" fontId="34" fillId="60" borderId="386" applyNumberFormat="0" applyFont="0" applyBorder="0" applyAlignment="0" applyProtection="0">
      <alignment horizontal="right" vertical="center"/>
    </xf>
    <xf numFmtId="4" fontId="36" fillId="32" borderId="397">
      <alignment horizontal="right" vertical="center"/>
    </xf>
    <xf numFmtId="0" fontId="46" fillId="56" borderId="391" applyNumberFormat="0" applyAlignment="0" applyProtection="0"/>
    <xf numFmtId="0" fontId="32" fillId="34" borderId="404">
      <alignment horizontal="right" vertical="center"/>
    </xf>
    <xf numFmtId="0" fontId="34" fillId="0" borderId="397" applyNumberFormat="0" applyFill="0" applyAlignment="0" applyProtection="0"/>
    <xf numFmtId="4" fontId="32" fillId="34" borderId="410">
      <alignment horizontal="right" vertical="center"/>
    </xf>
    <xf numFmtId="0" fontId="58" fillId="43" borderId="391" applyNumberFormat="0" applyAlignment="0" applyProtection="0"/>
    <xf numFmtId="0" fontId="43" fillId="56" borderId="390" applyNumberFormat="0" applyAlignment="0" applyProtection="0"/>
    <xf numFmtId="4" fontId="32" fillId="34" borderId="399">
      <alignment horizontal="right" vertical="center"/>
    </xf>
    <xf numFmtId="49" fontId="33" fillId="0" borderId="386" applyNumberFormat="0" applyFill="0" applyBorder="0" applyProtection="0">
      <alignment horizontal="left" vertical="center"/>
    </xf>
    <xf numFmtId="0" fontId="65" fillId="0" borderId="392" applyNumberFormat="0" applyFill="0" applyAlignment="0" applyProtection="0"/>
    <xf numFmtId="0" fontId="34" fillId="0" borderId="386">
      <alignment horizontal="right" vertical="center"/>
    </xf>
    <xf numFmtId="0" fontId="32" fillId="34" borderId="387">
      <alignment horizontal="right" vertical="center"/>
    </xf>
    <xf numFmtId="0" fontId="65" fillId="0" borderId="392" applyNumberFormat="0" applyFill="0" applyAlignment="0" applyProtection="0"/>
    <xf numFmtId="0" fontId="26" fillId="14" borderId="0" applyNumberFormat="0" applyBorder="0" applyAlignment="0" applyProtection="0"/>
    <xf numFmtId="0" fontId="36" fillId="32" borderId="429">
      <alignment horizontal="right" vertical="center"/>
    </xf>
    <xf numFmtId="4" fontId="32" fillId="32" borderId="418">
      <alignment horizontal="right" vertical="center"/>
    </xf>
    <xf numFmtId="0" fontId="34" fillId="0" borderId="407">
      <alignment horizontal="left" vertical="center" wrapText="1" indent="2"/>
    </xf>
    <xf numFmtId="0" fontId="58" fillId="43" borderId="401" applyNumberFormat="0" applyAlignment="0" applyProtection="0"/>
    <xf numFmtId="0" fontId="65" fillId="0" borderId="395" applyNumberFormat="0" applyFill="0" applyAlignment="0" applyProtection="0"/>
    <xf numFmtId="0" fontId="32" fillId="34" borderId="404">
      <alignment horizontal="right" vertical="center"/>
    </xf>
    <xf numFmtId="0" fontId="40" fillId="59" borderId="396" applyNumberFormat="0" applyFont="0" applyAlignment="0" applyProtection="0"/>
    <xf numFmtId="4" fontId="34" fillId="0" borderId="386" applyFill="0" applyBorder="0" applyProtection="0">
      <alignment horizontal="right" vertical="center"/>
    </xf>
    <xf numFmtId="0" fontId="28" fillId="13" borderId="14" applyNumberFormat="0" applyAlignment="0" applyProtection="0"/>
    <xf numFmtId="49" fontId="33" fillId="0" borderId="404" applyNumberFormat="0" applyFill="0" applyBorder="0" applyProtection="0">
      <alignment horizontal="left" vertical="center"/>
    </xf>
    <xf numFmtId="0" fontId="34" fillId="0" borderId="410">
      <alignment horizontal="right" vertical="center"/>
    </xf>
    <xf numFmtId="0" fontId="34" fillId="0" borderId="397">
      <alignment horizontal="right" vertical="center"/>
    </xf>
    <xf numFmtId="4" fontId="36" fillId="32" borderId="418">
      <alignment horizontal="right" vertical="center"/>
    </xf>
    <xf numFmtId="0" fontId="34" fillId="0" borderId="389">
      <alignment horizontal="left" vertical="center" wrapText="1" indent="2"/>
    </xf>
    <xf numFmtId="0" fontId="12" fillId="19" borderId="0" applyNumberFormat="0" applyBorder="0" applyAlignment="0" applyProtection="0"/>
    <xf numFmtId="0" fontId="65" fillId="0" borderId="392" applyNumberFormat="0" applyFill="0" applyAlignment="0" applyProtection="0"/>
    <xf numFmtId="0" fontId="43" fillId="56" borderId="390" applyNumberFormat="0" applyAlignment="0" applyProtection="0"/>
    <xf numFmtId="0" fontId="32" fillId="34" borderId="386">
      <alignment horizontal="right" vertical="center"/>
    </xf>
    <xf numFmtId="0" fontId="45" fillId="56" borderId="391" applyNumberFormat="0" applyAlignment="0" applyProtection="0"/>
    <xf numFmtId="0" fontId="34" fillId="0" borderId="410">
      <alignment horizontal="right" vertical="center"/>
    </xf>
    <xf numFmtId="4" fontId="36" fillId="32" borderId="410">
      <alignment horizontal="right" vertical="center"/>
    </xf>
    <xf numFmtId="0" fontId="34" fillId="32" borderId="387">
      <alignment horizontal="left" vertical="center"/>
    </xf>
    <xf numFmtId="0" fontId="32" fillId="32" borderId="397">
      <alignment horizontal="right" vertical="center"/>
    </xf>
    <xf numFmtId="4" fontId="34" fillId="33" borderId="397"/>
    <xf numFmtId="0" fontId="65" fillId="0" borderId="395" applyNumberFormat="0" applyFill="0" applyAlignment="0" applyProtection="0"/>
    <xf numFmtId="0" fontId="32" fillId="32" borderId="386">
      <alignment horizontal="right" vertical="center"/>
    </xf>
    <xf numFmtId="4" fontId="34" fillId="0" borderId="397">
      <alignment horizontal="right" vertical="center"/>
    </xf>
    <xf numFmtId="0" fontId="5" fillId="59" borderId="396" applyNumberFormat="0" applyFont="0" applyAlignment="0" applyProtection="0"/>
    <xf numFmtId="0" fontId="50" fillId="0" borderId="392" applyNumberFormat="0" applyFill="0" applyAlignment="0" applyProtection="0"/>
    <xf numFmtId="49" fontId="33" fillId="0" borderId="410" applyNumberFormat="0" applyFill="0" applyBorder="0" applyProtection="0">
      <alignment horizontal="left" vertical="center"/>
    </xf>
    <xf numFmtId="0" fontId="34" fillId="0" borderId="386">
      <alignment horizontal="right" vertical="center"/>
    </xf>
    <xf numFmtId="0" fontId="5" fillId="59" borderId="385" applyNumberFormat="0" applyFont="0" applyAlignment="0" applyProtection="0"/>
    <xf numFmtId="0" fontId="58" fillId="43" borderId="401" applyNumberFormat="0" applyAlignment="0" applyProtection="0"/>
    <xf numFmtId="0" fontId="65" fillId="0" borderId="402" applyNumberFormat="0" applyFill="0" applyAlignment="0" applyProtection="0"/>
    <xf numFmtId="0" fontId="50" fillId="0" borderId="416" applyNumberFormat="0" applyFill="0" applyAlignment="0" applyProtection="0"/>
    <xf numFmtId="0" fontId="12" fillId="31" borderId="0" applyNumberFormat="0" applyBorder="0" applyAlignment="0" applyProtection="0"/>
    <xf numFmtId="0" fontId="58" fillId="43" borderId="391" applyNumberFormat="0" applyAlignment="0" applyProtection="0"/>
    <xf numFmtId="0" fontId="50" fillId="0" borderId="402" applyNumberFormat="0" applyFill="0" applyAlignment="0" applyProtection="0"/>
    <xf numFmtId="49" fontId="34" fillId="0" borderId="387" applyNumberFormat="0" applyFont="0" applyFill="0" applyBorder="0" applyProtection="0">
      <alignment horizontal="left" vertical="center" indent="5"/>
    </xf>
    <xf numFmtId="4" fontId="32" fillId="34" borderId="397">
      <alignment horizontal="right" vertical="center"/>
    </xf>
    <xf numFmtId="0" fontId="34" fillId="0" borderId="386" applyNumberFormat="0" applyFill="0" applyAlignment="0" applyProtection="0"/>
    <xf numFmtId="0" fontId="50" fillId="0" borderId="392" applyNumberFormat="0" applyFill="0" applyAlignment="0" applyProtection="0"/>
    <xf numFmtId="0" fontId="62" fillId="56" borderId="390" applyNumberFormat="0" applyAlignment="0" applyProtection="0"/>
    <xf numFmtId="4" fontId="32" fillId="34" borderId="386">
      <alignment horizontal="right" vertical="center"/>
    </xf>
    <xf numFmtId="4" fontId="34" fillId="33" borderId="386"/>
    <xf numFmtId="0" fontId="65" fillId="0" borderId="392" applyNumberFormat="0" applyFill="0" applyAlignment="0" applyProtection="0"/>
    <xf numFmtId="0" fontId="43" fillId="56" borderId="408" applyNumberFormat="0" applyAlignment="0" applyProtection="0"/>
    <xf numFmtId="0" fontId="43" fillId="56" borderId="390" applyNumberFormat="0" applyAlignment="0" applyProtection="0"/>
    <xf numFmtId="0" fontId="45" fillId="56" borderId="391" applyNumberFormat="0" applyAlignment="0" applyProtection="0"/>
    <xf numFmtId="0" fontId="46" fillId="56" borderId="391" applyNumberFormat="0" applyAlignment="0" applyProtection="0"/>
    <xf numFmtId="0" fontId="62" fillId="56" borderId="390" applyNumberFormat="0" applyAlignment="0" applyProtection="0"/>
    <xf numFmtId="0" fontId="32" fillId="34" borderId="388">
      <alignment horizontal="right" vertical="center"/>
    </xf>
    <xf numFmtId="0" fontId="34" fillId="0" borderId="386" applyNumberFormat="0" applyFill="0" applyAlignment="0" applyProtection="0"/>
    <xf numFmtId="49" fontId="34" fillId="0" borderId="387" applyNumberFormat="0" applyFont="0" applyFill="0" applyBorder="0" applyProtection="0">
      <alignment horizontal="left" vertical="center" indent="5"/>
    </xf>
    <xf numFmtId="0" fontId="65" fillId="0" borderId="392" applyNumberFormat="0" applyFill="0" applyAlignment="0" applyProtection="0"/>
    <xf numFmtId="0" fontId="34" fillId="0" borderId="386" applyNumberFormat="0" applyFill="0" applyAlignment="0" applyProtection="0"/>
    <xf numFmtId="0" fontId="5" fillId="59" borderId="396" applyNumberFormat="0" applyFont="0" applyAlignment="0" applyProtection="0"/>
    <xf numFmtId="0" fontId="26" fillId="18" borderId="0" applyNumberFormat="0" applyBorder="0" applyAlignment="0" applyProtection="0"/>
    <xf numFmtId="49" fontId="33" fillId="0" borderId="404" applyNumberFormat="0" applyFill="0" applyBorder="0" applyProtection="0">
      <alignment horizontal="left" vertical="center"/>
    </xf>
    <xf numFmtId="0" fontId="34" fillId="0" borderId="407">
      <alignment horizontal="left" vertical="center" wrapText="1" indent="2"/>
    </xf>
    <xf numFmtId="0" fontId="26" fillId="24" borderId="0" applyNumberFormat="0" applyBorder="0" applyAlignment="0" applyProtection="0"/>
    <xf numFmtId="0" fontId="32" fillId="34" borderId="398">
      <alignment horizontal="right" vertical="center"/>
    </xf>
    <xf numFmtId="0" fontId="34" fillId="0" borderId="397" applyNumberFormat="0" applyFill="0" applyAlignment="0" applyProtection="0"/>
    <xf numFmtId="0" fontId="40" fillId="59" borderId="385" applyNumberFormat="0" applyFont="0" applyAlignment="0" applyProtection="0"/>
    <xf numFmtId="0" fontId="45" fillId="56" borderId="423" applyNumberFormat="0" applyAlignment="0" applyProtection="0"/>
    <xf numFmtId="0" fontId="30" fillId="0" borderId="0" applyNumberFormat="0" applyFill="0" applyBorder="0" applyAlignment="0" applyProtection="0"/>
    <xf numFmtId="0" fontId="58" fillId="43" borderId="394" applyNumberFormat="0" applyAlignment="0" applyProtection="0"/>
    <xf numFmtId="0" fontId="32" fillId="32" borderId="397">
      <alignment horizontal="right" vertical="center"/>
    </xf>
    <xf numFmtId="4" fontId="32" fillId="34" borderId="398">
      <alignment horizontal="right" vertical="center"/>
    </xf>
    <xf numFmtId="173" fontId="34" fillId="60" borderId="397" applyNumberFormat="0" applyFont="0" applyBorder="0" applyAlignment="0" applyProtection="0">
      <alignment horizontal="right" vertical="center"/>
    </xf>
    <xf numFmtId="0" fontId="34" fillId="34" borderId="421">
      <alignment horizontal="left" vertical="center" wrapText="1" indent="2"/>
    </xf>
    <xf numFmtId="0" fontId="32" fillId="34" borderId="397">
      <alignment horizontal="right" vertical="center"/>
    </xf>
    <xf numFmtId="4" fontId="32" fillId="34" borderId="399">
      <alignment horizontal="right" vertical="center"/>
    </xf>
    <xf numFmtId="0" fontId="32" fillId="34" borderId="404">
      <alignment horizontal="right" vertical="center"/>
    </xf>
    <xf numFmtId="0" fontId="34" fillId="0" borderId="389">
      <alignment horizontal="left" vertical="center" wrapText="1" indent="2"/>
    </xf>
    <xf numFmtId="0" fontId="58" fillId="43" borderId="394" applyNumberFormat="0" applyAlignment="0" applyProtection="0"/>
    <xf numFmtId="4" fontId="32" fillId="32" borderId="386">
      <alignment horizontal="right" vertical="center"/>
    </xf>
    <xf numFmtId="4" fontId="32" fillId="34" borderId="397">
      <alignment horizontal="right" vertical="center"/>
    </xf>
    <xf numFmtId="0" fontId="49" fillId="43" borderId="394" applyNumberFormat="0" applyAlignment="0" applyProtection="0"/>
    <xf numFmtId="0" fontId="62" fillId="56" borderId="390" applyNumberFormat="0" applyAlignment="0" applyProtection="0"/>
    <xf numFmtId="49" fontId="34" fillId="0" borderId="387" applyNumberFormat="0" applyFont="0" applyFill="0" applyBorder="0" applyProtection="0">
      <alignment horizontal="left" vertical="center" indent="5"/>
    </xf>
    <xf numFmtId="4" fontId="34" fillId="0" borderId="386">
      <alignment horizontal="right" vertical="center"/>
    </xf>
    <xf numFmtId="0" fontId="5" fillId="59" borderId="396" applyNumberFormat="0" applyFont="0" applyAlignment="0" applyProtection="0"/>
    <xf numFmtId="0" fontId="5" fillId="59" borderId="403" applyNumberFormat="0" applyFont="0" applyAlignment="0" applyProtection="0"/>
    <xf numFmtId="0" fontId="46" fillId="56" borderId="401" applyNumberFormat="0" applyAlignment="0" applyProtection="0"/>
    <xf numFmtId="0" fontId="26" fillId="29" borderId="0" applyNumberFormat="0" applyBorder="0" applyAlignment="0" applyProtection="0"/>
    <xf numFmtId="0" fontId="50" fillId="0" borderId="392" applyNumberFormat="0" applyFill="0" applyAlignment="0" applyProtection="0"/>
    <xf numFmtId="0" fontId="50" fillId="0" borderId="402" applyNumberFormat="0" applyFill="0" applyAlignment="0" applyProtection="0"/>
    <xf numFmtId="4" fontId="32" fillId="34" borderId="388">
      <alignment horizontal="right" vertical="center"/>
    </xf>
    <xf numFmtId="4" fontId="32" fillId="34" borderId="386">
      <alignment horizontal="right" vertical="center"/>
    </xf>
    <xf numFmtId="4" fontId="32" fillId="34" borderId="386">
      <alignment horizontal="right" vertical="center"/>
    </xf>
    <xf numFmtId="0" fontId="65" fillId="0" borderId="392" applyNumberFormat="0" applyFill="0" applyAlignment="0" applyProtection="0"/>
    <xf numFmtId="0" fontId="46" fillId="56" borderId="391" applyNumberFormat="0" applyAlignment="0" applyProtection="0"/>
    <xf numFmtId="4" fontId="32" fillId="34" borderId="397">
      <alignment horizontal="right" vertical="center"/>
    </xf>
    <xf numFmtId="4" fontId="32" fillId="34" borderId="404">
      <alignment horizontal="right" vertical="center"/>
    </xf>
    <xf numFmtId="0" fontId="29" fillId="13" borderId="13" applyNumberFormat="0" applyAlignment="0" applyProtection="0"/>
    <xf numFmtId="49" fontId="33" fillId="0" borderId="386" applyNumberFormat="0" applyFill="0" applyBorder="0" applyProtection="0">
      <alignment horizontal="left" vertical="center"/>
    </xf>
    <xf numFmtId="0" fontId="5" fillId="59" borderId="385" applyNumberFormat="0" applyFont="0" applyAlignment="0" applyProtection="0"/>
    <xf numFmtId="0" fontId="26" fillId="27" borderId="0" applyNumberFormat="0" applyBorder="0" applyAlignment="0" applyProtection="0"/>
    <xf numFmtId="4" fontId="32" fillId="34" borderId="386">
      <alignment horizontal="right" vertical="center"/>
    </xf>
    <xf numFmtId="0" fontId="26" fillId="26" borderId="0" applyNumberFormat="0" applyBorder="0" applyAlignment="0" applyProtection="0"/>
    <xf numFmtId="49" fontId="34" fillId="0" borderId="398" applyNumberFormat="0" applyFont="0" applyFill="0" applyBorder="0" applyProtection="0">
      <alignment horizontal="left" vertical="center" indent="5"/>
    </xf>
    <xf numFmtId="0" fontId="40" fillId="59" borderId="396" applyNumberFormat="0" applyFont="0" applyAlignment="0" applyProtection="0"/>
    <xf numFmtId="4" fontId="32" fillId="34" borderId="399">
      <alignment horizontal="right" vertical="center"/>
    </xf>
    <xf numFmtId="4" fontId="36" fillId="32" borderId="397">
      <alignment horizontal="right" vertical="center"/>
    </xf>
    <xf numFmtId="49" fontId="34" fillId="0" borderId="386" applyNumberFormat="0" applyFont="0" applyFill="0" applyBorder="0" applyProtection="0">
      <alignment horizontal="left" vertical="center" indent="2"/>
    </xf>
    <xf numFmtId="0" fontId="65" fillId="0" borderId="392" applyNumberFormat="0" applyFill="0" applyAlignment="0" applyProtection="0"/>
    <xf numFmtId="4" fontId="34" fillId="0" borderId="386" applyFill="0" applyBorder="0" applyProtection="0">
      <alignment horizontal="right" vertical="center"/>
    </xf>
    <xf numFmtId="0" fontId="58" fillId="43" borderId="391" applyNumberFormat="0" applyAlignment="0" applyProtection="0"/>
    <xf numFmtId="49" fontId="33" fillId="0" borderId="386" applyNumberFormat="0" applyFill="0" applyBorder="0" applyProtection="0">
      <alignment horizontal="left" vertical="center"/>
    </xf>
    <xf numFmtId="49" fontId="34" fillId="0" borderId="386" applyNumberFormat="0" applyFont="0" applyFill="0" applyBorder="0" applyProtection="0">
      <alignment horizontal="left" vertical="center" indent="2"/>
    </xf>
    <xf numFmtId="4" fontId="34" fillId="0" borderId="386" applyFill="0" applyBorder="0" applyProtection="0">
      <alignment horizontal="right" vertical="center"/>
    </xf>
    <xf numFmtId="4" fontId="32" fillId="34" borderId="404">
      <alignment horizontal="right" vertical="center"/>
    </xf>
    <xf numFmtId="173" fontId="34" fillId="60" borderId="386" applyNumberFormat="0" applyFont="0" applyBorder="0" applyAlignment="0" applyProtection="0">
      <alignment horizontal="right" vertical="center"/>
    </xf>
    <xf numFmtId="0" fontId="46" fillId="56" borderId="394" applyNumberFormat="0" applyAlignment="0" applyProtection="0"/>
    <xf numFmtId="0" fontId="34" fillId="32" borderId="411">
      <alignment horizontal="left" vertical="center"/>
    </xf>
    <xf numFmtId="4" fontId="32" fillId="34" borderId="419">
      <alignment horizontal="right" vertical="center"/>
    </xf>
    <xf numFmtId="0" fontId="36" fillId="32" borderId="386">
      <alignment horizontal="right" vertical="center"/>
    </xf>
    <xf numFmtId="4" fontId="36" fillId="32" borderId="397">
      <alignment horizontal="right" vertical="center"/>
    </xf>
    <xf numFmtId="0" fontId="34" fillId="0" borderId="400">
      <alignment horizontal="left" vertical="center" wrapText="1" indent="2"/>
    </xf>
    <xf numFmtId="0" fontId="65" fillId="0" borderId="402" applyNumberFormat="0" applyFill="0" applyAlignment="0" applyProtection="0"/>
    <xf numFmtId="4" fontId="32" fillId="34" borderId="399">
      <alignment horizontal="right" vertical="center"/>
    </xf>
    <xf numFmtId="0" fontId="49" fillId="43" borderId="391" applyNumberFormat="0" applyAlignment="0" applyProtection="0"/>
    <xf numFmtId="4" fontId="32" fillId="34" borderId="386">
      <alignment horizontal="right" vertical="center"/>
    </xf>
    <xf numFmtId="0" fontId="34" fillId="32" borderId="387">
      <alignment horizontal="left" vertical="center"/>
    </xf>
    <xf numFmtId="0" fontId="36" fillId="32" borderId="410">
      <alignment horizontal="right" vertical="center"/>
    </xf>
    <xf numFmtId="0" fontId="34" fillId="33" borderId="397"/>
    <xf numFmtId="0" fontId="1" fillId="0" borderId="0" applyNumberFormat="0" applyFill="0" applyBorder="0" applyAlignment="0" applyProtection="0"/>
    <xf numFmtId="0" fontId="26" fillId="24" borderId="0" applyNumberFormat="0" applyBorder="0" applyAlignment="0" applyProtection="0"/>
    <xf numFmtId="0" fontId="36" fillId="32" borderId="397">
      <alignment horizontal="right" vertical="center"/>
    </xf>
    <xf numFmtId="0" fontId="32" fillId="34" borderId="399">
      <alignment horizontal="right" vertical="center"/>
    </xf>
    <xf numFmtId="173" fontId="34" fillId="60" borderId="410" applyNumberFormat="0" applyFont="0" applyBorder="0" applyAlignment="0" applyProtection="0">
      <alignment horizontal="right" vertical="center"/>
    </xf>
    <xf numFmtId="0" fontId="32" fillId="34" borderId="397">
      <alignment horizontal="right" vertical="center"/>
    </xf>
    <xf numFmtId="0" fontId="58" fillId="43" borderId="394" applyNumberFormat="0" applyAlignment="0" applyProtection="0"/>
    <xf numFmtId="0" fontId="65" fillId="0" borderId="395" applyNumberFormat="0" applyFill="0" applyAlignment="0" applyProtection="0"/>
    <xf numFmtId="0" fontId="12" fillId="28" borderId="0" applyNumberFormat="0" applyBorder="0" applyAlignment="0" applyProtection="0"/>
    <xf numFmtId="0" fontId="65" fillId="0" borderId="395" applyNumberFormat="0" applyFill="0" applyAlignment="0" applyProtection="0"/>
    <xf numFmtId="0" fontId="32" fillId="34" borderId="386">
      <alignment horizontal="right" vertical="center"/>
    </xf>
    <xf numFmtId="0" fontId="34" fillId="34" borderId="389">
      <alignment horizontal="left" vertical="center" wrapText="1" indent="2"/>
    </xf>
    <xf numFmtId="173" fontId="34" fillId="60" borderId="386" applyNumberFormat="0" applyFont="0" applyBorder="0" applyAlignment="0" applyProtection="0">
      <alignment horizontal="right" vertical="center"/>
    </xf>
    <xf numFmtId="0" fontId="40" fillId="59" borderId="385" applyNumberFormat="0" applyFont="0" applyAlignment="0" applyProtection="0"/>
    <xf numFmtId="49" fontId="34" fillId="0" borderId="386" applyNumberFormat="0" applyFont="0" applyFill="0" applyBorder="0" applyProtection="0">
      <alignment horizontal="left" vertical="center" indent="2"/>
    </xf>
    <xf numFmtId="0" fontId="58" fillId="43" borderId="394" applyNumberFormat="0" applyAlignment="0" applyProtection="0"/>
    <xf numFmtId="0" fontId="12" fillId="22" borderId="0" applyNumberFormat="0" applyBorder="0" applyAlignment="0" applyProtection="0"/>
    <xf numFmtId="0" fontId="32" fillId="34" borderId="405">
      <alignment horizontal="right" vertical="center"/>
    </xf>
    <xf numFmtId="0" fontId="26" fillId="14" borderId="0" applyNumberFormat="0" applyBorder="0" applyAlignment="0" applyProtection="0"/>
    <xf numFmtId="49" fontId="33" fillId="0" borderId="386" applyNumberFormat="0" applyFill="0" applyBorder="0" applyProtection="0">
      <alignment horizontal="left" vertical="center"/>
    </xf>
    <xf numFmtId="0" fontId="34" fillId="0" borderId="404">
      <alignment horizontal="right" vertical="center"/>
    </xf>
    <xf numFmtId="173" fontId="34" fillId="60" borderId="386" applyNumberFormat="0" applyFont="0" applyBorder="0" applyAlignment="0" applyProtection="0">
      <alignment horizontal="right" vertical="center"/>
    </xf>
    <xf numFmtId="0" fontId="62" fillId="56" borderId="390" applyNumberFormat="0" applyAlignment="0" applyProtection="0"/>
    <xf numFmtId="0" fontId="34" fillId="0" borderId="386">
      <alignment horizontal="right" vertical="center"/>
    </xf>
    <xf numFmtId="0" fontId="46" fillId="56" borderId="394" applyNumberFormat="0" applyAlignment="0" applyProtection="0"/>
    <xf numFmtId="0" fontId="34" fillId="33" borderId="386"/>
    <xf numFmtId="4" fontId="32" fillId="34" borderId="386">
      <alignment horizontal="right" vertical="center"/>
    </xf>
    <xf numFmtId="0" fontId="34" fillId="33" borderId="386"/>
    <xf numFmtId="0" fontId="58" fillId="43" borderId="391" applyNumberFormat="0" applyAlignment="0" applyProtection="0"/>
    <xf numFmtId="0" fontId="34" fillId="34" borderId="400">
      <alignment horizontal="left" vertical="center" wrapText="1" indent="2"/>
    </xf>
    <xf numFmtId="0" fontId="36" fillId="32" borderId="386">
      <alignment horizontal="right" vertical="center"/>
    </xf>
    <xf numFmtId="0" fontId="34" fillId="0" borderId="389">
      <alignment horizontal="left" vertical="center" wrapText="1" indent="2"/>
    </xf>
    <xf numFmtId="0" fontId="32" fillId="32" borderId="386">
      <alignment horizontal="right" vertical="center"/>
    </xf>
    <xf numFmtId="0" fontId="49" fillId="43" borderId="391" applyNumberFormat="0" applyAlignment="0" applyProtection="0"/>
    <xf numFmtId="0" fontId="34" fillId="34" borderId="389">
      <alignment horizontal="left" vertical="center" wrapText="1" indent="2"/>
    </xf>
    <xf numFmtId="0" fontId="50" fillId="0" borderId="395" applyNumberFormat="0" applyFill="0" applyAlignment="0" applyProtection="0"/>
    <xf numFmtId="4" fontId="34" fillId="0" borderId="397">
      <alignment horizontal="right" vertical="center"/>
    </xf>
    <xf numFmtId="4" fontId="32" fillId="34" borderId="397">
      <alignment horizontal="right" vertical="center"/>
    </xf>
    <xf numFmtId="0" fontId="58" fillId="43" borderId="394" applyNumberFormat="0" applyAlignment="0" applyProtection="0"/>
    <xf numFmtId="0" fontId="26" fillId="24" borderId="0" applyNumberFormat="0" applyBorder="0" applyAlignment="0" applyProtection="0"/>
    <xf numFmtId="0" fontId="58" fillId="43" borderId="415" applyNumberFormat="0" applyAlignment="0" applyProtection="0"/>
    <xf numFmtId="4" fontId="32" fillId="34" borderId="404">
      <alignment horizontal="right" vertical="center"/>
    </xf>
    <xf numFmtId="49" fontId="34" fillId="0" borderId="397" applyNumberFormat="0" applyFont="0" applyFill="0" applyBorder="0" applyProtection="0">
      <alignment horizontal="left" vertical="center" indent="2"/>
    </xf>
    <xf numFmtId="0" fontId="65" fillId="0" borderId="402" applyNumberFormat="0" applyFill="0" applyAlignment="0" applyProtection="0"/>
    <xf numFmtId="0" fontId="45" fillId="56" borderId="391" applyNumberFormat="0" applyAlignment="0" applyProtection="0"/>
    <xf numFmtId="0" fontId="36" fillId="32" borderId="386">
      <alignment horizontal="right" vertical="center"/>
    </xf>
    <xf numFmtId="0" fontId="50" fillId="0" borderId="395" applyNumberFormat="0" applyFill="0" applyAlignment="0" applyProtection="0"/>
    <xf numFmtId="4" fontId="32" fillId="34" borderId="406">
      <alignment horizontal="right" vertical="center"/>
    </xf>
    <xf numFmtId="0" fontId="65" fillId="0" borderId="416" applyNumberFormat="0" applyFill="0" applyAlignment="0" applyProtection="0"/>
    <xf numFmtId="0" fontId="1" fillId="0" borderId="0" applyNumberFormat="0" applyFill="0" applyBorder="0" applyAlignment="0" applyProtection="0"/>
    <xf numFmtId="0" fontId="26" fillId="20" borderId="0" applyNumberFormat="0" applyBorder="0" applyAlignment="0" applyProtection="0"/>
    <xf numFmtId="0" fontId="58" fillId="43" borderId="426" applyNumberFormat="0" applyAlignment="0" applyProtection="0"/>
    <xf numFmtId="0" fontId="43" fillId="56" borderId="393" applyNumberFormat="0" applyAlignment="0" applyProtection="0"/>
    <xf numFmtId="0" fontId="30" fillId="0" borderId="0" applyNumberFormat="0" applyFill="0" applyBorder="0" applyAlignment="0" applyProtection="0"/>
    <xf numFmtId="4" fontId="32" fillId="34" borderId="398">
      <alignment horizontal="right" vertical="center"/>
    </xf>
    <xf numFmtId="0" fontId="50" fillId="0" borderId="395" applyNumberFormat="0" applyFill="0" applyAlignment="0" applyProtection="0"/>
    <xf numFmtId="0" fontId="32" fillId="34" borderId="386">
      <alignment horizontal="right" vertical="center"/>
    </xf>
    <xf numFmtId="4" fontId="34" fillId="0" borderId="386" applyFill="0" applyBorder="0" applyProtection="0">
      <alignment horizontal="right" vertical="center"/>
    </xf>
    <xf numFmtId="0" fontId="34" fillId="34" borderId="389">
      <alignment horizontal="left" vertical="center" wrapText="1" indent="2"/>
    </xf>
    <xf numFmtId="0" fontId="40" fillId="59" borderId="385" applyNumberFormat="0" applyFont="0" applyAlignment="0" applyProtection="0"/>
    <xf numFmtId="0" fontId="49" fillId="43" borderId="391" applyNumberFormat="0" applyAlignment="0" applyProtection="0"/>
    <xf numFmtId="4" fontId="34" fillId="33" borderId="386"/>
    <xf numFmtId="4" fontId="34" fillId="0" borderId="386" applyFill="0" applyBorder="0" applyProtection="0">
      <alignment horizontal="right" vertical="center"/>
    </xf>
    <xf numFmtId="0" fontId="65" fillId="0" borderId="392" applyNumberFormat="0" applyFill="0" applyAlignment="0" applyProtection="0"/>
    <xf numFmtId="0" fontId="34" fillId="32" borderId="387">
      <alignment horizontal="left" vertical="center"/>
    </xf>
    <xf numFmtId="0" fontId="34" fillId="0" borderId="389">
      <alignment horizontal="left" vertical="center" wrapText="1" indent="2"/>
    </xf>
    <xf numFmtId="0" fontId="32" fillId="34" borderId="397">
      <alignment horizontal="right" vertical="center"/>
    </xf>
    <xf numFmtId="0" fontId="58" fillId="43" borderId="391" applyNumberFormat="0" applyAlignment="0" applyProtection="0"/>
    <xf numFmtId="0" fontId="34" fillId="0" borderId="413">
      <alignment horizontal="left" vertical="center" wrapText="1" indent="2"/>
    </xf>
    <xf numFmtId="0" fontId="34" fillId="34" borderId="389">
      <alignment horizontal="left" vertical="center" wrapText="1" indent="2"/>
    </xf>
    <xf numFmtId="0" fontId="45" fillId="56" borderId="401" applyNumberFormat="0" applyAlignment="0" applyProtection="0"/>
    <xf numFmtId="0" fontId="26" fillId="18" borderId="0" applyNumberFormat="0" applyBorder="0" applyAlignment="0" applyProtection="0"/>
    <xf numFmtId="4" fontId="32" fillId="34" borderId="398">
      <alignment horizontal="right" vertical="center"/>
    </xf>
    <xf numFmtId="0" fontId="58" fillId="43" borderId="394" applyNumberFormat="0" applyAlignment="0" applyProtection="0"/>
    <xf numFmtId="0" fontId="40" fillId="59" borderId="385" applyNumberFormat="0" applyFont="0" applyAlignment="0" applyProtection="0"/>
    <xf numFmtId="0" fontId="58" fillId="43" borderId="391" applyNumberFormat="0" applyAlignment="0" applyProtection="0"/>
    <xf numFmtId="0" fontId="46" fillId="56" borderId="394" applyNumberFormat="0" applyAlignment="0" applyProtection="0"/>
    <xf numFmtId="4" fontId="34" fillId="33" borderId="386"/>
    <xf numFmtId="0" fontId="46" fillId="56" borderId="391" applyNumberFormat="0" applyAlignment="0" applyProtection="0"/>
    <xf numFmtId="0" fontId="58" fillId="43" borderId="391" applyNumberFormat="0" applyAlignment="0" applyProtection="0"/>
    <xf numFmtId="4" fontId="32" fillId="34" borderId="386">
      <alignment horizontal="right" vertical="center"/>
    </xf>
    <xf numFmtId="0" fontId="50" fillId="0" borderId="392" applyNumberFormat="0" applyFill="0" applyAlignment="0" applyProtection="0"/>
    <xf numFmtId="0" fontId="29" fillId="13" borderId="13" applyNumberFormat="0" applyAlignment="0" applyProtection="0"/>
    <xf numFmtId="0" fontId="12" fillId="19" borderId="0" applyNumberFormat="0" applyBorder="0" applyAlignment="0" applyProtection="0"/>
    <xf numFmtId="173" fontId="34" fillId="60" borderId="397" applyNumberFormat="0" applyFont="0" applyBorder="0" applyAlignment="0" applyProtection="0">
      <alignment horizontal="right" vertical="center"/>
    </xf>
    <xf numFmtId="49" fontId="34" fillId="0" borderId="404" applyNumberFormat="0" applyFont="0" applyFill="0" applyBorder="0" applyProtection="0">
      <alignment horizontal="left" vertical="center" indent="2"/>
    </xf>
    <xf numFmtId="0" fontId="26" fillId="27" borderId="0" applyNumberFormat="0" applyBorder="0" applyAlignment="0" applyProtection="0"/>
    <xf numFmtId="0" fontId="46" fillId="56" borderId="394" applyNumberFormat="0" applyAlignment="0" applyProtection="0"/>
    <xf numFmtId="4" fontId="34" fillId="0" borderId="386" applyFill="0" applyBorder="0" applyProtection="0">
      <alignment horizontal="right" vertical="center"/>
    </xf>
    <xf numFmtId="4" fontId="36" fillId="32" borderId="397">
      <alignment horizontal="right" vertical="center"/>
    </xf>
    <xf numFmtId="0" fontId="49" fillId="43" borderId="391" applyNumberFormat="0" applyAlignment="0" applyProtection="0"/>
    <xf numFmtId="4" fontId="36" fillId="32" borderId="397">
      <alignment horizontal="right" vertical="center"/>
    </xf>
    <xf numFmtId="0" fontId="46" fillId="56" borderId="394" applyNumberFormat="0" applyAlignment="0" applyProtection="0"/>
    <xf numFmtId="4" fontId="32" fillId="34" borderId="397">
      <alignment horizontal="right" vertical="center"/>
    </xf>
    <xf numFmtId="0" fontId="34" fillId="33" borderId="404"/>
    <xf numFmtId="0" fontId="62" fillId="56" borderId="393" applyNumberFormat="0" applyAlignment="0" applyProtection="0"/>
    <xf numFmtId="0" fontId="26" fillId="23" borderId="0" applyNumberFormat="0" applyBorder="0" applyAlignment="0" applyProtection="0"/>
    <xf numFmtId="0" fontId="34" fillId="34" borderId="389">
      <alignment horizontal="left" vertical="center" wrapText="1" indent="2"/>
    </xf>
    <xf numFmtId="0" fontId="36" fillId="32" borderId="397">
      <alignment horizontal="right" vertical="center"/>
    </xf>
    <xf numFmtId="0" fontId="62" fillId="56" borderId="390" applyNumberFormat="0" applyAlignment="0" applyProtection="0"/>
    <xf numFmtId="0" fontId="58" fillId="43" borderId="391" applyNumberFormat="0" applyAlignment="0" applyProtection="0"/>
    <xf numFmtId="4" fontId="32" fillId="34" borderId="386">
      <alignment horizontal="right" vertical="center"/>
    </xf>
    <xf numFmtId="0" fontId="34" fillId="33" borderId="386"/>
    <xf numFmtId="0" fontId="34" fillId="33" borderId="410"/>
    <xf numFmtId="0" fontId="62" fillId="56" borderId="393" applyNumberFormat="0" applyAlignment="0" applyProtection="0"/>
    <xf numFmtId="0" fontId="34" fillId="0" borderId="389">
      <alignment horizontal="left" vertical="center" wrapText="1" indent="2"/>
    </xf>
    <xf numFmtId="4" fontId="34" fillId="0" borderId="397" applyFill="0" applyBorder="0" applyProtection="0">
      <alignment horizontal="right" vertical="center"/>
    </xf>
    <xf numFmtId="0" fontId="34" fillId="0" borderId="418">
      <alignment horizontal="right" vertical="center"/>
    </xf>
    <xf numFmtId="0" fontId="12" fillId="25" borderId="0" applyNumberFormat="0" applyBorder="0" applyAlignment="0" applyProtection="0"/>
    <xf numFmtId="0" fontId="50" fillId="0" borderId="402" applyNumberFormat="0" applyFill="0" applyAlignment="0" applyProtection="0"/>
    <xf numFmtId="49" fontId="33" fillId="0" borderId="397" applyNumberFormat="0" applyFill="0" applyBorder="0" applyProtection="0">
      <alignment horizontal="left" vertical="center"/>
    </xf>
    <xf numFmtId="0" fontId="45" fillId="56" borderId="391" applyNumberFormat="0" applyAlignment="0" applyProtection="0"/>
    <xf numFmtId="0" fontId="1" fillId="0" borderId="0" applyNumberFormat="0" applyFill="0" applyBorder="0" applyAlignment="0" applyProtection="0"/>
    <xf numFmtId="0" fontId="26" fillId="23" borderId="0" applyNumberFormat="0" applyBorder="0" applyAlignment="0" applyProtection="0"/>
    <xf numFmtId="4" fontId="32" fillId="32" borderId="386">
      <alignment horizontal="right" vertical="center"/>
    </xf>
    <xf numFmtId="0" fontId="12" fillId="28" borderId="0" applyNumberFormat="0" applyBorder="0" applyAlignment="0" applyProtection="0"/>
    <xf numFmtId="0" fontId="32" fillId="32" borderId="386">
      <alignment horizontal="right" vertical="center"/>
    </xf>
    <xf numFmtId="0" fontId="32" fillId="34" borderId="386">
      <alignment horizontal="right" vertical="center"/>
    </xf>
    <xf numFmtId="0" fontId="34" fillId="0" borderId="404">
      <alignment horizontal="right" vertical="center"/>
    </xf>
    <xf numFmtId="0" fontId="43" fillId="56" borderId="393" applyNumberFormat="0" applyAlignment="0" applyProtection="0"/>
    <xf numFmtId="4" fontId="32" fillId="32" borderId="404">
      <alignment horizontal="right" vertical="center"/>
    </xf>
    <xf numFmtId="0" fontId="26" fillId="30" borderId="0" applyNumberFormat="0" applyBorder="0" applyAlignment="0" applyProtection="0"/>
    <xf numFmtId="0" fontId="34" fillId="34" borderId="407">
      <alignment horizontal="left" vertical="center" wrapText="1" indent="2"/>
    </xf>
    <xf numFmtId="0" fontId="62" fillId="56" borderId="390" applyNumberFormat="0" applyAlignment="0" applyProtection="0"/>
    <xf numFmtId="49" fontId="33" fillId="0" borderId="397" applyNumberFormat="0" applyFill="0" applyBorder="0" applyProtection="0">
      <alignment horizontal="left" vertical="center"/>
    </xf>
    <xf numFmtId="49" fontId="34" fillId="0" borderId="386" applyNumberFormat="0" applyFont="0" applyFill="0" applyBorder="0" applyProtection="0">
      <alignment horizontal="left" vertical="center" indent="2"/>
    </xf>
    <xf numFmtId="0" fontId="36" fillId="32" borderId="397">
      <alignment horizontal="right" vertical="center"/>
    </xf>
    <xf numFmtId="0" fontId="40" fillId="59" borderId="385" applyNumberFormat="0" applyFont="0" applyAlignment="0" applyProtection="0"/>
    <xf numFmtId="173" fontId="34" fillId="60" borderId="386" applyNumberFormat="0" applyFont="0" applyBorder="0" applyAlignment="0" applyProtection="0">
      <alignment horizontal="right" vertical="center"/>
    </xf>
    <xf numFmtId="0" fontId="58" fillId="43" borderId="391" applyNumberFormat="0" applyAlignment="0" applyProtection="0"/>
    <xf numFmtId="0" fontId="32" fillId="34" borderId="386">
      <alignment horizontal="right" vertical="center"/>
    </xf>
    <xf numFmtId="0" fontId="34" fillId="33" borderId="386"/>
    <xf numFmtId="0" fontId="62" fillId="56" borderId="390" applyNumberFormat="0" applyAlignment="0" applyProtection="0"/>
    <xf numFmtId="0" fontId="46" fillId="56" borderId="391" applyNumberFormat="0" applyAlignment="0" applyProtection="0"/>
    <xf numFmtId="0" fontId="45" fillId="56" borderId="391" applyNumberFormat="0" applyAlignment="0" applyProtection="0"/>
    <xf numFmtId="0" fontId="49" fillId="43" borderId="391" applyNumberFormat="0" applyAlignment="0" applyProtection="0"/>
    <xf numFmtId="0" fontId="49" fillId="43" borderId="391" applyNumberFormat="0" applyAlignment="0" applyProtection="0"/>
    <xf numFmtId="0" fontId="34" fillId="0" borderId="389">
      <alignment horizontal="left" vertical="center" wrapText="1" indent="2"/>
    </xf>
    <xf numFmtId="4" fontId="32" fillId="34" borderId="387">
      <alignment horizontal="right" vertical="center"/>
    </xf>
    <xf numFmtId="4" fontId="34" fillId="0" borderId="386">
      <alignment horizontal="right" vertical="center"/>
    </xf>
    <xf numFmtId="49" fontId="33" fillId="0" borderId="386" applyNumberFormat="0" applyFill="0" applyBorder="0" applyProtection="0">
      <alignment horizontal="left" vertical="center"/>
    </xf>
    <xf numFmtId="4" fontId="34" fillId="0" borderId="386">
      <alignment horizontal="right" vertical="center"/>
    </xf>
    <xf numFmtId="0" fontId="62" fillId="56" borderId="390" applyNumberFormat="0" applyAlignment="0" applyProtection="0"/>
    <xf numFmtId="0" fontId="58" fillId="43" borderId="394" applyNumberFormat="0" applyAlignment="0" applyProtection="0"/>
    <xf numFmtId="0" fontId="45" fillId="56" borderId="394" applyNumberFormat="0" applyAlignment="0" applyProtection="0"/>
    <xf numFmtId="0" fontId="32" fillId="34" borderId="419">
      <alignment horizontal="right" vertical="center"/>
    </xf>
    <xf numFmtId="0" fontId="36" fillId="32" borderId="397">
      <alignment horizontal="right" vertical="center"/>
    </xf>
    <xf numFmtId="49" fontId="33" fillId="0" borderId="397" applyNumberFormat="0" applyFill="0" applyBorder="0" applyProtection="0">
      <alignment horizontal="left" vertical="center"/>
    </xf>
    <xf numFmtId="0" fontId="65" fillId="0" borderId="395" applyNumberFormat="0" applyFill="0" applyAlignment="0" applyProtection="0"/>
    <xf numFmtId="0" fontId="12" fillId="16" borderId="0" applyNumberFormat="0" applyBorder="0" applyAlignment="0" applyProtection="0"/>
    <xf numFmtId="0" fontId="34" fillId="0" borderId="389">
      <alignment horizontal="left" vertical="center" wrapText="1" indent="2"/>
    </xf>
    <xf numFmtId="0" fontId="12" fillId="22" borderId="0" applyNumberFormat="0" applyBorder="0" applyAlignment="0" applyProtection="0"/>
    <xf numFmtId="0" fontId="50" fillId="0" borderId="395" applyNumberFormat="0" applyFill="0" applyAlignment="0" applyProtection="0"/>
    <xf numFmtId="0" fontId="46" fillId="56" borderId="401" applyNumberFormat="0" applyAlignment="0" applyProtection="0"/>
    <xf numFmtId="49" fontId="34" fillId="0" borderId="404" applyNumberFormat="0" applyFont="0" applyFill="0" applyBorder="0" applyProtection="0">
      <alignment horizontal="left" vertical="center" indent="2"/>
    </xf>
    <xf numFmtId="49" fontId="34" fillId="0" borderId="410" applyNumberFormat="0" applyFont="0" applyFill="0" applyBorder="0" applyProtection="0">
      <alignment horizontal="left" vertical="center" indent="2"/>
    </xf>
    <xf numFmtId="0" fontId="58" fillId="43" borderId="394" applyNumberFormat="0" applyAlignment="0" applyProtection="0"/>
    <xf numFmtId="0" fontId="26" fillId="29" borderId="0" applyNumberFormat="0" applyBorder="0" applyAlignment="0" applyProtection="0"/>
    <xf numFmtId="0" fontId="32" fillId="34" borderId="412">
      <alignment horizontal="right" vertical="center"/>
    </xf>
    <xf numFmtId="0" fontId="34" fillId="0" borderId="397">
      <alignment horizontal="right" vertical="center"/>
    </xf>
    <xf numFmtId="0" fontId="40" fillId="59" borderId="385" applyNumberFormat="0" applyFont="0" applyAlignment="0" applyProtection="0"/>
    <xf numFmtId="0" fontId="49" fillId="43" borderId="401" applyNumberFormat="0" applyAlignment="0" applyProtection="0"/>
    <xf numFmtId="0" fontId="32" fillId="32" borderId="386">
      <alignment horizontal="right" vertical="center"/>
    </xf>
    <xf numFmtId="0" fontId="12" fillId="19" borderId="0" applyNumberFormat="0" applyBorder="0" applyAlignment="0" applyProtection="0"/>
    <xf numFmtId="0" fontId="65" fillId="0" borderId="395" applyNumberFormat="0" applyFill="0" applyAlignment="0" applyProtection="0"/>
    <xf numFmtId="0" fontId="34" fillId="0" borderId="386" applyNumberFormat="0" applyFill="0" applyAlignment="0" applyProtection="0"/>
    <xf numFmtId="49" fontId="33" fillId="0" borderId="386" applyNumberFormat="0" applyFill="0" applyBorder="0" applyProtection="0">
      <alignment horizontal="left" vertical="center"/>
    </xf>
    <xf numFmtId="0" fontId="34" fillId="0" borderId="386">
      <alignment horizontal="right" vertical="center"/>
    </xf>
    <xf numFmtId="0" fontId="58" fillId="43" borderId="394" applyNumberFormat="0" applyAlignment="0" applyProtection="0"/>
    <xf numFmtId="0" fontId="65" fillId="0" borderId="402" applyNumberFormat="0" applyFill="0" applyAlignment="0" applyProtection="0"/>
    <xf numFmtId="0" fontId="32" fillId="32" borderId="404">
      <alignment horizontal="right" vertical="center"/>
    </xf>
    <xf numFmtId="0" fontId="50" fillId="0" borderId="424" applyNumberFormat="0" applyFill="0" applyAlignment="0" applyProtection="0"/>
    <xf numFmtId="4" fontId="32" fillId="32" borderId="386">
      <alignment horizontal="right" vertical="center"/>
    </xf>
    <xf numFmtId="4" fontId="36" fillId="32" borderId="397">
      <alignment horizontal="right" vertical="center"/>
    </xf>
    <xf numFmtId="0" fontId="46" fillId="56" borderId="391" applyNumberFormat="0" applyAlignment="0" applyProtection="0"/>
    <xf numFmtId="0" fontId="32" fillId="34" borderId="388">
      <alignment horizontal="right" vertical="center"/>
    </xf>
    <xf numFmtId="4" fontId="32" fillId="32" borderId="386">
      <alignment horizontal="right" vertical="center"/>
    </xf>
    <xf numFmtId="0" fontId="32" fillId="34" borderId="386">
      <alignment horizontal="right" vertical="center"/>
    </xf>
    <xf numFmtId="0" fontId="46" fillId="56" borderId="391" applyNumberFormat="0" applyAlignment="0" applyProtection="0"/>
    <xf numFmtId="4" fontId="36" fillId="32" borderId="397">
      <alignment horizontal="right" vertical="center"/>
    </xf>
    <xf numFmtId="4" fontId="34" fillId="33" borderId="397"/>
    <xf numFmtId="0" fontId="28" fillId="13" borderId="14" applyNumberFormat="0" applyAlignment="0" applyProtection="0"/>
    <xf numFmtId="4" fontId="34" fillId="0" borderId="386" applyFill="0" applyBorder="0" applyProtection="0">
      <alignment horizontal="right" vertical="center"/>
    </xf>
    <xf numFmtId="0" fontId="40" fillId="59" borderId="385" applyNumberFormat="0" applyFont="0" applyAlignment="0" applyProtection="0"/>
    <xf numFmtId="4" fontId="32" fillId="34" borderId="404">
      <alignment horizontal="right" vertical="center"/>
    </xf>
    <xf numFmtId="173" fontId="34" fillId="60" borderId="397" applyNumberFormat="0" applyFont="0" applyBorder="0" applyAlignment="0" applyProtection="0">
      <alignment horizontal="right" vertical="center"/>
    </xf>
    <xf numFmtId="0" fontId="32" fillId="34" borderId="404">
      <alignment horizontal="right" vertical="center"/>
    </xf>
    <xf numFmtId="0" fontId="46" fillId="56" borderId="394" applyNumberFormat="0" applyAlignment="0" applyProtection="0"/>
    <xf numFmtId="4" fontId="32" fillId="34" borderId="398">
      <alignment horizontal="right" vertical="center"/>
    </xf>
    <xf numFmtId="4" fontId="34" fillId="33" borderId="404"/>
    <xf numFmtId="0" fontId="49" fillId="43" borderId="394" applyNumberFormat="0" applyAlignment="0" applyProtection="0"/>
    <xf numFmtId="0" fontId="32" fillId="32" borderId="386">
      <alignment horizontal="right" vertical="center"/>
    </xf>
    <xf numFmtId="0" fontId="50" fillId="0" borderId="392" applyNumberFormat="0" applyFill="0" applyAlignment="0" applyProtection="0"/>
    <xf numFmtId="0" fontId="34" fillId="0" borderId="386" applyNumberFormat="0" applyFill="0" applyAlignment="0" applyProtection="0"/>
    <xf numFmtId="0" fontId="50" fillId="0" borderId="392" applyNumberFormat="0" applyFill="0" applyAlignment="0" applyProtection="0"/>
    <xf numFmtId="4" fontId="34" fillId="0" borderId="386" applyFill="0" applyBorder="0" applyProtection="0">
      <alignment horizontal="right" vertical="center"/>
    </xf>
    <xf numFmtId="49" fontId="34" fillId="0" borderId="387" applyNumberFormat="0" applyFont="0" applyFill="0" applyBorder="0" applyProtection="0">
      <alignment horizontal="left" vertical="center" indent="5"/>
    </xf>
    <xf numFmtId="0" fontId="34" fillId="0" borderId="386" applyNumberFormat="0" applyFill="0" applyAlignment="0" applyProtection="0"/>
    <xf numFmtId="4" fontId="34" fillId="0" borderId="404" applyFill="0" applyBorder="0" applyProtection="0">
      <alignment horizontal="right" vertical="center"/>
    </xf>
    <xf numFmtId="0" fontId="34" fillId="0" borderId="386" applyNumberFormat="0" applyFill="0" applyAlignment="0" applyProtection="0"/>
    <xf numFmtId="0" fontId="34" fillId="0" borderId="400">
      <alignment horizontal="left" vertical="center" wrapText="1" indent="2"/>
    </xf>
    <xf numFmtId="0" fontId="65" fillId="0" borderId="402" applyNumberFormat="0" applyFill="0" applyAlignment="0" applyProtection="0"/>
    <xf numFmtId="4" fontId="32" fillId="34" borderId="386">
      <alignment horizontal="right" vertical="center"/>
    </xf>
    <xf numFmtId="49" fontId="34" fillId="0" borderId="397" applyNumberFormat="0" applyFont="0" applyFill="0" applyBorder="0" applyProtection="0">
      <alignment horizontal="left" vertical="center" indent="2"/>
    </xf>
    <xf numFmtId="0" fontId="34" fillId="33" borderId="397"/>
    <xf numFmtId="0" fontId="12" fillId="22" borderId="0" applyNumberFormat="0" applyBorder="0" applyAlignment="0" applyProtection="0"/>
    <xf numFmtId="0" fontId="40" fillId="59" borderId="417" applyNumberFormat="0" applyFont="0" applyAlignment="0" applyProtection="0"/>
    <xf numFmtId="0" fontId="49" fillId="43" borderId="391" applyNumberFormat="0" applyAlignment="0" applyProtection="0"/>
    <xf numFmtId="0" fontId="46" fillId="56" borderId="391" applyNumberFormat="0" applyAlignment="0" applyProtection="0"/>
    <xf numFmtId="4" fontId="34" fillId="0" borderId="386">
      <alignment horizontal="right" vertical="center"/>
    </xf>
    <xf numFmtId="0" fontId="34" fillId="34" borderId="389">
      <alignment horizontal="left" vertical="center" wrapText="1" indent="2"/>
    </xf>
    <xf numFmtId="0" fontId="34" fillId="0" borderId="389">
      <alignment horizontal="left" vertical="center" wrapText="1" indent="2"/>
    </xf>
    <xf numFmtId="0" fontId="62" fillId="56" borderId="390" applyNumberFormat="0" applyAlignment="0" applyProtection="0"/>
    <xf numFmtId="0" fontId="58" fillId="43" borderId="391" applyNumberFormat="0" applyAlignment="0" applyProtection="0"/>
    <xf numFmtId="0" fontId="45" fillId="56" borderId="391" applyNumberFormat="0" applyAlignment="0" applyProtection="0"/>
    <xf numFmtId="0" fontId="43" fillId="56" borderId="390" applyNumberFormat="0" applyAlignment="0" applyProtection="0"/>
    <xf numFmtId="0" fontId="32" fillId="34" borderId="388">
      <alignment horizontal="right" vertical="center"/>
    </xf>
    <xf numFmtId="0" fontId="36" fillId="32" borderId="386">
      <alignment horizontal="right" vertical="center"/>
    </xf>
    <xf numFmtId="4" fontId="32" fillId="32" borderId="386">
      <alignment horizontal="right" vertical="center"/>
    </xf>
    <xf numFmtId="4" fontId="32" fillId="34" borderId="386">
      <alignment horizontal="right" vertical="center"/>
    </xf>
    <xf numFmtId="49" fontId="34" fillId="0" borderId="387" applyNumberFormat="0" applyFont="0" applyFill="0" applyBorder="0" applyProtection="0">
      <alignment horizontal="left" vertical="center" indent="5"/>
    </xf>
    <xf numFmtId="4" fontId="34" fillId="0" borderId="386" applyFill="0" applyBorder="0" applyProtection="0">
      <alignment horizontal="right" vertical="center"/>
    </xf>
    <xf numFmtId="4" fontId="32" fillId="32" borderId="386">
      <alignment horizontal="right" vertical="center"/>
    </xf>
    <xf numFmtId="0" fontId="58" fillId="43" borderId="391" applyNumberFormat="0" applyAlignment="0" applyProtection="0"/>
    <xf numFmtId="0" fontId="49" fillId="43" borderId="391" applyNumberFormat="0" applyAlignment="0" applyProtection="0"/>
    <xf numFmtId="0" fontId="45" fillId="56" borderId="391" applyNumberFormat="0" applyAlignment="0" applyProtection="0"/>
    <xf numFmtId="0" fontId="34" fillId="34" borderId="389">
      <alignment horizontal="left" vertical="center" wrapText="1" indent="2"/>
    </xf>
    <xf numFmtId="0" fontId="34" fillId="0" borderId="389">
      <alignment horizontal="left" vertical="center" wrapText="1" indent="2"/>
    </xf>
    <xf numFmtId="0" fontId="34" fillId="34" borderId="389">
      <alignment horizontal="left" vertical="center" wrapText="1" indent="2"/>
    </xf>
    <xf numFmtId="0" fontId="34" fillId="32" borderId="398">
      <alignment horizontal="left" vertical="center"/>
    </xf>
    <xf numFmtId="0" fontId="62" fillId="56" borderId="393" applyNumberFormat="0" applyAlignment="0" applyProtection="0"/>
    <xf numFmtId="0" fontId="26" fillId="15" borderId="0" applyNumberFormat="0" applyBorder="0" applyAlignment="0" applyProtection="0"/>
    <xf numFmtId="4" fontId="32" fillId="34" borderId="411">
      <alignment horizontal="right" vertical="center"/>
    </xf>
    <xf numFmtId="0" fontId="40" fillId="59" borderId="403" applyNumberFormat="0" applyFont="0" applyAlignment="0" applyProtection="0"/>
    <xf numFmtId="4" fontId="36" fillId="32" borderId="404">
      <alignment horizontal="right" vertical="center"/>
    </xf>
    <xf numFmtId="0" fontId="32" fillId="34" borderId="406">
      <alignment horizontal="right" vertical="center"/>
    </xf>
    <xf numFmtId="4" fontId="34" fillId="33" borderId="404"/>
    <xf numFmtId="0" fontId="12" fillId="16" borderId="0" applyNumberFormat="0" applyBorder="0" applyAlignment="0" applyProtection="0"/>
    <xf numFmtId="0" fontId="40" fillId="59" borderId="403" applyNumberFormat="0" applyFont="0" applyAlignment="0" applyProtection="0"/>
    <xf numFmtId="0" fontId="65" fillId="0" borderId="402" applyNumberFormat="0" applyFill="0" applyAlignment="0" applyProtection="0"/>
    <xf numFmtId="0" fontId="40" fillId="59" borderId="409" applyNumberFormat="0" applyFont="0" applyAlignment="0" applyProtection="0"/>
    <xf numFmtId="0" fontId="26" fillId="14" borderId="0" applyNumberFormat="0" applyBorder="0" applyAlignment="0" applyProtection="0"/>
    <xf numFmtId="0" fontId="32" fillId="34" borderId="404">
      <alignment horizontal="right" vertical="center"/>
    </xf>
    <xf numFmtId="0" fontId="40" fillId="59" borderId="403" applyNumberFormat="0" applyFont="0" applyAlignment="0" applyProtection="0"/>
    <xf numFmtId="0" fontId="12" fillId="28" borderId="0" applyNumberFormat="0" applyBorder="0" applyAlignment="0" applyProtection="0"/>
    <xf numFmtId="0" fontId="65" fillId="0" borderId="402" applyNumberFormat="0" applyFill="0" applyAlignment="0" applyProtection="0"/>
    <xf numFmtId="0" fontId="65" fillId="0" borderId="416" applyNumberFormat="0" applyFill="0" applyAlignment="0" applyProtection="0"/>
    <xf numFmtId="4" fontId="34" fillId="33" borderId="404"/>
    <xf numFmtId="4" fontId="32" fillId="34" borderId="410">
      <alignment horizontal="right" vertical="center"/>
    </xf>
    <xf numFmtId="0" fontId="43" fillId="56" borderId="408" applyNumberFormat="0" applyAlignment="0" applyProtection="0"/>
    <xf numFmtId="0" fontId="28" fillId="13" borderId="14" applyNumberFormat="0" applyAlignment="0" applyProtection="0"/>
    <xf numFmtId="0" fontId="46" fillId="56" borderId="401" applyNumberFormat="0" applyAlignment="0" applyProtection="0"/>
    <xf numFmtId="0" fontId="62" fillId="56" borderId="408" applyNumberFormat="0" applyAlignment="0" applyProtection="0"/>
    <xf numFmtId="4" fontId="32" fillId="32" borderId="404">
      <alignment horizontal="right" vertical="center"/>
    </xf>
    <xf numFmtId="0" fontId="34" fillId="0" borderId="404">
      <alignment horizontal="right" vertical="center"/>
    </xf>
    <xf numFmtId="0" fontId="34" fillId="33" borderId="410"/>
    <xf numFmtId="0" fontId="32" fillId="34" borderId="410">
      <alignment horizontal="right" vertical="center"/>
    </xf>
    <xf numFmtId="0" fontId="40" fillId="59" borderId="403" applyNumberFormat="0" applyFont="0" applyAlignment="0" applyProtection="0"/>
    <xf numFmtId="0" fontId="65" fillId="0" borderId="395" applyNumberFormat="0" applyFill="0" applyAlignment="0" applyProtection="0"/>
    <xf numFmtId="0" fontId="40" fillId="59" borderId="396" applyNumberFormat="0" applyFont="0" applyAlignment="0" applyProtection="0"/>
    <xf numFmtId="0" fontId="40" fillId="59" borderId="403" applyNumberFormat="0" applyFont="0" applyAlignment="0" applyProtection="0"/>
    <xf numFmtId="4" fontId="34" fillId="0" borderId="404" applyFill="0" applyBorder="0" applyProtection="0">
      <alignment horizontal="right" vertical="center"/>
    </xf>
    <xf numFmtId="0" fontId="5" fillId="59" borderId="396" applyNumberFormat="0" applyFont="0" applyAlignment="0" applyProtection="0"/>
    <xf numFmtId="0" fontId="58" fillId="43" borderId="401" applyNumberFormat="0" applyAlignment="0" applyProtection="0"/>
    <xf numFmtId="0" fontId="45" fillId="56" borderId="401" applyNumberFormat="0" applyAlignment="0" applyProtection="0"/>
    <xf numFmtId="4" fontId="32" fillId="34" borderId="404">
      <alignment horizontal="right" vertical="center"/>
    </xf>
    <xf numFmtId="0" fontId="58" fillId="43" borderId="401" applyNumberFormat="0" applyAlignment="0" applyProtection="0"/>
    <xf numFmtId="0" fontId="32" fillId="34" borderId="404">
      <alignment horizontal="right" vertical="center"/>
    </xf>
    <xf numFmtId="0" fontId="36" fillId="32" borderId="410">
      <alignment horizontal="right" vertical="center"/>
    </xf>
    <xf numFmtId="0" fontId="12" fillId="31" borderId="0" applyNumberFormat="0" applyBorder="0" applyAlignment="0" applyProtection="0"/>
    <xf numFmtId="0" fontId="28" fillId="13" borderId="14" applyNumberFormat="0" applyAlignment="0" applyProtection="0"/>
    <xf numFmtId="0" fontId="12" fillId="22" borderId="0" applyNumberFormat="0" applyBorder="0" applyAlignment="0" applyProtection="0"/>
    <xf numFmtId="0" fontId="58" fillId="43" borderId="394" applyNumberFormat="0" applyAlignment="0" applyProtection="0"/>
    <xf numFmtId="0" fontId="34" fillId="32" borderId="405">
      <alignment horizontal="left" vertical="center"/>
    </xf>
    <xf numFmtId="0" fontId="34" fillId="34" borderId="400">
      <alignment horizontal="left" vertical="center" wrapText="1" indent="2"/>
    </xf>
    <xf numFmtId="4" fontId="36" fillId="32" borderId="397">
      <alignment horizontal="right" vertical="center"/>
    </xf>
    <xf numFmtId="0" fontId="58" fillId="43" borderId="401" applyNumberFormat="0" applyAlignment="0" applyProtection="0"/>
    <xf numFmtId="0" fontId="30" fillId="0" borderId="0" applyNumberFormat="0" applyFill="0" applyBorder="0" applyAlignment="0" applyProtection="0"/>
    <xf numFmtId="0" fontId="50" fillId="0" borderId="402" applyNumberFormat="0" applyFill="0" applyAlignment="0" applyProtection="0"/>
    <xf numFmtId="0" fontId="26" fillId="21" borderId="0" applyNumberFormat="0" applyBorder="0" applyAlignment="0" applyProtection="0"/>
    <xf numFmtId="0" fontId="65" fillId="0" borderId="402" applyNumberFormat="0" applyFill="0" applyAlignment="0" applyProtection="0"/>
    <xf numFmtId="0" fontId="2" fillId="0" borderId="15" applyNumberFormat="0" applyFill="0" applyAlignment="0" applyProtection="0"/>
    <xf numFmtId="0" fontId="46" fillId="56" borderId="415" applyNumberFormat="0" applyAlignment="0" applyProtection="0"/>
    <xf numFmtId="0" fontId="62" fillId="56" borderId="414" applyNumberFormat="0" applyAlignment="0" applyProtection="0"/>
    <xf numFmtId="4" fontId="36" fillId="32" borderId="397">
      <alignment horizontal="right" vertical="center"/>
    </xf>
    <xf numFmtId="4" fontId="32" fillId="32" borderId="397">
      <alignment horizontal="right" vertical="center"/>
    </xf>
    <xf numFmtId="0" fontId="34" fillId="0" borderId="400">
      <alignment horizontal="left" vertical="center" wrapText="1" indent="2"/>
    </xf>
    <xf numFmtId="0" fontId="62" fillId="56" borderId="393" applyNumberFormat="0" applyAlignment="0" applyProtection="0"/>
    <xf numFmtId="0" fontId="34" fillId="0" borderId="397">
      <alignment horizontal="right" vertical="center"/>
    </xf>
    <xf numFmtId="0" fontId="65" fillId="0" borderId="395" applyNumberFormat="0" applyFill="0" applyAlignment="0" applyProtection="0"/>
    <xf numFmtId="49" fontId="33" fillId="0" borderId="397" applyNumberFormat="0" applyFill="0" applyBorder="0" applyProtection="0">
      <alignment horizontal="left" vertical="center"/>
    </xf>
    <xf numFmtId="4" fontId="34" fillId="33" borderId="397"/>
    <xf numFmtId="0" fontId="58" fillId="43" borderId="394" applyNumberFormat="0" applyAlignment="0" applyProtection="0"/>
    <xf numFmtId="0" fontId="34" fillId="32" borderId="411">
      <alignment horizontal="left" vertical="center"/>
    </xf>
    <xf numFmtId="49" fontId="34" fillId="0" borderId="404" applyNumberFormat="0" applyFont="0" applyFill="0" applyBorder="0" applyProtection="0">
      <alignment horizontal="left" vertical="center" indent="2"/>
    </xf>
    <xf numFmtId="173" fontId="34" fillId="60" borderId="397" applyNumberFormat="0" applyFont="0" applyBorder="0" applyAlignment="0" applyProtection="0">
      <alignment horizontal="right" vertical="center"/>
    </xf>
    <xf numFmtId="0" fontId="46" fillId="56" borderId="394" applyNumberFormat="0" applyAlignment="0" applyProtection="0"/>
    <xf numFmtId="0" fontId="58" fillId="43" borderId="401" applyNumberFormat="0" applyAlignment="0" applyProtection="0"/>
    <xf numFmtId="4" fontId="34" fillId="0" borderId="410">
      <alignment horizontal="right" vertical="center"/>
    </xf>
    <xf numFmtId="0" fontId="46" fillId="56" borderId="401" applyNumberFormat="0" applyAlignment="0" applyProtection="0"/>
    <xf numFmtId="0" fontId="58" fillId="43" borderId="415" applyNumberFormat="0" applyAlignment="0" applyProtection="0"/>
    <xf numFmtId="0" fontId="58" fillId="43" borderId="394" applyNumberFormat="0" applyAlignment="0" applyProtection="0"/>
    <xf numFmtId="0" fontId="43" fillId="56" borderId="393" applyNumberFormat="0" applyAlignment="0" applyProtection="0"/>
    <xf numFmtId="0" fontId="32" fillId="34" borderId="404">
      <alignment horizontal="right" vertical="center"/>
    </xf>
    <xf numFmtId="49" fontId="33" fillId="0" borderId="397" applyNumberFormat="0" applyFill="0" applyBorder="0" applyProtection="0">
      <alignment horizontal="left" vertical="center"/>
    </xf>
    <xf numFmtId="0" fontId="65" fillId="0" borderId="395" applyNumberFormat="0" applyFill="0" applyAlignment="0" applyProtection="0"/>
    <xf numFmtId="0" fontId="34" fillId="0" borderId="397">
      <alignment horizontal="right" vertical="center"/>
    </xf>
    <xf numFmtId="0" fontId="32" fillId="34" borderId="398">
      <alignment horizontal="right" vertical="center"/>
    </xf>
    <xf numFmtId="0" fontId="65" fillId="0" borderId="395" applyNumberFormat="0" applyFill="0" applyAlignment="0" applyProtection="0"/>
    <xf numFmtId="173" fontId="34" fillId="60" borderId="404" applyNumberFormat="0" applyFont="0" applyBorder="0" applyAlignment="0" applyProtection="0">
      <alignment horizontal="right" vertical="center"/>
    </xf>
    <xf numFmtId="0" fontId="26" fillId="14" borderId="0" applyNumberFormat="0" applyBorder="0" applyAlignment="0" applyProtection="0"/>
    <xf numFmtId="0" fontId="46" fillId="56" borderId="423" applyNumberFormat="0" applyAlignment="0" applyProtection="0"/>
    <xf numFmtId="0" fontId="34" fillId="0" borderId="404" applyNumberFormat="0" applyFill="0" applyAlignment="0" applyProtection="0"/>
    <xf numFmtId="4" fontId="36" fillId="32" borderId="410">
      <alignment horizontal="right" vertical="center"/>
    </xf>
    <xf numFmtId="0" fontId="58" fillId="43" borderId="423" applyNumberFormat="0" applyAlignment="0" applyProtection="0"/>
    <xf numFmtId="4" fontId="34" fillId="0" borderId="397" applyFill="0" applyBorder="0" applyProtection="0">
      <alignment horizontal="right" vertical="center"/>
    </xf>
    <xf numFmtId="4" fontId="32" fillId="34" borderId="420">
      <alignment horizontal="right" vertical="center"/>
    </xf>
    <xf numFmtId="0" fontId="32" fillId="34" borderId="404">
      <alignment horizontal="right" vertical="center"/>
    </xf>
    <xf numFmtId="0" fontId="34" fillId="0" borderId="386">
      <alignment horizontal="right" vertical="center"/>
    </xf>
    <xf numFmtId="0" fontId="32" fillId="34" borderId="418">
      <alignment horizontal="right" vertical="center"/>
    </xf>
    <xf numFmtId="0" fontId="5" fillId="59" borderId="409" applyNumberFormat="0" applyFont="0" applyAlignment="0" applyProtection="0"/>
    <xf numFmtId="0" fontId="34" fillId="0" borderId="400">
      <alignment horizontal="left" vertical="center" wrapText="1" indent="2"/>
    </xf>
    <xf numFmtId="0" fontId="65" fillId="0" borderId="395" applyNumberFormat="0" applyFill="0" applyAlignment="0" applyProtection="0"/>
    <xf numFmtId="0" fontId="43" fillId="56" borderId="393" applyNumberFormat="0" applyAlignment="0" applyProtection="0"/>
    <xf numFmtId="0" fontId="32" fillId="34" borderId="397">
      <alignment horizontal="right" vertical="center"/>
    </xf>
    <xf numFmtId="0" fontId="45" fillId="56" borderId="394" applyNumberFormat="0" applyAlignment="0" applyProtection="0"/>
    <xf numFmtId="0" fontId="40" fillId="59" borderId="409" applyNumberFormat="0" applyFont="0" applyAlignment="0" applyProtection="0"/>
    <xf numFmtId="0" fontId="34" fillId="0" borderId="421">
      <alignment horizontal="left" vertical="center" wrapText="1" indent="2"/>
    </xf>
    <xf numFmtId="0" fontId="34" fillId="32" borderId="398">
      <alignment horizontal="left" vertical="center"/>
    </xf>
    <xf numFmtId="0" fontId="34" fillId="33" borderId="404"/>
    <xf numFmtId="0" fontId="30" fillId="0" borderId="0" applyNumberFormat="0" applyFill="0" applyBorder="0" applyAlignment="0" applyProtection="0"/>
    <xf numFmtId="0" fontId="32" fillId="34" borderId="410">
      <alignment horizontal="right" vertical="center"/>
    </xf>
    <xf numFmtId="4" fontId="32" fillId="32" borderId="404">
      <alignment horizontal="right" vertical="center"/>
    </xf>
    <xf numFmtId="0" fontId="32" fillId="34" borderId="411">
      <alignment horizontal="right" vertical="center"/>
    </xf>
    <xf numFmtId="0" fontId="32" fillId="32" borderId="397">
      <alignment horizontal="right" vertical="center"/>
    </xf>
    <xf numFmtId="4" fontId="32" fillId="34" borderId="404">
      <alignment horizontal="right" vertical="center"/>
    </xf>
    <xf numFmtId="0" fontId="34" fillId="0" borderId="410" applyNumberFormat="0" applyFill="0" applyAlignment="0" applyProtection="0"/>
    <xf numFmtId="0" fontId="50" fillId="0" borderId="395" applyNumberFormat="0" applyFill="0" applyAlignment="0" applyProtection="0"/>
    <xf numFmtId="0" fontId="65" fillId="0" borderId="416" applyNumberFormat="0" applyFill="0" applyAlignment="0" applyProtection="0"/>
    <xf numFmtId="0" fontId="34" fillId="0" borderId="397">
      <alignment horizontal="right" vertical="center"/>
    </xf>
    <xf numFmtId="0" fontId="5" fillId="59" borderId="396" applyNumberFormat="0" applyFont="0" applyAlignment="0" applyProtection="0"/>
    <xf numFmtId="0" fontId="34" fillId="33" borderId="410"/>
    <xf numFmtId="0" fontId="32" fillId="34" borderId="404">
      <alignment horizontal="right" vertical="center"/>
    </xf>
    <xf numFmtId="49" fontId="34" fillId="0" borderId="419" applyNumberFormat="0" applyFont="0" applyFill="0" applyBorder="0" applyProtection="0">
      <alignment horizontal="left" vertical="center" indent="5"/>
    </xf>
    <xf numFmtId="0" fontId="12" fillId="31" borderId="0" applyNumberFormat="0" applyBorder="0" applyAlignment="0" applyProtection="0"/>
    <xf numFmtId="0" fontId="32" fillId="34" borderId="404">
      <alignment horizontal="right" vertical="center"/>
    </xf>
    <xf numFmtId="0" fontId="58" fillId="43" borderId="394" applyNumberFormat="0" applyAlignment="0" applyProtection="0"/>
    <xf numFmtId="4" fontId="32" fillId="34" borderId="404">
      <alignment horizontal="right" vertical="center"/>
    </xf>
    <xf numFmtId="49" fontId="34" fillId="0" borderId="398" applyNumberFormat="0" applyFont="0" applyFill="0" applyBorder="0" applyProtection="0">
      <alignment horizontal="left" vertical="center" indent="5"/>
    </xf>
    <xf numFmtId="4" fontId="32" fillId="34" borderId="405">
      <alignment horizontal="right" vertical="center"/>
    </xf>
    <xf numFmtId="0" fontId="34" fillId="0" borderId="397" applyNumberFormat="0" applyFill="0" applyAlignment="0" applyProtection="0"/>
    <xf numFmtId="0" fontId="50" fillId="0" borderId="395" applyNumberFormat="0" applyFill="0" applyAlignment="0" applyProtection="0"/>
    <xf numFmtId="0" fontId="62" fillId="56" borderId="393" applyNumberFormat="0" applyAlignment="0" applyProtection="0"/>
    <xf numFmtId="4" fontId="32" fillId="34" borderId="397">
      <alignment horizontal="right" vertical="center"/>
    </xf>
    <xf numFmtId="4" fontId="34" fillId="33" borderId="397"/>
    <xf numFmtId="0" fontId="65" fillId="0" borderId="395" applyNumberFormat="0" applyFill="0" applyAlignment="0" applyProtection="0"/>
    <xf numFmtId="0" fontId="34" fillId="34" borderId="407">
      <alignment horizontal="left" vertical="center" wrapText="1" indent="2"/>
    </xf>
    <xf numFmtId="0" fontId="43" fillId="56" borderId="393" applyNumberFormat="0" applyAlignment="0" applyProtection="0"/>
    <xf numFmtId="0" fontId="45" fillId="56" borderId="394" applyNumberFormat="0" applyAlignment="0" applyProtection="0"/>
    <xf numFmtId="0" fontId="46" fillId="56" borderId="394" applyNumberFormat="0" applyAlignment="0" applyProtection="0"/>
    <xf numFmtId="0" fontId="62" fillId="56" borderId="393" applyNumberFormat="0" applyAlignment="0" applyProtection="0"/>
    <xf numFmtId="0" fontId="32" fillId="34" borderId="399">
      <alignment horizontal="right" vertical="center"/>
    </xf>
    <xf numFmtId="0" fontId="34" fillId="0" borderId="397" applyNumberFormat="0" applyFill="0" applyAlignment="0" applyProtection="0"/>
    <xf numFmtId="49" fontId="34" fillId="0" borderId="398" applyNumberFormat="0" applyFont="0" applyFill="0" applyBorder="0" applyProtection="0">
      <alignment horizontal="left" vertical="center" indent="5"/>
    </xf>
    <xf numFmtId="0" fontId="65" fillId="0" borderId="395" applyNumberFormat="0" applyFill="0" applyAlignment="0" applyProtection="0"/>
    <xf numFmtId="0" fontId="34" fillId="0" borderId="397" applyNumberFormat="0" applyFill="0" applyAlignment="0" applyProtection="0"/>
    <xf numFmtId="0" fontId="32" fillId="34" borderId="410">
      <alignment horizontal="right" vertical="center"/>
    </xf>
    <xf numFmtId="0" fontId="32" fillId="34" borderId="404">
      <alignment horizontal="right" vertical="center"/>
    </xf>
    <xf numFmtId="0" fontId="46" fillId="56" borderId="401" applyNumberFormat="0" applyAlignment="0" applyProtection="0"/>
    <xf numFmtId="4" fontId="32" fillId="34" borderId="405">
      <alignment horizontal="right" vertical="center"/>
    </xf>
    <xf numFmtId="0" fontId="12" fillId="19" borderId="0" applyNumberFormat="0" applyBorder="0" applyAlignment="0" applyProtection="0"/>
    <xf numFmtId="4" fontId="32" fillId="32" borderId="404">
      <alignment horizontal="right" vertical="center"/>
    </xf>
    <xf numFmtId="0" fontId="50" fillId="0" borderId="424" applyNumberFormat="0" applyFill="0" applyAlignment="0" applyProtection="0"/>
    <xf numFmtId="0" fontId="40" fillId="59" borderId="396" applyNumberFormat="0" applyFont="0" applyAlignment="0" applyProtection="0"/>
    <xf numFmtId="0" fontId="34" fillId="0" borderId="421">
      <alignment horizontal="left" vertical="center" wrapText="1" indent="2"/>
    </xf>
    <xf numFmtId="0" fontId="26" fillId="18" borderId="0" applyNumberFormat="0" applyBorder="0" applyAlignment="0" applyProtection="0"/>
    <xf numFmtId="4" fontId="34" fillId="33" borderId="410"/>
    <xf numFmtId="4" fontId="32" fillId="34" borderId="405">
      <alignment horizontal="right" vertical="center"/>
    </xf>
    <xf numFmtId="4" fontId="32" fillId="34" borderId="405">
      <alignment horizontal="right" vertical="center"/>
    </xf>
    <xf numFmtId="0" fontId="32" fillId="34" borderId="406">
      <alignment horizontal="right" vertical="center"/>
    </xf>
    <xf numFmtId="0" fontId="62" fillId="56" borderId="408" applyNumberFormat="0" applyAlignment="0" applyProtection="0"/>
    <xf numFmtId="0" fontId="50" fillId="0" borderId="402" applyNumberFormat="0" applyFill="0" applyAlignment="0" applyProtection="0"/>
    <xf numFmtId="0" fontId="26" fillId="30" borderId="0" applyNumberFormat="0" applyBorder="0" applyAlignment="0" applyProtection="0"/>
    <xf numFmtId="0" fontId="34" fillId="0" borderId="400">
      <alignment horizontal="left" vertical="center" wrapText="1" indent="2"/>
    </xf>
    <xf numFmtId="4" fontId="34" fillId="0" borderId="404">
      <alignment horizontal="right" vertical="center"/>
    </xf>
    <xf numFmtId="4" fontId="32" fillId="32" borderId="397">
      <alignment horizontal="right" vertical="center"/>
    </xf>
    <xf numFmtId="4" fontId="34" fillId="0" borderId="404" applyFill="0" applyBorder="0" applyProtection="0">
      <alignment horizontal="right" vertical="center"/>
    </xf>
    <xf numFmtId="0" fontId="43" fillId="56" borderId="408" applyNumberFormat="0" applyAlignment="0" applyProtection="0"/>
    <xf numFmtId="0" fontId="62" fillId="56" borderId="393" applyNumberFormat="0" applyAlignment="0" applyProtection="0"/>
    <xf numFmtId="49" fontId="34" fillId="0" borderId="398" applyNumberFormat="0" applyFont="0" applyFill="0" applyBorder="0" applyProtection="0">
      <alignment horizontal="left" vertical="center" indent="5"/>
    </xf>
    <xf numFmtId="4" fontId="34" fillId="0" borderId="397">
      <alignment horizontal="right" vertical="center"/>
    </xf>
    <xf numFmtId="0" fontId="40" fillId="59" borderId="409" applyNumberFormat="0" applyFont="0" applyAlignment="0" applyProtection="0"/>
    <xf numFmtId="0" fontId="12" fillId="25" borderId="0" applyNumberFormat="0" applyBorder="0" applyAlignment="0" applyProtection="0"/>
    <xf numFmtId="0" fontId="12" fillId="22" borderId="0" applyNumberFormat="0" applyBorder="0" applyAlignment="0" applyProtection="0"/>
    <xf numFmtId="0" fontId="26" fillId="29" borderId="0" applyNumberFormat="0" applyBorder="0" applyAlignment="0" applyProtection="0"/>
    <xf numFmtId="0" fontId="50" fillId="0" borderId="395" applyNumberFormat="0" applyFill="0" applyAlignment="0" applyProtection="0"/>
    <xf numFmtId="0" fontId="34" fillId="33" borderId="404"/>
    <xf numFmtId="4" fontId="32" fillId="34" borderId="399">
      <alignment horizontal="right" vertical="center"/>
    </xf>
    <xf numFmtId="4" fontId="32" fillId="34" borderId="397">
      <alignment horizontal="right" vertical="center"/>
    </xf>
    <xf numFmtId="4" fontId="32" fillId="34" borderId="397">
      <alignment horizontal="right" vertical="center"/>
    </xf>
    <xf numFmtId="0" fontId="65" fillId="0" borderId="395" applyNumberFormat="0" applyFill="0" applyAlignment="0" applyProtection="0"/>
    <xf numFmtId="0" fontId="46" fillId="56" borderId="394" applyNumberFormat="0" applyAlignment="0" applyProtection="0"/>
    <xf numFmtId="0" fontId="49" fillId="43" borderId="394" applyNumberFormat="0" applyAlignment="0" applyProtection="0"/>
    <xf numFmtId="0" fontId="34" fillId="34" borderId="407">
      <alignment horizontal="left" vertical="center" wrapText="1" indent="2"/>
    </xf>
    <xf numFmtId="0" fontId="29" fillId="13" borderId="13" applyNumberFormat="0" applyAlignment="0" applyProtection="0"/>
    <xf numFmtId="49" fontId="33" fillId="0" borderId="397" applyNumberFormat="0" applyFill="0" applyBorder="0" applyProtection="0">
      <alignment horizontal="left" vertical="center"/>
    </xf>
    <xf numFmtId="0" fontId="5" fillId="59" borderId="396" applyNumberFormat="0" applyFont="0" applyAlignment="0" applyProtection="0"/>
    <xf numFmtId="49" fontId="34" fillId="0" borderId="404" applyNumberFormat="0" applyFont="0" applyFill="0" applyBorder="0" applyProtection="0">
      <alignment horizontal="left" vertical="center" indent="2"/>
    </xf>
    <xf numFmtId="4" fontId="32" fillId="34" borderId="397">
      <alignment horizontal="right" vertical="center"/>
    </xf>
    <xf numFmtId="0" fontId="26" fillId="21" borderId="0" applyNumberFormat="0" applyBorder="0" applyAlignment="0" applyProtection="0"/>
    <xf numFmtId="0" fontId="40" fillId="59" borderId="409" applyNumberFormat="0" applyFont="0" applyAlignment="0" applyProtection="0"/>
    <xf numFmtId="0" fontId="49" fillId="43" borderId="401" applyNumberFormat="0" applyAlignment="0" applyProtection="0"/>
    <xf numFmtId="49" fontId="34" fillId="0" borderId="397" applyNumberFormat="0" applyFont="0" applyFill="0" applyBorder="0" applyProtection="0">
      <alignment horizontal="left" vertical="center" indent="2"/>
    </xf>
    <xf numFmtId="0" fontId="65" fillId="0" borderId="395" applyNumberFormat="0" applyFill="0" applyAlignment="0" applyProtection="0"/>
    <xf numFmtId="4" fontId="34" fillId="0" borderId="397" applyFill="0" applyBorder="0" applyProtection="0">
      <alignment horizontal="right" vertical="center"/>
    </xf>
    <xf numFmtId="0" fontId="58" fillId="43" borderId="394" applyNumberFormat="0" applyAlignment="0" applyProtection="0"/>
    <xf numFmtId="49" fontId="33" fillId="0" borderId="397" applyNumberFormat="0" applyFill="0" applyBorder="0" applyProtection="0">
      <alignment horizontal="left" vertical="center"/>
    </xf>
    <xf numFmtId="49" fontId="34" fillId="0" borderId="397" applyNumberFormat="0" applyFont="0" applyFill="0" applyBorder="0" applyProtection="0">
      <alignment horizontal="left" vertical="center" indent="2"/>
    </xf>
    <xf numFmtId="4" fontId="34" fillId="0" borderId="397" applyFill="0" applyBorder="0" applyProtection="0">
      <alignment horizontal="right" vertical="center"/>
    </xf>
    <xf numFmtId="0" fontId="50" fillId="0" borderId="416" applyNumberFormat="0" applyFill="0" applyAlignment="0" applyProtection="0"/>
    <xf numFmtId="173" fontId="34" fillId="60" borderId="397" applyNumberFormat="0" applyFont="0" applyBorder="0" applyAlignment="0" applyProtection="0">
      <alignment horizontal="right" vertical="center"/>
    </xf>
    <xf numFmtId="0" fontId="50" fillId="0" borderId="416" applyNumberFormat="0" applyFill="0" applyAlignment="0" applyProtection="0"/>
    <xf numFmtId="0" fontId="65" fillId="0" borderId="402" applyNumberFormat="0" applyFill="0" applyAlignment="0" applyProtection="0"/>
    <xf numFmtId="0" fontId="34" fillId="34" borderId="407">
      <alignment horizontal="left" vertical="center" wrapText="1" indent="2"/>
    </xf>
    <xf numFmtId="0" fontId="36" fillId="32" borderId="397">
      <alignment horizontal="right" vertical="center"/>
    </xf>
    <xf numFmtId="0" fontId="12" fillId="25" borderId="0" applyNumberFormat="0" applyBorder="0" applyAlignment="0" applyProtection="0"/>
    <xf numFmtId="0" fontId="46" fillId="56" borderId="415" applyNumberFormat="0" applyAlignment="0" applyProtection="0"/>
    <xf numFmtId="0" fontId="50" fillId="0" borderId="416" applyNumberFormat="0" applyFill="0" applyAlignment="0" applyProtection="0"/>
    <xf numFmtId="0" fontId="34" fillId="32" borderId="405">
      <alignment horizontal="left" vertical="center"/>
    </xf>
    <xf numFmtId="0" fontId="49" fillId="43" borderId="394" applyNumberFormat="0" applyAlignment="0" applyProtection="0"/>
    <xf numFmtId="4" fontId="32" fillId="34" borderId="397">
      <alignment horizontal="right" vertical="center"/>
    </xf>
    <xf numFmtId="0" fontId="34" fillId="32" borderId="398">
      <alignment horizontal="left" vertical="center"/>
    </xf>
    <xf numFmtId="0" fontId="26" fillId="14" borderId="0" applyNumberFormat="0" applyBorder="0" applyAlignment="0" applyProtection="0"/>
    <xf numFmtId="0" fontId="65" fillId="0" borderId="402" applyNumberFormat="0" applyFill="0" applyAlignment="0" applyProtection="0"/>
    <xf numFmtId="0" fontId="34" fillId="33" borderId="418"/>
    <xf numFmtId="0" fontId="34" fillId="33" borderId="386"/>
    <xf numFmtId="0" fontId="32" fillId="34" borderId="386">
      <alignment horizontal="right" vertical="center"/>
    </xf>
    <xf numFmtId="0" fontId="40" fillId="59" borderId="403" applyNumberFormat="0" applyFont="0" applyAlignment="0" applyProtection="0"/>
    <xf numFmtId="4" fontId="34" fillId="0" borderId="410">
      <alignment horizontal="right" vertical="center"/>
    </xf>
    <xf numFmtId="0" fontId="62" fillId="56" borderId="408" applyNumberFormat="0" applyAlignment="0" applyProtection="0"/>
    <xf numFmtId="0" fontId="36" fillId="32" borderId="404">
      <alignment horizontal="right" vertical="center"/>
    </xf>
    <xf numFmtId="0" fontId="12" fillId="28" borderId="0" applyNumberFormat="0" applyBorder="0" applyAlignment="0" applyProtection="0"/>
    <xf numFmtId="0" fontId="32" fillId="34" borderId="397">
      <alignment horizontal="right" vertical="center"/>
    </xf>
    <xf numFmtId="0" fontId="34" fillId="34" borderId="400">
      <alignment horizontal="left" vertical="center" wrapText="1" indent="2"/>
    </xf>
    <xf numFmtId="173" fontId="34" fillId="60" borderId="397" applyNumberFormat="0" applyFont="0" applyBorder="0" applyAlignment="0" applyProtection="0">
      <alignment horizontal="right" vertical="center"/>
    </xf>
    <xf numFmtId="0" fontId="40" fillId="59" borderId="396" applyNumberFormat="0" applyFont="0" applyAlignment="0" applyProtection="0"/>
    <xf numFmtId="49" fontId="34" fillId="0" borderId="397" applyNumberFormat="0" applyFont="0" applyFill="0" applyBorder="0" applyProtection="0">
      <alignment horizontal="left" vertical="center" indent="2"/>
    </xf>
    <xf numFmtId="0" fontId="49" fillId="43" borderId="401" applyNumberFormat="0" applyAlignment="0" applyProtection="0"/>
    <xf numFmtId="0" fontId="45" fillId="56" borderId="401" applyNumberFormat="0" applyAlignment="0" applyProtection="0"/>
    <xf numFmtId="4" fontId="32" fillId="34" borderId="410">
      <alignment horizontal="right" vertical="center"/>
    </xf>
    <xf numFmtId="0" fontId="26" fillId="27" borderId="0" applyNumberFormat="0" applyBorder="0" applyAlignment="0" applyProtection="0"/>
    <xf numFmtId="49" fontId="33" fillId="0" borderId="397" applyNumberFormat="0" applyFill="0" applyBorder="0" applyProtection="0">
      <alignment horizontal="left" vertical="center"/>
    </xf>
    <xf numFmtId="173" fontId="34" fillId="60" borderId="397" applyNumberFormat="0" applyFont="0" applyBorder="0" applyAlignment="0" applyProtection="0">
      <alignment horizontal="right" vertical="center"/>
    </xf>
    <xf numFmtId="0" fontId="62" fillId="56" borderId="393" applyNumberFormat="0" applyAlignment="0" applyProtection="0"/>
    <xf numFmtId="0" fontId="34" fillId="0" borderId="397">
      <alignment horizontal="right" vertical="center"/>
    </xf>
    <xf numFmtId="0" fontId="1" fillId="0" borderId="0" applyNumberFormat="0" applyFill="0" applyBorder="0" applyAlignment="0" applyProtection="0"/>
    <xf numFmtId="0" fontId="34" fillId="33" borderId="397"/>
    <xf numFmtId="4" fontId="32" fillId="34" borderId="397">
      <alignment horizontal="right" vertical="center"/>
    </xf>
    <xf numFmtId="0" fontId="34" fillId="33" borderId="397"/>
    <xf numFmtId="0" fontId="58" fillId="43" borderId="394" applyNumberFormat="0" applyAlignment="0" applyProtection="0"/>
    <xf numFmtId="4" fontId="34" fillId="0" borderId="404">
      <alignment horizontal="right" vertical="center"/>
    </xf>
    <xf numFmtId="0" fontId="36" fillId="32" borderId="397">
      <alignment horizontal="right" vertical="center"/>
    </xf>
    <xf numFmtId="0" fontId="34" fillId="0" borderId="400">
      <alignment horizontal="left" vertical="center" wrapText="1" indent="2"/>
    </xf>
    <xf numFmtId="0" fontId="32" fillId="32" borderId="397">
      <alignment horizontal="right" vertical="center"/>
    </xf>
    <xf numFmtId="0" fontId="49" fillId="43" borderId="394" applyNumberFormat="0" applyAlignment="0" applyProtection="0"/>
    <xf numFmtId="0" fontId="34" fillId="34" borderId="400">
      <alignment horizontal="left" vertical="center" wrapText="1" indent="2"/>
    </xf>
    <xf numFmtId="0" fontId="36" fillId="32" borderId="404">
      <alignment horizontal="right" vertical="center"/>
    </xf>
    <xf numFmtId="0" fontId="26" fillId="17" borderId="0" applyNumberFormat="0" applyBorder="0" applyAlignment="0" applyProtection="0"/>
    <xf numFmtId="0" fontId="34" fillId="0" borderId="404" applyNumberFormat="0" applyFill="0" applyAlignment="0" applyProtection="0"/>
    <xf numFmtId="0" fontId="26" fillId="15" borderId="0" applyNumberFormat="0" applyBorder="0" applyAlignment="0" applyProtection="0"/>
    <xf numFmtId="0" fontId="30" fillId="0" borderId="0" applyNumberFormat="0" applyFill="0" applyBorder="0" applyAlignment="0" applyProtection="0"/>
    <xf numFmtId="0" fontId="26" fillId="24" borderId="0" applyNumberFormat="0" applyBorder="0" applyAlignment="0" applyProtection="0"/>
    <xf numFmtId="0" fontId="34" fillId="0" borderId="413">
      <alignment horizontal="left" vertical="center" wrapText="1" indent="2"/>
    </xf>
    <xf numFmtId="0" fontId="46" fillId="56" borderId="415" applyNumberFormat="0" applyAlignment="0" applyProtection="0"/>
    <xf numFmtId="0" fontId="49" fillId="43" borderId="401" applyNumberFormat="0" applyAlignment="0" applyProtection="0"/>
    <xf numFmtId="0" fontId="43" fillId="56" borderId="408" applyNumberFormat="0" applyAlignment="0" applyProtection="0"/>
    <xf numFmtId="0" fontId="45" fillId="56" borderId="394" applyNumberFormat="0" applyAlignment="0" applyProtection="0"/>
    <xf numFmtId="0" fontId="36" fillId="32" borderId="397">
      <alignment horizontal="right" vertical="center"/>
    </xf>
    <xf numFmtId="173" fontId="34" fillId="60" borderId="404" applyNumberFormat="0" applyFont="0" applyBorder="0" applyAlignment="0" applyProtection="0">
      <alignment horizontal="right" vertical="center"/>
    </xf>
    <xf numFmtId="4" fontId="32" fillId="34" borderId="406">
      <alignment horizontal="right" vertical="center"/>
    </xf>
    <xf numFmtId="4" fontId="32" fillId="34" borderId="411">
      <alignment horizontal="right" vertical="center"/>
    </xf>
    <xf numFmtId="0" fontId="26" fillId="20" borderId="0" applyNumberFormat="0" applyBorder="0" applyAlignment="0" applyProtection="0"/>
    <xf numFmtId="0" fontId="58" fillId="43" borderId="401" applyNumberFormat="0" applyAlignment="0" applyProtection="0"/>
    <xf numFmtId="0" fontId="32" fillId="34" borderId="418">
      <alignment horizontal="right" vertical="center"/>
    </xf>
    <xf numFmtId="0" fontId="30" fillId="0" borderId="0" applyNumberFormat="0" applyFill="0" applyBorder="0" applyAlignment="0" applyProtection="0"/>
    <xf numFmtId="0" fontId="45" fillId="56" borderId="415" applyNumberFormat="0" applyAlignment="0" applyProtection="0"/>
    <xf numFmtId="0" fontId="46" fillId="56" borderId="423" applyNumberFormat="0" applyAlignment="0" applyProtection="0"/>
    <xf numFmtId="0" fontId="32" fillId="34" borderId="397">
      <alignment horizontal="right" vertical="center"/>
    </xf>
    <xf numFmtId="4" fontId="34" fillId="0" borderId="397" applyFill="0" applyBorder="0" applyProtection="0">
      <alignment horizontal="right" vertical="center"/>
    </xf>
    <xf numFmtId="0" fontId="34" fillId="34" borderId="400">
      <alignment horizontal="left" vertical="center" wrapText="1" indent="2"/>
    </xf>
    <xf numFmtId="0" fontId="40" fillId="59" borderId="396" applyNumberFormat="0" applyFont="0" applyAlignment="0" applyProtection="0"/>
    <xf numFmtId="0" fontId="49" fillId="43" borderId="394" applyNumberFormat="0" applyAlignment="0" applyProtection="0"/>
    <xf numFmtId="4" fontId="34" fillId="33" borderId="397"/>
    <xf numFmtId="4" fontId="34" fillId="0" borderId="397" applyFill="0" applyBorder="0" applyProtection="0">
      <alignment horizontal="right" vertical="center"/>
    </xf>
    <xf numFmtId="0" fontId="65" fillId="0" borderId="395" applyNumberFormat="0" applyFill="0" applyAlignment="0" applyProtection="0"/>
    <xf numFmtId="0" fontId="34" fillId="32" borderId="398">
      <alignment horizontal="left" vertical="center"/>
    </xf>
    <xf numFmtId="0" fontId="34" fillId="0" borderId="400">
      <alignment horizontal="left" vertical="center" wrapText="1" indent="2"/>
    </xf>
    <xf numFmtId="0" fontId="34" fillId="0" borderId="410" applyNumberFormat="0" applyFill="0" applyAlignment="0" applyProtection="0"/>
    <xf numFmtId="0" fontId="58" fillId="43" borderId="394" applyNumberFormat="0" applyAlignment="0" applyProtection="0"/>
    <xf numFmtId="0" fontId="49" fillId="43" borderId="401" applyNumberFormat="0" applyAlignment="0" applyProtection="0"/>
    <xf numFmtId="0" fontId="34" fillId="34" borderId="400">
      <alignment horizontal="left" vertical="center" wrapText="1" indent="2"/>
    </xf>
    <xf numFmtId="0" fontId="30" fillId="0" borderId="0" applyNumberFormat="0" applyFill="0" applyBorder="0" applyAlignment="0" applyProtection="0"/>
    <xf numFmtId="0" fontId="2" fillId="0" borderId="15" applyNumberFormat="0" applyFill="0" applyAlignment="0" applyProtection="0"/>
    <xf numFmtId="4" fontId="36" fillId="32" borderId="410">
      <alignment horizontal="right" vertical="center"/>
    </xf>
    <xf numFmtId="4" fontId="32" fillId="34" borderId="406">
      <alignment horizontal="right" vertical="center"/>
    </xf>
    <xf numFmtId="0" fontId="40" fillId="59" borderId="396" applyNumberFormat="0" applyFont="0" applyAlignment="0" applyProtection="0"/>
    <xf numFmtId="0" fontId="58" fillId="43" borderId="394" applyNumberFormat="0" applyAlignment="0" applyProtection="0"/>
    <xf numFmtId="0" fontId="32" fillId="34" borderId="418">
      <alignment horizontal="right" vertical="center"/>
    </xf>
    <xf numFmtId="4" fontId="34" fillId="33" borderId="397"/>
    <xf numFmtId="0" fontId="46" fillId="56" borderId="394" applyNumberFormat="0" applyAlignment="0" applyProtection="0"/>
    <xf numFmtId="0" fontId="58" fillId="43" borderId="394" applyNumberFormat="0" applyAlignment="0" applyProtection="0"/>
    <xf numFmtId="4" fontId="32" fillId="34" borderId="397">
      <alignment horizontal="right" vertical="center"/>
    </xf>
    <xf numFmtId="0" fontId="50" fillId="0" borderId="395" applyNumberFormat="0" applyFill="0" applyAlignment="0" applyProtection="0"/>
    <xf numFmtId="0" fontId="26" fillId="23" borderId="0" applyNumberFormat="0" applyBorder="0" applyAlignment="0" applyProtection="0"/>
    <xf numFmtId="0" fontId="65" fillId="0" borderId="416" applyNumberFormat="0" applyFill="0" applyAlignment="0" applyProtection="0"/>
    <xf numFmtId="0" fontId="65" fillId="0" borderId="402" applyNumberFormat="0" applyFill="0" applyAlignment="0" applyProtection="0"/>
    <xf numFmtId="0" fontId="58" fillId="43" borderId="423" applyNumberFormat="0" applyAlignment="0" applyProtection="0"/>
    <xf numFmtId="0" fontId="26" fillId="23" borderId="0" applyNumberFormat="0" applyBorder="0" applyAlignment="0" applyProtection="0"/>
    <xf numFmtId="0" fontId="46" fillId="56" borderId="394" applyNumberFormat="0" applyAlignment="0" applyProtection="0"/>
    <xf numFmtId="0" fontId="32" fillId="34" borderId="404">
      <alignment horizontal="right" vertical="center"/>
    </xf>
    <xf numFmtId="0" fontId="49" fillId="43" borderId="394" applyNumberFormat="0" applyAlignment="0" applyProtection="0"/>
    <xf numFmtId="4" fontId="34" fillId="33" borderId="404"/>
    <xf numFmtId="49" fontId="33" fillId="0" borderId="404" applyNumberFormat="0" applyFill="0" applyBorder="0" applyProtection="0">
      <alignment horizontal="left" vertical="center"/>
    </xf>
    <xf numFmtId="4" fontId="34" fillId="0" borderId="410" applyFill="0" applyBorder="0" applyProtection="0">
      <alignment horizontal="right" vertical="center"/>
    </xf>
    <xf numFmtId="4" fontId="32" fillId="34" borderId="419">
      <alignment horizontal="right" vertical="center"/>
    </xf>
    <xf numFmtId="0" fontId="26" fillId="14" borderId="0" applyNumberFormat="0" applyBorder="0" applyAlignment="0" applyProtection="0"/>
    <xf numFmtId="0" fontId="5" fillId="59" borderId="403" applyNumberFormat="0" applyFont="0" applyAlignment="0" applyProtection="0"/>
    <xf numFmtId="0" fontId="34" fillId="34" borderId="400">
      <alignment horizontal="left" vertical="center" wrapText="1" indent="2"/>
    </xf>
    <xf numFmtId="0" fontId="65" fillId="0" borderId="402" applyNumberFormat="0" applyFill="0" applyAlignment="0" applyProtection="0"/>
    <xf numFmtId="0" fontId="62" fillId="56" borderId="393" applyNumberFormat="0" applyAlignment="0" applyProtection="0"/>
    <xf numFmtId="0" fontId="58" fillId="43" borderId="394" applyNumberFormat="0" applyAlignment="0" applyProtection="0"/>
    <xf numFmtId="4" fontId="32" fillId="34" borderId="397">
      <alignment horizontal="right" vertical="center"/>
    </xf>
    <xf numFmtId="0" fontId="34" fillId="33" borderId="397"/>
    <xf numFmtId="0" fontId="49" fillId="43" borderId="415" applyNumberFormat="0" applyAlignment="0" applyProtection="0"/>
    <xf numFmtId="0" fontId="40" fillId="59" borderId="403" applyNumberFormat="0" applyFont="0" applyAlignment="0" applyProtection="0"/>
    <xf numFmtId="0" fontId="34" fillId="0" borderId="400">
      <alignment horizontal="left" vertical="center" wrapText="1" indent="2"/>
    </xf>
    <xf numFmtId="4" fontId="32" fillId="34" borderId="412">
      <alignment horizontal="right" vertical="center"/>
    </xf>
    <xf numFmtId="0" fontId="32" fillId="34" borderId="404">
      <alignment horizontal="right" vertical="center"/>
    </xf>
    <xf numFmtId="0" fontId="12" fillId="25" borderId="0" applyNumberFormat="0" applyBorder="0" applyAlignment="0" applyProtection="0"/>
    <xf numFmtId="4" fontId="32" fillId="34" borderId="410">
      <alignment horizontal="right" vertical="center"/>
    </xf>
    <xf numFmtId="0" fontId="45" fillId="56" borderId="394" applyNumberFormat="0" applyAlignment="0" applyProtection="0"/>
    <xf numFmtId="0" fontId="32" fillId="32" borderId="404">
      <alignment horizontal="right" vertical="center"/>
    </xf>
    <xf numFmtId="0" fontId="50" fillId="0" borderId="402" applyNumberFormat="0" applyFill="0" applyAlignment="0" applyProtection="0"/>
    <xf numFmtId="4" fontId="32" fillId="32" borderId="397">
      <alignment horizontal="right" vertical="center"/>
    </xf>
    <xf numFmtId="0" fontId="34" fillId="33" borderId="404"/>
    <xf numFmtId="0" fontId="32" fillId="32" borderId="397">
      <alignment horizontal="right" vertical="center"/>
    </xf>
    <xf numFmtId="0" fontId="32" fillId="34" borderId="397">
      <alignment horizontal="right" vertical="center"/>
    </xf>
    <xf numFmtId="0" fontId="34" fillId="34" borderId="413">
      <alignment horizontal="left" vertical="center" wrapText="1" indent="2"/>
    </xf>
    <xf numFmtId="4" fontId="32" fillId="34" borderId="404">
      <alignment horizontal="right" vertical="center"/>
    </xf>
    <xf numFmtId="0" fontId="26" fillId="30" borderId="0" applyNumberFormat="0" applyBorder="0" applyAlignment="0" applyProtection="0"/>
    <xf numFmtId="0" fontId="62" fillId="56" borderId="422" applyNumberFormat="0" applyAlignment="0" applyProtection="0"/>
    <xf numFmtId="0" fontId="62" fillId="56" borderId="393" applyNumberFormat="0" applyAlignment="0" applyProtection="0"/>
    <xf numFmtId="0" fontId="32" fillId="32" borderId="386">
      <alignment horizontal="right" vertical="center"/>
    </xf>
    <xf numFmtId="49" fontId="34" fillId="0" borderId="397" applyNumberFormat="0" applyFont="0" applyFill="0" applyBorder="0" applyProtection="0">
      <alignment horizontal="left" vertical="center" indent="2"/>
    </xf>
    <xf numFmtId="0" fontId="34" fillId="34" borderId="407">
      <alignment horizontal="left" vertical="center" wrapText="1" indent="2"/>
    </xf>
    <xf numFmtId="0" fontId="40" fillId="59" borderId="396" applyNumberFormat="0" applyFont="0" applyAlignment="0" applyProtection="0"/>
    <xf numFmtId="173" fontId="34" fillId="60" borderId="397" applyNumberFormat="0" applyFont="0" applyBorder="0" applyAlignment="0" applyProtection="0">
      <alignment horizontal="right" vertical="center"/>
    </xf>
    <xf numFmtId="0" fontId="58" fillId="43" borderId="394" applyNumberFormat="0" applyAlignment="0" applyProtection="0"/>
    <xf numFmtId="0" fontId="32" fillId="34" borderId="397">
      <alignment horizontal="right" vertical="center"/>
    </xf>
    <xf numFmtId="0" fontId="34" fillId="33" borderId="397"/>
    <xf numFmtId="0" fontId="62" fillId="56" borderId="393" applyNumberFormat="0" applyAlignment="0" applyProtection="0"/>
    <xf numFmtId="0" fontId="46" fillId="56" borderId="394" applyNumberFormat="0" applyAlignment="0" applyProtection="0"/>
    <xf numFmtId="0" fontId="45" fillId="56" borderId="394" applyNumberFormat="0" applyAlignment="0" applyProtection="0"/>
    <xf numFmtId="0" fontId="49" fillId="43" borderId="394" applyNumberFormat="0" applyAlignment="0" applyProtection="0"/>
    <xf numFmtId="0" fontId="49" fillId="43" borderId="394" applyNumberFormat="0" applyAlignment="0" applyProtection="0"/>
    <xf numFmtId="0" fontId="34" fillId="0" borderId="400">
      <alignment horizontal="left" vertical="center" wrapText="1" indent="2"/>
    </xf>
    <xf numFmtId="4" fontId="32" fillId="34" borderId="398">
      <alignment horizontal="right" vertical="center"/>
    </xf>
    <xf numFmtId="4" fontId="34" fillId="0" borderId="397">
      <alignment horizontal="right" vertical="center"/>
    </xf>
    <xf numFmtId="49" fontId="33" fillId="0" borderId="397" applyNumberFormat="0" applyFill="0" applyBorder="0" applyProtection="0">
      <alignment horizontal="left" vertical="center"/>
    </xf>
    <xf numFmtId="4" fontId="34" fillId="0" borderId="397">
      <alignment horizontal="right" vertical="center"/>
    </xf>
    <xf numFmtId="0" fontId="62" fillId="56" borderId="393" applyNumberFormat="0" applyAlignment="0" applyProtection="0"/>
    <xf numFmtId="0" fontId="28" fillId="13" borderId="14" applyNumberFormat="0" applyAlignment="0" applyProtection="0"/>
    <xf numFmtId="0" fontId="34" fillId="0" borderId="404" applyNumberFormat="0" applyFill="0" applyAlignment="0" applyProtection="0"/>
    <xf numFmtId="0" fontId="49" fillId="43" borderId="401" applyNumberFormat="0" applyAlignment="0" applyProtection="0"/>
    <xf numFmtId="0" fontId="32" fillId="34" borderId="412">
      <alignment horizontal="right" vertical="center"/>
    </xf>
    <xf numFmtId="0" fontId="26" fillId="29" borderId="0" applyNumberFormat="0" applyBorder="0" applyAlignment="0" applyProtection="0"/>
    <xf numFmtId="0" fontId="32" fillId="34" borderId="405">
      <alignment horizontal="right" vertical="center"/>
    </xf>
    <xf numFmtId="0" fontId="34" fillId="0" borderId="400">
      <alignment horizontal="left" vertical="center" wrapText="1" indent="2"/>
    </xf>
    <xf numFmtId="0" fontId="12" fillId="22" borderId="0" applyNumberFormat="0" applyBorder="0" applyAlignment="0" applyProtection="0"/>
    <xf numFmtId="0" fontId="29" fillId="13" borderId="13" applyNumberFormat="0" applyAlignment="0" applyProtection="0"/>
    <xf numFmtId="173" fontId="34" fillId="60" borderId="404" applyNumberFormat="0" applyFont="0" applyBorder="0" applyAlignment="0" applyProtection="0">
      <alignment horizontal="right" vertical="center"/>
    </xf>
    <xf numFmtId="0" fontId="45" fillId="56" borderId="423" applyNumberFormat="0" applyAlignment="0" applyProtection="0"/>
    <xf numFmtId="0" fontId="36" fillId="32" borderId="404">
      <alignment horizontal="right" vertical="center"/>
    </xf>
    <xf numFmtId="0" fontId="49" fillId="43" borderId="401" applyNumberFormat="0" applyAlignment="0" applyProtection="0"/>
    <xf numFmtId="0" fontId="29" fillId="13" borderId="13" applyNumberFormat="0" applyAlignment="0" applyProtection="0"/>
    <xf numFmtId="4" fontId="32" fillId="34" borderId="404">
      <alignment horizontal="right" vertical="center"/>
    </xf>
    <xf numFmtId="0" fontId="32" fillId="34" borderId="429">
      <alignment horizontal="right" vertical="center"/>
    </xf>
    <xf numFmtId="0" fontId="45" fillId="56" borderId="423" applyNumberFormat="0" applyAlignment="0" applyProtection="0"/>
    <xf numFmtId="0" fontId="40" fillId="59" borderId="396" applyNumberFormat="0" applyFont="0" applyAlignment="0" applyProtection="0"/>
    <xf numFmtId="0" fontId="34" fillId="33" borderId="410"/>
    <xf numFmtId="0" fontId="32" fillId="32" borderId="397">
      <alignment horizontal="right" vertical="center"/>
    </xf>
    <xf numFmtId="0" fontId="12" fillId="19" borderId="0" applyNumberFormat="0" applyBorder="0" applyAlignment="0" applyProtection="0"/>
    <xf numFmtId="0" fontId="40" fillId="59" borderId="403" applyNumberFormat="0" applyFont="0" applyAlignment="0" applyProtection="0"/>
    <xf numFmtId="0" fontId="34" fillId="0" borderId="397" applyNumberFormat="0" applyFill="0" applyAlignment="0" applyProtection="0"/>
    <xf numFmtId="49" fontId="33" fillId="0" borderId="397" applyNumberFormat="0" applyFill="0" applyBorder="0" applyProtection="0">
      <alignment horizontal="left" vertical="center"/>
    </xf>
    <xf numFmtId="0" fontId="34" fillId="0" borderId="397">
      <alignment horizontal="right" vertical="center"/>
    </xf>
    <xf numFmtId="0" fontId="40" fillId="59" borderId="403" applyNumberFormat="0" applyFont="0" applyAlignment="0" applyProtection="0"/>
    <xf numFmtId="4" fontId="34" fillId="0" borderId="404" applyFill="0" applyBorder="0" applyProtection="0">
      <alignment horizontal="right" vertical="center"/>
    </xf>
    <xf numFmtId="0" fontId="50" fillId="0" borderId="424" applyNumberFormat="0" applyFill="0" applyAlignment="0" applyProtection="0"/>
    <xf numFmtId="0" fontId="58" fillId="43" borderId="401" applyNumberFormat="0" applyAlignment="0" applyProtection="0"/>
    <xf numFmtId="4" fontId="32" fillId="32" borderId="397">
      <alignment horizontal="right" vertical="center"/>
    </xf>
    <xf numFmtId="0" fontId="46" fillId="56" borderId="401" applyNumberFormat="0" applyAlignment="0" applyProtection="0"/>
    <xf numFmtId="0" fontId="46" fillId="56" borderId="394" applyNumberFormat="0" applyAlignment="0" applyProtection="0"/>
    <xf numFmtId="0" fontId="32" fillId="34" borderId="399">
      <alignment horizontal="right" vertical="center"/>
    </xf>
    <xf numFmtId="4" fontId="32" fillId="32" borderId="397">
      <alignment horizontal="right" vertical="center"/>
    </xf>
    <xf numFmtId="0" fontId="32" fillId="34" borderId="397">
      <alignment horizontal="right" vertical="center"/>
    </xf>
    <xf numFmtId="0" fontId="46" fillId="56" borderId="394" applyNumberFormat="0" applyAlignment="0" applyProtection="0"/>
    <xf numFmtId="4" fontId="34" fillId="0" borderId="404">
      <alignment horizontal="right" vertical="center"/>
    </xf>
    <xf numFmtId="4" fontId="36" fillId="32" borderId="404">
      <alignment horizontal="right" vertical="center"/>
    </xf>
    <xf numFmtId="0" fontId="28" fillId="13" borderId="14" applyNumberFormat="0" applyAlignment="0" applyProtection="0"/>
    <xf numFmtId="4" fontId="34" fillId="0" borderId="397" applyFill="0" applyBorder="0" applyProtection="0">
      <alignment horizontal="right" vertical="center"/>
    </xf>
    <xf numFmtId="0" fontId="40" fillId="59" borderId="396" applyNumberFormat="0" applyFont="0" applyAlignment="0" applyProtection="0"/>
    <xf numFmtId="0" fontId="58" fillId="43" borderId="401" applyNumberFormat="0" applyAlignment="0" applyProtection="0"/>
    <xf numFmtId="0" fontId="26" fillId="26" borderId="0" applyNumberFormat="0" applyBorder="0" applyAlignment="0" applyProtection="0"/>
    <xf numFmtId="0" fontId="34" fillId="34" borderId="413">
      <alignment horizontal="left" vertical="center" wrapText="1" indent="2"/>
    </xf>
    <xf numFmtId="4" fontId="32" fillId="34" borderId="418">
      <alignment horizontal="right" vertical="center"/>
    </xf>
    <xf numFmtId="0" fontId="32" fillId="34" borderId="386">
      <alignment horizontal="right" vertical="center"/>
    </xf>
    <xf numFmtId="0" fontId="26" fillId="30" borderId="0" applyNumberFormat="0" applyBorder="0" applyAlignment="0" applyProtection="0"/>
    <xf numFmtId="0" fontId="32" fillId="32" borderId="397">
      <alignment horizontal="right" vertical="center"/>
    </xf>
    <xf numFmtId="0" fontId="50" fillId="0" borderId="395" applyNumberFormat="0" applyFill="0" applyAlignment="0" applyProtection="0"/>
    <xf numFmtId="0" fontId="34" fillId="0" borderId="397" applyNumberFormat="0" applyFill="0" applyAlignment="0" applyProtection="0"/>
    <xf numFmtId="0" fontId="50" fillId="0" borderId="395" applyNumberFormat="0" applyFill="0" applyAlignment="0" applyProtection="0"/>
    <xf numFmtId="4" fontId="34" fillId="0" borderId="397" applyFill="0" applyBorder="0" applyProtection="0">
      <alignment horizontal="right" vertical="center"/>
    </xf>
    <xf numFmtId="49" fontId="34" fillId="0" borderId="398" applyNumberFormat="0" applyFont="0" applyFill="0" applyBorder="0" applyProtection="0">
      <alignment horizontal="left" vertical="center" indent="5"/>
    </xf>
    <xf numFmtId="0" fontId="34" fillId="0" borderId="397" applyNumberFormat="0" applyFill="0" applyAlignment="0" applyProtection="0"/>
    <xf numFmtId="0" fontId="46" fillId="56" borderId="401" applyNumberFormat="0" applyAlignment="0" applyProtection="0"/>
    <xf numFmtId="0" fontId="34" fillId="0" borderId="397" applyNumberFormat="0" applyFill="0" applyAlignment="0" applyProtection="0"/>
    <xf numFmtId="0" fontId="34" fillId="33" borderId="404"/>
    <xf numFmtId="0" fontId="40" fillId="59" borderId="409" applyNumberFormat="0" applyFont="0" applyAlignment="0" applyProtection="0"/>
    <xf numFmtId="4" fontId="32" fillId="34" borderId="397">
      <alignment horizontal="right" vertical="center"/>
    </xf>
    <xf numFmtId="0" fontId="62" fillId="56" borderId="414" applyNumberFormat="0" applyAlignment="0" applyProtection="0"/>
    <xf numFmtId="4" fontId="34" fillId="33" borderId="404"/>
    <xf numFmtId="4" fontId="34" fillId="33" borderId="410"/>
    <xf numFmtId="0" fontId="58" fillId="43" borderId="423" applyNumberFormat="0" applyAlignment="0" applyProtection="0"/>
    <xf numFmtId="0" fontId="49" fillId="43" borderId="394" applyNumberFormat="0" applyAlignment="0" applyProtection="0"/>
    <xf numFmtId="0" fontId="46" fillId="56" borderId="394" applyNumberFormat="0" applyAlignment="0" applyProtection="0"/>
    <xf numFmtId="4" fontId="34" fillId="0" borderId="397">
      <alignment horizontal="right" vertical="center"/>
    </xf>
    <xf numFmtId="0" fontId="34" fillId="34" borderId="400">
      <alignment horizontal="left" vertical="center" wrapText="1" indent="2"/>
    </xf>
    <xf numFmtId="0" fontId="34" fillId="0" borderId="400">
      <alignment horizontal="left" vertical="center" wrapText="1" indent="2"/>
    </xf>
    <xf numFmtId="0" fontId="62" fillId="56" borderId="393" applyNumberFormat="0" applyAlignment="0" applyProtection="0"/>
    <xf numFmtId="0" fontId="58" fillId="43" borderId="394" applyNumberFormat="0" applyAlignment="0" applyProtection="0"/>
    <xf numFmtId="0" fontId="45" fillId="56" borderId="394" applyNumberFormat="0" applyAlignment="0" applyProtection="0"/>
    <xf numFmtId="0" fontId="43" fillId="56" borderId="393" applyNumberFormat="0" applyAlignment="0" applyProtection="0"/>
    <xf numFmtId="0" fontId="32" fillId="34" borderId="399">
      <alignment horizontal="right" vertical="center"/>
    </xf>
    <xf numFmtId="0" fontId="36" fillId="32" borderId="397">
      <alignment horizontal="right" vertical="center"/>
    </xf>
    <xf numFmtId="4" fontId="32" fillId="32" borderId="397">
      <alignment horizontal="right" vertical="center"/>
    </xf>
    <xf numFmtId="4" fontId="32" fillId="34" borderId="397">
      <alignment horizontal="right" vertical="center"/>
    </xf>
    <xf numFmtId="49" fontId="34" fillId="0" borderId="398" applyNumberFormat="0" applyFont="0" applyFill="0" applyBorder="0" applyProtection="0">
      <alignment horizontal="left" vertical="center" indent="5"/>
    </xf>
    <xf numFmtId="4" fontId="34" fillId="0" borderId="397" applyFill="0" applyBorder="0" applyProtection="0">
      <alignment horizontal="right" vertical="center"/>
    </xf>
    <xf numFmtId="4" fontId="32" fillId="32" borderId="397">
      <alignment horizontal="right" vertical="center"/>
    </xf>
    <xf numFmtId="0" fontId="58" fillId="43" borderId="394" applyNumberFormat="0" applyAlignment="0" applyProtection="0"/>
    <xf numFmtId="0" fontId="49" fillId="43" borderId="394" applyNumberFormat="0" applyAlignment="0" applyProtection="0"/>
    <xf numFmtId="0" fontId="45" fillId="56" borderId="394" applyNumberFormat="0" applyAlignment="0" applyProtection="0"/>
    <xf numFmtId="0" fontId="34" fillId="34" borderId="400">
      <alignment horizontal="left" vertical="center" wrapText="1" indent="2"/>
    </xf>
    <xf numFmtId="0" fontId="34" fillId="0" borderId="400">
      <alignment horizontal="left" vertical="center" wrapText="1" indent="2"/>
    </xf>
    <xf numFmtId="0" fontId="34" fillId="34" borderId="400">
      <alignment horizontal="left" vertical="center" wrapText="1" indent="2"/>
    </xf>
    <xf numFmtId="0" fontId="34" fillId="0" borderId="407">
      <alignment horizontal="left" vertical="center" wrapText="1" indent="2"/>
    </xf>
    <xf numFmtId="0" fontId="32" fillId="34" borderId="412">
      <alignment horizontal="right" vertical="center"/>
    </xf>
    <xf numFmtId="0" fontId="36" fillId="32" borderId="418">
      <alignment horizontal="right" vertical="center"/>
    </xf>
    <xf numFmtId="0" fontId="34" fillId="32" borderId="411">
      <alignment horizontal="left" vertical="center"/>
    </xf>
    <xf numFmtId="4" fontId="32" fillId="34" borderId="406">
      <alignment horizontal="right" vertical="center"/>
    </xf>
    <xf numFmtId="0" fontId="34" fillId="34" borderId="421">
      <alignment horizontal="left" vertical="center" wrapText="1" indent="2"/>
    </xf>
    <xf numFmtId="0" fontId="5" fillId="59" borderId="403" applyNumberFormat="0" applyFont="0" applyAlignment="0" applyProtection="0"/>
    <xf numFmtId="0" fontId="1" fillId="0" borderId="0" applyNumberFormat="0" applyFill="0" applyBorder="0" applyAlignment="0" applyProtection="0"/>
    <xf numFmtId="0" fontId="62" fillId="56" borderId="414" applyNumberFormat="0" applyAlignment="0" applyProtection="0"/>
    <xf numFmtId="0" fontId="26" fillId="23" borderId="0" applyNumberFormat="0" applyBorder="0" applyAlignment="0" applyProtection="0"/>
    <xf numFmtId="0" fontId="50" fillId="0" borderId="416" applyNumberFormat="0" applyFill="0" applyAlignment="0" applyProtection="0"/>
    <xf numFmtId="0" fontId="29" fillId="13" borderId="13" applyNumberFormat="0" applyAlignment="0" applyProtection="0"/>
    <xf numFmtId="0" fontId="34" fillId="34" borderId="407">
      <alignment horizontal="left" vertical="center" wrapText="1" indent="2"/>
    </xf>
    <xf numFmtId="4" fontId="32" fillId="34" borderId="406">
      <alignment horizontal="right" vertical="center"/>
    </xf>
    <xf numFmtId="0" fontId="62" fillId="56" borderId="408" applyNumberFormat="0" applyAlignment="0" applyProtection="0"/>
    <xf numFmtId="4" fontId="36" fillId="32" borderId="404">
      <alignment horizontal="right" vertical="center"/>
    </xf>
    <xf numFmtId="4" fontId="32" fillId="34" borderId="404">
      <alignment horizontal="right" vertical="center"/>
    </xf>
    <xf numFmtId="0" fontId="46" fillId="56" borderId="401" applyNumberFormat="0" applyAlignment="0" applyProtection="0"/>
    <xf numFmtId="0" fontId="65" fillId="0" borderId="402" applyNumberFormat="0" applyFill="0" applyAlignment="0" applyProtection="0"/>
    <xf numFmtId="4" fontId="32" fillId="34" borderId="404">
      <alignment horizontal="right" vertical="center"/>
    </xf>
    <xf numFmtId="4" fontId="36" fillId="32" borderId="404">
      <alignment horizontal="right" vertical="center"/>
    </xf>
    <xf numFmtId="0" fontId="62" fillId="56" borderId="425" applyNumberFormat="0" applyAlignment="0" applyProtection="0"/>
    <xf numFmtId="0" fontId="50" fillId="0" borderId="402" applyNumberFormat="0" applyFill="0" applyAlignment="0" applyProtection="0"/>
    <xf numFmtId="0" fontId="49" fillId="43" borderId="401" applyNumberFormat="0" applyAlignment="0" applyProtection="0"/>
    <xf numFmtId="0" fontId="62" fillId="56" borderId="408" applyNumberFormat="0" applyAlignment="0" applyProtection="0"/>
    <xf numFmtId="0" fontId="43" fillId="56" borderId="408" applyNumberFormat="0" applyAlignment="0" applyProtection="0"/>
    <xf numFmtId="49" fontId="34" fillId="0" borderId="418" applyNumberFormat="0" applyFont="0" applyFill="0" applyBorder="0" applyProtection="0">
      <alignment horizontal="left" vertical="center" indent="2"/>
    </xf>
    <xf numFmtId="0" fontId="36" fillId="32" borderId="418">
      <alignment horizontal="right" vertical="center"/>
    </xf>
    <xf numFmtId="0" fontId="1" fillId="0" borderId="0" applyNumberFormat="0" applyFill="0" applyBorder="0" applyAlignment="0" applyProtection="0"/>
    <xf numFmtId="0" fontId="26" fillId="14" borderId="0" applyNumberFormat="0" applyBorder="0" applyAlignment="0" applyProtection="0"/>
    <xf numFmtId="0" fontId="46" fillId="56" borderId="401" applyNumberFormat="0" applyAlignment="0" applyProtection="0"/>
    <xf numFmtId="0" fontId="58" fillId="43" borderId="415" applyNumberFormat="0" applyAlignment="0" applyProtection="0"/>
    <xf numFmtId="0" fontId="58" fillId="43" borderId="423" applyNumberFormat="0" applyAlignment="0" applyProtection="0"/>
    <xf numFmtId="0" fontId="50" fillId="0" borderId="402" applyNumberFormat="0" applyFill="0" applyAlignment="0" applyProtection="0"/>
    <xf numFmtId="0" fontId="62" fillId="56" borderId="408" applyNumberFormat="0" applyAlignment="0" applyProtection="0"/>
    <xf numFmtId="4" fontId="34" fillId="0" borderId="404" applyFill="0" applyBorder="0" applyProtection="0">
      <alignment horizontal="right" vertical="center"/>
    </xf>
    <xf numFmtId="0" fontId="45" fillId="56" borderId="401" applyNumberFormat="0" applyAlignment="0" applyProtection="0"/>
    <xf numFmtId="0" fontId="62" fillId="56" borderId="408" applyNumberFormat="0" applyAlignment="0" applyProtection="0"/>
    <xf numFmtId="0" fontId="34" fillId="34" borderId="407">
      <alignment horizontal="left" vertical="center" wrapText="1" indent="2"/>
    </xf>
    <xf numFmtId="0" fontId="58" fillId="43" borderId="401" applyNumberFormat="0" applyAlignment="0" applyProtection="0"/>
    <xf numFmtId="0" fontId="5" fillId="59" borderId="403" applyNumberFormat="0" applyFont="0" applyAlignment="0" applyProtection="0"/>
    <xf numFmtId="4" fontId="36" fillId="32" borderId="404">
      <alignment horizontal="right" vertical="center"/>
    </xf>
    <xf numFmtId="0" fontId="32" fillId="34" borderId="404">
      <alignment horizontal="right" vertical="center"/>
    </xf>
    <xf numFmtId="0" fontId="49" fillId="43" borderId="401" applyNumberFormat="0" applyAlignment="0" applyProtection="0"/>
    <xf numFmtId="173" fontId="34" fillId="60" borderId="404" applyNumberFormat="0" applyFont="0" applyBorder="0" applyAlignment="0" applyProtection="0">
      <alignment horizontal="right" vertical="center"/>
    </xf>
    <xf numFmtId="49" fontId="34" fillId="0" borderId="404" applyNumberFormat="0" applyFont="0" applyFill="0" applyBorder="0" applyProtection="0">
      <alignment horizontal="left" vertical="center" indent="2"/>
    </xf>
    <xf numFmtId="173" fontId="34" fillId="60" borderId="410" applyNumberFormat="0" applyFont="0" applyBorder="0" applyAlignment="0" applyProtection="0">
      <alignment horizontal="right" vertical="center"/>
    </xf>
    <xf numFmtId="0" fontId="65" fillId="0" borderId="424" applyNumberFormat="0" applyFill="0" applyAlignment="0" applyProtection="0"/>
    <xf numFmtId="0" fontId="32" fillId="34" borderId="412">
      <alignment horizontal="right" vertical="center"/>
    </xf>
    <xf numFmtId="0" fontId="34" fillId="33" borderId="404"/>
    <xf numFmtId="0" fontId="34" fillId="0" borderId="404">
      <alignment horizontal="right" vertical="center"/>
    </xf>
    <xf numFmtId="49" fontId="34" fillId="0" borderId="410" applyNumberFormat="0" applyFont="0" applyFill="0" applyBorder="0" applyProtection="0">
      <alignment horizontal="left" vertical="center" indent="2"/>
    </xf>
    <xf numFmtId="49" fontId="33" fillId="0" borderId="418" applyNumberFormat="0" applyFill="0" applyBorder="0" applyProtection="0">
      <alignment horizontal="left" vertical="center"/>
    </xf>
    <xf numFmtId="0" fontId="62" fillId="56" borderId="414" applyNumberFormat="0" applyAlignment="0" applyProtection="0"/>
    <xf numFmtId="0" fontId="46" fillId="56" borderId="415" applyNumberFormat="0" applyAlignment="0" applyProtection="0"/>
    <xf numFmtId="0" fontId="26" fillId="27" borderId="0" applyNumberFormat="0" applyBorder="0" applyAlignment="0" applyProtection="0"/>
    <xf numFmtId="0" fontId="26" fillId="18" borderId="0" applyNumberFormat="0" applyBorder="0" applyAlignment="0" applyProtection="0"/>
    <xf numFmtId="4" fontId="34" fillId="33" borderId="418"/>
    <xf numFmtId="4" fontId="32" fillId="34" borderId="410">
      <alignment horizontal="right" vertical="center"/>
    </xf>
    <xf numFmtId="0" fontId="32" fillId="34" borderId="418">
      <alignment horizontal="right" vertical="center"/>
    </xf>
    <xf numFmtId="0" fontId="12" fillId="16" borderId="0" applyNumberFormat="0" applyBorder="0" applyAlignment="0" applyProtection="0"/>
    <xf numFmtId="173" fontId="34" fillId="60" borderId="410" applyNumberFormat="0" applyFont="0" applyBorder="0" applyAlignment="0" applyProtection="0">
      <alignment horizontal="right" vertical="center"/>
    </xf>
    <xf numFmtId="4" fontId="32" fillId="34" borderId="404">
      <alignment horizontal="right" vertical="center"/>
    </xf>
    <xf numFmtId="4" fontId="34" fillId="0" borderId="410" applyFill="0" applyBorder="0" applyProtection="0">
      <alignment horizontal="right" vertical="center"/>
    </xf>
    <xf numFmtId="0" fontId="40" fillId="59" borderId="428" applyNumberFormat="0" applyFont="0" applyAlignment="0" applyProtection="0"/>
    <xf numFmtId="0" fontId="43" fillId="56" borderId="414" applyNumberFormat="0" applyAlignment="0" applyProtection="0"/>
    <xf numFmtId="49" fontId="34" fillId="0" borderId="410" applyNumberFormat="0" applyFont="0" applyFill="0" applyBorder="0" applyProtection="0">
      <alignment horizontal="left" vertical="center" indent="2"/>
    </xf>
    <xf numFmtId="0" fontId="65" fillId="0" borderId="424" applyNumberFormat="0" applyFill="0" applyAlignment="0" applyProtection="0"/>
    <xf numFmtId="0" fontId="12" fillId="31" borderId="0" applyNumberFormat="0" applyBorder="0" applyAlignment="0" applyProtection="0"/>
    <xf numFmtId="0" fontId="43" fillId="56" borderId="422" applyNumberFormat="0" applyAlignment="0" applyProtection="0"/>
    <xf numFmtId="0" fontId="50" fillId="0" borderId="402" applyNumberFormat="0" applyFill="0" applyAlignment="0" applyProtection="0"/>
    <xf numFmtId="0" fontId="34" fillId="0" borderId="407">
      <alignment horizontal="left" vertical="center" wrapText="1" indent="2"/>
    </xf>
    <xf numFmtId="49" fontId="34" fillId="0" borderId="411" applyNumberFormat="0" applyFont="0" applyFill="0" applyBorder="0" applyProtection="0">
      <alignment horizontal="left" vertical="center" indent="5"/>
    </xf>
    <xf numFmtId="0" fontId="26" fillId="21" borderId="0" applyNumberFormat="0" applyBorder="0" applyAlignment="0" applyProtection="0"/>
    <xf numFmtId="0" fontId="65" fillId="0" borderId="402" applyNumberFormat="0" applyFill="0" applyAlignment="0" applyProtection="0"/>
    <xf numFmtId="0" fontId="2" fillId="0" borderId="15" applyNumberFormat="0" applyFill="0" applyAlignment="0" applyProtection="0"/>
    <xf numFmtId="0" fontId="46" fillId="56" borderId="415" applyNumberFormat="0" applyAlignment="0" applyProtection="0"/>
    <xf numFmtId="0" fontId="34" fillId="0" borderId="421">
      <alignment horizontal="left" vertical="center" wrapText="1" indent="2"/>
    </xf>
    <xf numFmtId="0" fontId="62" fillId="56" borderId="408" applyNumberFormat="0" applyAlignment="0" applyProtection="0"/>
    <xf numFmtId="173" fontId="34" fillId="60" borderId="404" applyNumberFormat="0" applyFont="0" applyBorder="0" applyAlignment="0" applyProtection="0">
      <alignment horizontal="right" vertical="center"/>
    </xf>
    <xf numFmtId="0" fontId="58" fillId="43" borderId="415" applyNumberFormat="0" applyAlignment="0" applyProtection="0"/>
    <xf numFmtId="0" fontId="12" fillId="28" borderId="0" applyNumberFormat="0" applyBorder="0" applyAlignment="0" applyProtection="0"/>
    <xf numFmtId="0" fontId="58" fillId="43" borderId="415" applyNumberFormat="0" applyAlignment="0" applyProtection="0"/>
    <xf numFmtId="0" fontId="65" fillId="0" borderId="416" applyNumberFormat="0" applyFill="0" applyAlignment="0" applyProtection="0"/>
    <xf numFmtId="0" fontId="12" fillId="31" borderId="0" applyNumberFormat="0" applyBorder="0" applyAlignment="0" applyProtection="0"/>
    <xf numFmtId="0" fontId="58" fillId="43" borderId="415" applyNumberFormat="0" applyAlignment="0" applyProtection="0"/>
    <xf numFmtId="0" fontId="26" fillId="21" borderId="0" applyNumberFormat="0" applyBorder="0" applyAlignment="0" applyProtection="0"/>
    <xf numFmtId="49" fontId="34" fillId="0" borderId="404" applyNumberFormat="0" applyFont="0" applyFill="0" applyBorder="0" applyProtection="0">
      <alignment horizontal="left" vertical="center" indent="2"/>
    </xf>
    <xf numFmtId="4" fontId="34" fillId="0" borderId="404" applyFill="0" applyBorder="0" applyProtection="0">
      <alignment horizontal="right" vertical="center"/>
    </xf>
    <xf numFmtId="4" fontId="32" fillId="32" borderId="404">
      <alignment horizontal="right" vertical="center"/>
    </xf>
    <xf numFmtId="0" fontId="32" fillId="34" borderId="412">
      <alignment horizontal="right" vertical="center"/>
    </xf>
    <xf numFmtId="0" fontId="26" fillId="18" borderId="0" applyNumberFormat="0" applyBorder="0" applyAlignment="0" applyProtection="0"/>
    <xf numFmtId="0" fontId="26" fillId="26" borderId="0" applyNumberFormat="0" applyBorder="0" applyAlignment="0" applyProtection="0"/>
    <xf numFmtId="0" fontId="40" fillId="59" borderId="409" applyNumberFormat="0" applyFont="0" applyAlignment="0" applyProtection="0"/>
    <xf numFmtId="4" fontId="34" fillId="33" borderId="404"/>
    <xf numFmtId="0" fontId="45" fillId="56" borderId="415" applyNumberFormat="0" applyAlignment="0" applyProtection="0"/>
    <xf numFmtId="0" fontId="12" fillId="19" borderId="0" applyNumberFormat="0" applyBorder="0" applyAlignment="0" applyProtection="0"/>
    <xf numFmtId="0" fontId="32" fillId="34" borderId="406">
      <alignment horizontal="right" vertical="center"/>
    </xf>
    <xf numFmtId="0" fontId="49" fillId="43" borderId="423" applyNumberFormat="0" applyAlignment="0" applyProtection="0"/>
    <xf numFmtId="0" fontId="40" fillId="59" borderId="403" applyNumberFormat="0" applyFont="0" applyAlignment="0" applyProtection="0"/>
    <xf numFmtId="0" fontId="26" fillId="15" borderId="0" applyNumberFormat="0" applyBorder="0" applyAlignment="0" applyProtection="0"/>
    <xf numFmtId="0" fontId="34" fillId="0" borderId="404">
      <alignment horizontal="right" vertical="center"/>
    </xf>
    <xf numFmtId="4" fontId="34" fillId="33" borderId="404"/>
    <xf numFmtId="0" fontId="40" fillId="59" borderId="403" applyNumberFormat="0" applyFont="0" applyAlignment="0" applyProtection="0"/>
    <xf numFmtId="4" fontId="32" fillId="34" borderId="404">
      <alignment horizontal="right" vertical="center"/>
    </xf>
    <xf numFmtId="0" fontId="46" fillId="56" borderId="415" applyNumberFormat="0" applyAlignment="0" applyProtection="0"/>
    <xf numFmtId="0" fontId="28" fillId="13" borderId="14" applyNumberFormat="0" applyAlignment="0" applyProtection="0"/>
    <xf numFmtId="0" fontId="62" fillId="56" borderId="408" applyNumberFormat="0" applyAlignment="0" applyProtection="0"/>
    <xf numFmtId="49" fontId="34" fillId="0" borderId="405" applyNumberFormat="0" applyFont="0" applyFill="0" applyBorder="0" applyProtection="0">
      <alignment horizontal="left" vertical="center" indent="5"/>
    </xf>
    <xf numFmtId="0" fontId="12" fillId="19" borderId="0" applyNumberFormat="0" applyBorder="0" applyAlignment="0" applyProtection="0"/>
    <xf numFmtId="49" fontId="34" fillId="0" borderId="405" applyNumberFormat="0" applyFont="0" applyFill="0" applyBorder="0" applyProtection="0">
      <alignment horizontal="left" vertical="center" indent="5"/>
    </xf>
    <xf numFmtId="0" fontId="65" fillId="0" borderId="416" applyNumberFormat="0" applyFill="0" applyAlignment="0" applyProtection="0"/>
    <xf numFmtId="0" fontId="12" fillId="28" borderId="0" applyNumberFormat="0" applyBorder="0" applyAlignment="0" applyProtection="0"/>
    <xf numFmtId="0" fontId="32" fillId="32" borderId="404">
      <alignment horizontal="right" vertical="center"/>
    </xf>
    <xf numFmtId="0" fontId="32" fillId="32" borderId="410">
      <alignment horizontal="right" vertical="center"/>
    </xf>
    <xf numFmtId="0" fontId="58" fillId="43" borderId="401" applyNumberFormat="0" applyAlignment="0" applyProtection="0"/>
    <xf numFmtId="0" fontId="46" fillId="56" borderId="401" applyNumberFormat="0" applyAlignment="0" applyProtection="0"/>
    <xf numFmtId="0" fontId="34" fillId="34" borderId="407">
      <alignment horizontal="left" vertical="center" wrapText="1" indent="2"/>
    </xf>
    <xf numFmtId="0" fontId="26" fillId="24" borderId="0" applyNumberFormat="0" applyBorder="0" applyAlignment="0" applyProtection="0"/>
    <xf numFmtId="0" fontId="50" fillId="0" borderId="402" applyNumberFormat="0" applyFill="0" applyAlignment="0" applyProtection="0"/>
    <xf numFmtId="0" fontId="46" fillId="56" borderId="423" applyNumberFormat="0" applyAlignment="0" applyProtection="0"/>
    <xf numFmtId="0" fontId="34" fillId="0" borderId="410" applyNumberFormat="0" applyFill="0" applyAlignment="0" applyProtection="0"/>
    <xf numFmtId="0" fontId="34" fillId="0" borderId="410" applyNumberFormat="0" applyFill="0" applyAlignment="0" applyProtection="0"/>
    <xf numFmtId="0" fontId="45" fillId="56" borderId="401" applyNumberFormat="0" applyAlignment="0" applyProtection="0"/>
    <xf numFmtId="0" fontId="12" fillId="19" borderId="0" applyNumberFormat="0" applyBorder="0" applyAlignment="0" applyProtection="0"/>
    <xf numFmtId="0" fontId="36" fillId="32" borderId="404">
      <alignment horizontal="right" vertical="center"/>
    </xf>
    <xf numFmtId="0" fontId="34" fillId="0" borderId="410">
      <alignment horizontal="right" vertical="center"/>
    </xf>
    <xf numFmtId="0" fontId="12" fillId="22" borderId="0" applyNumberFormat="0" applyBorder="0" applyAlignment="0" applyProtection="0"/>
    <xf numFmtId="0" fontId="46" fillId="56" borderId="423" applyNumberFormat="0" applyAlignment="0" applyProtection="0"/>
    <xf numFmtId="0" fontId="32" fillId="34" borderId="405">
      <alignment horizontal="right" vertical="center"/>
    </xf>
    <xf numFmtId="0" fontId="34" fillId="0" borderId="418">
      <alignment horizontal="right" vertical="center"/>
    </xf>
    <xf numFmtId="4" fontId="34" fillId="0" borderId="410" applyFill="0" applyBorder="0" applyProtection="0">
      <alignment horizontal="right" vertical="center"/>
    </xf>
    <xf numFmtId="0" fontId="32" fillId="34" borderId="405">
      <alignment horizontal="right" vertical="center"/>
    </xf>
    <xf numFmtId="0" fontId="46" fillId="56" borderId="415" applyNumberFormat="0" applyAlignment="0" applyProtection="0"/>
    <xf numFmtId="0" fontId="32" fillId="32" borderId="404">
      <alignment horizontal="right" vertical="center"/>
    </xf>
    <xf numFmtId="0" fontId="12" fillId="31" borderId="0" applyNumberFormat="0" applyBorder="0" applyAlignment="0" applyProtection="0"/>
    <xf numFmtId="0" fontId="34" fillId="33" borderId="404"/>
    <xf numFmtId="0" fontId="40" fillId="59" borderId="409" applyNumberFormat="0" applyFont="0" applyAlignment="0" applyProtection="0"/>
    <xf numFmtId="4" fontId="36" fillId="32" borderId="404">
      <alignment horizontal="right" vertical="center"/>
    </xf>
    <xf numFmtId="0" fontId="34" fillId="32" borderId="405">
      <alignment horizontal="left" vertical="center"/>
    </xf>
    <xf numFmtId="0" fontId="65" fillId="0" borderId="402" applyNumberFormat="0" applyFill="0" applyAlignment="0" applyProtection="0"/>
    <xf numFmtId="49" fontId="34" fillId="0" borderId="429" applyNumberFormat="0" applyFont="0" applyFill="0" applyBorder="0" applyProtection="0">
      <alignment horizontal="left" vertical="center" indent="2"/>
    </xf>
    <xf numFmtId="0" fontId="12" fillId="19" borderId="0" applyNumberFormat="0" applyBorder="0" applyAlignment="0" applyProtection="0"/>
    <xf numFmtId="49" fontId="33" fillId="0" borderId="404" applyNumberFormat="0" applyFill="0" applyBorder="0" applyProtection="0">
      <alignment horizontal="left" vertical="center"/>
    </xf>
    <xf numFmtId="0" fontId="34" fillId="0" borderId="407">
      <alignment horizontal="left" vertical="center" wrapText="1" indent="2"/>
    </xf>
    <xf numFmtId="0" fontId="26" fillId="21" borderId="0" applyNumberFormat="0" applyBorder="0" applyAlignment="0" applyProtection="0"/>
    <xf numFmtId="0" fontId="62" fillId="56" borderId="422" applyNumberFormat="0" applyAlignment="0" applyProtection="0"/>
    <xf numFmtId="0" fontId="65" fillId="0" borderId="402" applyNumberFormat="0" applyFill="0" applyAlignment="0" applyProtection="0"/>
    <xf numFmtId="0" fontId="36" fillId="32" borderId="404">
      <alignment horizontal="right" vertical="center"/>
    </xf>
    <xf numFmtId="0" fontId="34" fillId="0" borderId="407">
      <alignment horizontal="left" vertical="center" wrapText="1" indent="2"/>
    </xf>
    <xf numFmtId="0" fontId="26" fillId="29" borderId="0" applyNumberFormat="0" applyBorder="0" applyAlignment="0" applyProtection="0"/>
    <xf numFmtId="49" fontId="34" fillId="0" borderId="405" applyNumberFormat="0" applyFont="0" applyFill="0" applyBorder="0" applyProtection="0">
      <alignment horizontal="left" vertical="center" indent="5"/>
    </xf>
    <xf numFmtId="4" fontId="32" fillId="34" borderId="410">
      <alignment horizontal="right" vertical="center"/>
    </xf>
    <xf numFmtId="0" fontId="50" fillId="0" borderId="402" applyNumberFormat="0" applyFill="0" applyAlignment="0" applyProtection="0"/>
    <xf numFmtId="0" fontId="50" fillId="0" borderId="424" applyNumberFormat="0" applyFill="0" applyAlignment="0" applyProtection="0"/>
    <xf numFmtId="4" fontId="32" fillId="34" borderId="418">
      <alignment horizontal="right" vertical="center"/>
    </xf>
    <xf numFmtId="0" fontId="45" fillId="56" borderId="415" applyNumberFormat="0" applyAlignment="0" applyProtection="0"/>
    <xf numFmtId="0" fontId="65" fillId="0" borderId="402" applyNumberFormat="0" applyFill="0" applyAlignment="0" applyProtection="0"/>
    <xf numFmtId="0" fontId="32" fillId="34" borderId="404">
      <alignment horizontal="right" vertical="center"/>
    </xf>
    <xf numFmtId="0" fontId="50" fillId="0" borderId="424" applyNumberFormat="0" applyFill="0" applyAlignment="0" applyProtection="0"/>
    <xf numFmtId="173" fontId="34" fillId="60" borderId="404" applyNumberFormat="0" applyFont="0" applyBorder="0" applyAlignment="0" applyProtection="0">
      <alignment horizontal="right" vertical="center"/>
    </xf>
    <xf numFmtId="0" fontId="40" fillId="59" borderId="403" applyNumberFormat="0" applyFont="0" applyAlignment="0" applyProtection="0"/>
    <xf numFmtId="0" fontId="34" fillId="0" borderId="410" applyNumberFormat="0" applyFill="0" applyAlignment="0" applyProtection="0"/>
    <xf numFmtId="0" fontId="32" fillId="34" borderId="420">
      <alignment horizontal="right" vertical="center"/>
    </xf>
    <xf numFmtId="0" fontId="58" fillId="43" borderId="401" applyNumberFormat="0" applyAlignment="0" applyProtection="0"/>
    <xf numFmtId="4" fontId="32" fillId="34" borderId="418">
      <alignment horizontal="right" vertical="center"/>
    </xf>
    <xf numFmtId="0" fontId="46" fillId="56" borderId="401" applyNumberFormat="0" applyAlignment="0" applyProtection="0"/>
    <xf numFmtId="0" fontId="34" fillId="0" borderId="407">
      <alignment horizontal="left" vertical="center" wrapText="1" indent="2"/>
    </xf>
    <xf numFmtId="0" fontId="58" fillId="43" borderId="401" applyNumberFormat="0" applyAlignment="0" applyProtection="0"/>
    <xf numFmtId="0" fontId="43" fillId="56" borderId="408" applyNumberFormat="0" applyAlignment="0" applyProtection="0"/>
    <xf numFmtId="0" fontId="46" fillId="56" borderId="401" applyNumberFormat="0" applyAlignment="0" applyProtection="0"/>
    <xf numFmtId="0" fontId="34" fillId="34" borderId="407">
      <alignment horizontal="left" vertical="center" wrapText="1" indent="2"/>
    </xf>
    <xf numFmtId="0" fontId="12" fillId="25" borderId="0" applyNumberFormat="0" applyBorder="0" applyAlignment="0" applyProtection="0"/>
    <xf numFmtId="0" fontId="34" fillId="34" borderId="407">
      <alignment horizontal="left" vertical="center" wrapText="1" indent="2"/>
    </xf>
    <xf numFmtId="0" fontId="34" fillId="33" borderId="404"/>
    <xf numFmtId="0" fontId="26" fillId="20" borderId="0" applyNumberFormat="0" applyBorder="0" applyAlignment="0" applyProtection="0"/>
    <xf numFmtId="0" fontId="34" fillId="0" borderId="407">
      <alignment horizontal="left" vertical="center" wrapText="1" indent="2"/>
    </xf>
    <xf numFmtId="4" fontId="32" fillId="32" borderId="404">
      <alignment horizontal="right" vertical="center"/>
    </xf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5" fillId="59" borderId="409" applyNumberFormat="0" applyFont="0" applyAlignment="0" applyProtection="0"/>
    <xf numFmtId="0" fontId="26" fillId="29" borderId="0" applyNumberFormat="0" applyBorder="0" applyAlignment="0" applyProtection="0"/>
    <xf numFmtId="0" fontId="45" fillId="56" borderId="423" applyNumberFormat="0" applyAlignment="0" applyProtection="0"/>
    <xf numFmtId="0" fontId="26" fillId="20" borderId="0" applyNumberFormat="0" applyBorder="0" applyAlignment="0" applyProtection="0"/>
    <xf numFmtId="0" fontId="5" fillId="59" borderId="403" applyNumberFormat="0" applyFont="0" applyAlignment="0" applyProtection="0"/>
    <xf numFmtId="4" fontId="32" fillId="34" borderId="404">
      <alignment horizontal="right" vertical="center"/>
    </xf>
    <xf numFmtId="49" fontId="34" fillId="0" borderId="404" applyNumberFormat="0" applyFont="0" applyFill="0" applyBorder="0" applyProtection="0">
      <alignment horizontal="left" vertical="center" indent="2"/>
    </xf>
    <xf numFmtId="0" fontId="12" fillId="22" borderId="0" applyNumberFormat="0" applyBorder="0" applyAlignment="0" applyProtection="0"/>
    <xf numFmtId="0" fontId="65" fillId="0" borderId="402" applyNumberFormat="0" applyFill="0" applyAlignment="0" applyProtection="0"/>
    <xf numFmtId="0" fontId="26" fillId="18" borderId="0" applyNumberFormat="0" applyBorder="0" applyAlignment="0" applyProtection="0"/>
    <xf numFmtId="0" fontId="29" fillId="13" borderId="13" applyNumberFormat="0" applyAlignment="0" applyProtection="0"/>
    <xf numFmtId="4" fontId="32" fillId="34" borderId="420">
      <alignment horizontal="right" vertical="center"/>
    </xf>
    <xf numFmtId="0" fontId="29" fillId="13" borderId="13" applyNumberFormat="0" applyAlignment="0" applyProtection="0"/>
    <xf numFmtId="0" fontId="26" fillId="23" borderId="0" applyNumberFormat="0" applyBorder="0" applyAlignment="0" applyProtection="0"/>
    <xf numFmtId="0" fontId="58" fillId="43" borderId="401" applyNumberFormat="0" applyAlignment="0" applyProtection="0"/>
    <xf numFmtId="0" fontId="32" fillId="34" borderId="411">
      <alignment horizontal="right" vertical="center"/>
    </xf>
    <xf numFmtId="0" fontId="49" fillId="43" borderId="423" applyNumberFormat="0" applyAlignment="0" applyProtection="0"/>
    <xf numFmtId="0" fontId="40" fillId="59" borderId="417" applyNumberFormat="0" applyFont="0" applyAlignment="0" applyProtection="0"/>
    <xf numFmtId="4" fontId="32" fillId="34" borderId="418">
      <alignment horizontal="right" vertical="center"/>
    </xf>
    <xf numFmtId="0" fontId="40" fillId="59" borderId="417" applyNumberFormat="0" applyFont="0" applyAlignment="0" applyProtection="0"/>
    <xf numFmtId="0" fontId="65" fillId="0" borderId="402" applyNumberFormat="0" applyFill="0" applyAlignment="0" applyProtection="0"/>
    <xf numFmtId="4" fontId="34" fillId="0" borderId="410">
      <alignment horizontal="right" vertical="center"/>
    </xf>
    <xf numFmtId="4" fontId="34" fillId="0" borderId="410">
      <alignment horizontal="right" vertical="center"/>
    </xf>
    <xf numFmtId="4" fontId="32" fillId="32" borderId="410">
      <alignment horizontal="right" vertical="center"/>
    </xf>
    <xf numFmtId="0" fontId="29" fillId="13" borderId="13" applyNumberFormat="0" applyAlignment="0" applyProtection="0"/>
    <xf numFmtId="4" fontId="34" fillId="0" borderId="404">
      <alignment horizontal="right" vertical="center"/>
    </xf>
    <xf numFmtId="0" fontId="65" fillId="0" borderId="416" applyNumberFormat="0" applyFill="0" applyAlignment="0" applyProtection="0"/>
    <xf numFmtId="0" fontId="26" fillId="24" borderId="0" applyNumberFormat="0" applyBorder="0" applyAlignment="0" applyProtection="0"/>
    <xf numFmtId="0" fontId="32" fillId="34" borderId="410">
      <alignment horizontal="right" vertical="center"/>
    </xf>
    <xf numFmtId="0" fontId="46" fillId="56" borderId="415" applyNumberFormat="0" applyAlignment="0" applyProtection="0"/>
    <xf numFmtId="0" fontId="62" fillId="56" borderId="408" applyNumberFormat="0" applyAlignment="0" applyProtection="0"/>
    <xf numFmtId="173" fontId="34" fillId="60" borderId="418" applyNumberFormat="0" applyFont="0" applyBorder="0" applyAlignment="0" applyProtection="0">
      <alignment horizontal="right" vertical="center"/>
    </xf>
    <xf numFmtId="0" fontId="49" fillId="43" borderId="415" applyNumberFormat="0" applyAlignment="0" applyProtection="0"/>
    <xf numFmtId="0" fontId="12" fillId="19" borderId="0" applyNumberFormat="0" applyBorder="0" applyAlignment="0" applyProtection="0"/>
    <xf numFmtId="0" fontId="26" fillId="18" borderId="0" applyNumberFormat="0" applyBorder="0" applyAlignment="0" applyProtection="0"/>
    <xf numFmtId="4" fontId="32" fillId="32" borderId="404">
      <alignment horizontal="right" vertical="center"/>
    </xf>
    <xf numFmtId="0" fontId="34" fillId="34" borderId="413">
      <alignment horizontal="left" vertical="center" wrapText="1" indent="2"/>
    </xf>
    <xf numFmtId="0" fontId="34" fillId="34" borderId="413">
      <alignment horizontal="left" vertical="center" wrapText="1" indent="2"/>
    </xf>
    <xf numFmtId="0" fontId="36" fillId="32" borderId="418">
      <alignment horizontal="right" vertical="center"/>
    </xf>
    <xf numFmtId="173" fontId="34" fillId="60" borderId="410" applyNumberFormat="0" applyFont="0" applyBorder="0" applyAlignment="0" applyProtection="0">
      <alignment horizontal="right" vertical="center"/>
    </xf>
    <xf numFmtId="0" fontId="65" fillId="0" borderId="402" applyNumberFormat="0" applyFill="0" applyAlignment="0" applyProtection="0"/>
    <xf numFmtId="4" fontId="34" fillId="0" borderId="418">
      <alignment horizontal="right" vertical="center"/>
    </xf>
    <xf numFmtId="0" fontId="5" fillId="59" borderId="403" applyNumberFormat="0" applyFont="0" applyAlignment="0" applyProtection="0"/>
    <xf numFmtId="0" fontId="46" fillId="56" borderId="415" applyNumberFormat="0" applyAlignment="0" applyProtection="0"/>
    <xf numFmtId="0" fontId="50" fillId="0" borderId="416" applyNumberFormat="0" applyFill="0" applyAlignment="0" applyProtection="0"/>
    <xf numFmtId="0" fontId="32" fillId="32" borderId="404">
      <alignment horizontal="right" vertical="center"/>
    </xf>
    <xf numFmtId="0" fontId="12" fillId="28" borderId="0" applyNumberFormat="0" applyBorder="0" applyAlignment="0" applyProtection="0"/>
    <xf numFmtId="0" fontId="26" fillId="14" borderId="0" applyNumberFormat="0" applyBorder="0" applyAlignment="0" applyProtection="0"/>
    <xf numFmtId="0" fontId="43" fillId="56" borderId="408" applyNumberFormat="0" applyAlignment="0" applyProtection="0"/>
    <xf numFmtId="0" fontId="43" fillId="56" borderId="422" applyNumberFormat="0" applyAlignment="0" applyProtection="0"/>
    <xf numFmtId="0" fontId="34" fillId="0" borderId="413">
      <alignment horizontal="left" vertical="center" wrapText="1" indent="2"/>
    </xf>
    <xf numFmtId="0" fontId="34" fillId="0" borderId="421">
      <alignment horizontal="left" vertical="center" wrapText="1" indent="2"/>
    </xf>
    <xf numFmtId="0" fontId="58" fillId="43" borderId="401" applyNumberFormat="0" applyAlignment="0" applyProtection="0"/>
    <xf numFmtId="49" fontId="33" fillId="0" borderId="410" applyNumberFormat="0" applyFill="0" applyBorder="0" applyProtection="0">
      <alignment horizontal="left" vertical="center"/>
    </xf>
    <xf numFmtId="4" fontId="34" fillId="0" borderId="404">
      <alignment horizontal="right" vertical="center"/>
    </xf>
    <xf numFmtId="0" fontId="26" fillId="18" borderId="0" applyNumberFormat="0" applyBorder="0" applyAlignment="0" applyProtection="0"/>
    <xf numFmtId="0" fontId="65" fillId="0" borderId="402" applyNumberFormat="0" applyFill="0" applyAlignment="0" applyProtection="0"/>
    <xf numFmtId="0" fontId="12" fillId="25" borderId="0" applyNumberFormat="0" applyBorder="0" applyAlignment="0" applyProtection="0"/>
    <xf numFmtId="173" fontId="34" fillId="60" borderId="410" applyNumberFormat="0" applyFont="0" applyBorder="0" applyAlignment="0" applyProtection="0">
      <alignment horizontal="right" vertical="center"/>
    </xf>
    <xf numFmtId="173" fontId="34" fillId="60" borderId="418" applyNumberFormat="0" applyFont="0" applyBorder="0" applyAlignment="0" applyProtection="0">
      <alignment horizontal="right" vertical="center"/>
    </xf>
    <xf numFmtId="0" fontId="58" fillId="43" borderId="401" applyNumberFormat="0" applyAlignment="0" applyProtection="0"/>
    <xf numFmtId="0" fontId="58" fillId="43" borderId="415" applyNumberFormat="0" applyAlignment="0" applyProtection="0"/>
    <xf numFmtId="0" fontId="49" fillId="43" borderId="401" applyNumberFormat="0" applyAlignment="0" applyProtection="0"/>
    <xf numFmtId="0" fontId="5" fillId="59" borderId="409" applyNumberFormat="0" applyFont="0" applyAlignment="0" applyProtection="0"/>
    <xf numFmtId="0" fontId="46" fillId="56" borderId="423" applyNumberFormat="0" applyAlignment="0" applyProtection="0"/>
    <xf numFmtId="0" fontId="5" fillId="59" borderId="417" applyNumberFormat="0" applyFont="0" applyAlignment="0" applyProtection="0"/>
    <xf numFmtId="0" fontId="58" fillId="43" borderId="401" applyNumberFormat="0" applyAlignment="0" applyProtection="0"/>
    <xf numFmtId="4" fontId="32" fillId="32" borderId="404">
      <alignment horizontal="right" vertical="center"/>
    </xf>
    <xf numFmtId="4" fontId="32" fillId="32" borderId="410">
      <alignment horizontal="right" vertical="center"/>
    </xf>
    <xf numFmtId="0" fontId="62" fillId="56" borderId="425" applyNumberFormat="0" applyAlignment="0" applyProtection="0"/>
    <xf numFmtId="0" fontId="12" fillId="31" borderId="0" applyNumberFormat="0" applyBorder="0" applyAlignment="0" applyProtection="0"/>
    <xf numFmtId="0" fontId="32" fillId="34" borderId="410">
      <alignment horizontal="right" vertical="center"/>
    </xf>
    <xf numFmtId="0" fontId="26" fillId="27" borderId="0" applyNumberFormat="0" applyBorder="0" applyAlignment="0" applyProtection="0"/>
    <xf numFmtId="0" fontId="58" fillId="43" borderId="423" applyNumberFormat="0" applyAlignment="0" applyProtection="0"/>
    <xf numFmtId="0" fontId="46" fillId="56" borderId="401" applyNumberFormat="0" applyAlignment="0" applyProtection="0"/>
    <xf numFmtId="0" fontId="26" fillId="24" borderId="0" applyNumberFormat="0" applyBorder="0" applyAlignment="0" applyProtection="0"/>
    <xf numFmtId="173" fontId="34" fillId="60" borderId="410" applyNumberFormat="0" applyFont="0" applyBorder="0" applyAlignment="0" applyProtection="0">
      <alignment horizontal="right" vertical="center"/>
    </xf>
    <xf numFmtId="0" fontId="43" fillId="56" borderId="414" applyNumberFormat="0" applyAlignment="0" applyProtection="0"/>
    <xf numFmtId="0" fontId="40" fillId="59" borderId="417" applyNumberFormat="0" applyFont="0" applyAlignment="0" applyProtection="0"/>
    <xf numFmtId="0" fontId="43" fillId="56" borderId="408" applyNumberFormat="0" applyAlignment="0" applyProtection="0"/>
    <xf numFmtId="0" fontId="58" fillId="43" borderId="401" applyNumberFormat="0" applyAlignment="0" applyProtection="0"/>
    <xf numFmtId="0" fontId="36" fillId="32" borderId="404">
      <alignment horizontal="right" vertical="center"/>
    </xf>
    <xf numFmtId="49" fontId="34" fillId="0" borderId="411" applyNumberFormat="0" applyFont="0" applyFill="0" applyBorder="0" applyProtection="0">
      <alignment horizontal="left" vertical="center" indent="5"/>
    </xf>
    <xf numFmtId="0" fontId="28" fillId="13" borderId="14" applyNumberFormat="0" applyAlignment="0" applyProtection="0"/>
    <xf numFmtId="0" fontId="26" fillId="20" borderId="0" applyNumberFormat="0" applyBorder="0" applyAlignment="0" applyProtection="0"/>
    <xf numFmtId="0" fontId="5" fillId="59" borderId="403" applyNumberFormat="0" applyFont="0" applyAlignment="0" applyProtection="0"/>
    <xf numFmtId="0" fontId="62" fillId="56" borderId="414" applyNumberFormat="0" applyAlignment="0" applyProtection="0"/>
    <xf numFmtId="0" fontId="30" fillId="0" borderId="0" applyNumberFormat="0" applyFill="0" applyBorder="0" applyAlignment="0" applyProtection="0"/>
    <xf numFmtId="0" fontId="45" fillId="56" borderId="401" applyNumberFormat="0" applyAlignment="0" applyProtection="0"/>
    <xf numFmtId="0" fontId="49" fillId="43" borderId="415" applyNumberFormat="0" applyAlignment="0" applyProtection="0"/>
    <xf numFmtId="0" fontId="50" fillId="0" borderId="402" applyNumberFormat="0" applyFill="0" applyAlignment="0" applyProtection="0"/>
    <xf numFmtId="4" fontId="36" fillId="32" borderId="418">
      <alignment horizontal="right" vertical="center"/>
    </xf>
    <xf numFmtId="0" fontId="34" fillId="0" borderId="413">
      <alignment horizontal="left" vertical="center" wrapText="1" indent="2"/>
    </xf>
    <xf numFmtId="0" fontId="26" fillId="26" borderId="0" applyNumberFormat="0" applyBorder="0" applyAlignment="0" applyProtection="0"/>
    <xf numFmtId="0" fontId="34" fillId="34" borderId="407">
      <alignment horizontal="left" vertical="center" wrapText="1" indent="2"/>
    </xf>
    <xf numFmtId="0" fontId="32" fillId="34" borderId="419">
      <alignment horizontal="right" vertical="center"/>
    </xf>
    <xf numFmtId="0" fontId="5" fillId="59" borderId="417" applyNumberFormat="0" applyFont="0" applyAlignment="0" applyProtection="0"/>
    <xf numFmtId="0" fontId="49" fillId="43" borderId="415" applyNumberFormat="0" applyAlignment="0" applyProtection="0"/>
    <xf numFmtId="0" fontId="28" fillId="13" borderId="14" applyNumberFormat="0" applyAlignment="0" applyProtection="0"/>
    <xf numFmtId="0" fontId="43" fillId="56" borderId="408" applyNumberFormat="0" applyAlignment="0" applyProtection="0"/>
    <xf numFmtId="0" fontId="58" fillId="43" borderId="415" applyNumberFormat="0" applyAlignment="0" applyProtection="0"/>
    <xf numFmtId="0" fontId="34" fillId="33" borderId="404"/>
    <xf numFmtId="49" fontId="33" fillId="0" borderId="410" applyNumberFormat="0" applyFill="0" applyBorder="0" applyProtection="0">
      <alignment horizontal="left" vertical="center"/>
    </xf>
    <xf numFmtId="0" fontId="26" fillId="26" borderId="0" applyNumberFormat="0" applyBorder="0" applyAlignment="0" applyProtection="0"/>
    <xf numFmtId="49" fontId="33" fillId="0" borderId="404" applyNumberFormat="0" applyFill="0" applyBorder="0" applyProtection="0">
      <alignment horizontal="left" vertical="center"/>
    </xf>
    <xf numFmtId="0" fontId="34" fillId="0" borderId="413">
      <alignment horizontal="left" vertical="center" wrapText="1" indent="2"/>
    </xf>
    <xf numFmtId="0" fontId="2" fillId="0" borderId="15" applyNumberFormat="0" applyFill="0" applyAlignment="0" applyProtection="0"/>
    <xf numFmtId="173" fontId="34" fillId="60" borderId="404" applyNumberFormat="0" applyFont="0" applyBorder="0" applyAlignment="0" applyProtection="0">
      <alignment horizontal="right" vertical="center"/>
    </xf>
    <xf numFmtId="0" fontId="46" fillId="56" borderId="423" applyNumberFormat="0" applyAlignment="0" applyProtection="0"/>
    <xf numFmtId="0" fontId="62" fillId="56" borderId="408" applyNumberFormat="0" applyAlignment="0" applyProtection="0"/>
    <xf numFmtId="0" fontId="62" fillId="56" borderId="422" applyNumberFormat="0" applyAlignment="0" applyProtection="0"/>
    <xf numFmtId="173" fontId="34" fillId="60" borderId="404" applyNumberFormat="0" applyFont="0" applyBorder="0" applyAlignment="0" applyProtection="0">
      <alignment horizontal="right" vertical="center"/>
    </xf>
    <xf numFmtId="4" fontId="34" fillId="33" borderId="410"/>
    <xf numFmtId="4" fontId="34" fillId="0" borderId="404">
      <alignment horizontal="right" vertical="center"/>
    </xf>
    <xf numFmtId="0" fontId="46" fillId="56" borderId="401" applyNumberFormat="0" applyAlignment="0" applyProtection="0"/>
    <xf numFmtId="0" fontId="34" fillId="0" borderId="404" applyNumberFormat="0" applyFill="0" applyAlignment="0" applyProtection="0"/>
    <xf numFmtId="0" fontId="12" fillId="16" borderId="0" applyNumberFormat="0" applyBorder="0" applyAlignment="0" applyProtection="0"/>
    <xf numFmtId="0" fontId="34" fillId="0" borderId="404">
      <alignment horizontal="right" vertical="center"/>
    </xf>
    <xf numFmtId="0" fontId="65" fillId="0" borderId="427" applyNumberFormat="0" applyFill="0" applyAlignment="0" applyProtection="0"/>
    <xf numFmtId="0" fontId="32" fillId="34" borderId="410">
      <alignment horizontal="right" vertical="center"/>
    </xf>
    <xf numFmtId="173" fontId="34" fillId="60" borderId="410" applyNumberFormat="0" applyFont="0" applyBorder="0" applyAlignment="0" applyProtection="0">
      <alignment horizontal="right" vertical="center"/>
    </xf>
    <xf numFmtId="4" fontId="32" fillId="34" borderId="406">
      <alignment horizontal="right" vertical="center"/>
    </xf>
    <xf numFmtId="4" fontId="34" fillId="0" borderId="404" applyFill="0" applyBorder="0" applyProtection="0">
      <alignment horizontal="right" vertical="center"/>
    </xf>
    <xf numFmtId="0" fontId="34" fillId="33" borderId="404"/>
    <xf numFmtId="0" fontId="65" fillId="0" borderId="402" applyNumberFormat="0" applyFill="0" applyAlignment="0" applyProtection="0"/>
    <xf numFmtId="4" fontId="32" fillId="34" borderId="420">
      <alignment horizontal="right" vertical="center"/>
    </xf>
    <xf numFmtId="0" fontId="12" fillId="31" borderId="0" applyNumberFormat="0" applyBorder="0" applyAlignment="0" applyProtection="0"/>
    <xf numFmtId="0" fontId="45" fillId="56" borderId="401" applyNumberFormat="0" applyAlignment="0" applyProtection="0"/>
    <xf numFmtId="0" fontId="32" fillId="32" borderId="404">
      <alignment horizontal="right" vertical="center"/>
    </xf>
    <xf numFmtId="0" fontId="46" fillId="56" borderId="401" applyNumberFormat="0" applyAlignment="0" applyProtection="0"/>
    <xf numFmtId="4" fontId="32" fillId="34" borderId="420">
      <alignment horizontal="right" vertical="center"/>
    </xf>
    <xf numFmtId="0" fontId="58" fillId="43" borderId="423" applyNumberFormat="0" applyAlignment="0" applyProtection="0"/>
    <xf numFmtId="49" fontId="33" fillId="0" borderId="410" applyNumberFormat="0" applyFill="0" applyBorder="0" applyProtection="0">
      <alignment horizontal="left" vertical="center"/>
    </xf>
    <xf numFmtId="0" fontId="12" fillId="25" borderId="0" applyNumberFormat="0" applyBorder="0" applyAlignment="0" applyProtection="0"/>
    <xf numFmtId="0" fontId="32" fillId="34" borderId="405">
      <alignment horizontal="right" vertical="center"/>
    </xf>
    <xf numFmtId="0" fontId="36" fillId="32" borderId="410">
      <alignment horizontal="right" vertical="center"/>
    </xf>
    <xf numFmtId="0" fontId="45" fillId="56" borderId="401" applyNumberFormat="0" applyAlignment="0" applyProtection="0"/>
    <xf numFmtId="0" fontId="26" fillId="26" borderId="0" applyNumberFormat="0" applyBorder="0" applyAlignment="0" applyProtection="0"/>
    <xf numFmtId="0" fontId="12" fillId="16" borderId="0" applyNumberFormat="0" applyBorder="0" applyAlignment="0" applyProtection="0"/>
    <xf numFmtId="0" fontId="45" fillId="56" borderId="401" applyNumberFormat="0" applyAlignment="0" applyProtection="0"/>
    <xf numFmtId="4" fontId="32" fillId="34" borderId="404">
      <alignment horizontal="right" vertical="center"/>
    </xf>
    <xf numFmtId="4" fontId="36" fillId="32" borderId="404">
      <alignment horizontal="right" vertical="center"/>
    </xf>
    <xf numFmtId="0" fontId="58" fillId="43" borderId="401" applyNumberFormat="0" applyAlignment="0" applyProtection="0"/>
    <xf numFmtId="0" fontId="26" fillId="24" borderId="0" applyNumberFormat="0" applyBorder="0" applyAlignment="0" applyProtection="0"/>
    <xf numFmtId="0" fontId="36" fillId="32" borderId="404">
      <alignment horizontal="right" vertical="center"/>
    </xf>
    <xf numFmtId="0" fontId="26" fillId="30" borderId="0" applyNumberFormat="0" applyBorder="0" applyAlignment="0" applyProtection="0"/>
    <xf numFmtId="0" fontId="26" fillId="23" borderId="0" applyNumberFormat="0" applyBorder="0" applyAlignment="0" applyProtection="0"/>
    <xf numFmtId="4" fontId="32" fillId="32" borderId="410">
      <alignment horizontal="right" vertical="center"/>
    </xf>
    <xf numFmtId="49" fontId="34" fillId="0" borderId="404" applyNumberFormat="0" applyFont="0" applyFill="0" applyBorder="0" applyProtection="0">
      <alignment horizontal="left" vertical="center" indent="2"/>
    </xf>
    <xf numFmtId="173" fontId="34" fillId="60" borderId="404" applyNumberFormat="0" applyFont="0" applyBorder="0" applyAlignment="0" applyProtection="0">
      <alignment horizontal="right" vertical="center"/>
    </xf>
    <xf numFmtId="0" fontId="32" fillId="32" borderId="410">
      <alignment horizontal="right" vertical="center"/>
    </xf>
    <xf numFmtId="0" fontId="32" fillId="34" borderId="420">
      <alignment horizontal="right" vertical="center"/>
    </xf>
    <xf numFmtId="0" fontId="2" fillId="0" borderId="15" applyNumberFormat="0" applyFill="0" applyAlignment="0" applyProtection="0"/>
    <xf numFmtId="0" fontId="36" fillId="32" borderId="404">
      <alignment horizontal="right" vertical="center"/>
    </xf>
    <xf numFmtId="4" fontId="32" fillId="32" borderId="410">
      <alignment horizontal="right" vertical="center"/>
    </xf>
    <xf numFmtId="0" fontId="32" fillId="34" borderId="412">
      <alignment horizontal="right" vertical="center"/>
    </xf>
    <xf numFmtId="49" fontId="34" fillId="0" borderId="404" applyNumberFormat="0" applyFont="0" applyFill="0" applyBorder="0" applyProtection="0">
      <alignment horizontal="left" vertical="center" indent="2"/>
    </xf>
    <xf numFmtId="49" fontId="34" fillId="0" borderId="404" applyNumberFormat="0" applyFont="0" applyFill="0" applyBorder="0" applyProtection="0">
      <alignment horizontal="left" vertical="center" indent="2"/>
    </xf>
    <xf numFmtId="0" fontId="26" fillId="18" borderId="0" applyNumberFormat="0" applyBorder="0" applyAlignment="0" applyProtection="0"/>
    <xf numFmtId="4" fontId="32" fillId="34" borderId="410">
      <alignment horizontal="right" vertical="center"/>
    </xf>
    <xf numFmtId="0" fontId="34" fillId="0" borderId="418" applyNumberFormat="0" applyFill="0" applyAlignment="0" applyProtection="0"/>
    <xf numFmtId="0" fontId="34" fillId="0" borderId="404" applyNumberFormat="0" applyFill="0" applyAlignment="0" applyProtection="0"/>
    <xf numFmtId="0" fontId="45" fillId="56" borderId="415" applyNumberFormat="0" applyAlignment="0" applyProtection="0"/>
    <xf numFmtId="49" fontId="34" fillId="0" borderId="405" applyNumberFormat="0" applyFont="0" applyFill="0" applyBorder="0" applyProtection="0">
      <alignment horizontal="left" vertical="center" indent="5"/>
    </xf>
    <xf numFmtId="0" fontId="46" fillId="56" borderId="401" applyNumberFormat="0" applyAlignment="0" applyProtection="0"/>
    <xf numFmtId="0" fontId="26" fillId="17" borderId="0" applyNumberFormat="0" applyBorder="0" applyAlignment="0" applyProtection="0"/>
    <xf numFmtId="0" fontId="32" fillId="32" borderId="429">
      <alignment horizontal="right" vertical="center"/>
    </xf>
    <xf numFmtId="4" fontId="32" fillId="34" borderId="405">
      <alignment horizontal="right" vertical="center"/>
    </xf>
    <xf numFmtId="0" fontId="26" fillId="17" borderId="0" applyNumberFormat="0" applyBorder="0" applyAlignment="0" applyProtection="0"/>
    <xf numFmtId="49" fontId="33" fillId="0" borderId="404" applyNumberFormat="0" applyFill="0" applyBorder="0" applyProtection="0">
      <alignment horizontal="left" vertical="center"/>
    </xf>
    <xf numFmtId="4" fontId="32" fillId="34" borderId="405">
      <alignment horizontal="right" vertical="center"/>
    </xf>
    <xf numFmtId="0" fontId="26" fillId="27" borderId="0" applyNumberFormat="0" applyBorder="0" applyAlignment="0" applyProtection="0"/>
    <xf numFmtId="0" fontId="12" fillId="22" borderId="0" applyNumberFormat="0" applyBorder="0" applyAlignment="0" applyProtection="0"/>
    <xf numFmtId="0" fontId="26" fillId="23" borderId="0" applyNumberFormat="0" applyBorder="0" applyAlignment="0" applyProtection="0"/>
    <xf numFmtId="0" fontId="32" fillId="32" borderId="410">
      <alignment horizontal="right" vertical="center"/>
    </xf>
    <xf numFmtId="0" fontId="32" fillId="34" borderId="404">
      <alignment horizontal="right" vertical="center"/>
    </xf>
    <xf numFmtId="0" fontId="32" fillId="34" borderId="418">
      <alignment horizontal="right" vertical="center"/>
    </xf>
    <xf numFmtId="0" fontId="58" fillId="43" borderId="401" applyNumberFormat="0" applyAlignment="0" applyProtection="0"/>
    <xf numFmtId="0" fontId="45" fillId="56" borderId="401" applyNumberFormat="0" applyAlignment="0" applyProtection="0"/>
    <xf numFmtId="0" fontId="5" fillId="59" borderId="403" applyNumberFormat="0" applyFont="0" applyAlignment="0" applyProtection="0"/>
    <xf numFmtId="0" fontId="40" fillId="59" borderId="403" applyNumberFormat="0" applyFont="0" applyAlignment="0" applyProtection="0"/>
    <xf numFmtId="0" fontId="65" fillId="0" borderId="424" applyNumberFormat="0" applyFill="0" applyAlignment="0" applyProtection="0"/>
    <xf numFmtId="0" fontId="32" fillId="34" borderId="404">
      <alignment horizontal="right" vertical="center"/>
    </xf>
    <xf numFmtId="4" fontId="32" fillId="34" borderId="404">
      <alignment horizontal="right" vertical="center"/>
    </xf>
    <xf numFmtId="0" fontId="12" fillId="19" borderId="0" applyNumberFormat="0" applyBorder="0" applyAlignment="0" applyProtection="0"/>
    <xf numFmtId="0" fontId="34" fillId="0" borderId="413">
      <alignment horizontal="left" vertical="center" wrapText="1" indent="2"/>
    </xf>
    <xf numFmtId="4" fontId="32" fillId="34" borderId="410">
      <alignment horizontal="right" vertical="center"/>
    </xf>
    <xf numFmtId="4" fontId="32" fillId="34" borderId="412">
      <alignment horizontal="right" vertical="center"/>
    </xf>
    <xf numFmtId="0" fontId="32" fillId="34" borderId="420">
      <alignment horizontal="right" vertical="center"/>
    </xf>
    <xf numFmtId="0" fontId="26" fillId="23" borderId="0" applyNumberFormat="0" applyBorder="0" applyAlignment="0" applyProtection="0"/>
    <xf numFmtId="0" fontId="1" fillId="0" borderId="0" applyNumberFormat="0" applyFill="0" applyBorder="0" applyAlignment="0" applyProtection="0"/>
    <xf numFmtId="0" fontId="32" fillId="32" borderId="404">
      <alignment horizontal="right" vertical="center"/>
    </xf>
    <xf numFmtId="0" fontId="26" fillId="21" borderId="0" applyNumberFormat="0" applyBorder="0" applyAlignment="0" applyProtection="0"/>
    <xf numFmtId="0" fontId="34" fillId="0" borderId="404">
      <alignment horizontal="right" vertical="center"/>
    </xf>
    <xf numFmtId="4" fontId="32" fillId="34" borderId="406">
      <alignment horizontal="right" vertical="center"/>
    </xf>
    <xf numFmtId="49" fontId="33" fillId="0" borderId="404" applyNumberFormat="0" applyFill="0" applyBorder="0" applyProtection="0">
      <alignment horizontal="left" vertical="center"/>
    </xf>
    <xf numFmtId="0" fontId="34" fillId="0" borderId="407">
      <alignment horizontal="left" vertical="center" wrapText="1" indent="2"/>
    </xf>
    <xf numFmtId="49" fontId="33" fillId="0" borderId="404" applyNumberFormat="0" applyFill="0" applyBorder="0" applyProtection="0">
      <alignment horizontal="left" vertical="center"/>
    </xf>
    <xf numFmtId="4" fontId="32" fillId="34" borderId="412">
      <alignment horizontal="right" vertical="center"/>
    </xf>
    <xf numFmtId="0" fontId="28" fillId="13" borderId="14" applyNumberFormat="0" applyAlignment="0" applyProtection="0"/>
    <xf numFmtId="0" fontId="46" fillId="56" borderId="423" applyNumberFormat="0" applyAlignment="0" applyProtection="0"/>
    <xf numFmtId="0" fontId="26" fillId="23" borderId="0" applyNumberFormat="0" applyBorder="0" applyAlignment="0" applyProtection="0"/>
    <xf numFmtId="0" fontId="34" fillId="34" borderId="407">
      <alignment horizontal="left" vertical="center" wrapText="1" indent="2"/>
    </xf>
    <xf numFmtId="0" fontId="34" fillId="33" borderId="418"/>
    <xf numFmtId="0" fontId="65" fillId="0" borderId="416" applyNumberFormat="0" applyFill="0" applyAlignment="0" applyProtection="0"/>
    <xf numFmtId="0" fontId="32" fillId="34" borderId="410">
      <alignment horizontal="right" vertical="center"/>
    </xf>
    <xf numFmtId="0" fontId="26" fillId="18" borderId="0" applyNumberFormat="0" applyBorder="0" applyAlignment="0" applyProtection="0"/>
    <xf numFmtId="4" fontId="34" fillId="0" borderId="404">
      <alignment horizontal="right" vertical="center"/>
    </xf>
    <xf numFmtId="0" fontId="32" fillId="34" borderId="411">
      <alignment horizontal="right" vertical="center"/>
    </xf>
    <xf numFmtId="0" fontId="34" fillId="0" borderId="404">
      <alignment horizontal="right" vertical="center"/>
    </xf>
    <xf numFmtId="4" fontId="32" fillId="34" borderId="412">
      <alignment horizontal="right" vertical="center"/>
    </xf>
    <xf numFmtId="0" fontId="1" fillId="0" borderId="0" applyNumberFormat="0" applyFill="0" applyBorder="0" applyAlignment="0" applyProtection="0"/>
    <xf numFmtId="0" fontId="26" fillId="14" borderId="0" applyNumberFormat="0" applyBorder="0" applyAlignment="0" applyProtection="0"/>
    <xf numFmtId="49" fontId="34" fillId="0" borderId="405" applyNumberFormat="0" applyFont="0" applyFill="0" applyBorder="0" applyProtection="0">
      <alignment horizontal="left" vertical="center" indent="5"/>
    </xf>
    <xf numFmtId="0" fontId="34" fillId="0" borderId="413">
      <alignment horizontal="left" vertical="center" wrapText="1" indent="2"/>
    </xf>
    <xf numFmtId="0" fontId="45" fillId="56" borderId="415" applyNumberFormat="0" applyAlignment="0" applyProtection="0"/>
    <xf numFmtId="4" fontId="32" fillId="34" borderId="418">
      <alignment horizontal="right" vertical="center"/>
    </xf>
    <xf numFmtId="0" fontId="34" fillId="32" borderId="405">
      <alignment horizontal="left" vertical="center"/>
    </xf>
    <xf numFmtId="0" fontId="34" fillId="0" borderId="407">
      <alignment horizontal="left" vertical="center" wrapText="1" indent="2"/>
    </xf>
    <xf numFmtId="0" fontId="58" fillId="43" borderId="415" applyNumberFormat="0" applyAlignment="0" applyProtection="0"/>
    <xf numFmtId="4" fontId="32" fillId="34" borderId="418">
      <alignment horizontal="right" vertical="center"/>
    </xf>
    <xf numFmtId="0" fontId="1" fillId="0" borderId="0" applyNumberFormat="0" applyFill="0" applyBorder="0" applyAlignment="0" applyProtection="0"/>
    <xf numFmtId="0" fontId="43" fillId="56" borderId="414" applyNumberFormat="0" applyAlignment="0" applyProtection="0"/>
    <xf numFmtId="0" fontId="32" fillId="34" borderId="411">
      <alignment horizontal="right" vertical="center"/>
    </xf>
    <xf numFmtId="0" fontId="12" fillId="19" borderId="0" applyNumberFormat="0" applyBorder="0" applyAlignment="0" applyProtection="0"/>
    <xf numFmtId="0" fontId="26" fillId="30" borderId="0" applyNumberFormat="0" applyBorder="0" applyAlignment="0" applyProtection="0"/>
    <xf numFmtId="4" fontId="32" fillId="34" borderId="430">
      <alignment horizontal="right" vertical="center"/>
    </xf>
    <xf numFmtId="0" fontId="58" fillId="43" borderId="415" applyNumberFormat="0" applyAlignment="0" applyProtection="0"/>
    <xf numFmtId="0" fontId="32" fillId="32" borderId="404">
      <alignment horizontal="right" vertical="center"/>
    </xf>
    <xf numFmtId="0" fontId="50" fillId="0" borderId="402" applyNumberFormat="0" applyFill="0" applyAlignment="0" applyProtection="0"/>
    <xf numFmtId="0" fontId="34" fillId="0" borderId="404" applyNumberFormat="0" applyFill="0" applyAlignment="0" applyProtection="0"/>
    <xf numFmtId="0" fontId="50" fillId="0" borderId="402" applyNumberFormat="0" applyFill="0" applyAlignment="0" applyProtection="0"/>
    <xf numFmtId="4" fontId="34" fillId="0" borderId="404" applyFill="0" applyBorder="0" applyProtection="0">
      <alignment horizontal="right" vertical="center"/>
    </xf>
    <xf numFmtId="49" fontId="34" fillId="0" borderId="405" applyNumberFormat="0" applyFont="0" applyFill="0" applyBorder="0" applyProtection="0">
      <alignment horizontal="left" vertical="center" indent="5"/>
    </xf>
    <xf numFmtId="0" fontId="34" fillId="0" borderId="404" applyNumberFormat="0" applyFill="0" applyAlignment="0" applyProtection="0"/>
    <xf numFmtId="0" fontId="26" fillId="29" borderId="0" applyNumberFormat="0" applyBorder="0" applyAlignment="0" applyProtection="0"/>
    <xf numFmtId="0" fontId="34" fillId="0" borderId="404" applyNumberFormat="0" applyFill="0" applyAlignment="0" applyProtection="0"/>
    <xf numFmtId="0" fontId="26" fillId="30" borderId="0" applyNumberFormat="0" applyBorder="0" applyAlignment="0" applyProtection="0"/>
    <xf numFmtId="0" fontId="34" fillId="34" borderId="421">
      <alignment horizontal="left" vertical="center" wrapText="1" indent="2"/>
    </xf>
    <xf numFmtId="4" fontId="32" fillId="34" borderId="404">
      <alignment horizontal="right" vertical="center"/>
    </xf>
    <xf numFmtId="4" fontId="32" fillId="32" borderId="410">
      <alignment horizontal="right" vertical="center"/>
    </xf>
    <xf numFmtId="0" fontId="26" fillId="20" borderId="0" applyNumberFormat="0" applyBorder="0" applyAlignment="0" applyProtection="0"/>
    <xf numFmtId="0" fontId="62" fillId="56" borderId="414" applyNumberFormat="0" applyAlignment="0" applyProtection="0"/>
    <xf numFmtId="0" fontId="49" fillId="43" borderId="401" applyNumberFormat="0" applyAlignment="0" applyProtection="0"/>
    <xf numFmtId="0" fontId="46" fillId="56" borderId="401" applyNumberFormat="0" applyAlignment="0" applyProtection="0"/>
    <xf numFmtId="4" fontId="34" fillId="0" borderId="404">
      <alignment horizontal="right" vertical="center"/>
    </xf>
    <xf numFmtId="0" fontId="34" fillId="34" borderId="407">
      <alignment horizontal="left" vertical="center" wrapText="1" indent="2"/>
    </xf>
    <xf numFmtId="0" fontId="34" fillId="0" borderId="407">
      <alignment horizontal="left" vertical="center" wrapText="1" indent="2"/>
    </xf>
    <xf numFmtId="0" fontId="62" fillId="56" borderId="408" applyNumberFormat="0" applyAlignment="0" applyProtection="0"/>
    <xf numFmtId="0" fontId="58" fillId="43" borderId="401" applyNumberFormat="0" applyAlignment="0" applyProtection="0"/>
    <xf numFmtId="0" fontId="45" fillId="56" borderId="401" applyNumberFormat="0" applyAlignment="0" applyProtection="0"/>
    <xf numFmtId="0" fontId="43" fillId="56" borderId="408" applyNumberFormat="0" applyAlignment="0" applyProtection="0"/>
    <xf numFmtId="0" fontId="32" fillId="34" borderId="406">
      <alignment horizontal="right" vertical="center"/>
    </xf>
    <xf numFmtId="0" fontId="36" fillId="32" borderId="404">
      <alignment horizontal="right" vertical="center"/>
    </xf>
    <xf numFmtId="4" fontId="32" fillId="32" borderId="404">
      <alignment horizontal="right" vertical="center"/>
    </xf>
    <xf numFmtId="4" fontId="32" fillId="34" borderId="404">
      <alignment horizontal="right" vertical="center"/>
    </xf>
    <xf numFmtId="49" fontId="34" fillId="0" borderId="405" applyNumberFormat="0" applyFont="0" applyFill="0" applyBorder="0" applyProtection="0">
      <alignment horizontal="left" vertical="center" indent="5"/>
    </xf>
    <xf numFmtId="4" fontId="34" fillId="0" borderId="404" applyFill="0" applyBorder="0" applyProtection="0">
      <alignment horizontal="right" vertical="center"/>
    </xf>
    <xf numFmtId="4" fontId="32" fillId="32" borderId="404">
      <alignment horizontal="right" vertical="center"/>
    </xf>
    <xf numFmtId="0" fontId="58" fillId="43" borderId="401" applyNumberFormat="0" applyAlignment="0" applyProtection="0"/>
    <xf numFmtId="0" fontId="49" fillId="43" borderId="401" applyNumberFormat="0" applyAlignment="0" applyProtection="0"/>
    <xf numFmtId="0" fontId="45" fillId="56" borderId="401" applyNumberFormat="0" applyAlignment="0" applyProtection="0"/>
    <xf numFmtId="0" fontId="34" fillId="34" borderId="407">
      <alignment horizontal="left" vertical="center" wrapText="1" indent="2"/>
    </xf>
    <xf numFmtId="0" fontId="34" fillId="0" borderId="407">
      <alignment horizontal="left" vertical="center" wrapText="1" indent="2"/>
    </xf>
    <xf numFmtId="0" fontId="34" fillId="34" borderId="407">
      <alignment horizontal="left" vertical="center" wrapText="1" indent="2"/>
    </xf>
    <xf numFmtId="0" fontId="40" fillId="59" borderId="417" applyNumberFormat="0" applyFont="0" applyAlignment="0" applyProtection="0"/>
    <xf numFmtId="0" fontId="49" fillId="43" borderId="415" applyNumberFormat="0" applyAlignment="0" applyProtection="0"/>
    <xf numFmtId="0" fontId="46" fillId="56" borderId="415" applyNumberFormat="0" applyAlignment="0" applyProtection="0"/>
    <xf numFmtId="0" fontId="32" fillId="32" borderId="418">
      <alignment horizontal="right" vertical="center"/>
    </xf>
    <xf numFmtId="0" fontId="45" fillId="56" borderId="423" applyNumberFormat="0" applyAlignment="0" applyProtection="0"/>
    <xf numFmtId="0" fontId="32" fillId="34" borderId="410">
      <alignment horizontal="right" vertical="center"/>
    </xf>
    <xf numFmtId="4" fontId="34" fillId="33" borderId="410"/>
    <xf numFmtId="0" fontId="26" fillId="15" borderId="0" applyNumberFormat="0" applyBorder="0" applyAlignment="0" applyProtection="0"/>
    <xf numFmtId="0" fontId="45" fillId="56" borderId="426" applyNumberFormat="0" applyAlignment="0" applyProtection="0"/>
    <xf numFmtId="0" fontId="46" fillId="56" borderId="415" applyNumberFormat="0" applyAlignment="0" applyProtection="0"/>
    <xf numFmtId="49" fontId="34" fillId="0" borderId="418" applyNumberFormat="0" applyFont="0" applyFill="0" applyBorder="0" applyProtection="0">
      <alignment horizontal="left" vertical="center" indent="2"/>
    </xf>
    <xf numFmtId="0" fontId="46" fillId="56" borderId="415" applyNumberFormat="0" applyAlignment="0" applyProtection="0"/>
    <xf numFmtId="0" fontId="32" fillId="34" borderId="410">
      <alignment horizontal="right" vertical="center"/>
    </xf>
    <xf numFmtId="0" fontId="34" fillId="32" borderId="419">
      <alignment horizontal="left" vertical="center"/>
    </xf>
    <xf numFmtId="0" fontId="34" fillId="34" borderId="413">
      <alignment horizontal="left" vertical="center" wrapText="1" indent="2"/>
    </xf>
    <xf numFmtId="0" fontId="58" fillId="43" borderId="415" applyNumberFormat="0" applyAlignment="0" applyProtection="0"/>
    <xf numFmtId="0" fontId="26" fillId="30" borderId="0" applyNumberFormat="0" applyBorder="0" applyAlignment="0" applyProtection="0"/>
    <xf numFmtId="4" fontId="34" fillId="33" borderId="418"/>
    <xf numFmtId="0" fontId="26" fillId="17" borderId="0" applyNumberFormat="0" applyBorder="0" applyAlignment="0" applyProtection="0"/>
    <xf numFmtId="0" fontId="32" fillId="34" borderId="418">
      <alignment horizontal="right" vertical="center"/>
    </xf>
    <xf numFmtId="0" fontId="58" fillId="43" borderId="415" applyNumberFormat="0" applyAlignment="0" applyProtection="0"/>
    <xf numFmtId="0" fontId="40" fillId="59" borderId="409" applyNumberFormat="0" applyFont="0" applyAlignment="0" applyProtection="0"/>
    <xf numFmtId="0" fontId="26" fillId="21" borderId="0" applyNumberFormat="0" applyBorder="0" applyAlignment="0" applyProtection="0"/>
    <xf numFmtId="0" fontId="12" fillId="19" borderId="0" applyNumberFormat="0" applyBorder="0" applyAlignment="0" applyProtection="0"/>
    <xf numFmtId="0" fontId="34" fillId="0" borderId="410">
      <alignment horizontal="right" vertical="center"/>
    </xf>
    <xf numFmtId="0" fontId="32" fillId="34" borderId="420">
      <alignment horizontal="right" vertical="center"/>
    </xf>
    <xf numFmtId="0" fontId="26" fillId="30" borderId="0" applyNumberFormat="0" applyBorder="0" applyAlignment="0" applyProtection="0"/>
    <xf numFmtId="0" fontId="36" fillId="32" borderId="410">
      <alignment horizontal="right" vertical="center"/>
    </xf>
    <xf numFmtId="0" fontId="43" fillId="56" borderId="414" applyNumberFormat="0" applyAlignment="0" applyProtection="0"/>
    <xf numFmtId="0" fontId="43" fillId="56" borderId="422" applyNumberFormat="0" applyAlignment="0" applyProtection="0"/>
    <xf numFmtId="0" fontId="50" fillId="0" borderId="416" applyNumberFormat="0" applyFill="0" applyAlignment="0" applyProtection="0"/>
    <xf numFmtId="0" fontId="34" fillId="32" borderId="411">
      <alignment horizontal="left" vertical="center"/>
    </xf>
    <xf numFmtId="0" fontId="62" fillId="56" borderId="422" applyNumberFormat="0" applyAlignment="0" applyProtection="0"/>
    <xf numFmtId="0" fontId="58" fillId="43" borderId="415" applyNumberFormat="0" applyAlignment="0" applyProtection="0"/>
    <xf numFmtId="0" fontId="40" fillId="59" borderId="409" applyNumberFormat="0" applyFont="0" applyAlignment="0" applyProtection="0"/>
    <xf numFmtId="0" fontId="26" fillId="27" borderId="0" applyNumberFormat="0" applyBorder="0" applyAlignment="0" applyProtection="0"/>
    <xf numFmtId="0" fontId="26" fillId="18" borderId="0" applyNumberFormat="0" applyBorder="0" applyAlignment="0" applyProtection="0"/>
    <xf numFmtId="0" fontId="50" fillId="0" borderId="416" applyNumberFormat="0" applyFill="0" applyAlignment="0" applyProtection="0"/>
    <xf numFmtId="49" fontId="34" fillId="0" borderId="410" applyNumberFormat="0" applyFont="0" applyFill="0" applyBorder="0" applyProtection="0">
      <alignment horizontal="left" vertical="center" indent="2"/>
    </xf>
    <xf numFmtId="0" fontId="46" fillId="56" borderId="415" applyNumberFormat="0" applyAlignment="0" applyProtection="0"/>
    <xf numFmtId="0" fontId="34" fillId="0" borderId="413">
      <alignment horizontal="left" vertical="center" wrapText="1" indent="2"/>
    </xf>
    <xf numFmtId="0" fontId="46" fillId="56" borderId="423" applyNumberFormat="0" applyAlignment="0" applyProtection="0"/>
    <xf numFmtId="0" fontId="34" fillId="34" borderId="413">
      <alignment horizontal="left" vertical="center" wrapText="1" indent="2"/>
    </xf>
    <xf numFmtId="0" fontId="43" fillId="56" borderId="422" applyNumberFormat="0" applyAlignment="0" applyProtection="0"/>
    <xf numFmtId="4" fontId="34" fillId="0" borderId="410" applyFill="0" applyBorder="0" applyProtection="0">
      <alignment horizontal="right" vertical="center"/>
    </xf>
    <xf numFmtId="0" fontId="32" fillId="34" borderId="418">
      <alignment horizontal="right" vertical="center"/>
    </xf>
    <xf numFmtId="0" fontId="32" fillId="34" borderId="410">
      <alignment horizontal="right" vertical="center"/>
    </xf>
    <xf numFmtId="4" fontId="32" fillId="34" borderId="420">
      <alignment horizontal="right" vertical="center"/>
    </xf>
    <xf numFmtId="0" fontId="65" fillId="0" borderId="424" applyNumberFormat="0" applyFill="0" applyAlignment="0" applyProtection="0"/>
    <xf numFmtId="0" fontId="32" fillId="34" borderId="410">
      <alignment horizontal="right" vertical="center"/>
    </xf>
    <xf numFmtId="4" fontId="36" fillId="32" borderId="410">
      <alignment horizontal="right" vertical="center"/>
    </xf>
    <xf numFmtId="0" fontId="26" fillId="21" borderId="0" applyNumberFormat="0" applyBorder="0" applyAlignment="0" applyProtection="0"/>
    <xf numFmtId="0" fontId="40" fillId="59" borderId="417" applyNumberFormat="0" applyFont="0" applyAlignment="0" applyProtection="0"/>
    <xf numFmtId="0" fontId="2" fillId="0" borderId="15" applyNumberFormat="0" applyFill="0" applyAlignment="0" applyProtection="0"/>
    <xf numFmtId="0" fontId="65" fillId="0" borderId="416" applyNumberFormat="0" applyFill="0" applyAlignment="0" applyProtection="0"/>
    <xf numFmtId="49" fontId="33" fillId="0" borderId="410" applyNumberFormat="0" applyFill="0" applyBorder="0" applyProtection="0">
      <alignment horizontal="left" vertical="center"/>
    </xf>
    <xf numFmtId="0" fontId="26" fillId="24" borderId="0" applyNumberFormat="0" applyBorder="0" applyAlignment="0" applyProtection="0"/>
    <xf numFmtId="0" fontId="26" fillId="20" borderId="0" applyNumberFormat="0" applyBorder="0" applyAlignment="0" applyProtection="0"/>
    <xf numFmtId="0" fontId="12" fillId="28" borderId="0" applyNumberFormat="0" applyBorder="0" applyAlignment="0" applyProtection="0"/>
    <xf numFmtId="4" fontId="36" fillId="32" borderId="418">
      <alignment horizontal="right" vertical="center"/>
    </xf>
    <xf numFmtId="0" fontId="32" fillId="34" borderId="410">
      <alignment horizontal="right" vertical="center"/>
    </xf>
    <xf numFmtId="0" fontId="26" fillId="21" borderId="0" applyNumberFormat="0" applyBorder="0" applyAlignment="0" applyProtection="0"/>
    <xf numFmtId="0" fontId="26" fillId="17" borderId="0" applyNumberFormat="0" applyBorder="0" applyAlignment="0" applyProtection="0"/>
    <xf numFmtId="0" fontId="26" fillId="21" borderId="0" applyNumberFormat="0" applyBorder="0" applyAlignment="0" applyProtection="0"/>
    <xf numFmtId="0" fontId="62" fillId="56" borderId="414" applyNumberFormat="0" applyAlignment="0" applyProtection="0"/>
    <xf numFmtId="4" fontId="34" fillId="33" borderId="410"/>
    <xf numFmtId="0" fontId="58" fillId="43" borderId="423" applyNumberFormat="0" applyAlignment="0" applyProtection="0"/>
    <xf numFmtId="0" fontId="65" fillId="0" borderId="416" applyNumberFormat="0" applyFill="0" applyAlignment="0" applyProtection="0"/>
    <xf numFmtId="0" fontId="26" fillId="26" borderId="0" applyNumberFormat="0" applyBorder="0" applyAlignment="0" applyProtection="0"/>
    <xf numFmtId="4" fontId="32" fillId="34" borderId="410">
      <alignment horizontal="right" vertical="center"/>
    </xf>
    <xf numFmtId="0" fontId="49" fillId="43" borderId="415" applyNumberFormat="0" applyAlignment="0" applyProtection="0"/>
    <xf numFmtId="49" fontId="34" fillId="0" borderId="410" applyNumberFormat="0" applyFont="0" applyFill="0" applyBorder="0" applyProtection="0">
      <alignment horizontal="left" vertical="center" indent="2"/>
    </xf>
    <xf numFmtId="0" fontId="30" fillId="0" borderId="0" applyNumberFormat="0" applyFill="0" applyBorder="0" applyAlignment="0" applyProtection="0"/>
    <xf numFmtId="49" fontId="34" fillId="0" borderId="411" applyNumberFormat="0" applyFont="0" applyFill="0" applyBorder="0" applyProtection="0">
      <alignment horizontal="left" vertical="center" indent="5"/>
    </xf>
    <xf numFmtId="0" fontId="34" fillId="34" borderId="413">
      <alignment horizontal="left" vertical="center" wrapText="1" indent="2"/>
    </xf>
    <xf numFmtId="0" fontId="36" fillId="32" borderId="418">
      <alignment horizontal="right" vertical="center"/>
    </xf>
    <xf numFmtId="4" fontId="34" fillId="0" borderId="429" applyFill="0" applyBorder="0" applyProtection="0">
      <alignment horizontal="right" vertical="center"/>
    </xf>
    <xf numFmtId="4" fontId="32" fillId="34" borderId="420">
      <alignment horizontal="right" vertical="center"/>
    </xf>
    <xf numFmtId="0" fontId="50" fillId="0" borderId="424" applyNumberFormat="0" applyFill="0" applyAlignment="0" applyProtection="0"/>
    <xf numFmtId="4" fontId="34" fillId="0" borderId="410" applyFill="0" applyBorder="0" applyProtection="0">
      <alignment horizontal="right" vertical="center"/>
    </xf>
    <xf numFmtId="4" fontId="36" fillId="32" borderId="410">
      <alignment horizontal="right" vertical="center"/>
    </xf>
    <xf numFmtId="0" fontId="32" fillId="34" borderId="420">
      <alignment horizontal="right" vertical="center"/>
    </xf>
    <xf numFmtId="0" fontId="50" fillId="0" borderId="416" applyNumberFormat="0" applyFill="0" applyAlignment="0" applyProtection="0"/>
    <xf numFmtId="0" fontId="49" fillId="43" borderId="423" applyNumberFormat="0" applyAlignment="0" applyProtection="0"/>
    <xf numFmtId="49" fontId="33" fillId="0" borderId="410" applyNumberFormat="0" applyFill="0" applyBorder="0" applyProtection="0">
      <alignment horizontal="left" vertical="center"/>
    </xf>
    <xf numFmtId="0" fontId="49" fillId="43" borderId="423" applyNumberFormat="0" applyAlignment="0" applyProtection="0"/>
    <xf numFmtId="4" fontId="34" fillId="0" borderId="410" applyFill="0" applyBorder="0" applyProtection="0">
      <alignment horizontal="right" vertical="center"/>
    </xf>
    <xf numFmtId="0" fontId="46" fillId="56" borderId="423" applyNumberFormat="0" applyAlignment="0" applyProtection="0"/>
    <xf numFmtId="4" fontId="32" fillId="32" borderId="418">
      <alignment horizontal="right" vertical="center"/>
    </xf>
    <xf numFmtId="0" fontId="49" fillId="43" borderId="415" applyNumberFormat="0" applyAlignment="0" applyProtection="0"/>
    <xf numFmtId="0" fontId="34" fillId="33" borderId="410"/>
    <xf numFmtId="0" fontId="5" fillId="59" borderId="428" applyNumberFormat="0" applyFont="0" applyAlignment="0" applyProtection="0"/>
    <xf numFmtId="0" fontId="34" fillId="0" borderId="413">
      <alignment horizontal="left" vertical="center" wrapText="1" indent="2"/>
    </xf>
    <xf numFmtId="0" fontId="32" fillId="34" borderId="410">
      <alignment horizontal="right" vertical="center"/>
    </xf>
    <xf numFmtId="0" fontId="34" fillId="33" borderId="410"/>
    <xf numFmtId="4" fontId="34" fillId="33" borderId="410"/>
    <xf numFmtId="0" fontId="65" fillId="0" borderId="416" applyNumberFormat="0" applyFill="0" applyAlignment="0" applyProtection="0"/>
    <xf numFmtId="0" fontId="43" fillId="56" borderId="414" applyNumberFormat="0" applyAlignment="0" applyProtection="0"/>
    <xf numFmtId="0" fontId="58" fillId="43" borderId="415" applyNumberFormat="0" applyAlignment="0" applyProtection="0"/>
    <xf numFmtId="0" fontId="40" fillId="59" borderId="417" applyNumberFormat="0" applyFont="0" applyAlignment="0" applyProtection="0"/>
    <xf numFmtId="0" fontId="12" fillId="28" borderId="0" applyNumberFormat="0" applyBorder="0" applyAlignment="0" applyProtection="0"/>
    <xf numFmtId="4" fontId="32" fillId="34" borderId="412">
      <alignment horizontal="right" vertical="center"/>
    </xf>
    <xf numFmtId="0" fontId="32" fillId="34" borderId="420">
      <alignment horizontal="right" vertical="center"/>
    </xf>
    <xf numFmtId="4" fontId="36" fillId="32" borderId="410">
      <alignment horizontal="right" vertical="center"/>
    </xf>
    <xf numFmtId="0" fontId="32" fillId="34" borderId="411">
      <alignment horizontal="right" vertical="center"/>
    </xf>
    <xf numFmtId="0" fontId="32" fillId="34" borderId="410">
      <alignment horizontal="right" vertical="center"/>
    </xf>
    <xf numFmtId="0" fontId="32" fillId="34" borderId="410">
      <alignment horizontal="right" vertical="center"/>
    </xf>
    <xf numFmtId="0" fontId="12" fillId="31" borderId="0" applyNumberFormat="0" applyBorder="0" applyAlignment="0" applyProtection="0"/>
    <xf numFmtId="0" fontId="34" fillId="33" borderId="418"/>
    <xf numFmtId="0" fontId="34" fillId="0" borderId="418" applyNumberFormat="0" applyFill="0" applyAlignment="0" applyProtection="0"/>
    <xf numFmtId="0" fontId="50" fillId="0" borderId="424" applyNumberFormat="0" applyFill="0" applyAlignment="0" applyProtection="0"/>
    <xf numFmtId="0" fontId="43" fillId="56" borderId="414" applyNumberFormat="0" applyAlignment="0" applyProtection="0"/>
    <xf numFmtId="49" fontId="34" fillId="0" borderId="419" applyNumberFormat="0" applyFont="0" applyFill="0" applyBorder="0" applyProtection="0">
      <alignment horizontal="left" vertical="center" indent="5"/>
    </xf>
    <xf numFmtId="4" fontId="34" fillId="0" borderId="418">
      <alignment horizontal="right" vertical="center"/>
    </xf>
    <xf numFmtId="0" fontId="34" fillId="34" borderId="421">
      <alignment horizontal="left" vertical="center" wrapText="1" indent="2"/>
    </xf>
    <xf numFmtId="0" fontId="62" fillId="56" borderId="414" applyNumberFormat="0" applyAlignment="0" applyProtection="0"/>
    <xf numFmtId="0" fontId="50" fillId="0" borderId="424" applyNumberFormat="0" applyFill="0" applyAlignment="0" applyProtection="0"/>
    <xf numFmtId="0" fontId="26" fillId="29" borderId="0" applyNumberFormat="0" applyBorder="0" applyAlignment="0" applyProtection="0"/>
    <xf numFmtId="0" fontId="50" fillId="0" borderId="416" applyNumberFormat="0" applyFill="0" applyAlignment="0" applyProtection="0"/>
    <xf numFmtId="0" fontId="40" fillId="59" borderId="409" applyNumberFormat="0" applyFont="0" applyAlignment="0" applyProtection="0"/>
    <xf numFmtId="4" fontId="34" fillId="33" borderId="418"/>
    <xf numFmtId="0" fontId="65" fillId="0" borderId="416" applyNumberFormat="0" applyFill="0" applyAlignment="0" applyProtection="0"/>
    <xf numFmtId="4" fontId="32" fillId="32" borderId="410">
      <alignment horizontal="right" vertical="center"/>
    </xf>
    <xf numFmtId="49" fontId="34" fillId="0" borderId="410" applyNumberFormat="0" applyFont="0" applyFill="0" applyBorder="0" applyProtection="0">
      <alignment horizontal="left" vertical="center" indent="2"/>
    </xf>
    <xf numFmtId="0" fontId="65" fillId="0" borderId="424" applyNumberFormat="0" applyFill="0" applyAlignment="0" applyProtection="0"/>
    <xf numFmtId="4" fontId="36" fillId="32" borderId="410">
      <alignment horizontal="right" vertical="center"/>
    </xf>
    <xf numFmtId="0" fontId="34" fillId="34" borderId="421">
      <alignment horizontal="left" vertical="center" wrapText="1" indent="2"/>
    </xf>
    <xf numFmtId="0" fontId="26" fillId="20" borderId="0" applyNumberFormat="0" applyBorder="0" applyAlignment="0" applyProtection="0"/>
    <xf numFmtId="0" fontId="62" fillId="56" borderId="414" applyNumberFormat="0" applyAlignment="0" applyProtection="0"/>
    <xf numFmtId="0" fontId="58" fillId="43" borderId="415" applyNumberFormat="0" applyAlignment="0" applyProtection="0"/>
    <xf numFmtId="0" fontId="34" fillId="0" borderId="410" applyNumberFormat="0" applyFill="0" applyAlignment="0" applyProtection="0"/>
    <xf numFmtId="0" fontId="32" fillId="34" borderId="418">
      <alignment horizontal="right" vertical="center"/>
    </xf>
    <xf numFmtId="0" fontId="65" fillId="0" borderId="416" applyNumberFormat="0" applyFill="0" applyAlignment="0" applyProtection="0"/>
    <xf numFmtId="0" fontId="32" fillId="32" borderId="410">
      <alignment horizontal="right" vertical="center"/>
    </xf>
    <xf numFmtId="0" fontId="34" fillId="34" borderId="432">
      <alignment horizontal="left" vertical="center" wrapText="1" indent="2"/>
    </xf>
    <xf numFmtId="0" fontId="1" fillId="0" borderId="0" applyNumberFormat="0" applyFill="0" applyBorder="0" applyAlignment="0" applyProtection="0"/>
    <xf numFmtId="4" fontId="32" fillId="34" borderId="410">
      <alignment horizontal="right" vertical="center"/>
    </xf>
    <xf numFmtId="0" fontId="40" fillId="59" borderId="417" applyNumberFormat="0" applyFont="0" applyAlignment="0" applyProtection="0"/>
    <xf numFmtId="0" fontId="65" fillId="0" borderId="424" applyNumberFormat="0" applyFill="0" applyAlignment="0" applyProtection="0"/>
    <xf numFmtId="0" fontId="45" fillId="56" borderId="415" applyNumberFormat="0" applyAlignment="0" applyProtection="0"/>
    <xf numFmtId="49" fontId="33" fillId="0" borderId="410" applyNumberFormat="0" applyFill="0" applyBorder="0" applyProtection="0">
      <alignment horizontal="left" vertical="center"/>
    </xf>
    <xf numFmtId="4" fontId="32" fillId="34" borderId="410">
      <alignment horizontal="right" vertical="center"/>
    </xf>
    <xf numFmtId="4" fontId="32" fillId="34" borderId="418">
      <alignment horizontal="right" vertical="center"/>
    </xf>
    <xf numFmtId="0" fontId="62" fillId="56" borderId="414" applyNumberFormat="0" applyAlignment="0" applyProtection="0"/>
    <xf numFmtId="0" fontId="26" fillId="29" borderId="0" applyNumberFormat="0" applyBorder="0" applyAlignment="0" applyProtection="0"/>
    <xf numFmtId="0" fontId="58" fillId="43" borderId="423" applyNumberFormat="0" applyAlignment="0" applyProtection="0"/>
    <xf numFmtId="4" fontId="32" fillId="34" borderId="412">
      <alignment horizontal="right" vertical="center"/>
    </xf>
    <xf numFmtId="4" fontId="32" fillId="34" borderId="410">
      <alignment horizontal="right" vertical="center"/>
    </xf>
    <xf numFmtId="4" fontId="34" fillId="0" borderId="410">
      <alignment horizontal="right" vertical="center"/>
    </xf>
    <xf numFmtId="0" fontId="32" fillId="32" borderId="410">
      <alignment horizontal="right" vertical="center"/>
    </xf>
    <xf numFmtId="0" fontId="32" fillId="34" borderId="418">
      <alignment horizontal="right" vertical="center"/>
    </xf>
    <xf numFmtId="4" fontId="34" fillId="33" borderId="410"/>
    <xf numFmtId="0" fontId="45" fillId="56" borderId="415" applyNumberFormat="0" applyAlignment="0" applyProtection="0"/>
    <xf numFmtId="0" fontId="29" fillId="13" borderId="13" applyNumberFormat="0" applyAlignment="0" applyProtection="0"/>
    <xf numFmtId="0" fontId="26" fillId="30" borderId="0" applyNumberFormat="0" applyBorder="0" applyAlignment="0" applyProtection="0"/>
    <xf numFmtId="0" fontId="12" fillId="16" borderId="0" applyNumberFormat="0" applyBorder="0" applyAlignment="0" applyProtection="0"/>
    <xf numFmtId="0" fontId="5" fillId="59" borderId="409" applyNumberFormat="0" applyFont="0" applyAlignment="0" applyProtection="0"/>
    <xf numFmtId="0" fontId="49" fillId="43" borderId="423" applyNumberFormat="0" applyAlignment="0" applyProtection="0"/>
    <xf numFmtId="0" fontId="12" fillId="16" borderId="0" applyNumberFormat="0" applyBorder="0" applyAlignment="0" applyProtection="0"/>
    <xf numFmtId="0" fontId="62" fillId="56" borderId="425" applyNumberFormat="0" applyAlignment="0" applyProtection="0"/>
    <xf numFmtId="0" fontId="32" fillId="32" borderId="410">
      <alignment horizontal="right" vertical="center"/>
    </xf>
    <xf numFmtId="49" fontId="34" fillId="0" borderId="418" applyNumberFormat="0" applyFont="0" applyFill="0" applyBorder="0" applyProtection="0">
      <alignment horizontal="left" vertical="center" indent="2"/>
    </xf>
    <xf numFmtId="4" fontId="34" fillId="33" borderId="410"/>
    <xf numFmtId="0" fontId="34" fillId="33" borderId="418"/>
    <xf numFmtId="4" fontId="32" fillId="34" borderId="419">
      <alignment horizontal="right" vertical="center"/>
    </xf>
    <xf numFmtId="0" fontId="58" fillId="43" borderId="423" applyNumberFormat="0" applyAlignment="0" applyProtection="0"/>
    <xf numFmtId="0" fontId="65" fillId="0" borderId="424" applyNumberFormat="0" applyFill="0" applyAlignment="0" applyProtection="0"/>
    <xf numFmtId="4" fontId="34" fillId="0" borderId="410">
      <alignment horizontal="right" vertical="center"/>
    </xf>
    <xf numFmtId="0" fontId="26" fillId="24" borderId="0" applyNumberFormat="0" applyBorder="0" applyAlignment="0" applyProtection="0"/>
    <xf numFmtId="0" fontId="49" fillId="43" borderId="415" applyNumberFormat="0" applyAlignment="0" applyProtection="0"/>
    <xf numFmtId="4" fontId="36" fillId="32" borderId="418">
      <alignment horizontal="right" vertical="center"/>
    </xf>
    <xf numFmtId="4" fontId="32" fillId="34" borderId="411">
      <alignment horizontal="right" vertical="center"/>
    </xf>
    <xf numFmtId="0" fontId="12" fillId="28" borderId="0" applyNumberFormat="0" applyBorder="0" applyAlignment="0" applyProtection="0"/>
    <xf numFmtId="0" fontId="62" fillId="56" borderId="414" applyNumberFormat="0" applyAlignment="0" applyProtection="0"/>
    <xf numFmtId="0" fontId="46" fillId="56" borderId="426" applyNumberFormat="0" applyAlignment="0" applyProtection="0"/>
    <xf numFmtId="0" fontId="12" fillId="16" borderId="0" applyNumberFormat="0" applyBorder="0" applyAlignment="0" applyProtection="0"/>
    <xf numFmtId="173" fontId="34" fillId="60" borderId="410" applyNumberFormat="0" applyFont="0" applyBorder="0" applyAlignment="0" applyProtection="0">
      <alignment horizontal="right" vertical="center"/>
    </xf>
    <xf numFmtId="0" fontId="34" fillId="0" borderId="413">
      <alignment horizontal="left" vertical="center" wrapText="1" indent="2"/>
    </xf>
    <xf numFmtId="0" fontId="32" fillId="34" borderId="418">
      <alignment horizontal="right" vertical="center"/>
    </xf>
    <xf numFmtId="0" fontId="32" fillId="34" borderId="412">
      <alignment horizontal="right" vertical="center"/>
    </xf>
    <xf numFmtId="0" fontId="46" fillId="56" borderId="423" applyNumberFormat="0" applyAlignment="0" applyProtection="0"/>
    <xf numFmtId="0" fontId="36" fillId="32" borderId="410">
      <alignment horizontal="right" vertical="center"/>
    </xf>
    <xf numFmtId="0" fontId="32" fillId="34" borderId="420">
      <alignment horizontal="right" vertical="center"/>
    </xf>
    <xf numFmtId="4" fontId="32" fillId="34" borderId="411">
      <alignment horizontal="right" vertical="center"/>
    </xf>
    <xf numFmtId="0" fontId="45" fillId="56" borderId="423" applyNumberFormat="0" applyAlignment="0" applyProtection="0"/>
    <xf numFmtId="4" fontId="36" fillId="32" borderId="410">
      <alignment horizontal="right" vertical="center"/>
    </xf>
    <xf numFmtId="0" fontId="32" fillId="32" borderId="410">
      <alignment horizontal="right" vertical="center"/>
    </xf>
    <xf numFmtId="0" fontId="12" fillId="28" borderId="0" applyNumberFormat="0" applyBorder="0" applyAlignment="0" applyProtection="0"/>
    <xf numFmtId="0" fontId="65" fillId="0" borderId="416" applyNumberFormat="0" applyFill="0" applyAlignment="0" applyProtection="0"/>
    <xf numFmtId="0" fontId="62" fillId="56" borderId="422" applyNumberFormat="0" applyAlignment="0" applyProtection="0"/>
    <xf numFmtId="0" fontId="2" fillId="0" borderId="15" applyNumberFormat="0" applyFill="0" applyAlignment="0" applyProtection="0"/>
    <xf numFmtId="0" fontId="32" fillId="32" borderId="410">
      <alignment horizontal="right" vertical="center"/>
    </xf>
    <xf numFmtId="0" fontId="58" fillId="43" borderId="415" applyNumberFormat="0" applyAlignment="0" applyProtection="0"/>
    <xf numFmtId="4" fontId="36" fillId="32" borderId="410">
      <alignment horizontal="right" vertical="center"/>
    </xf>
    <xf numFmtId="0" fontId="45" fillId="56" borderId="423" applyNumberFormat="0" applyAlignment="0" applyProtection="0"/>
    <xf numFmtId="0" fontId="32" fillId="34" borderId="419">
      <alignment horizontal="right" vertical="center"/>
    </xf>
    <xf numFmtId="0" fontId="34" fillId="0" borderId="421">
      <alignment horizontal="left" vertical="center" wrapText="1" indent="2"/>
    </xf>
    <xf numFmtId="4" fontId="32" fillId="34" borderId="418">
      <alignment horizontal="right" vertical="center"/>
    </xf>
    <xf numFmtId="0" fontId="12" fillId="25" borderId="0" applyNumberFormat="0" applyBorder="0" applyAlignment="0" applyProtection="0"/>
    <xf numFmtId="4" fontId="32" fillId="34" borderId="418">
      <alignment horizontal="right" vertical="center"/>
    </xf>
    <xf numFmtId="4" fontId="34" fillId="0" borderId="410">
      <alignment horizontal="right" vertical="center"/>
    </xf>
    <xf numFmtId="0" fontId="5" fillId="59" borderId="417" applyNumberFormat="0" applyFont="0" applyAlignment="0" applyProtection="0"/>
    <xf numFmtId="0" fontId="34" fillId="33" borderId="410"/>
    <xf numFmtId="0" fontId="58" fillId="43" borderId="423" applyNumberFormat="0" applyAlignment="0" applyProtection="0"/>
    <xf numFmtId="0" fontId="46" fillId="56" borderId="423" applyNumberFormat="0" applyAlignment="0" applyProtection="0"/>
    <xf numFmtId="0" fontId="34" fillId="33" borderId="410"/>
    <xf numFmtId="0" fontId="65" fillId="0" borderId="424" applyNumberFormat="0" applyFill="0" applyAlignment="0" applyProtection="0"/>
    <xf numFmtId="0" fontId="45" fillId="56" borderId="415" applyNumberFormat="0" applyAlignment="0" applyProtection="0"/>
    <xf numFmtId="0" fontId="26" fillId="24" borderId="0" applyNumberFormat="0" applyBorder="0" applyAlignment="0" applyProtection="0"/>
    <xf numFmtId="0" fontId="12" fillId="28" borderId="0" applyNumberFormat="0" applyBorder="0" applyAlignment="0" applyProtection="0"/>
    <xf numFmtId="0" fontId="34" fillId="0" borderId="421">
      <alignment horizontal="left" vertical="center" wrapText="1" indent="2"/>
    </xf>
    <xf numFmtId="0" fontId="34" fillId="33" borderId="418"/>
    <xf numFmtId="4" fontId="32" fillId="34" borderId="412">
      <alignment horizontal="right" vertical="center"/>
    </xf>
    <xf numFmtId="4" fontId="34" fillId="33" borderId="410"/>
    <xf numFmtId="173" fontId="34" fillId="60" borderId="429" applyNumberFormat="0" applyFont="0" applyBorder="0" applyAlignment="0" applyProtection="0">
      <alignment horizontal="right" vertical="center"/>
    </xf>
    <xf numFmtId="49" fontId="33" fillId="0" borderId="418" applyNumberFormat="0" applyFill="0" applyBorder="0" applyProtection="0">
      <alignment horizontal="left" vertical="center"/>
    </xf>
    <xf numFmtId="0" fontId="5" fillId="59" borderId="409" applyNumberFormat="0" applyFont="0" applyAlignment="0" applyProtection="0"/>
    <xf numFmtId="0" fontId="32" fillId="34" borderId="418">
      <alignment horizontal="right" vertical="center"/>
    </xf>
    <xf numFmtId="0" fontId="34" fillId="0" borderId="421">
      <alignment horizontal="left" vertical="center" wrapText="1" indent="2"/>
    </xf>
    <xf numFmtId="0" fontId="26" fillId="20" borderId="0" applyNumberFormat="0" applyBorder="0" applyAlignment="0" applyProtection="0"/>
    <xf numFmtId="0" fontId="1" fillId="0" borderId="0" applyNumberFormat="0" applyFill="0" applyBorder="0" applyAlignment="0" applyProtection="0"/>
    <xf numFmtId="0" fontId="46" fillId="56" borderId="415" applyNumberFormat="0" applyAlignment="0" applyProtection="0"/>
    <xf numFmtId="0" fontId="30" fillId="0" borderId="0" applyNumberFormat="0" applyFill="0" applyBorder="0" applyAlignment="0" applyProtection="0"/>
    <xf numFmtId="4" fontId="32" fillId="34" borderId="411">
      <alignment horizontal="right" vertical="center"/>
    </xf>
    <xf numFmtId="0" fontId="40" fillId="59" borderId="409" applyNumberFormat="0" applyFont="0" applyAlignment="0" applyProtection="0"/>
    <xf numFmtId="0" fontId="32" fillId="32" borderId="410">
      <alignment horizontal="right" vertical="center"/>
    </xf>
    <xf numFmtId="0" fontId="45" fillId="56" borderId="423" applyNumberFormat="0" applyAlignment="0" applyProtection="0"/>
    <xf numFmtId="0" fontId="32" fillId="32" borderId="418">
      <alignment horizontal="right" vertical="center"/>
    </xf>
    <xf numFmtId="0" fontId="34" fillId="34" borderId="421">
      <alignment horizontal="left" vertical="center" wrapText="1" indent="2"/>
    </xf>
    <xf numFmtId="49" fontId="34" fillId="0" borderId="411" applyNumberFormat="0" applyFont="0" applyFill="0" applyBorder="0" applyProtection="0">
      <alignment horizontal="left" vertical="center" indent="5"/>
    </xf>
    <xf numFmtId="4" fontId="32" fillId="34" borderId="411">
      <alignment horizontal="right" vertical="center"/>
    </xf>
    <xf numFmtId="0" fontId="46" fillId="56" borderId="415" applyNumberFormat="0" applyAlignment="0" applyProtection="0"/>
    <xf numFmtId="0" fontId="34" fillId="0" borderId="421">
      <alignment horizontal="left" vertical="center" wrapText="1" indent="2"/>
    </xf>
    <xf numFmtId="0" fontId="49" fillId="43" borderId="415" applyNumberFormat="0" applyAlignment="0" applyProtection="0"/>
    <xf numFmtId="0" fontId="43" fillId="56" borderId="422" applyNumberFormat="0" applyAlignment="0" applyProtection="0"/>
    <xf numFmtId="0" fontId="40" fillId="59" borderId="417" applyNumberFormat="0" applyFont="0" applyAlignment="0" applyProtection="0"/>
    <xf numFmtId="0" fontId="34" fillId="0" borderId="413">
      <alignment horizontal="left" vertical="center" wrapText="1" indent="2"/>
    </xf>
    <xf numFmtId="0" fontId="34" fillId="34" borderId="413">
      <alignment horizontal="left" vertical="center" wrapText="1" indent="2"/>
    </xf>
    <xf numFmtId="0" fontId="40" fillId="59" borderId="409" applyNumberFormat="0" applyFont="0" applyAlignment="0" applyProtection="0"/>
    <xf numFmtId="4" fontId="34" fillId="0" borderId="418">
      <alignment horizontal="right" vertical="center"/>
    </xf>
    <xf numFmtId="0" fontId="32" fillId="34" borderId="410">
      <alignment horizontal="right" vertical="center"/>
    </xf>
    <xf numFmtId="0" fontId="2" fillId="0" borderId="15" applyNumberFormat="0" applyFill="0" applyAlignment="0" applyProtection="0"/>
    <xf numFmtId="0" fontId="26" fillId="21" borderId="0" applyNumberFormat="0" applyBorder="0" applyAlignment="0" applyProtection="0"/>
    <xf numFmtId="0" fontId="26" fillId="29" borderId="0" applyNumberFormat="0" applyBorder="0" applyAlignment="0" applyProtection="0"/>
    <xf numFmtId="0" fontId="46" fillId="56" borderId="415" applyNumberFormat="0" applyAlignment="0" applyProtection="0"/>
    <xf numFmtId="4" fontId="32" fillId="34" borderId="410">
      <alignment horizontal="right" vertical="center"/>
    </xf>
    <xf numFmtId="0" fontId="26" fillId="15" borderId="0" applyNumberFormat="0" applyBorder="0" applyAlignment="0" applyProtection="0"/>
    <xf numFmtId="0" fontId="2" fillId="0" borderId="15" applyNumberFormat="0" applyFill="0" applyAlignment="0" applyProtection="0"/>
    <xf numFmtId="0" fontId="5" fillId="59" borderId="409" applyNumberFormat="0" applyFont="0" applyAlignment="0" applyProtection="0"/>
    <xf numFmtId="0" fontId="40" fillId="59" borderId="417" applyNumberFormat="0" applyFont="0" applyAlignment="0" applyProtection="0"/>
    <xf numFmtId="4" fontId="36" fillId="32" borderId="418">
      <alignment horizontal="right" vertical="center"/>
    </xf>
    <xf numFmtId="0" fontId="32" fillId="34" borderId="410">
      <alignment horizontal="right" vertical="center"/>
    </xf>
    <xf numFmtId="0" fontId="36" fillId="32" borderId="410">
      <alignment horizontal="right" vertical="center"/>
    </xf>
    <xf numFmtId="0" fontId="12" fillId="31" borderId="0" applyNumberFormat="0" applyBorder="0" applyAlignment="0" applyProtection="0"/>
    <xf numFmtId="0" fontId="26" fillId="26" borderId="0" applyNumberFormat="0" applyBorder="0" applyAlignment="0" applyProtection="0"/>
    <xf numFmtId="0" fontId="36" fillId="32" borderId="410">
      <alignment horizontal="right" vertical="center"/>
    </xf>
    <xf numFmtId="4" fontId="32" fillId="34" borderId="410">
      <alignment horizontal="right" vertical="center"/>
    </xf>
    <xf numFmtId="0" fontId="40" fillId="59" borderId="409" applyNumberFormat="0" applyFont="0" applyAlignment="0" applyProtection="0"/>
    <xf numFmtId="0" fontId="26" fillId="23" borderId="0" applyNumberFormat="0" applyBorder="0" applyAlignment="0" applyProtection="0"/>
    <xf numFmtId="0" fontId="34" fillId="34" borderId="421">
      <alignment horizontal="left" vertical="center" wrapText="1" indent="2"/>
    </xf>
    <xf numFmtId="0" fontId="12" fillId="25" borderId="0" applyNumberFormat="0" applyBorder="0" applyAlignment="0" applyProtection="0"/>
    <xf numFmtId="0" fontId="32" fillId="34" borderId="410">
      <alignment horizontal="right" vertical="center"/>
    </xf>
    <xf numFmtId="0" fontId="43" fillId="56" borderId="414" applyNumberFormat="0" applyAlignment="0" applyProtection="0"/>
    <xf numFmtId="0" fontId="40" fillId="59" borderId="409" applyNumberFormat="0" applyFont="0" applyAlignment="0" applyProtection="0"/>
    <xf numFmtId="0" fontId="45" fillId="56" borderId="415" applyNumberFormat="0" applyAlignment="0" applyProtection="0"/>
    <xf numFmtId="0" fontId="34" fillId="34" borderId="413">
      <alignment horizontal="left" vertical="center" wrapText="1" indent="2"/>
    </xf>
    <xf numFmtId="173" fontId="34" fillId="60" borderId="418" applyNumberFormat="0" applyFont="0" applyBorder="0" applyAlignment="0" applyProtection="0">
      <alignment horizontal="right" vertical="center"/>
    </xf>
    <xf numFmtId="49" fontId="34" fillId="0" borderId="410" applyNumberFormat="0" applyFont="0" applyFill="0" applyBorder="0" applyProtection="0">
      <alignment horizontal="left" vertical="center" indent="2"/>
    </xf>
    <xf numFmtId="0" fontId="40" fillId="59" borderId="409" applyNumberFormat="0" applyFont="0" applyAlignment="0" applyProtection="0"/>
    <xf numFmtId="0" fontId="62" fillId="56" borderId="414" applyNumberFormat="0" applyAlignment="0" applyProtection="0"/>
    <xf numFmtId="0" fontId="26" fillId="30" borderId="0" applyNumberFormat="0" applyBorder="0" applyAlignment="0" applyProtection="0"/>
    <xf numFmtId="4" fontId="36" fillId="32" borderId="410">
      <alignment horizontal="right" vertical="center"/>
    </xf>
    <xf numFmtId="173" fontId="34" fillId="60" borderId="418" applyNumberFormat="0" applyFont="0" applyBorder="0" applyAlignment="0" applyProtection="0">
      <alignment horizontal="right" vertical="center"/>
    </xf>
    <xf numFmtId="0" fontId="34" fillId="33" borderId="410"/>
    <xf numFmtId="0" fontId="12" fillId="22" borderId="0" applyNumberFormat="0" applyBorder="0" applyAlignment="0" applyProtection="0"/>
    <xf numFmtId="0" fontId="46" fillId="56" borderId="415" applyNumberFormat="0" applyAlignment="0" applyProtection="0"/>
    <xf numFmtId="0" fontId="58" fillId="43" borderId="415" applyNumberFormat="0" applyAlignment="0" applyProtection="0"/>
    <xf numFmtId="0" fontId="34" fillId="34" borderId="421">
      <alignment horizontal="left" vertical="center" wrapText="1" indent="2"/>
    </xf>
    <xf numFmtId="0" fontId="58" fillId="43" borderId="415" applyNumberFormat="0" applyAlignment="0" applyProtection="0"/>
    <xf numFmtId="0" fontId="5" fillId="59" borderId="409" applyNumberFormat="0" applyFont="0" applyAlignment="0" applyProtection="0"/>
    <xf numFmtId="0" fontId="58" fillId="43" borderId="415" applyNumberFormat="0" applyAlignment="0" applyProtection="0"/>
    <xf numFmtId="0" fontId="65" fillId="0" borderId="416" applyNumberFormat="0" applyFill="0" applyAlignment="0" applyProtection="0"/>
    <xf numFmtId="0" fontId="58" fillId="43" borderId="423" applyNumberFormat="0" applyAlignment="0" applyProtection="0"/>
    <xf numFmtId="4" fontId="32" fillId="34" borderId="418">
      <alignment horizontal="right" vertical="center"/>
    </xf>
    <xf numFmtId="173" fontId="34" fillId="60" borderId="410" applyNumberFormat="0" applyFont="0" applyBorder="0" applyAlignment="0" applyProtection="0">
      <alignment horizontal="right" vertical="center"/>
    </xf>
    <xf numFmtId="0" fontId="26" fillId="23" borderId="0" applyNumberFormat="0" applyBorder="0" applyAlignment="0" applyProtection="0"/>
    <xf numFmtId="0" fontId="34" fillId="32" borderId="411">
      <alignment horizontal="left" vertical="center"/>
    </xf>
    <xf numFmtId="4" fontId="34" fillId="0" borderId="410" applyFill="0" applyBorder="0" applyProtection="0">
      <alignment horizontal="right" vertical="center"/>
    </xf>
    <xf numFmtId="173" fontId="34" fillId="60" borderId="410" applyNumberFormat="0" applyFont="0" applyBorder="0" applyAlignment="0" applyProtection="0">
      <alignment horizontal="right" vertical="center"/>
    </xf>
    <xf numFmtId="0" fontId="43" fillId="56" borderId="414" applyNumberFormat="0" applyAlignment="0" applyProtection="0"/>
    <xf numFmtId="0" fontId="62" fillId="56" borderId="414" applyNumberFormat="0" applyAlignment="0" applyProtection="0"/>
    <xf numFmtId="0" fontId="26" fillId="17" borderId="0" applyNumberFormat="0" applyBorder="0" applyAlignment="0" applyProtection="0"/>
    <xf numFmtId="4" fontId="34" fillId="0" borderId="410">
      <alignment horizontal="right" vertical="center"/>
    </xf>
    <xf numFmtId="0" fontId="45" fillId="56" borderId="423" applyNumberFormat="0" applyAlignment="0" applyProtection="0"/>
    <xf numFmtId="0" fontId="34" fillId="32" borderId="411">
      <alignment horizontal="left" vertical="center"/>
    </xf>
    <xf numFmtId="0" fontId="12" fillId="31" borderId="0" applyNumberFormat="0" applyBorder="0" applyAlignment="0" applyProtection="0"/>
    <xf numFmtId="0" fontId="12" fillId="22" borderId="0" applyNumberFormat="0" applyBorder="0" applyAlignment="0" applyProtection="0"/>
    <xf numFmtId="0" fontId="34" fillId="34" borderId="421">
      <alignment horizontal="left" vertical="center" wrapText="1" indent="2"/>
    </xf>
    <xf numFmtId="0" fontId="26" fillId="14" borderId="0" applyNumberFormat="0" applyBorder="0" applyAlignment="0" applyProtection="0"/>
    <xf numFmtId="4" fontId="32" fillId="34" borderId="410">
      <alignment horizontal="right" vertical="center"/>
    </xf>
    <xf numFmtId="4" fontId="32" fillId="32" borderId="418">
      <alignment horizontal="right" vertical="center"/>
    </xf>
    <xf numFmtId="4" fontId="32" fillId="34" borderId="410">
      <alignment horizontal="right" vertical="center"/>
    </xf>
    <xf numFmtId="0" fontId="34" fillId="34" borderId="432">
      <alignment horizontal="left" vertical="center" wrapText="1" indent="2"/>
    </xf>
    <xf numFmtId="0" fontId="50" fillId="0" borderId="416" applyNumberFormat="0" applyFill="0" applyAlignment="0" applyProtection="0"/>
    <xf numFmtId="0" fontId="65" fillId="0" borderId="416" applyNumberFormat="0" applyFill="0" applyAlignment="0" applyProtection="0"/>
    <xf numFmtId="0" fontId="43" fillId="56" borderId="414" applyNumberFormat="0" applyAlignment="0" applyProtection="0"/>
    <xf numFmtId="0" fontId="49" fillId="43" borderId="415" applyNumberFormat="0" applyAlignment="0" applyProtection="0"/>
    <xf numFmtId="0" fontId="12" fillId="19" borderId="0" applyNumberFormat="0" applyBorder="0" applyAlignment="0" applyProtection="0"/>
    <xf numFmtId="49" fontId="33" fillId="0" borderId="410" applyNumberFormat="0" applyFill="0" applyBorder="0" applyProtection="0">
      <alignment horizontal="left" vertical="center"/>
    </xf>
    <xf numFmtId="4" fontId="32" fillId="34" borderId="411">
      <alignment horizontal="right" vertical="center"/>
    </xf>
    <xf numFmtId="0" fontId="26" fillId="17" borderId="0" applyNumberFormat="0" applyBorder="0" applyAlignment="0" applyProtection="0"/>
    <xf numFmtId="0" fontId="34" fillId="32" borderId="419">
      <alignment horizontal="left" vertical="center"/>
    </xf>
    <xf numFmtId="0" fontId="49" fillId="43" borderId="415" applyNumberFormat="0" applyAlignment="0" applyProtection="0"/>
    <xf numFmtId="0" fontId="50" fillId="0" borderId="424" applyNumberFormat="0" applyFill="0" applyAlignment="0" applyProtection="0"/>
    <xf numFmtId="0" fontId="36" fillId="32" borderId="410">
      <alignment horizontal="right" vertical="center"/>
    </xf>
    <xf numFmtId="0" fontId="5" fillId="59" borderId="409" applyNumberFormat="0" applyFont="0" applyAlignment="0" applyProtection="0"/>
    <xf numFmtId="0" fontId="32" fillId="34" borderId="418">
      <alignment horizontal="right" vertical="center"/>
    </xf>
    <xf numFmtId="0" fontId="65" fillId="0" borderId="424" applyNumberFormat="0" applyFill="0" applyAlignment="0" applyProtection="0"/>
    <xf numFmtId="49" fontId="33" fillId="0" borderId="418" applyNumberFormat="0" applyFill="0" applyBorder="0" applyProtection="0">
      <alignment horizontal="left" vertical="center"/>
    </xf>
    <xf numFmtId="0" fontId="36" fillId="32" borderId="410">
      <alignment horizontal="right" vertical="center"/>
    </xf>
    <xf numFmtId="0" fontId="50" fillId="0" borderId="424" applyNumberFormat="0" applyFill="0" applyAlignment="0" applyProtection="0"/>
    <xf numFmtId="0" fontId="28" fillId="13" borderId="14" applyNumberFormat="0" applyAlignment="0" applyProtection="0"/>
    <xf numFmtId="4" fontId="32" fillId="34" borderId="419">
      <alignment horizontal="right" vertical="center"/>
    </xf>
    <xf numFmtId="0" fontId="65" fillId="0" borderId="416" applyNumberFormat="0" applyFill="0" applyAlignment="0" applyProtection="0"/>
    <xf numFmtId="0" fontId="62" fillId="56" borderId="422" applyNumberFormat="0" applyAlignment="0" applyProtection="0"/>
    <xf numFmtId="0" fontId="12" fillId="16" borderId="0" applyNumberFormat="0" applyBorder="0" applyAlignment="0" applyProtection="0"/>
    <xf numFmtId="0" fontId="34" fillId="0" borderId="410">
      <alignment horizontal="right" vertical="center"/>
    </xf>
    <xf numFmtId="0" fontId="34" fillId="0" borderId="421">
      <alignment horizontal="left" vertical="center" wrapText="1" indent="2"/>
    </xf>
    <xf numFmtId="0" fontId="26" fillId="26" borderId="0" applyNumberFormat="0" applyBorder="0" applyAlignment="0" applyProtection="0"/>
    <xf numFmtId="0" fontId="49" fillId="43" borderId="415" applyNumberFormat="0" applyAlignment="0" applyProtection="0"/>
    <xf numFmtId="0" fontId="46" fillId="56" borderId="426" applyNumberFormat="0" applyAlignment="0" applyProtection="0"/>
    <xf numFmtId="0" fontId="34" fillId="0" borderId="410">
      <alignment horizontal="right" vertical="center"/>
    </xf>
    <xf numFmtId="0" fontId="45" fillId="56" borderId="415" applyNumberFormat="0" applyAlignment="0" applyProtection="0"/>
    <xf numFmtId="0" fontId="46" fillId="56" borderId="423" applyNumberFormat="0" applyAlignment="0" applyProtection="0"/>
    <xf numFmtId="0" fontId="30" fillId="0" borderId="0" applyNumberFormat="0" applyFill="0" applyBorder="0" applyAlignment="0" applyProtection="0"/>
    <xf numFmtId="4" fontId="32" fillId="32" borderId="410">
      <alignment horizontal="right" vertical="center"/>
    </xf>
    <xf numFmtId="0" fontId="32" fillId="34" borderId="411">
      <alignment horizontal="right" vertical="center"/>
    </xf>
    <xf numFmtId="0" fontId="46" fillId="56" borderId="415" applyNumberFormat="0" applyAlignment="0" applyProtection="0"/>
    <xf numFmtId="0" fontId="32" fillId="34" borderId="412">
      <alignment horizontal="right" vertical="center"/>
    </xf>
    <xf numFmtId="0" fontId="32" fillId="34" borderId="418">
      <alignment horizontal="right" vertical="center"/>
    </xf>
    <xf numFmtId="4" fontId="34" fillId="0" borderId="418">
      <alignment horizontal="right" vertical="center"/>
    </xf>
    <xf numFmtId="0" fontId="49" fillId="43" borderId="423" applyNumberFormat="0" applyAlignment="0" applyProtection="0"/>
    <xf numFmtId="0" fontId="29" fillId="13" borderId="13" applyNumberFormat="0" applyAlignment="0" applyProtection="0"/>
    <xf numFmtId="0" fontId="34" fillId="34" borderId="413">
      <alignment horizontal="left" vertical="center" wrapText="1" indent="2"/>
    </xf>
    <xf numFmtId="0" fontId="26" fillId="27" borderId="0" applyNumberFormat="0" applyBorder="0" applyAlignment="0" applyProtection="0"/>
    <xf numFmtId="4" fontId="34" fillId="0" borderId="418" applyFill="0" applyBorder="0" applyProtection="0">
      <alignment horizontal="right" vertical="center"/>
    </xf>
    <xf numFmtId="0" fontId="49" fillId="43" borderId="423" applyNumberFormat="0" applyAlignment="0" applyProtection="0"/>
    <xf numFmtId="0" fontId="26" fillId="15" borderId="0" applyNumberFormat="0" applyBorder="0" applyAlignment="0" applyProtection="0"/>
    <xf numFmtId="4" fontId="34" fillId="0" borderId="410">
      <alignment horizontal="right" vertical="center"/>
    </xf>
    <xf numFmtId="0" fontId="46" fillId="56" borderId="423" applyNumberFormat="0" applyAlignment="0" applyProtection="0"/>
    <xf numFmtId="0" fontId="34" fillId="0" borderId="410">
      <alignment horizontal="right" vertical="center"/>
    </xf>
    <xf numFmtId="0" fontId="34" fillId="32" borderId="419">
      <alignment horizontal="left" vertical="center"/>
    </xf>
    <xf numFmtId="4" fontId="32" fillId="34" borderId="418">
      <alignment horizontal="right" vertical="center"/>
    </xf>
    <xf numFmtId="4" fontId="32" fillId="34" borderId="418">
      <alignment horizontal="right" vertical="center"/>
    </xf>
    <xf numFmtId="49" fontId="34" fillId="0" borderId="411" applyNumberFormat="0" applyFont="0" applyFill="0" applyBorder="0" applyProtection="0">
      <alignment horizontal="left" vertical="center" indent="5"/>
    </xf>
    <xf numFmtId="4" fontId="32" fillId="34" borderId="419">
      <alignment horizontal="right" vertical="center"/>
    </xf>
    <xf numFmtId="0" fontId="26" fillId="14" borderId="0" applyNumberFormat="0" applyBorder="0" applyAlignment="0" applyProtection="0"/>
    <xf numFmtId="0" fontId="34" fillId="32" borderId="411">
      <alignment horizontal="left" vertical="center"/>
    </xf>
    <xf numFmtId="0" fontId="34" fillId="0" borderId="413">
      <alignment horizontal="left" vertical="center" wrapText="1" indent="2"/>
    </xf>
    <xf numFmtId="49" fontId="33" fillId="0" borderId="418" applyNumberFormat="0" applyFill="0" applyBorder="0" applyProtection="0">
      <alignment horizontal="left" vertical="center"/>
    </xf>
    <xf numFmtId="0" fontId="62" fillId="56" borderId="422" applyNumberFormat="0" applyAlignment="0" applyProtection="0"/>
    <xf numFmtId="0" fontId="30" fillId="0" borderId="0" applyNumberFormat="0" applyFill="0" applyBorder="0" applyAlignment="0" applyProtection="0"/>
    <xf numFmtId="0" fontId="46" fillId="56" borderId="423" applyNumberFormat="0" applyAlignment="0" applyProtection="0"/>
    <xf numFmtId="0" fontId="43" fillId="56" borderId="422" applyNumberFormat="0" applyAlignment="0" applyProtection="0"/>
    <xf numFmtId="0" fontId="43" fillId="56" borderId="422" applyNumberFormat="0" applyAlignment="0" applyProtection="0"/>
    <xf numFmtId="0" fontId="62" fillId="56" borderId="422" applyNumberFormat="0" applyAlignment="0" applyProtection="0"/>
    <xf numFmtId="4" fontId="32" fillId="32" borderId="429">
      <alignment horizontal="right" vertical="center"/>
    </xf>
    <xf numFmtId="0" fontId="32" fillId="32" borderId="410">
      <alignment horizontal="right" vertical="center"/>
    </xf>
    <xf numFmtId="0" fontId="50" fillId="0" borderId="416" applyNumberFormat="0" applyFill="0" applyAlignment="0" applyProtection="0"/>
    <xf numFmtId="0" fontId="34" fillId="0" borderId="410" applyNumberFormat="0" applyFill="0" applyAlignment="0" applyProtection="0"/>
    <xf numFmtId="0" fontId="50" fillId="0" borderId="416" applyNumberFormat="0" applyFill="0" applyAlignment="0" applyProtection="0"/>
    <xf numFmtId="4" fontId="34" fillId="0" borderId="410" applyFill="0" applyBorder="0" applyProtection="0">
      <alignment horizontal="right" vertical="center"/>
    </xf>
    <xf numFmtId="49" fontId="34" fillId="0" borderId="411" applyNumberFormat="0" applyFont="0" applyFill="0" applyBorder="0" applyProtection="0">
      <alignment horizontal="left" vertical="center" indent="5"/>
    </xf>
    <xf numFmtId="0" fontId="34" fillId="0" borderId="410" applyNumberFormat="0" applyFill="0" applyAlignment="0" applyProtection="0"/>
    <xf numFmtId="0" fontId="32" fillId="34" borderId="419">
      <alignment horizontal="right" vertical="center"/>
    </xf>
    <xf numFmtId="0" fontId="34" fillId="0" borderId="410" applyNumberFormat="0" applyFill="0" applyAlignment="0" applyProtection="0"/>
    <xf numFmtId="0" fontId="58" fillId="43" borderId="423" applyNumberFormat="0" applyAlignment="0" applyProtection="0"/>
    <xf numFmtId="4" fontId="32" fillId="34" borderId="410">
      <alignment horizontal="right" vertical="center"/>
    </xf>
    <xf numFmtId="0" fontId="26" fillId="24" borderId="0" applyNumberFormat="0" applyBorder="0" applyAlignment="0" applyProtection="0"/>
    <xf numFmtId="0" fontId="12" fillId="22" borderId="0" applyNumberFormat="0" applyBorder="0" applyAlignment="0" applyProtection="0"/>
    <xf numFmtId="0" fontId="49" fillId="43" borderId="415" applyNumberFormat="0" applyAlignment="0" applyProtection="0"/>
    <xf numFmtId="0" fontId="46" fillId="56" borderId="415" applyNumberFormat="0" applyAlignment="0" applyProtection="0"/>
    <xf numFmtId="4" fontId="34" fillId="0" borderId="410">
      <alignment horizontal="right" vertical="center"/>
    </xf>
    <xf numFmtId="0" fontId="34" fillId="34" borderId="413">
      <alignment horizontal="left" vertical="center" wrapText="1" indent="2"/>
    </xf>
    <xf numFmtId="0" fontId="34" fillId="0" borderId="413">
      <alignment horizontal="left" vertical="center" wrapText="1" indent="2"/>
    </xf>
    <xf numFmtId="0" fontId="62" fillId="56" borderId="414" applyNumberFormat="0" applyAlignment="0" applyProtection="0"/>
    <xf numFmtId="0" fontId="58" fillId="43" borderId="415" applyNumberFormat="0" applyAlignment="0" applyProtection="0"/>
    <xf numFmtId="0" fontId="45" fillId="56" borderId="415" applyNumberFormat="0" applyAlignment="0" applyProtection="0"/>
    <xf numFmtId="0" fontId="43" fillId="56" borderId="414" applyNumberFormat="0" applyAlignment="0" applyProtection="0"/>
    <xf numFmtId="0" fontId="32" fillId="34" borderId="412">
      <alignment horizontal="right" vertical="center"/>
    </xf>
    <xf numFmtId="0" fontId="36" fillId="32" borderId="410">
      <alignment horizontal="right" vertical="center"/>
    </xf>
    <xf numFmtId="4" fontId="32" fillId="32" borderId="410">
      <alignment horizontal="right" vertical="center"/>
    </xf>
    <xf numFmtId="4" fontId="32" fillId="34" borderId="410">
      <alignment horizontal="right" vertical="center"/>
    </xf>
    <xf numFmtId="49" fontId="34" fillId="0" borderId="411" applyNumberFormat="0" applyFont="0" applyFill="0" applyBorder="0" applyProtection="0">
      <alignment horizontal="left" vertical="center" indent="5"/>
    </xf>
    <xf numFmtId="4" fontId="34" fillId="0" borderId="410" applyFill="0" applyBorder="0" applyProtection="0">
      <alignment horizontal="right" vertical="center"/>
    </xf>
    <xf numFmtId="4" fontId="32" fillId="32" borderId="410">
      <alignment horizontal="right" vertical="center"/>
    </xf>
    <xf numFmtId="0" fontId="58" fillId="43" borderId="415" applyNumberFormat="0" applyAlignment="0" applyProtection="0"/>
    <xf numFmtId="0" fontId="49" fillId="43" borderId="415" applyNumberFormat="0" applyAlignment="0" applyProtection="0"/>
    <xf numFmtId="0" fontId="45" fillId="56" borderId="415" applyNumberFormat="0" applyAlignment="0" applyProtection="0"/>
    <xf numFmtId="0" fontId="34" fillId="34" borderId="413">
      <alignment horizontal="left" vertical="center" wrapText="1" indent="2"/>
    </xf>
    <xf numFmtId="0" fontId="34" fillId="0" borderId="413">
      <alignment horizontal="left" vertical="center" wrapText="1" indent="2"/>
    </xf>
    <xf numFmtId="0" fontId="34" fillId="34" borderId="413">
      <alignment horizontal="left" vertical="center" wrapText="1" indent="2"/>
    </xf>
    <xf numFmtId="0" fontId="34" fillId="34" borderId="421">
      <alignment horizontal="left" vertical="center" wrapText="1" indent="2"/>
    </xf>
    <xf numFmtId="0" fontId="34" fillId="0" borderId="418">
      <alignment horizontal="right" vertical="center"/>
    </xf>
    <xf numFmtId="0" fontId="32" fillId="34" borderId="418">
      <alignment horizontal="right" vertical="center"/>
    </xf>
    <xf numFmtId="0" fontId="65" fillId="0" borderId="424" applyNumberFormat="0" applyFill="0" applyAlignment="0" applyProtection="0"/>
    <xf numFmtId="0" fontId="62" fillId="56" borderId="422" applyNumberFormat="0" applyAlignment="0" applyProtection="0"/>
    <xf numFmtId="0" fontId="49" fillId="43" borderId="423" applyNumberFormat="0" applyAlignment="0" applyProtection="0"/>
    <xf numFmtId="0" fontId="32" fillId="34" borderId="418">
      <alignment horizontal="right" vertical="center"/>
    </xf>
    <xf numFmtId="0" fontId="58" fillId="43" borderId="423" applyNumberFormat="0" applyAlignment="0" applyProtection="0"/>
    <xf numFmtId="4" fontId="32" fillId="32" borderId="418">
      <alignment horizontal="right" vertical="center"/>
    </xf>
    <xf numFmtId="4" fontId="34" fillId="0" borderId="418">
      <alignment horizontal="right" vertical="center"/>
    </xf>
    <xf numFmtId="0" fontId="32" fillId="34" borderId="418">
      <alignment horizontal="right" vertical="center"/>
    </xf>
    <xf numFmtId="4" fontId="36" fillId="32" borderId="418">
      <alignment horizontal="right" vertical="center"/>
    </xf>
    <xf numFmtId="49" fontId="34" fillId="0" borderId="418" applyNumberFormat="0" applyFont="0" applyFill="0" applyBorder="0" applyProtection="0">
      <alignment horizontal="left" vertical="center" indent="2"/>
    </xf>
    <xf numFmtId="173" fontId="34" fillId="60" borderId="418" applyNumberFormat="0" applyFont="0" applyBorder="0" applyAlignment="0" applyProtection="0">
      <alignment horizontal="right" vertical="center"/>
    </xf>
    <xf numFmtId="49" fontId="33" fillId="0" borderId="418" applyNumberFormat="0" applyFill="0" applyBorder="0" applyProtection="0">
      <alignment horizontal="left" vertical="center"/>
    </xf>
    <xf numFmtId="0" fontId="40" fillId="59" borderId="417" applyNumberFormat="0" applyFont="0" applyAlignment="0" applyProtection="0"/>
    <xf numFmtId="0" fontId="26" fillId="27" borderId="0" applyNumberFormat="0" applyBorder="0" applyAlignment="0" applyProtection="0"/>
    <xf numFmtId="0" fontId="26" fillId="15" borderId="0" applyNumberFormat="0" applyBorder="0" applyAlignment="0" applyProtection="0"/>
    <xf numFmtId="0" fontId="26" fillId="14" borderId="0" applyNumberFormat="0" applyBorder="0" applyAlignment="0" applyProtection="0"/>
    <xf numFmtId="0" fontId="26" fillId="18" borderId="0" applyNumberFormat="0" applyBorder="0" applyAlignment="0" applyProtection="0"/>
    <xf numFmtId="0" fontId="28" fillId="13" borderId="14" applyNumberFormat="0" applyAlignment="0" applyProtection="0"/>
    <xf numFmtId="49" fontId="33" fillId="0" borderId="429" applyNumberFormat="0" applyFill="0" applyBorder="0" applyProtection="0">
      <alignment horizontal="left" vertical="center"/>
    </xf>
    <xf numFmtId="0" fontId="58" fillId="43" borderId="426" applyNumberFormat="0" applyAlignment="0" applyProtection="0"/>
    <xf numFmtId="0" fontId="26" fillId="15" borderId="0" applyNumberFormat="0" applyBorder="0" applyAlignment="0" applyProtection="0"/>
    <xf numFmtId="0" fontId="32" fillId="32" borderId="418">
      <alignment horizontal="right" vertical="center"/>
    </xf>
    <xf numFmtId="4" fontId="34" fillId="33" borderId="429"/>
    <xf numFmtId="49" fontId="34" fillId="0" borderId="418" applyNumberFormat="0" applyFont="0" applyFill="0" applyBorder="0" applyProtection="0">
      <alignment horizontal="left" vertical="center" indent="2"/>
    </xf>
    <xf numFmtId="0" fontId="26" fillId="17" borderId="0" applyNumberFormat="0" applyBorder="0" applyAlignment="0" applyProtection="0"/>
    <xf numFmtId="0" fontId="36" fillId="32" borderId="418">
      <alignment horizontal="right" vertical="center"/>
    </xf>
    <xf numFmtId="0" fontId="12" fillId="25" borderId="0" applyNumberFormat="0" applyBorder="0" applyAlignment="0" applyProtection="0"/>
    <xf numFmtId="0" fontId="49" fillId="43" borderId="426" applyNumberFormat="0" applyAlignment="0" applyProtection="0"/>
    <xf numFmtId="0" fontId="58" fillId="43" borderId="423" applyNumberFormat="0" applyAlignment="0" applyProtection="0"/>
    <xf numFmtId="0" fontId="36" fillId="32" borderId="418">
      <alignment horizontal="right" vertical="center"/>
    </xf>
    <xf numFmtId="0" fontId="12" fillId="16" borderId="0" applyNumberFormat="0" applyBorder="0" applyAlignment="0" applyProtection="0"/>
    <xf numFmtId="4" fontId="34" fillId="0" borderId="418">
      <alignment horizontal="right" vertical="center"/>
    </xf>
    <xf numFmtId="0" fontId="26" fillId="17" borderId="0" applyNumberFormat="0" applyBorder="0" applyAlignment="0" applyProtection="0"/>
    <xf numFmtId="4" fontId="36" fillId="32" borderId="418">
      <alignment horizontal="right" vertical="center"/>
    </xf>
    <xf numFmtId="0" fontId="34" fillId="0" borderId="418">
      <alignment horizontal="right" vertical="center"/>
    </xf>
    <xf numFmtId="0" fontId="65" fillId="0" borderId="424" applyNumberFormat="0" applyFill="0" applyAlignment="0" applyProtection="0"/>
    <xf numFmtId="0" fontId="34" fillId="0" borderId="421">
      <alignment horizontal="left" vertical="center" wrapText="1" indent="2"/>
    </xf>
    <xf numFmtId="4" fontId="34" fillId="33" borderId="418"/>
    <xf numFmtId="0" fontId="34" fillId="0" borderId="418" applyNumberFormat="0" applyFill="0" applyAlignment="0" applyProtection="0"/>
    <xf numFmtId="0" fontId="34" fillId="0" borderId="432">
      <alignment horizontal="left" vertical="center" wrapText="1" indent="2"/>
    </xf>
    <xf numFmtId="0" fontId="12" fillId="28" borderId="0" applyNumberFormat="0" applyBorder="0" applyAlignment="0" applyProtection="0"/>
    <xf numFmtId="0" fontId="34" fillId="32" borderId="419">
      <alignment horizontal="left" vertical="center"/>
    </xf>
    <xf numFmtId="0" fontId="50" fillId="0" borderId="424" applyNumberFormat="0" applyFill="0" applyAlignment="0" applyProtection="0"/>
    <xf numFmtId="0" fontId="1" fillId="0" borderId="0" applyNumberFormat="0" applyFill="0" applyBorder="0" applyAlignment="0" applyProtection="0"/>
    <xf numFmtId="0" fontId="32" fillId="34" borderId="419">
      <alignment horizontal="right" vertical="center"/>
    </xf>
    <xf numFmtId="0" fontId="65" fillId="0" borderId="424" applyNumberFormat="0" applyFill="0" applyAlignment="0" applyProtection="0"/>
    <xf numFmtId="0" fontId="36" fillId="32" borderId="418">
      <alignment horizontal="right" vertical="center"/>
    </xf>
    <xf numFmtId="0" fontId="5" fillId="59" borderId="417" applyNumberFormat="0" applyFont="0" applyAlignment="0" applyProtection="0"/>
    <xf numFmtId="49" fontId="34" fillId="0" borderId="418" applyNumberFormat="0" applyFont="0" applyFill="0" applyBorder="0" applyProtection="0">
      <alignment horizontal="left" vertical="center" indent="2"/>
    </xf>
    <xf numFmtId="0" fontId="46" fillId="56" borderId="423" applyNumberFormat="0" applyAlignment="0" applyProtection="0"/>
    <xf numFmtId="0" fontId="5" fillId="59" borderId="417" applyNumberFormat="0" applyFont="0" applyAlignment="0" applyProtection="0"/>
    <xf numFmtId="0" fontId="36" fillId="32" borderId="418">
      <alignment horizontal="right" vertical="center"/>
    </xf>
    <xf numFmtId="0" fontId="5" fillId="59" borderId="417" applyNumberFormat="0" applyFont="0" applyAlignment="0" applyProtection="0"/>
    <xf numFmtId="0" fontId="46" fillId="56" borderId="423" applyNumberFormat="0" applyAlignment="0" applyProtection="0"/>
    <xf numFmtId="4" fontId="34" fillId="33" borderId="418"/>
    <xf numFmtId="0" fontId="32" fillId="34" borderId="418">
      <alignment horizontal="right" vertical="center"/>
    </xf>
    <xf numFmtId="4" fontId="34" fillId="0" borderId="418" applyFill="0" applyBorder="0" applyProtection="0">
      <alignment horizontal="right" vertical="center"/>
    </xf>
    <xf numFmtId="49" fontId="34" fillId="0" borderId="419" applyNumberFormat="0" applyFont="0" applyFill="0" applyBorder="0" applyProtection="0">
      <alignment horizontal="left" vertical="center" indent="5"/>
    </xf>
    <xf numFmtId="0" fontId="58" fillId="43" borderId="423" applyNumberFormat="0" applyAlignment="0" applyProtection="0"/>
    <xf numFmtId="0" fontId="12" fillId="22" borderId="0" applyNumberFormat="0" applyBorder="0" applyAlignment="0" applyProtection="0"/>
    <xf numFmtId="4" fontId="32" fillId="34" borderId="419">
      <alignment horizontal="right" vertical="center"/>
    </xf>
    <xf numFmtId="173" fontId="34" fillId="60" borderId="418" applyNumberFormat="0" applyFont="0" applyBorder="0" applyAlignment="0" applyProtection="0">
      <alignment horizontal="right" vertical="center"/>
    </xf>
    <xf numFmtId="4" fontId="36" fillId="32" borderId="418">
      <alignment horizontal="right" vertical="center"/>
    </xf>
    <xf numFmtId="0" fontId="34" fillId="0" borderId="418">
      <alignment horizontal="right" vertical="center"/>
    </xf>
    <xf numFmtId="0" fontId="26" fillId="27" borderId="0" applyNumberFormat="0" applyBorder="0" applyAlignment="0" applyProtection="0"/>
    <xf numFmtId="0" fontId="46" fillId="56" borderId="423" applyNumberFormat="0" applyAlignment="0" applyProtection="0"/>
    <xf numFmtId="0" fontId="26" fillId="27" borderId="0" applyNumberFormat="0" applyBorder="0" applyAlignment="0" applyProtection="0"/>
    <xf numFmtId="4" fontId="32" fillId="34" borderId="418">
      <alignment horizontal="right" vertical="center"/>
    </xf>
    <xf numFmtId="0" fontId="34" fillId="33" borderId="418"/>
    <xf numFmtId="49" fontId="33" fillId="0" borderId="418" applyNumberFormat="0" applyFill="0" applyBorder="0" applyProtection="0">
      <alignment horizontal="left" vertical="center"/>
    </xf>
    <xf numFmtId="0" fontId="12" fillId="16" borderId="0" applyNumberFormat="0" applyBorder="0" applyAlignment="0" applyProtection="0"/>
    <xf numFmtId="49" fontId="34" fillId="0" borderId="418" applyNumberFormat="0" applyFont="0" applyFill="0" applyBorder="0" applyProtection="0">
      <alignment horizontal="left" vertical="center" indent="2"/>
    </xf>
    <xf numFmtId="4" fontId="32" fillId="34" borderId="418">
      <alignment horizontal="right" vertical="center"/>
    </xf>
    <xf numFmtId="0" fontId="32" fillId="34" borderId="418">
      <alignment horizontal="right" vertical="center"/>
    </xf>
    <xf numFmtId="0" fontId="26" fillId="26" borderId="0" applyNumberFormat="0" applyBorder="0" applyAlignment="0" applyProtection="0"/>
    <xf numFmtId="49" fontId="34" fillId="0" borderId="419" applyNumberFormat="0" applyFont="0" applyFill="0" applyBorder="0" applyProtection="0">
      <alignment horizontal="left" vertical="center" indent="5"/>
    </xf>
    <xf numFmtId="0" fontId="45" fillId="56" borderId="423" applyNumberFormat="0" applyAlignment="0" applyProtection="0"/>
    <xf numFmtId="0" fontId="12" fillId="31" borderId="0" applyNumberFormat="0" applyBorder="0" applyAlignment="0" applyProtection="0"/>
    <xf numFmtId="0" fontId="50" fillId="0" borderId="427" applyNumberFormat="0" applyFill="0" applyAlignment="0" applyProtection="0"/>
    <xf numFmtId="0" fontId="65" fillId="0" borderId="427" applyNumberFormat="0" applyFill="0" applyAlignment="0" applyProtection="0"/>
    <xf numFmtId="0" fontId="45" fillId="56" borderId="423" applyNumberFormat="0" applyAlignment="0" applyProtection="0"/>
    <xf numFmtId="0" fontId="12" fillId="19" borderId="0" applyNumberFormat="0" applyBorder="0" applyAlignment="0" applyProtection="0"/>
    <xf numFmtId="49" fontId="34" fillId="0" borderId="430" applyNumberFormat="0" applyFont="0" applyFill="0" applyBorder="0" applyProtection="0">
      <alignment horizontal="left" vertical="center" indent="5"/>
    </xf>
    <xf numFmtId="0" fontId="65" fillId="0" borderId="424" applyNumberFormat="0" applyFill="0" applyAlignment="0" applyProtection="0"/>
    <xf numFmtId="0" fontId="49" fillId="43" borderId="423" applyNumberFormat="0" applyAlignment="0" applyProtection="0"/>
    <xf numFmtId="0" fontId="32" fillId="34" borderId="418">
      <alignment horizontal="right" vertical="center"/>
    </xf>
    <xf numFmtId="4" fontId="32" fillId="34" borderId="420">
      <alignment horizontal="right" vertical="center"/>
    </xf>
    <xf numFmtId="4" fontId="34" fillId="33" borderId="418"/>
    <xf numFmtId="0" fontId="12" fillId="22" borderId="0" applyNumberFormat="0" applyBorder="0" applyAlignment="0" applyProtection="0"/>
    <xf numFmtId="0" fontId="62" fillId="56" borderId="422" applyNumberFormat="0" applyAlignment="0" applyProtection="0"/>
    <xf numFmtId="0" fontId="12" fillId="16" borderId="0" applyNumberFormat="0" applyBorder="0" applyAlignment="0" applyProtection="0"/>
    <xf numFmtId="0" fontId="2" fillId="0" borderId="15" applyNumberFormat="0" applyFill="0" applyAlignment="0" applyProtection="0"/>
    <xf numFmtId="0" fontId="34" fillId="0" borderId="418">
      <alignment horizontal="right" vertical="center"/>
    </xf>
    <xf numFmtId="0" fontId="12" fillId="16" borderId="0" applyNumberFormat="0" applyBorder="0" applyAlignment="0" applyProtection="0"/>
    <xf numFmtId="0" fontId="46" fillId="56" borderId="426" applyNumberFormat="0" applyAlignment="0" applyProtection="0"/>
    <xf numFmtId="49" fontId="34" fillId="0" borderId="418" applyNumberFormat="0" applyFont="0" applyFill="0" applyBorder="0" applyProtection="0">
      <alignment horizontal="left" vertical="center" indent="2"/>
    </xf>
    <xf numFmtId="0" fontId="32" fillId="32" borderId="418">
      <alignment horizontal="right" vertical="center"/>
    </xf>
    <xf numFmtId="0" fontId="2" fillId="0" borderId="15" applyNumberFormat="0" applyFill="0" applyAlignment="0" applyProtection="0"/>
    <xf numFmtId="0" fontId="34" fillId="32" borderId="419">
      <alignment horizontal="left" vertical="center"/>
    </xf>
    <xf numFmtId="0" fontId="26" fillId="20" borderId="0" applyNumberFormat="0" applyBorder="0" applyAlignment="0" applyProtection="0"/>
    <xf numFmtId="0" fontId="30" fillId="0" borderId="0" applyNumberFormat="0" applyFill="0" applyBorder="0" applyAlignment="0" applyProtection="0"/>
    <xf numFmtId="0" fontId="26" fillId="30" borderId="0" applyNumberFormat="0" applyBorder="0" applyAlignment="0" applyProtection="0"/>
    <xf numFmtId="4" fontId="36" fillId="32" borderId="418">
      <alignment horizontal="right" vertical="center"/>
    </xf>
    <xf numFmtId="0" fontId="32" fillId="34" borderId="419">
      <alignment horizontal="right" vertical="center"/>
    </xf>
    <xf numFmtId="0" fontId="34" fillId="32" borderId="419">
      <alignment horizontal="left" vertical="center"/>
    </xf>
    <xf numFmtId="0" fontId="49" fillId="43" borderId="423" applyNumberFormat="0" applyAlignment="0" applyProtection="0"/>
    <xf numFmtId="0" fontId="49" fillId="43" borderId="423" applyNumberFormat="0" applyAlignment="0" applyProtection="0"/>
    <xf numFmtId="4" fontId="32" fillId="32" borderId="418">
      <alignment horizontal="right" vertical="center"/>
    </xf>
    <xf numFmtId="0" fontId="34" fillId="0" borderId="421">
      <alignment horizontal="left" vertical="center" wrapText="1" indent="2"/>
    </xf>
    <xf numFmtId="0" fontId="65" fillId="0" borderId="424" applyNumberFormat="0" applyFill="0" applyAlignment="0" applyProtection="0"/>
    <xf numFmtId="4" fontId="32" fillId="34" borderId="419">
      <alignment horizontal="right" vertical="center"/>
    </xf>
    <xf numFmtId="0" fontId="34" fillId="0" borderId="418" applyNumberFormat="0" applyFill="0" applyAlignment="0" applyProtection="0"/>
    <xf numFmtId="4" fontId="34" fillId="0" borderId="418">
      <alignment horizontal="right" vertical="center"/>
    </xf>
    <xf numFmtId="0" fontId="26" fillId="17" borderId="0" applyNumberFormat="0" applyBorder="0" applyAlignment="0" applyProtection="0"/>
    <xf numFmtId="0" fontId="46" fillId="56" borderId="423" applyNumberFormat="0" applyAlignment="0" applyProtection="0"/>
    <xf numFmtId="0" fontId="65" fillId="0" borderId="424" applyNumberFormat="0" applyFill="0" applyAlignment="0" applyProtection="0"/>
    <xf numFmtId="0" fontId="26" fillId="24" borderId="0" applyNumberFormat="0" applyBorder="0" applyAlignment="0" applyProtection="0"/>
    <xf numFmtId="0" fontId="34" fillId="32" borderId="419">
      <alignment horizontal="left" vertical="center"/>
    </xf>
    <xf numFmtId="0" fontId="62" fillId="56" borderId="422" applyNumberFormat="0" applyAlignment="0" applyProtection="0"/>
    <xf numFmtId="0" fontId="32" fillId="34" borderId="420">
      <alignment horizontal="right" vertical="center"/>
    </xf>
    <xf numFmtId="0" fontId="34" fillId="0" borderId="429" applyNumberFormat="0" applyFill="0" applyAlignment="0" applyProtection="0"/>
    <xf numFmtId="0" fontId="62" fillId="56" borderId="422" applyNumberFormat="0" applyAlignment="0" applyProtection="0"/>
    <xf numFmtId="0" fontId="32" fillId="34" borderId="418">
      <alignment horizontal="right" vertical="center"/>
    </xf>
    <xf numFmtId="0" fontId="26" fillId="30" borderId="0" applyNumberFormat="0" applyBorder="0" applyAlignment="0" applyProtection="0"/>
    <xf numFmtId="173" fontId="34" fillId="60" borderId="418" applyNumberFormat="0" applyFont="0" applyBorder="0" applyAlignment="0" applyProtection="0">
      <alignment horizontal="right" vertical="center"/>
    </xf>
    <xf numFmtId="0" fontId="43" fillId="56" borderId="422" applyNumberFormat="0" applyAlignment="0" applyProtection="0"/>
    <xf numFmtId="0" fontId="58" fillId="43" borderId="423" applyNumberFormat="0" applyAlignment="0" applyProtection="0"/>
    <xf numFmtId="173" fontId="34" fillId="60" borderId="418" applyNumberFormat="0" applyFont="0" applyBorder="0" applyAlignment="0" applyProtection="0">
      <alignment horizontal="right" vertical="center"/>
    </xf>
    <xf numFmtId="0" fontId="32" fillId="34" borderId="430">
      <alignment horizontal="right" vertical="center"/>
    </xf>
    <xf numFmtId="0" fontId="43" fillId="56" borderId="425" applyNumberFormat="0" applyAlignment="0" applyProtection="0"/>
    <xf numFmtId="0" fontId="26" fillId="17" borderId="0" applyNumberFormat="0" applyBorder="0" applyAlignment="0" applyProtection="0"/>
    <xf numFmtId="0" fontId="34" fillId="33" borderId="418"/>
    <xf numFmtId="0" fontId="26" fillId="20" borderId="0" applyNumberFormat="0" applyBorder="0" applyAlignment="0" applyProtection="0"/>
    <xf numFmtId="0" fontId="28" fillId="13" borderId="14" applyNumberFormat="0" applyAlignment="0" applyProtection="0"/>
    <xf numFmtId="49" fontId="33" fillId="0" borderId="418" applyNumberFormat="0" applyFill="0" applyBorder="0" applyProtection="0">
      <alignment horizontal="left" vertical="center"/>
    </xf>
    <xf numFmtId="0" fontId="26" fillId="24" borderId="0" applyNumberFormat="0" applyBorder="0" applyAlignment="0" applyProtection="0"/>
    <xf numFmtId="0" fontId="34" fillId="0" borderId="418">
      <alignment horizontal="right" vertical="center"/>
    </xf>
    <xf numFmtId="4" fontId="34" fillId="33" borderId="418"/>
    <xf numFmtId="4" fontId="34" fillId="33" borderId="418"/>
    <xf numFmtId="0" fontId="40" fillId="59" borderId="417" applyNumberFormat="0" applyFont="0" applyAlignment="0" applyProtection="0"/>
    <xf numFmtId="4" fontId="34" fillId="0" borderId="429">
      <alignment horizontal="right" vertical="center"/>
    </xf>
    <xf numFmtId="0" fontId="40" fillId="59" borderId="417" applyNumberFormat="0" applyFont="0" applyAlignment="0" applyProtection="0"/>
    <xf numFmtId="0" fontId="29" fillId="13" borderId="13" applyNumberFormat="0" applyAlignment="0" applyProtection="0"/>
    <xf numFmtId="0" fontId="26" fillId="23" borderId="0" applyNumberFormat="0" applyBorder="0" applyAlignment="0" applyProtection="0"/>
    <xf numFmtId="0" fontId="58" fillId="43" borderId="423" applyNumberFormat="0" applyAlignment="0" applyProtection="0"/>
    <xf numFmtId="4" fontId="34" fillId="0" borderId="418" applyFill="0" applyBorder="0" applyProtection="0">
      <alignment horizontal="right" vertical="center"/>
    </xf>
    <xf numFmtId="0" fontId="34" fillId="33" borderId="429"/>
    <xf numFmtId="0" fontId="26" fillId="14" borderId="0" applyNumberFormat="0" applyBorder="0" applyAlignment="0" applyProtection="0"/>
    <xf numFmtId="4" fontId="32" fillId="34" borderId="429">
      <alignment horizontal="right" vertical="center"/>
    </xf>
    <xf numFmtId="0" fontId="49" fillId="43" borderId="423" applyNumberFormat="0" applyAlignment="0" applyProtection="0"/>
    <xf numFmtId="4" fontId="34" fillId="0" borderId="418" applyFill="0" applyBorder="0" applyProtection="0">
      <alignment horizontal="right" vertical="center"/>
    </xf>
    <xf numFmtId="49" fontId="33" fillId="0" borderId="418" applyNumberFormat="0" applyFill="0" applyBorder="0" applyProtection="0">
      <alignment horizontal="left" vertical="center"/>
    </xf>
    <xf numFmtId="0" fontId="26" fillId="26" borderId="0" applyNumberFormat="0" applyBorder="0" applyAlignment="0" applyProtection="0"/>
    <xf numFmtId="0" fontId="28" fillId="13" borderId="14" applyNumberFormat="0" applyAlignment="0" applyProtection="0"/>
    <xf numFmtId="0" fontId="34" fillId="34" borderId="421">
      <alignment horizontal="left" vertical="center" wrapText="1" indent="2"/>
    </xf>
    <xf numFmtId="4" fontId="34" fillId="0" borderId="418">
      <alignment horizontal="right" vertical="center"/>
    </xf>
    <xf numFmtId="0" fontId="34" fillId="0" borderId="421">
      <alignment horizontal="left" vertical="center" wrapText="1" indent="2"/>
    </xf>
    <xf numFmtId="0" fontId="34" fillId="0" borderId="429">
      <alignment horizontal="right" vertical="center"/>
    </xf>
    <xf numFmtId="0" fontId="26" fillId="30" borderId="0" applyNumberFormat="0" applyBorder="0" applyAlignment="0" applyProtection="0"/>
    <xf numFmtId="0" fontId="65" fillId="0" borderId="424" applyNumberFormat="0" applyFill="0" applyAlignment="0" applyProtection="0"/>
    <xf numFmtId="4" fontId="32" fillId="32" borderId="418">
      <alignment horizontal="right" vertical="center"/>
    </xf>
    <xf numFmtId="49" fontId="33" fillId="0" borderId="418" applyNumberFormat="0" applyFill="0" applyBorder="0" applyProtection="0">
      <alignment horizontal="left" vertical="center"/>
    </xf>
    <xf numFmtId="0" fontId="65" fillId="0" borderId="424" applyNumberFormat="0" applyFill="0" applyAlignment="0" applyProtection="0"/>
    <xf numFmtId="0" fontId="65" fillId="0" borderId="424" applyNumberFormat="0" applyFill="0" applyAlignment="0" applyProtection="0"/>
    <xf numFmtId="0" fontId="26" fillId="27" borderId="0" applyNumberFormat="0" applyBorder="0" applyAlignment="0" applyProtection="0"/>
    <xf numFmtId="49" fontId="34" fillId="0" borderId="419" applyNumberFormat="0" applyFont="0" applyFill="0" applyBorder="0" applyProtection="0">
      <alignment horizontal="left" vertical="center" indent="5"/>
    </xf>
    <xf numFmtId="0" fontId="46" fillId="56" borderId="423" applyNumberFormat="0" applyAlignment="0" applyProtection="0"/>
    <xf numFmtId="0" fontId="34" fillId="0" borderId="418">
      <alignment horizontal="right" vertical="center"/>
    </xf>
    <xf numFmtId="4" fontId="32" fillId="32" borderId="418">
      <alignment horizontal="right" vertical="center"/>
    </xf>
    <xf numFmtId="0" fontId="65" fillId="0" borderId="424" applyNumberFormat="0" applyFill="0" applyAlignment="0" applyProtection="0"/>
    <xf numFmtId="0" fontId="12" fillId="31" borderId="0" applyNumberFormat="0" applyBorder="0" applyAlignment="0" applyProtection="0"/>
    <xf numFmtId="0" fontId="5" fillId="59" borderId="417" applyNumberFormat="0" applyFont="0" applyAlignment="0" applyProtection="0"/>
    <xf numFmtId="49" fontId="33" fillId="0" borderId="418" applyNumberFormat="0" applyFill="0" applyBorder="0" applyProtection="0">
      <alignment horizontal="left" vertical="center"/>
    </xf>
    <xf numFmtId="0" fontId="34" fillId="0" borderId="418">
      <alignment horizontal="right" vertical="center"/>
    </xf>
    <xf numFmtId="4" fontId="32" fillId="34" borderId="418">
      <alignment horizontal="right" vertical="center"/>
    </xf>
    <xf numFmtId="49" fontId="34" fillId="0" borderId="418" applyNumberFormat="0" applyFont="0" applyFill="0" applyBorder="0" applyProtection="0">
      <alignment horizontal="left" vertical="center" indent="2"/>
    </xf>
    <xf numFmtId="0" fontId="34" fillId="0" borderId="421">
      <alignment horizontal="left" vertical="center" wrapText="1" indent="2"/>
    </xf>
    <xf numFmtId="0" fontId="34" fillId="0" borderId="418" applyNumberFormat="0" applyFill="0" applyAlignment="0" applyProtection="0"/>
    <xf numFmtId="0" fontId="26" fillId="21" borderId="0" applyNumberFormat="0" applyBorder="0" applyAlignment="0" applyProtection="0"/>
    <xf numFmtId="4" fontId="32" fillId="32" borderId="418">
      <alignment horizontal="right" vertical="center"/>
    </xf>
    <xf numFmtId="0" fontId="26" fillId="24" borderId="0" applyNumberFormat="0" applyBorder="0" applyAlignment="0" applyProtection="0"/>
    <xf numFmtId="0" fontId="46" fillId="56" borderId="423" applyNumberFormat="0" applyAlignment="0" applyProtection="0"/>
    <xf numFmtId="0" fontId="45" fillId="56" borderId="423" applyNumberFormat="0" applyAlignment="0" applyProtection="0"/>
    <xf numFmtId="173" fontId="34" fillId="60" borderId="418" applyNumberFormat="0" applyFont="0" applyBorder="0" applyAlignment="0" applyProtection="0">
      <alignment horizontal="right" vertical="center"/>
    </xf>
    <xf numFmtId="0" fontId="32" fillId="32" borderId="418">
      <alignment horizontal="right" vertical="center"/>
    </xf>
    <xf numFmtId="0" fontId="26" fillId="26" borderId="0" applyNumberFormat="0" applyBorder="0" applyAlignment="0" applyProtection="0"/>
    <xf numFmtId="0" fontId="50" fillId="0" borderId="424" applyNumberFormat="0" applyFill="0" applyAlignment="0" applyProtection="0"/>
    <xf numFmtId="0" fontId="40" fillId="59" borderId="417" applyNumberFormat="0" applyFont="0" applyAlignment="0" applyProtection="0"/>
    <xf numFmtId="0" fontId="34" fillId="33" borderId="418"/>
    <xf numFmtId="0" fontId="26" fillId="26" borderId="0" applyNumberFormat="0" applyBorder="0" applyAlignment="0" applyProtection="0"/>
    <xf numFmtId="4" fontId="34" fillId="0" borderId="418" applyFill="0" applyBorder="0" applyProtection="0">
      <alignment horizontal="right" vertical="center"/>
    </xf>
    <xf numFmtId="0" fontId="62" fillId="56" borderId="422" applyNumberFormat="0" applyAlignment="0" applyProtection="0"/>
    <xf numFmtId="0" fontId="43" fillId="56" borderId="422" applyNumberFormat="0" applyAlignment="0" applyProtection="0"/>
    <xf numFmtId="0" fontId="58" fillId="43" borderId="423" applyNumberFormat="0" applyAlignment="0" applyProtection="0"/>
    <xf numFmtId="4" fontId="34" fillId="0" borderId="418">
      <alignment horizontal="right" vertical="center"/>
    </xf>
    <xf numFmtId="0" fontId="30" fillId="0" borderId="0" applyNumberFormat="0" applyFill="0" applyBorder="0" applyAlignment="0" applyProtection="0"/>
    <xf numFmtId="0" fontId="34" fillId="0" borderId="432">
      <alignment horizontal="left" vertical="center" wrapText="1" indent="2"/>
    </xf>
    <xf numFmtId="0" fontId="26" fillId="18" borderId="0" applyNumberFormat="0" applyBorder="0" applyAlignment="0" applyProtection="0"/>
    <xf numFmtId="0" fontId="36" fillId="32" borderId="418">
      <alignment horizontal="right" vertical="center"/>
    </xf>
    <xf numFmtId="4" fontId="36" fillId="32" borderId="429">
      <alignment horizontal="right" vertical="center"/>
    </xf>
    <xf numFmtId="0" fontId="65" fillId="0" borderId="424" applyNumberFormat="0" applyFill="0" applyAlignment="0" applyProtection="0"/>
    <xf numFmtId="0" fontId="32" fillId="32" borderId="418">
      <alignment horizontal="right" vertical="center"/>
    </xf>
    <xf numFmtId="49" fontId="34" fillId="0" borderId="418" applyNumberFormat="0" applyFont="0" applyFill="0" applyBorder="0" applyProtection="0">
      <alignment horizontal="left" vertical="center" indent="2"/>
    </xf>
    <xf numFmtId="0" fontId="34" fillId="33" borderId="418"/>
    <xf numFmtId="4" fontId="32" fillId="34" borderId="431">
      <alignment horizontal="right" vertical="center"/>
    </xf>
    <xf numFmtId="173" fontId="34" fillId="60" borderId="418" applyNumberFormat="0" applyFont="0" applyBorder="0" applyAlignment="0" applyProtection="0">
      <alignment horizontal="right" vertical="center"/>
    </xf>
    <xf numFmtId="0" fontId="26" fillId="15" borderId="0" applyNumberFormat="0" applyBorder="0" applyAlignment="0" applyProtection="0"/>
    <xf numFmtId="0" fontId="12" fillId="25" borderId="0" applyNumberFormat="0" applyBorder="0" applyAlignment="0" applyProtection="0"/>
    <xf numFmtId="0" fontId="62" fillId="56" borderId="422" applyNumberFormat="0" applyAlignment="0" applyProtection="0"/>
    <xf numFmtId="4" fontId="32" fillId="34" borderId="420">
      <alignment horizontal="right" vertical="center"/>
    </xf>
    <xf numFmtId="0" fontId="12" fillId="25" borderId="0" applyNumberFormat="0" applyBorder="0" applyAlignment="0" applyProtection="0"/>
    <xf numFmtId="0" fontId="32" fillId="32" borderId="418">
      <alignment horizontal="right" vertical="center"/>
    </xf>
    <xf numFmtId="0" fontId="58" fillId="43" borderId="426" applyNumberFormat="0" applyAlignment="0" applyProtection="0"/>
    <xf numFmtId="0" fontId="58" fillId="43" borderId="423" applyNumberFormat="0" applyAlignment="0" applyProtection="0"/>
    <xf numFmtId="0" fontId="65" fillId="0" borderId="427" applyNumberFormat="0" applyFill="0" applyAlignment="0" applyProtection="0"/>
    <xf numFmtId="4" fontId="32" fillId="34" borderId="418">
      <alignment horizontal="right" vertical="center"/>
    </xf>
    <xf numFmtId="0" fontId="26" fillId="29" borderId="0" applyNumberFormat="0" applyBorder="0" applyAlignment="0" applyProtection="0"/>
    <xf numFmtId="0" fontId="34" fillId="0" borderId="418">
      <alignment horizontal="right" vertical="center"/>
    </xf>
    <xf numFmtId="0" fontId="32" fillId="32" borderId="418">
      <alignment horizontal="right" vertical="center"/>
    </xf>
    <xf numFmtId="0" fontId="34" fillId="34" borderId="421">
      <alignment horizontal="left" vertical="center" wrapText="1" indent="2"/>
    </xf>
    <xf numFmtId="0" fontId="32" fillId="34" borderId="419">
      <alignment horizontal="right" vertical="center"/>
    </xf>
    <xf numFmtId="0" fontId="26" fillId="29" borderId="0" applyNumberFormat="0" applyBorder="0" applyAlignment="0" applyProtection="0"/>
    <xf numFmtId="0" fontId="2" fillId="0" borderId="15" applyNumberFormat="0" applyFill="0" applyAlignment="0" applyProtection="0"/>
    <xf numFmtId="0" fontId="26" fillId="20" borderId="0" applyNumberFormat="0" applyBorder="0" applyAlignment="0" applyProtection="0"/>
    <xf numFmtId="0" fontId="32" fillId="34" borderId="429">
      <alignment horizontal="right" vertical="center"/>
    </xf>
    <xf numFmtId="0" fontId="28" fillId="13" borderId="14" applyNumberFormat="0" applyAlignment="0" applyProtection="0"/>
    <xf numFmtId="4" fontId="34" fillId="0" borderId="418" applyFill="0" applyBorder="0" applyProtection="0">
      <alignment horizontal="right" vertical="center"/>
    </xf>
    <xf numFmtId="0" fontId="40" fillId="59" borderId="417" applyNumberFormat="0" applyFont="0" applyAlignment="0" applyProtection="0"/>
    <xf numFmtId="0" fontId="32" fillId="32" borderId="418">
      <alignment horizontal="right" vertical="center"/>
    </xf>
    <xf numFmtId="0" fontId="50" fillId="0" borderId="424" applyNumberFormat="0" applyFill="0" applyAlignment="0" applyProtection="0"/>
    <xf numFmtId="0" fontId="34" fillId="0" borderId="418" applyNumberFormat="0" applyFill="0" applyAlignment="0" applyProtection="0"/>
    <xf numFmtId="0" fontId="50" fillId="0" borderId="424" applyNumberFormat="0" applyFill="0" applyAlignment="0" applyProtection="0"/>
    <xf numFmtId="4" fontId="34" fillId="0" borderId="418" applyFill="0" applyBorder="0" applyProtection="0">
      <alignment horizontal="right" vertical="center"/>
    </xf>
    <xf numFmtId="49" fontId="34" fillId="0" borderId="419" applyNumberFormat="0" applyFont="0" applyFill="0" applyBorder="0" applyProtection="0">
      <alignment horizontal="left" vertical="center" indent="5"/>
    </xf>
    <xf numFmtId="0" fontId="34" fillId="0" borderId="418" applyNumberFormat="0" applyFill="0" applyAlignment="0" applyProtection="0"/>
    <xf numFmtId="0" fontId="34" fillId="0" borderId="418" applyNumberFormat="0" applyFill="0" applyAlignment="0" applyProtection="0"/>
    <xf numFmtId="4" fontId="32" fillId="34" borderId="418">
      <alignment horizontal="right" vertical="center"/>
    </xf>
    <xf numFmtId="0" fontId="12" fillId="22" borderId="0" applyNumberFormat="0" applyBorder="0" applyAlignment="0" applyProtection="0"/>
    <xf numFmtId="0" fontId="49" fillId="43" borderId="423" applyNumberFormat="0" applyAlignment="0" applyProtection="0"/>
    <xf numFmtId="0" fontId="46" fillId="56" borderId="423" applyNumberFormat="0" applyAlignment="0" applyProtection="0"/>
    <xf numFmtId="4" fontId="34" fillId="0" borderId="418">
      <alignment horizontal="right" vertical="center"/>
    </xf>
    <xf numFmtId="0" fontId="34" fillId="34" borderId="421">
      <alignment horizontal="left" vertical="center" wrapText="1" indent="2"/>
    </xf>
    <xf numFmtId="0" fontId="34" fillId="0" borderId="421">
      <alignment horizontal="left" vertical="center" wrapText="1" indent="2"/>
    </xf>
    <xf numFmtId="0" fontId="62" fillId="56" borderId="422" applyNumberFormat="0" applyAlignment="0" applyProtection="0"/>
    <xf numFmtId="0" fontId="58" fillId="43" borderId="423" applyNumberFormat="0" applyAlignment="0" applyProtection="0"/>
    <xf numFmtId="0" fontId="45" fillId="56" borderId="423" applyNumberFormat="0" applyAlignment="0" applyProtection="0"/>
    <xf numFmtId="0" fontId="43" fillId="56" borderId="422" applyNumberFormat="0" applyAlignment="0" applyProtection="0"/>
    <xf numFmtId="0" fontId="32" fillId="34" borderId="420">
      <alignment horizontal="right" vertical="center"/>
    </xf>
    <xf numFmtId="0" fontId="36" fillId="32" borderId="418">
      <alignment horizontal="right" vertical="center"/>
    </xf>
    <xf numFmtId="4" fontId="32" fillId="32" borderId="418">
      <alignment horizontal="right" vertical="center"/>
    </xf>
    <xf numFmtId="4" fontId="32" fillId="34" borderId="418">
      <alignment horizontal="right" vertical="center"/>
    </xf>
    <xf numFmtId="49" fontId="34" fillId="0" borderId="419" applyNumberFormat="0" applyFont="0" applyFill="0" applyBorder="0" applyProtection="0">
      <alignment horizontal="left" vertical="center" indent="5"/>
    </xf>
    <xf numFmtId="4" fontId="34" fillId="0" borderId="418" applyFill="0" applyBorder="0" applyProtection="0">
      <alignment horizontal="right" vertical="center"/>
    </xf>
    <xf numFmtId="4" fontId="32" fillId="32" borderId="418">
      <alignment horizontal="right" vertical="center"/>
    </xf>
    <xf numFmtId="0" fontId="58" fillId="43" borderId="423" applyNumberFormat="0" applyAlignment="0" applyProtection="0"/>
    <xf numFmtId="0" fontId="49" fillId="43" borderId="423" applyNumberFormat="0" applyAlignment="0" applyProtection="0"/>
    <xf numFmtId="0" fontId="45" fillId="56" borderId="423" applyNumberFormat="0" applyAlignment="0" applyProtection="0"/>
    <xf numFmtId="0" fontId="34" fillId="34" borderId="421">
      <alignment horizontal="left" vertical="center" wrapText="1" indent="2"/>
    </xf>
    <xf numFmtId="0" fontId="34" fillId="0" borderId="421">
      <alignment horizontal="left" vertical="center" wrapText="1" indent="2"/>
    </xf>
    <xf numFmtId="0" fontId="34" fillId="34" borderId="421">
      <alignment horizontal="left" vertical="center" wrapText="1" indent="2"/>
    </xf>
    <xf numFmtId="0" fontId="32" fillId="34" borderId="431">
      <alignment horizontal="right" vertical="center"/>
    </xf>
    <xf numFmtId="0" fontId="12" fillId="19" borderId="0" applyNumberFormat="0" applyBorder="0" applyAlignment="0" applyProtection="0"/>
    <xf numFmtId="0" fontId="12" fillId="31" borderId="0" applyNumberFormat="0" applyBorder="0" applyAlignment="0" applyProtection="0"/>
    <xf numFmtId="0" fontId="12" fillId="25" borderId="0" applyNumberFormat="0" applyBorder="0" applyAlignment="0" applyProtection="0"/>
    <xf numFmtId="0" fontId="26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2" borderId="0" applyNumberFormat="0" applyBorder="0" applyAlignment="0" applyProtection="0"/>
    <xf numFmtId="0" fontId="26" fillId="20" borderId="0" applyNumberFormat="0" applyBorder="0" applyAlignment="0" applyProtection="0"/>
    <xf numFmtId="0" fontId="26" fillId="14" borderId="0" applyNumberFormat="0" applyBorder="0" applyAlignment="0" applyProtection="0"/>
    <xf numFmtId="4" fontId="32" fillId="34" borderId="429">
      <alignment horizontal="right" vertical="center"/>
    </xf>
    <xf numFmtId="0" fontId="34" fillId="33" borderId="429"/>
    <xf numFmtId="0" fontId="45" fillId="56" borderId="426" applyNumberFormat="0" applyAlignment="0" applyProtection="0"/>
    <xf numFmtId="0" fontId="32" fillId="32" borderId="429">
      <alignment horizontal="right" vertical="center"/>
    </xf>
    <xf numFmtId="0" fontId="34" fillId="0" borderId="429">
      <alignment horizontal="right" vertical="center"/>
    </xf>
    <xf numFmtId="0" fontId="65" fillId="0" borderId="427" applyNumberFormat="0" applyFill="0" applyAlignment="0" applyProtection="0"/>
    <xf numFmtId="0" fontId="34" fillId="32" borderId="430">
      <alignment horizontal="left" vertical="center"/>
    </xf>
    <xf numFmtId="0" fontId="58" fillId="43" borderId="426" applyNumberFormat="0" applyAlignment="0" applyProtection="0"/>
    <xf numFmtId="173" fontId="34" fillId="60" borderId="429" applyNumberFormat="0" applyFont="0" applyBorder="0" applyAlignment="0" applyProtection="0">
      <alignment horizontal="right" vertical="center"/>
    </xf>
    <xf numFmtId="0" fontId="40" fillId="59" borderId="428" applyNumberFormat="0" applyFont="0" applyAlignment="0" applyProtection="0"/>
    <xf numFmtId="0" fontId="34" fillId="0" borderId="432">
      <alignment horizontal="left" vertical="center" wrapText="1" indent="2"/>
    </xf>
    <xf numFmtId="4" fontId="34" fillId="33" borderId="429"/>
    <xf numFmtId="49" fontId="33" fillId="0" borderId="429" applyNumberFormat="0" applyFill="0" applyBorder="0" applyProtection="0">
      <alignment horizontal="left" vertical="center"/>
    </xf>
    <xf numFmtId="0" fontId="34" fillId="0" borderId="429">
      <alignment horizontal="right" vertical="center"/>
    </xf>
    <xf numFmtId="4" fontId="32" fillId="34" borderId="431">
      <alignment horizontal="right" vertical="center"/>
    </xf>
    <xf numFmtId="4" fontId="32" fillId="34" borderId="429">
      <alignment horizontal="right" vertical="center"/>
    </xf>
    <xf numFmtId="4" fontId="32" fillId="34" borderId="429">
      <alignment horizontal="right" vertical="center"/>
    </xf>
    <xf numFmtId="0" fontId="36" fillId="32" borderId="429">
      <alignment horizontal="right" vertical="center"/>
    </xf>
    <xf numFmtId="0" fontId="32" fillId="32" borderId="429">
      <alignment horizontal="right" vertical="center"/>
    </xf>
    <xf numFmtId="49" fontId="34" fillId="0" borderId="429" applyNumberFormat="0" applyFont="0" applyFill="0" applyBorder="0" applyProtection="0">
      <alignment horizontal="left" vertical="center" indent="2"/>
    </xf>
    <xf numFmtId="0" fontId="58" fillId="43" borderId="426" applyNumberFormat="0" applyAlignment="0" applyProtection="0"/>
    <xf numFmtId="0" fontId="43" fillId="56" borderId="425" applyNumberFormat="0" applyAlignment="0" applyProtection="0"/>
    <xf numFmtId="49" fontId="34" fillId="0" borderId="429" applyNumberFormat="0" applyFont="0" applyFill="0" applyBorder="0" applyProtection="0">
      <alignment horizontal="left" vertical="center" indent="2"/>
    </xf>
    <xf numFmtId="0" fontId="49" fillId="43" borderId="426" applyNumberFormat="0" applyAlignment="0" applyProtection="0"/>
    <xf numFmtId="4" fontId="34" fillId="0" borderId="429" applyFill="0" applyBorder="0" applyProtection="0">
      <alignment horizontal="right" vertical="center"/>
    </xf>
    <xf numFmtId="0" fontId="46" fillId="56" borderId="426" applyNumberFormat="0" applyAlignment="0" applyProtection="0"/>
    <xf numFmtId="0" fontId="65" fillId="0" borderId="427" applyNumberFormat="0" applyFill="0" applyAlignment="0" applyProtection="0"/>
    <xf numFmtId="0" fontId="62" fillId="56" borderId="425" applyNumberFormat="0" applyAlignment="0" applyProtection="0"/>
    <xf numFmtId="0" fontId="34" fillId="0" borderId="429" applyNumberFormat="0" applyFill="0" applyAlignment="0" applyProtection="0"/>
    <xf numFmtId="4" fontId="34" fillId="0" borderId="429">
      <alignment horizontal="right" vertical="center"/>
    </xf>
    <xf numFmtId="0" fontId="34" fillId="0" borderId="429">
      <alignment horizontal="right" vertical="center"/>
    </xf>
    <xf numFmtId="0" fontId="58" fillId="43" borderId="426" applyNumberFormat="0" applyAlignment="0" applyProtection="0"/>
    <xf numFmtId="0" fontId="43" fillId="56" borderId="425" applyNumberFormat="0" applyAlignment="0" applyProtection="0"/>
    <xf numFmtId="0" fontId="45" fillId="56" borderId="426" applyNumberFormat="0" applyAlignment="0" applyProtection="0"/>
    <xf numFmtId="0" fontId="34" fillId="34" borderId="432">
      <alignment horizontal="left" vertical="center" wrapText="1" indent="2"/>
    </xf>
    <xf numFmtId="0" fontId="46" fillId="56" borderId="426" applyNumberFormat="0" applyAlignment="0" applyProtection="0"/>
    <xf numFmtId="0" fontId="46" fillId="56" borderId="426" applyNumberFormat="0" applyAlignment="0" applyProtection="0"/>
    <xf numFmtId="4" fontId="32" fillId="34" borderId="430">
      <alignment horizontal="right" vertical="center"/>
    </xf>
    <xf numFmtId="0" fontId="32" fillId="34" borderId="430">
      <alignment horizontal="right" vertical="center"/>
    </xf>
    <xf numFmtId="0" fontId="32" fillId="34" borderId="429">
      <alignment horizontal="right" vertical="center"/>
    </xf>
    <xf numFmtId="4" fontId="36" fillId="32" borderId="429">
      <alignment horizontal="right" vertical="center"/>
    </xf>
    <xf numFmtId="0" fontId="49" fillId="43" borderId="426" applyNumberFormat="0" applyAlignment="0" applyProtection="0"/>
    <xf numFmtId="0" fontId="50" fillId="0" borderId="427" applyNumberFormat="0" applyFill="0" applyAlignment="0" applyProtection="0"/>
    <xf numFmtId="0" fontId="65" fillId="0" borderId="427" applyNumberFormat="0" applyFill="0" applyAlignment="0" applyProtection="0"/>
    <xf numFmtId="0" fontId="40" fillId="59" borderId="428" applyNumberFormat="0" applyFont="0" applyAlignment="0" applyProtection="0"/>
    <xf numFmtId="0" fontId="58" fillId="43" borderId="426" applyNumberFormat="0" applyAlignment="0" applyProtection="0"/>
    <xf numFmtId="49" fontId="33" fillId="0" borderId="429" applyNumberFormat="0" applyFill="0" applyBorder="0" applyProtection="0">
      <alignment horizontal="left" vertical="center"/>
    </xf>
    <xf numFmtId="0" fontId="34" fillId="34" borderId="432">
      <alignment horizontal="left" vertical="center" wrapText="1" indent="2"/>
    </xf>
    <xf numFmtId="0" fontId="46" fillId="56" borderId="426" applyNumberFormat="0" applyAlignment="0" applyProtection="0"/>
    <xf numFmtId="0" fontId="34" fillId="0" borderId="432">
      <alignment horizontal="left" vertical="center" wrapText="1" indent="2"/>
    </xf>
    <xf numFmtId="0" fontId="40" fillId="59" borderId="428" applyNumberFormat="0" applyFont="0" applyAlignment="0" applyProtection="0"/>
    <xf numFmtId="0" fontId="5" fillId="59" borderId="428" applyNumberFormat="0" applyFont="0" applyAlignment="0" applyProtection="0"/>
    <xf numFmtId="0" fontId="62" fillId="56" borderId="425" applyNumberFormat="0" applyAlignment="0" applyProtection="0"/>
    <xf numFmtId="0" fontId="65" fillId="0" borderId="427" applyNumberFormat="0" applyFill="0" applyAlignment="0" applyProtection="0"/>
    <xf numFmtId="4" fontId="34" fillId="33" borderId="429"/>
    <xf numFmtId="0" fontId="32" fillId="34" borderId="429">
      <alignment horizontal="right" vertical="center"/>
    </xf>
    <xf numFmtId="0" fontId="65" fillId="0" borderId="427" applyNumberFormat="0" applyFill="0" applyAlignment="0" applyProtection="0"/>
    <xf numFmtId="4" fontId="32" fillId="34" borderId="431">
      <alignment horizontal="right" vertical="center"/>
    </xf>
    <xf numFmtId="0" fontId="45" fillId="56" borderId="426" applyNumberFormat="0" applyAlignment="0" applyProtection="0"/>
    <xf numFmtId="0" fontId="32" fillId="34" borderId="430">
      <alignment horizontal="right" vertical="center"/>
    </xf>
    <xf numFmtId="0" fontId="46" fillId="56" borderId="426" applyNumberFormat="0" applyAlignment="0" applyProtection="0"/>
    <xf numFmtId="0" fontId="50" fillId="0" borderId="427" applyNumberFormat="0" applyFill="0" applyAlignment="0" applyProtection="0"/>
    <xf numFmtId="0" fontId="40" fillId="59" borderId="428" applyNumberFormat="0" applyFont="0" applyAlignment="0" applyProtection="0"/>
    <xf numFmtId="4" fontId="32" fillId="34" borderId="430">
      <alignment horizontal="right" vertical="center"/>
    </xf>
    <xf numFmtId="0" fontId="34" fillId="34" borderId="432">
      <alignment horizontal="left" vertical="center" wrapText="1" indent="2"/>
    </xf>
    <xf numFmtId="0" fontId="34" fillId="33" borderId="429"/>
    <xf numFmtId="173" fontId="34" fillId="60" borderId="429" applyNumberFormat="0" applyFont="0" applyBorder="0" applyAlignment="0" applyProtection="0">
      <alignment horizontal="right" vertical="center"/>
    </xf>
    <xf numFmtId="0" fontId="34" fillId="0" borderId="429" applyNumberFormat="0" applyFill="0" applyAlignment="0" applyProtection="0"/>
    <xf numFmtId="4" fontId="34" fillId="0" borderId="429" applyFill="0" applyBorder="0" applyProtection="0">
      <alignment horizontal="right" vertical="center"/>
    </xf>
    <xf numFmtId="4" fontId="32" fillId="32" borderId="429">
      <alignment horizontal="right" vertical="center"/>
    </xf>
    <xf numFmtId="0" fontId="50" fillId="0" borderId="427" applyNumberFormat="0" applyFill="0" applyAlignment="0" applyProtection="0"/>
    <xf numFmtId="49" fontId="33" fillId="0" borderId="429" applyNumberFormat="0" applyFill="0" applyBorder="0" applyProtection="0">
      <alignment horizontal="left" vertical="center"/>
    </xf>
    <xf numFmtId="49" fontId="34" fillId="0" borderId="430" applyNumberFormat="0" applyFont="0" applyFill="0" applyBorder="0" applyProtection="0">
      <alignment horizontal="left" vertical="center" indent="5"/>
    </xf>
    <xf numFmtId="0" fontId="34" fillId="32" borderId="430">
      <alignment horizontal="left" vertical="center"/>
    </xf>
    <xf numFmtId="0" fontId="46" fillId="56" borderId="426" applyNumberFormat="0" applyAlignment="0" applyProtection="0"/>
    <xf numFmtId="4" fontId="32" fillId="34" borderId="431">
      <alignment horizontal="right" vertical="center"/>
    </xf>
    <xf numFmtId="0" fontId="58" fillId="43" borderId="426" applyNumberFormat="0" applyAlignment="0" applyProtection="0"/>
    <xf numFmtId="0" fontId="58" fillId="43" borderId="426" applyNumberFormat="0" applyAlignment="0" applyProtection="0"/>
    <xf numFmtId="0" fontId="40" fillId="59" borderId="428" applyNumberFormat="0" applyFont="0" applyAlignment="0" applyProtection="0"/>
    <xf numFmtId="0" fontId="62" fillId="56" borderId="425" applyNumberFormat="0" applyAlignment="0" applyProtection="0"/>
    <xf numFmtId="0" fontId="65" fillId="0" borderId="427" applyNumberFormat="0" applyFill="0" applyAlignment="0" applyProtection="0"/>
    <xf numFmtId="0" fontId="32" fillId="34" borderId="429">
      <alignment horizontal="right" vertical="center"/>
    </xf>
    <xf numFmtId="0" fontId="5" fillId="59" borderId="428" applyNumberFormat="0" applyFont="0" applyAlignment="0" applyProtection="0"/>
    <xf numFmtId="4" fontId="34" fillId="0" borderId="429">
      <alignment horizontal="right" vertical="center"/>
    </xf>
    <xf numFmtId="0" fontId="65" fillId="0" borderId="427" applyNumberFormat="0" applyFill="0" applyAlignment="0" applyProtection="0"/>
    <xf numFmtId="0" fontId="32" fillId="34" borderId="429">
      <alignment horizontal="right" vertical="center"/>
    </xf>
    <xf numFmtId="0" fontId="32" fillId="34" borderId="429">
      <alignment horizontal="right" vertical="center"/>
    </xf>
    <xf numFmtId="4" fontId="36" fillId="32" borderId="429">
      <alignment horizontal="right" vertical="center"/>
    </xf>
    <xf numFmtId="0" fontId="32" fillId="32" borderId="429">
      <alignment horizontal="right" vertical="center"/>
    </xf>
    <xf numFmtId="4" fontId="32" fillId="32" borderId="429">
      <alignment horizontal="right" vertical="center"/>
    </xf>
    <xf numFmtId="0" fontId="36" fillId="32" borderId="429">
      <alignment horizontal="right" vertical="center"/>
    </xf>
    <xf numFmtId="4" fontId="36" fillId="32" borderId="429">
      <alignment horizontal="right" vertical="center"/>
    </xf>
    <xf numFmtId="0" fontId="32" fillId="34" borderId="429">
      <alignment horizontal="right" vertical="center"/>
    </xf>
    <xf numFmtId="4" fontId="32" fillId="34" borderId="429">
      <alignment horizontal="right" vertical="center"/>
    </xf>
    <xf numFmtId="0" fontId="32" fillId="34" borderId="429">
      <alignment horizontal="right" vertical="center"/>
    </xf>
    <xf numFmtId="4" fontId="32" fillId="34" borderId="429">
      <alignment horizontal="right" vertical="center"/>
    </xf>
    <xf numFmtId="0" fontId="32" fillId="34" borderId="430">
      <alignment horizontal="right" vertical="center"/>
    </xf>
    <xf numFmtId="4" fontId="32" fillId="34" borderId="430">
      <alignment horizontal="right" vertical="center"/>
    </xf>
    <xf numFmtId="0" fontId="32" fillId="34" borderId="431">
      <alignment horizontal="right" vertical="center"/>
    </xf>
    <xf numFmtId="4" fontId="32" fillId="34" borderId="431">
      <alignment horizontal="right" vertical="center"/>
    </xf>
    <xf numFmtId="0" fontId="46" fillId="56" borderId="426" applyNumberFormat="0" applyAlignment="0" applyProtection="0"/>
    <xf numFmtId="0" fontId="34" fillId="34" borderId="432">
      <alignment horizontal="left" vertical="center" wrapText="1" indent="2"/>
    </xf>
    <xf numFmtId="0" fontId="34" fillId="0" borderId="432">
      <alignment horizontal="left" vertical="center" wrapText="1" indent="2"/>
    </xf>
    <xf numFmtId="0" fontId="34" fillId="32" borderId="430">
      <alignment horizontal="left" vertical="center"/>
    </xf>
    <xf numFmtId="0" fontId="58" fillId="43" borderId="426" applyNumberFormat="0" applyAlignment="0" applyProtection="0"/>
    <xf numFmtId="0" fontId="34" fillId="0" borderId="429">
      <alignment horizontal="right" vertical="center"/>
    </xf>
    <xf numFmtId="4" fontId="34" fillId="0" borderId="429">
      <alignment horizontal="right" vertical="center"/>
    </xf>
    <xf numFmtId="0" fontId="34" fillId="0" borderId="429" applyNumberFormat="0" applyFill="0" applyAlignment="0" applyProtection="0"/>
    <xf numFmtId="0" fontId="62" fillId="56" borderId="425" applyNumberFormat="0" applyAlignment="0" applyProtection="0"/>
    <xf numFmtId="173" fontId="34" fillId="60" borderId="429" applyNumberFormat="0" applyFont="0" applyBorder="0" applyAlignment="0" applyProtection="0">
      <alignment horizontal="right" vertical="center"/>
    </xf>
    <xf numFmtId="0" fontId="34" fillId="33" borderId="429"/>
    <xf numFmtId="4" fontId="34" fillId="33" borderId="429"/>
    <xf numFmtId="0" fontId="65" fillId="0" borderId="427" applyNumberFormat="0" applyFill="0" applyAlignment="0" applyProtection="0"/>
    <xf numFmtId="0" fontId="5" fillId="59" borderId="428" applyNumberFormat="0" applyFont="0" applyAlignment="0" applyProtection="0"/>
    <xf numFmtId="0" fontId="40" fillId="59" borderId="428" applyNumberFormat="0" applyFont="0" applyAlignment="0" applyProtection="0"/>
    <xf numFmtId="0" fontId="34" fillId="0" borderId="429" applyNumberFormat="0" applyFill="0" applyAlignment="0" applyProtection="0"/>
    <xf numFmtId="0" fontId="50" fillId="0" borderId="427" applyNumberFormat="0" applyFill="0" applyAlignment="0" applyProtection="0"/>
    <xf numFmtId="0" fontId="65" fillId="0" borderId="427" applyNumberFormat="0" applyFill="0" applyAlignment="0" applyProtection="0"/>
    <xf numFmtId="0" fontId="49" fillId="43" borderId="426" applyNumberFormat="0" applyAlignment="0" applyProtection="0"/>
    <xf numFmtId="0" fontId="46" fillId="56" borderId="426" applyNumberFormat="0" applyAlignment="0" applyProtection="0"/>
    <xf numFmtId="4" fontId="36" fillId="32" borderId="429">
      <alignment horizontal="right" vertical="center"/>
    </xf>
    <xf numFmtId="0" fontId="32" fillId="32" borderId="429">
      <alignment horizontal="right" vertical="center"/>
    </xf>
    <xf numFmtId="173" fontId="34" fillId="60" borderId="429" applyNumberFormat="0" applyFont="0" applyBorder="0" applyAlignment="0" applyProtection="0">
      <alignment horizontal="right" vertical="center"/>
    </xf>
    <xf numFmtId="0" fontId="50" fillId="0" borderId="427" applyNumberFormat="0" applyFill="0" applyAlignment="0" applyProtection="0"/>
    <xf numFmtId="49" fontId="34" fillId="0" borderId="429" applyNumberFormat="0" applyFont="0" applyFill="0" applyBorder="0" applyProtection="0">
      <alignment horizontal="left" vertical="center" indent="2"/>
    </xf>
    <xf numFmtId="49" fontId="34" fillId="0" borderId="430" applyNumberFormat="0" applyFont="0" applyFill="0" applyBorder="0" applyProtection="0">
      <alignment horizontal="left" vertical="center" indent="5"/>
    </xf>
    <xf numFmtId="49" fontId="34" fillId="0" borderId="429" applyNumberFormat="0" applyFont="0" applyFill="0" applyBorder="0" applyProtection="0">
      <alignment horizontal="left" vertical="center" indent="2"/>
    </xf>
    <xf numFmtId="4" fontId="34" fillId="0" borderId="429" applyFill="0" applyBorder="0" applyProtection="0">
      <alignment horizontal="right" vertical="center"/>
    </xf>
    <xf numFmtId="49" fontId="33" fillId="0" borderId="429" applyNumberFormat="0" applyFill="0" applyBorder="0" applyProtection="0">
      <alignment horizontal="left" vertical="center"/>
    </xf>
    <xf numFmtId="0" fontId="34" fillId="0" borderId="432">
      <alignment horizontal="left" vertical="center" wrapText="1" indent="2"/>
    </xf>
    <xf numFmtId="0" fontId="62" fillId="56" borderId="425" applyNumberFormat="0" applyAlignment="0" applyProtection="0"/>
    <xf numFmtId="0" fontId="32" fillId="34" borderId="431">
      <alignment horizontal="right" vertical="center"/>
    </xf>
    <xf numFmtId="0" fontId="49" fillId="43" borderId="426" applyNumberFormat="0" applyAlignment="0" applyProtection="0"/>
    <xf numFmtId="0" fontId="32" fillId="34" borderId="431">
      <alignment horizontal="right" vertical="center"/>
    </xf>
    <xf numFmtId="4" fontId="32" fillId="34" borderId="429">
      <alignment horizontal="right" vertical="center"/>
    </xf>
    <xf numFmtId="0" fontId="32" fillId="34" borderId="429">
      <alignment horizontal="right" vertical="center"/>
    </xf>
    <xf numFmtId="0" fontId="43" fillId="56" borderId="425" applyNumberFormat="0" applyAlignment="0" applyProtection="0"/>
    <xf numFmtId="0" fontId="45" fillId="56" borderId="426" applyNumberFormat="0" applyAlignment="0" applyProtection="0"/>
    <xf numFmtId="0" fontId="50" fillId="0" borderId="427" applyNumberFormat="0" applyFill="0" applyAlignment="0" applyProtection="0"/>
    <xf numFmtId="0" fontId="34" fillId="33" borderId="429"/>
    <xf numFmtId="4" fontId="34" fillId="33" borderId="429"/>
    <xf numFmtId="4" fontId="32" fillId="34" borderId="429">
      <alignment horizontal="right" vertical="center"/>
    </xf>
    <xf numFmtId="0" fontId="36" fillId="32" borderId="429">
      <alignment horizontal="right" vertical="center"/>
    </xf>
    <xf numFmtId="0" fontId="49" fillId="43" borderId="426" applyNumberFormat="0" applyAlignment="0" applyProtection="0"/>
    <xf numFmtId="0" fontId="46" fillId="56" borderId="426" applyNumberFormat="0" applyAlignment="0" applyProtection="0"/>
    <xf numFmtId="4" fontId="34" fillId="0" borderId="429">
      <alignment horizontal="right" vertical="center"/>
    </xf>
    <xf numFmtId="0" fontId="34" fillId="34" borderId="432">
      <alignment horizontal="left" vertical="center" wrapText="1" indent="2"/>
    </xf>
    <xf numFmtId="0" fontId="34" fillId="0" borderId="432">
      <alignment horizontal="left" vertical="center" wrapText="1" indent="2"/>
    </xf>
    <xf numFmtId="0" fontId="62" fillId="56" borderId="425" applyNumberFormat="0" applyAlignment="0" applyProtection="0"/>
    <xf numFmtId="0" fontId="58" fillId="43" borderId="426" applyNumberFormat="0" applyAlignment="0" applyProtection="0"/>
    <xf numFmtId="0" fontId="45" fillId="56" borderId="426" applyNumberFormat="0" applyAlignment="0" applyProtection="0"/>
    <xf numFmtId="0" fontId="43" fillId="56" borderId="425" applyNumberFormat="0" applyAlignment="0" applyProtection="0"/>
    <xf numFmtId="0" fontId="32" fillId="34" borderId="431">
      <alignment horizontal="right" vertical="center"/>
    </xf>
    <xf numFmtId="0" fontId="36" fillId="32" borderId="429">
      <alignment horizontal="right" vertical="center"/>
    </xf>
    <xf numFmtId="4" fontId="32" fillId="32" borderId="429">
      <alignment horizontal="right" vertical="center"/>
    </xf>
    <xf numFmtId="4" fontId="32" fillId="34" borderId="429">
      <alignment horizontal="right" vertical="center"/>
    </xf>
    <xf numFmtId="49" fontId="34" fillId="0" borderId="430" applyNumberFormat="0" applyFont="0" applyFill="0" applyBorder="0" applyProtection="0">
      <alignment horizontal="left" vertical="center" indent="5"/>
    </xf>
    <xf numFmtId="4" fontId="34" fillId="0" borderId="429" applyFill="0" applyBorder="0" applyProtection="0">
      <alignment horizontal="right" vertical="center"/>
    </xf>
    <xf numFmtId="4" fontId="32" fillId="32" borderId="429">
      <alignment horizontal="right" vertical="center"/>
    </xf>
    <xf numFmtId="0" fontId="58" fillId="43" borderId="426" applyNumberFormat="0" applyAlignment="0" applyProtection="0"/>
    <xf numFmtId="0" fontId="49" fillId="43" borderId="426" applyNumberFormat="0" applyAlignment="0" applyProtection="0"/>
    <xf numFmtId="0" fontId="45" fillId="56" borderId="426" applyNumberFormat="0" applyAlignment="0" applyProtection="0"/>
    <xf numFmtId="0" fontId="34" fillId="34" borderId="432">
      <alignment horizontal="left" vertical="center" wrapText="1" indent="2"/>
    </xf>
    <xf numFmtId="0" fontId="34" fillId="0" borderId="432">
      <alignment horizontal="left" vertical="center" wrapText="1" indent="2"/>
    </xf>
    <xf numFmtId="0" fontId="34" fillId="34" borderId="432">
      <alignment horizontal="left" vertical="center" wrapText="1" indent="2"/>
    </xf>
    <xf numFmtId="0" fontId="34" fillId="0" borderId="432">
      <alignment horizontal="left" vertical="center" wrapText="1" indent="2"/>
    </xf>
    <xf numFmtId="0" fontId="43" fillId="56" borderId="425" applyNumberFormat="0" applyAlignment="0" applyProtection="0"/>
    <xf numFmtId="0" fontId="45" fillId="56" borderId="426" applyNumberFormat="0" applyAlignment="0" applyProtection="0"/>
    <xf numFmtId="0" fontId="46" fillId="56" borderId="426" applyNumberFormat="0" applyAlignment="0" applyProtection="0"/>
    <xf numFmtId="0" fontId="49" fillId="43" borderId="426" applyNumberFormat="0" applyAlignment="0" applyProtection="0"/>
    <xf numFmtId="0" fontId="50" fillId="0" borderId="427" applyNumberFormat="0" applyFill="0" applyAlignment="0" applyProtection="0"/>
    <xf numFmtId="0" fontId="58" fillId="43" borderId="426" applyNumberFormat="0" applyAlignment="0" applyProtection="0"/>
    <xf numFmtId="0" fontId="40" fillId="59" borderId="428" applyNumberFormat="0" applyFont="0" applyAlignment="0" applyProtection="0"/>
    <xf numFmtId="0" fontId="5" fillId="59" borderId="428" applyNumberFormat="0" applyFont="0" applyAlignment="0" applyProtection="0"/>
    <xf numFmtId="0" fontId="62" fillId="56" borderId="425" applyNumberFormat="0" applyAlignment="0" applyProtection="0"/>
    <xf numFmtId="0" fontId="65" fillId="0" borderId="427" applyNumberFormat="0" applyFill="0" applyAlignment="0" applyProtection="0"/>
    <xf numFmtId="0" fontId="46" fillId="56" borderId="426" applyNumberFormat="0" applyAlignment="0" applyProtection="0"/>
    <xf numFmtId="0" fontId="58" fillId="43" borderId="426" applyNumberFormat="0" applyAlignment="0" applyProtection="0"/>
    <xf numFmtId="0" fontId="40" fillId="59" borderId="428" applyNumberFormat="0" applyFont="0" applyAlignment="0" applyProtection="0"/>
    <xf numFmtId="0" fontId="62" fillId="56" borderId="425" applyNumberFormat="0" applyAlignment="0" applyProtection="0"/>
    <xf numFmtId="0" fontId="65" fillId="0" borderId="427" applyNumberFormat="0" applyFill="0" applyAlignment="0" applyProtection="0"/>
    <xf numFmtId="0" fontId="46" fillId="56" borderId="426" applyNumberFormat="0" applyAlignment="0" applyProtection="0"/>
    <xf numFmtId="0" fontId="58" fillId="43" borderId="426" applyNumberFormat="0" applyAlignment="0" applyProtection="0"/>
    <xf numFmtId="0" fontId="62" fillId="56" borderId="425" applyNumberFormat="0" applyAlignment="0" applyProtection="0"/>
    <xf numFmtId="0" fontId="65" fillId="0" borderId="427" applyNumberFormat="0" applyFill="0" applyAlignment="0" applyProtection="0"/>
    <xf numFmtId="0" fontId="43" fillId="56" borderId="425" applyNumberFormat="0" applyAlignment="0" applyProtection="0"/>
    <xf numFmtId="0" fontId="45" fillId="56" borderId="426" applyNumberFormat="0" applyAlignment="0" applyProtection="0"/>
    <xf numFmtId="0" fontId="50" fillId="0" borderId="427" applyNumberFormat="0" applyFill="0" applyAlignment="0" applyProtection="0"/>
    <xf numFmtId="49" fontId="34" fillId="0" borderId="429" applyNumberFormat="0" applyFont="0" applyFill="0" applyBorder="0" applyProtection="0">
      <alignment horizontal="left" vertical="center" indent="2"/>
    </xf>
    <xf numFmtId="0" fontId="32" fillId="32" borderId="429">
      <alignment horizontal="right" vertical="center"/>
    </xf>
    <xf numFmtId="4" fontId="32" fillId="32" borderId="429">
      <alignment horizontal="right" vertical="center"/>
    </xf>
    <xf numFmtId="0" fontId="36" fillId="32" borderId="429">
      <alignment horizontal="right" vertical="center"/>
    </xf>
    <xf numFmtId="4" fontId="36" fillId="32" borderId="429">
      <alignment horizontal="right" vertical="center"/>
    </xf>
    <xf numFmtId="0" fontId="32" fillId="34" borderId="429">
      <alignment horizontal="right" vertical="center"/>
    </xf>
    <xf numFmtId="4" fontId="32" fillId="34" borderId="429">
      <alignment horizontal="right" vertical="center"/>
    </xf>
    <xf numFmtId="0" fontId="32" fillId="34" borderId="429">
      <alignment horizontal="right" vertical="center"/>
    </xf>
    <xf numFmtId="4" fontId="32" fillId="34" borderId="429">
      <alignment horizontal="right" vertical="center"/>
    </xf>
    <xf numFmtId="0" fontId="49" fillId="43" borderId="426" applyNumberFormat="0" applyAlignment="0" applyProtection="0"/>
    <xf numFmtId="0" fontId="34" fillId="0" borderId="429">
      <alignment horizontal="right" vertical="center"/>
    </xf>
    <xf numFmtId="4" fontId="34" fillId="0" borderId="429">
      <alignment horizontal="right" vertical="center"/>
    </xf>
    <xf numFmtId="4" fontId="34" fillId="0" borderId="429" applyFill="0" applyBorder="0" applyProtection="0">
      <alignment horizontal="right" vertical="center"/>
    </xf>
    <xf numFmtId="49" fontId="33" fillId="0" borderId="429" applyNumberFormat="0" applyFill="0" applyBorder="0" applyProtection="0">
      <alignment horizontal="left" vertical="center"/>
    </xf>
    <xf numFmtId="0" fontId="34" fillId="0" borderId="429" applyNumberFormat="0" applyFill="0" applyAlignment="0" applyProtection="0"/>
    <xf numFmtId="173" fontId="34" fillId="60" borderId="429" applyNumberFormat="0" applyFont="0" applyBorder="0" applyAlignment="0" applyProtection="0">
      <alignment horizontal="right" vertical="center"/>
    </xf>
    <xf numFmtId="0" fontId="34" fillId="33" borderId="429"/>
    <xf numFmtId="4" fontId="34" fillId="33" borderId="429"/>
    <xf numFmtId="4" fontId="32" fillId="34" borderId="429">
      <alignment horizontal="right" vertical="center"/>
    </xf>
    <xf numFmtId="0" fontId="34" fillId="33" borderId="429"/>
    <xf numFmtId="0" fontId="45" fillId="56" borderId="426" applyNumberFormat="0" applyAlignment="0" applyProtection="0"/>
    <xf numFmtId="0" fontId="32" fillId="32" borderId="429">
      <alignment horizontal="right" vertical="center"/>
    </xf>
    <xf numFmtId="0" fontId="34" fillId="0" borderId="429">
      <alignment horizontal="right" vertical="center"/>
    </xf>
    <xf numFmtId="0" fontId="65" fillId="0" borderId="427" applyNumberFormat="0" applyFill="0" applyAlignment="0" applyProtection="0"/>
    <xf numFmtId="0" fontId="34" fillId="32" borderId="430">
      <alignment horizontal="left" vertical="center"/>
    </xf>
    <xf numFmtId="0" fontId="58" fillId="43" borderId="426" applyNumberFormat="0" applyAlignment="0" applyProtection="0"/>
    <xf numFmtId="173" fontId="34" fillId="60" borderId="429" applyNumberFormat="0" applyFont="0" applyBorder="0" applyAlignment="0" applyProtection="0">
      <alignment horizontal="right" vertical="center"/>
    </xf>
    <xf numFmtId="0" fontId="40" fillId="59" borderId="428" applyNumberFormat="0" applyFont="0" applyAlignment="0" applyProtection="0"/>
    <xf numFmtId="0" fontId="34" fillId="0" borderId="432">
      <alignment horizontal="left" vertical="center" wrapText="1" indent="2"/>
    </xf>
    <xf numFmtId="4" fontId="34" fillId="33" borderId="429"/>
    <xf numFmtId="49" fontId="33" fillId="0" borderId="429" applyNumberFormat="0" applyFill="0" applyBorder="0" applyProtection="0">
      <alignment horizontal="left" vertical="center"/>
    </xf>
    <xf numFmtId="0" fontId="34" fillId="0" borderId="429">
      <alignment horizontal="right" vertical="center"/>
    </xf>
    <xf numFmtId="4" fontId="32" fillId="34" borderId="431">
      <alignment horizontal="right" vertical="center"/>
    </xf>
    <xf numFmtId="4" fontId="32" fillId="34" borderId="429">
      <alignment horizontal="right" vertical="center"/>
    </xf>
    <xf numFmtId="4" fontId="32" fillId="34" borderId="429">
      <alignment horizontal="right" vertical="center"/>
    </xf>
    <xf numFmtId="0" fontId="36" fillId="32" borderId="429">
      <alignment horizontal="right" vertical="center"/>
    </xf>
    <xf numFmtId="0" fontId="32" fillId="32" borderId="429">
      <alignment horizontal="right" vertical="center"/>
    </xf>
    <xf numFmtId="49" fontId="34" fillId="0" borderId="429" applyNumberFormat="0" applyFont="0" applyFill="0" applyBorder="0" applyProtection="0">
      <alignment horizontal="left" vertical="center" indent="2"/>
    </xf>
    <xf numFmtId="0" fontId="58" fillId="43" borderId="426" applyNumberFormat="0" applyAlignment="0" applyProtection="0"/>
    <xf numFmtId="0" fontId="43" fillId="56" borderId="425" applyNumberFormat="0" applyAlignment="0" applyProtection="0"/>
    <xf numFmtId="49" fontId="34" fillId="0" borderId="429" applyNumberFormat="0" applyFont="0" applyFill="0" applyBorder="0" applyProtection="0">
      <alignment horizontal="left" vertical="center" indent="2"/>
    </xf>
    <xf numFmtId="0" fontId="49" fillId="43" borderId="426" applyNumberFormat="0" applyAlignment="0" applyProtection="0"/>
    <xf numFmtId="4" fontId="34" fillId="0" borderId="429" applyFill="0" applyBorder="0" applyProtection="0">
      <alignment horizontal="right" vertical="center"/>
    </xf>
    <xf numFmtId="0" fontId="46" fillId="56" borderId="426" applyNumberFormat="0" applyAlignment="0" applyProtection="0"/>
    <xf numFmtId="0" fontId="65" fillId="0" borderId="427" applyNumberFormat="0" applyFill="0" applyAlignment="0" applyProtection="0"/>
    <xf numFmtId="0" fontId="62" fillId="56" borderId="425" applyNumberFormat="0" applyAlignment="0" applyProtection="0"/>
    <xf numFmtId="0" fontId="34" fillId="0" borderId="429" applyNumberFormat="0" applyFill="0" applyAlignment="0" applyProtection="0"/>
    <xf numFmtId="4" fontId="34" fillId="0" borderId="429">
      <alignment horizontal="right" vertical="center"/>
    </xf>
    <xf numFmtId="0" fontId="34" fillId="0" borderId="429">
      <alignment horizontal="right" vertical="center"/>
    </xf>
    <xf numFmtId="0" fontId="58" fillId="43" borderId="426" applyNumberFormat="0" applyAlignment="0" applyProtection="0"/>
    <xf numFmtId="0" fontId="43" fillId="56" borderId="425" applyNumberFormat="0" applyAlignment="0" applyProtection="0"/>
    <xf numFmtId="0" fontId="45" fillId="56" borderId="426" applyNumberFormat="0" applyAlignment="0" applyProtection="0"/>
    <xf numFmtId="0" fontId="34" fillId="34" borderId="432">
      <alignment horizontal="left" vertical="center" wrapText="1" indent="2"/>
    </xf>
    <xf numFmtId="0" fontId="46" fillId="56" borderId="426" applyNumberFormat="0" applyAlignment="0" applyProtection="0"/>
    <xf numFmtId="0" fontId="46" fillId="56" borderId="426" applyNumberFormat="0" applyAlignment="0" applyProtection="0"/>
    <xf numFmtId="4" fontId="32" fillId="34" borderId="430">
      <alignment horizontal="right" vertical="center"/>
    </xf>
    <xf numFmtId="0" fontId="32" fillId="34" borderId="430">
      <alignment horizontal="right" vertical="center"/>
    </xf>
    <xf numFmtId="0" fontId="32" fillId="34" borderId="429">
      <alignment horizontal="right" vertical="center"/>
    </xf>
    <xf numFmtId="4" fontId="36" fillId="32" borderId="429">
      <alignment horizontal="right" vertical="center"/>
    </xf>
    <xf numFmtId="0" fontId="49" fillId="43" borderId="426" applyNumberFormat="0" applyAlignment="0" applyProtection="0"/>
    <xf numFmtId="0" fontId="50" fillId="0" borderId="427" applyNumberFormat="0" applyFill="0" applyAlignment="0" applyProtection="0"/>
    <xf numFmtId="0" fontId="65" fillId="0" borderId="427" applyNumberFormat="0" applyFill="0" applyAlignment="0" applyProtection="0"/>
    <xf numFmtId="0" fontId="40" fillId="59" borderId="428" applyNumberFormat="0" applyFont="0" applyAlignment="0" applyProtection="0"/>
    <xf numFmtId="0" fontId="58" fillId="43" borderId="426" applyNumberFormat="0" applyAlignment="0" applyProtection="0"/>
    <xf numFmtId="49" fontId="33" fillId="0" borderId="429" applyNumberFormat="0" applyFill="0" applyBorder="0" applyProtection="0">
      <alignment horizontal="left" vertical="center"/>
    </xf>
    <xf numFmtId="0" fontId="34" fillId="34" borderId="432">
      <alignment horizontal="left" vertical="center" wrapText="1" indent="2"/>
    </xf>
    <xf numFmtId="0" fontId="46" fillId="56" borderId="426" applyNumberFormat="0" applyAlignment="0" applyProtection="0"/>
    <xf numFmtId="0" fontId="34" fillId="0" borderId="432">
      <alignment horizontal="left" vertical="center" wrapText="1" indent="2"/>
    </xf>
    <xf numFmtId="0" fontId="40" fillId="59" borderId="428" applyNumberFormat="0" applyFont="0" applyAlignment="0" applyProtection="0"/>
    <xf numFmtId="0" fontId="5" fillId="59" borderId="428" applyNumberFormat="0" applyFont="0" applyAlignment="0" applyProtection="0"/>
    <xf numFmtId="0" fontId="62" fillId="56" borderId="425" applyNumberFormat="0" applyAlignment="0" applyProtection="0"/>
    <xf numFmtId="0" fontId="65" fillId="0" borderId="427" applyNumberFormat="0" applyFill="0" applyAlignment="0" applyProtection="0"/>
    <xf numFmtId="4" fontId="34" fillId="33" borderId="429"/>
    <xf numFmtId="0" fontId="32" fillId="34" borderId="429">
      <alignment horizontal="right" vertical="center"/>
    </xf>
    <xf numFmtId="0" fontId="65" fillId="0" borderId="427" applyNumberFormat="0" applyFill="0" applyAlignment="0" applyProtection="0"/>
    <xf numFmtId="4" fontId="32" fillId="34" borderId="431">
      <alignment horizontal="right" vertical="center"/>
    </xf>
    <xf numFmtId="0" fontId="45" fillId="56" borderId="426" applyNumberFormat="0" applyAlignment="0" applyProtection="0"/>
    <xf numFmtId="0" fontId="32" fillId="34" borderId="430">
      <alignment horizontal="right" vertical="center"/>
    </xf>
    <xf numFmtId="0" fontId="46" fillId="56" borderId="426" applyNumberFormat="0" applyAlignment="0" applyProtection="0"/>
    <xf numFmtId="0" fontId="50" fillId="0" borderId="427" applyNumberFormat="0" applyFill="0" applyAlignment="0" applyProtection="0"/>
    <xf numFmtId="0" fontId="40" fillId="59" borderId="428" applyNumberFormat="0" applyFont="0" applyAlignment="0" applyProtection="0"/>
    <xf numFmtId="4" fontId="32" fillId="34" borderId="430">
      <alignment horizontal="right" vertical="center"/>
    </xf>
    <xf numFmtId="0" fontId="34" fillId="34" borderId="432">
      <alignment horizontal="left" vertical="center" wrapText="1" indent="2"/>
    </xf>
    <xf numFmtId="0" fontId="34" fillId="33" borderId="429"/>
    <xf numFmtId="173" fontId="34" fillId="60" borderId="429" applyNumberFormat="0" applyFont="0" applyBorder="0" applyAlignment="0" applyProtection="0">
      <alignment horizontal="right" vertical="center"/>
    </xf>
    <xf numFmtId="0" fontId="34" fillId="0" borderId="429" applyNumberFormat="0" applyFill="0" applyAlignment="0" applyProtection="0"/>
    <xf numFmtId="4" fontId="34" fillId="0" borderId="429" applyFill="0" applyBorder="0" applyProtection="0">
      <alignment horizontal="right" vertical="center"/>
    </xf>
    <xf numFmtId="4" fontId="32" fillId="32" borderId="429">
      <alignment horizontal="right" vertical="center"/>
    </xf>
    <xf numFmtId="0" fontId="50" fillId="0" borderId="427" applyNumberFormat="0" applyFill="0" applyAlignment="0" applyProtection="0"/>
    <xf numFmtId="49" fontId="33" fillId="0" borderId="429" applyNumberFormat="0" applyFill="0" applyBorder="0" applyProtection="0">
      <alignment horizontal="left" vertical="center"/>
    </xf>
    <xf numFmtId="49" fontId="34" fillId="0" borderId="430" applyNumberFormat="0" applyFont="0" applyFill="0" applyBorder="0" applyProtection="0">
      <alignment horizontal="left" vertical="center" indent="5"/>
    </xf>
    <xf numFmtId="0" fontId="34" fillId="32" borderId="430">
      <alignment horizontal="left" vertical="center"/>
    </xf>
    <xf numFmtId="0" fontId="46" fillId="56" borderId="426" applyNumberFormat="0" applyAlignment="0" applyProtection="0"/>
    <xf numFmtId="4" fontId="32" fillId="34" borderId="431">
      <alignment horizontal="right" vertical="center"/>
    </xf>
    <xf numFmtId="0" fontId="58" fillId="43" borderId="426" applyNumberFormat="0" applyAlignment="0" applyProtection="0"/>
    <xf numFmtId="0" fontId="58" fillId="43" borderId="426" applyNumberFormat="0" applyAlignment="0" applyProtection="0"/>
    <xf numFmtId="0" fontId="40" fillId="59" borderId="428" applyNumberFormat="0" applyFont="0" applyAlignment="0" applyProtection="0"/>
    <xf numFmtId="0" fontId="62" fillId="56" borderId="425" applyNumberFormat="0" applyAlignment="0" applyProtection="0"/>
    <xf numFmtId="0" fontId="65" fillId="0" borderId="427" applyNumberFormat="0" applyFill="0" applyAlignment="0" applyProtection="0"/>
    <xf numFmtId="0" fontId="32" fillId="34" borderId="429">
      <alignment horizontal="right" vertical="center"/>
    </xf>
    <xf numFmtId="0" fontId="5" fillId="59" borderId="428" applyNumberFormat="0" applyFont="0" applyAlignment="0" applyProtection="0"/>
    <xf numFmtId="4" fontId="34" fillId="0" borderId="429">
      <alignment horizontal="right" vertical="center"/>
    </xf>
    <xf numFmtId="0" fontId="65" fillId="0" borderId="427" applyNumberFormat="0" applyFill="0" applyAlignment="0" applyProtection="0"/>
    <xf numFmtId="0" fontId="32" fillId="34" borderId="429">
      <alignment horizontal="right" vertical="center"/>
    </xf>
    <xf numFmtId="0" fontId="32" fillId="34" borderId="429">
      <alignment horizontal="right" vertical="center"/>
    </xf>
    <xf numFmtId="4" fontId="36" fillId="32" borderId="429">
      <alignment horizontal="right" vertical="center"/>
    </xf>
    <xf numFmtId="0" fontId="32" fillId="32" borderId="429">
      <alignment horizontal="right" vertical="center"/>
    </xf>
    <xf numFmtId="4" fontId="32" fillId="32" borderId="429">
      <alignment horizontal="right" vertical="center"/>
    </xf>
    <xf numFmtId="0" fontId="36" fillId="32" borderId="429">
      <alignment horizontal="right" vertical="center"/>
    </xf>
    <xf numFmtId="4" fontId="36" fillId="32" borderId="429">
      <alignment horizontal="right" vertical="center"/>
    </xf>
    <xf numFmtId="0" fontId="32" fillId="34" borderId="429">
      <alignment horizontal="right" vertical="center"/>
    </xf>
    <xf numFmtId="4" fontId="32" fillId="34" borderId="429">
      <alignment horizontal="right" vertical="center"/>
    </xf>
    <xf numFmtId="0" fontId="32" fillId="34" borderId="429">
      <alignment horizontal="right" vertical="center"/>
    </xf>
    <xf numFmtId="4" fontId="32" fillId="34" borderId="429">
      <alignment horizontal="right" vertical="center"/>
    </xf>
    <xf numFmtId="0" fontId="32" fillId="34" borderId="430">
      <alignment horizontal="right" vertical="center"/>
    </xf>
    <xf numFmtId="4" fontId="32" fillId="34" borderId="430">
      <alignment horizontal="right" vertical="center"/>
    </xf>
    <xf numFmtId="0" fontId="32" fillId="34" borderId="431">
      <alignment horizontal="right" vertical="center"/>
    </xf>
    <xf numFmtId="4" fontId="32" fillId="34" borderId="431">
      <alignment horizontal="right" vertical="center"/>
    </xf>
    <xf numFmtId="0" fontId="46" fillId="56" borderId="426" applyNumberFormat="0" applyAlignment="0" applyProtection="0"/>
    <xf numFmtId="0" fontId="34" fillId="34" borderId="432">
      <alignment horizontal="left" vertical="center" wrapText="1" indent="2"/>
    </xf>
    <xf numFmtId="0" fontId="34" fillId="0" borderId="432">
      <alignment horizontal="left" vertical="center" wrapText="1" indent="2"/>
    </xf>
    <xf numFmtId="0" fontId="34" fillId="32" borderId="430">
      <alignment horizontal="left" vertical="center"/>
    </xf>
    <xf numFmtId="0" fontId="58" fillId="43" borderId="426" applyNumberFormat="0" applyAlignment="0" applyProtection="0"/>
    <xf numFmtId="0" fontId="34" fillId="0" borderId="429">
      <alignment horizontal="right" vertical="center"/>
    </xf>
    <xf numFmtId="4" fontId="34" fillId="0" borderId="429">
      <alignment horizontal="right" vertical="center"/>
    </xf>
    <xf numFmtId="0" fontId="34" fillId="0" borderId="429" applyNumberFormat="0" applyFill="0" applyAlignment="0" applyProtection="0"/>
    <xf numFmtId="0" fontId="62" fillId="56" borderId="425" applyNumberFormat="0" applyAlignment="0" applyProtection="0"/>
    <xf numFmtId="173" fontId="34" fillId="60" borderId="429" applyNumberFormat="0" applyFont="0" applyBorder="0" applyAlignment="0" applyProtection="0">
      <alignment horizontal="right" vertical="center"/>
    </xf>
    <xf numFmtId="0" fontId="34" fillId="33" borderId="429"/>
    <xf numFmtId="4" fontId="34" fillId="33" borderId="429"/>
    <xf numFmtId="0" fontId="65" fillId="0" borderId="427" applyNumberFormat="0" applyFill="0" applyAlignment="0" applyProtection="0"/>
    <xf numFmtId="0" fontId="5" fillId="59" borderId="428" applyNumberFormat="0" applyFont="0" applyAlignment="0" applyProtection="0"/>
    <xf numFmtId="0" fontId="40" fillId="59" borderId="428" applyNumberFormat="0" applyFont="0" applyAlignment="0" applyProtection="0"/>
    <xf numFmtId="0" fontId="34" fillId="0" borderId="429" applyNumberFormat="0" applyFill="0" applyAlignment="0" applyProtection="0"/>
    <xf numFmtId="0" fontId="50" fillId="0" borderId="427" applyNumberFormat="0" applyFill="0" applyAlignment="0" applyProtection="0"/>
    <xf numFmtId="0" fontId="65" fillId="0" borderId="427" applyNumberFormat="0" applyFill="0" applyAlignment="0" applyProtection="0"/>
    <xf numFmtId="0" fontId="49" fillId="43" borderId="426" applyNumberFormat="0" applyAlignment="0" applyProtection="0"/>
    <xf numFmtId="0" fontId="46" fillId="56" borderId="426" applyNumberFormat="0" applyAlignment="0" applyProtection="0"/>
    <xf numFmtId="4" fontId="36" fillId="32" borderId="429">
      <alignment horizontal="right" vertical="center"/>
    </xf>
    <xf numFmtId="0" fontId="32" fillId="32" borderId="429">
      <alignment horizontal="right" vertical="center"/>
    </xf>
    <xf numFmtId="173" fontId="34" fillId="60" borderId="429" applyNumberFormat="0" applyFont="0" applyBorder="0" applyAlignment="0" applyProtection="0">
      <alignment horizontal="right" vertical="center"/>
    </xf>
    <xf numFmtId="0" fontId="50" fillId="0" borderId="427" applyNumberFormat="0" applyFill="0" applyAlignment="0" applyProtection="0"/>
    <xf numFmtId="49" fontId="34" fillId="0" borderId="429" applyNumberFormat="0" applyFont="0" applyFill="0" applyBorder="0" applyProtection="0">
      <alignment horizontal="left" vertical="center" indent="2"/>
    </xf>
    <xf numFmtId="49" fontId="34" fillId="0" borderId="430" applyNumberFormat="0" applyFont="0" applyFill="0" applyBorder="0" applyProtection="0">
      <alignment horizontal="left" vertical="center" indent="5"/>
    </xf>
    <xf numFmtId="49" fontId="34" fillId="0" borderId="429" applyNumberFormat="0" applyFont="0" applyFill="0" applyBorder="0" applyProtection="0">
      <alignment horizontal="left" vertical="center" indent="2"/>
    </xf>
    <xf numFmtId="4" fontId="34" fillId="0" borderId="429" applyFill="0" applyBorder="0" applyProtection="0">
      <alignment horizontal="right" vertical="center"/>
    </xf>
    <xf numFmtId="49" fontId="33" fillId="0" borderId="429" applyNumberFormat="0" applyFill="0" applyBorder="0" applyProtection="0">
      <alignment horizontal="left" vertical="center"/>
    </xf>
    <xf numFmtId="0" fontId="34" fillId="0" borderId="432">
      <alignment horizontal="left" vertical="center" wrapText="1" indent="2"/>
    </xf>
    <xf numFmtId="0" fontId="62" fillId="56" borderId="425" applyNumberFormat="0" applyAlignment="0" applyProtection="0"/>
    <xf numFmtId="0" fontId="32" fillId="34" borderId="431">
      <alignment horizontal="right" vertical="center"/>
    </xf>
    <xf numFmtId="0" fontId="49" fillId="43" borderId="426" applyNumberFormat="0" applyAlignment="0" applyProtection="0"/>
    <xf numFmtId="0" fontId="32" fillId="34" borderId="431">
      <alignment horizontal="right" vertical="center"/>
    </xf>
    <xf numFmtId="4" fontId="32" fillId="34" borderId="429">
      <alignment horizontal="right" vertical="center"/>
    </xf>
    <xf numFmtId="0" fontId="32" fillId="34" borderId="429">
      <alignment horizontal="right" vertical="center"/>
    </xf>
    <xf numFmtId="0" fontId="43" fillId="56" borderId="425" applyNumberFormat="0" applyAlignment="0" applyProtection="0"/>
    <xf numFmtId="0" fontId="45" fillId="56" borderId="426" applyNumberFormat="0" applyAlignment="0" applyProtection="0"/>
    <xf numFmtId="0" fontId="50" fillId="0" borderId="427" applyNumberFormat="0" applyFill="0" applyAlignment="0" applyProtection="0"/>
    <xf numFmtId="0" fontId="34" fillId="33" borderId="429"/>
    <xf numFmtId="4" fontId="34" fillId="33" borderId="429"/>
    <xf numFmtId="4" fontId="32" fillId="34" borderId="429">
      <alignment horizontal="right" vertical="center"/>
    </xf>
    <xf numFmtId="0" fontId="36" fillId="32" borderId="429">
      <alignment horizontal="right" vertical="center"/>
    </xf>
    <xf numFmtId="0" fontId="49" fillId="43" borderId="426" applyNumberFormat="0" applyAlignment="0" applyProtection="0"/>
    <xf numFmtId="0" fontId="46" fillId="56" borderId="426" applyNumberFormat="0" applyAlignment="0" applyProtection="0"/>
    <xf numFmtId="4" fontId="34" fillId="0" borderId="429">
      <alignment horizontal="right" vertical="center"/>
    </xf>
    <xf numFmtId="0" fontId="34" fillId="34" borderId="432">
      <alignment horizontal="left" vertical="center" wrapText="1" indent="2"/>
    </xf>
    <xf numFmtId="0" fontId="34" fillId="0" borderId="432">
      <alignment horizontal="left" vertical="center" wrapText="1" indent="2"/>
    </xf>
    <xf numFmtId="0" fontId="62" fillId="56" borderId="425" applyNumberFormat="0" applyAlignment="0" applyProtection="0"/>
    <xf numFmtId="0" fontId="58" fillId="43" borderId="426" applyNumberFormat="0" applyAlignment="0" applyProtection="0"/>
    <xf numFmtId="0" fontId="45" fillId="56" borderId="426" applyNumberFormat="0" applyAlignment="0" applyProtection="0"/>
    <xf numFmtId="0" fontId="43" fillId="56" borderId="425" applyNumberFormat="0" applyAlignment="0" applyProtection="0"/>
    <xf numFmtId="0" fontId="32" fillId="34" borderId="431">
      <alignment horizontal="right" vertical="center"/>
    </xf>
    <xf numFmtId="0" fontId="36" fillId="32" borderId="429">
      <alignment horizontal="right" vertical="center"/>
    </xf>
    <xf numFmtId="4" fontId="32" fillId="32" borderId="429">
      <alignment horizontal="right" vertical="center"/>
    </xf>
    <xf numFmtId="4" fontId="32" fillId="34" borderId="429">
      <alignment horizontal="right" vertical="center"/>
    </xf>
    <xf numFmtId="49" fontId="34" fillId="0" borderId="430" applyNumberFormat="0" applyFont="0" applyFill="0" applyBorder="0" applyProtection="0">
      <alignment horizontal="left" vertical="center" indent="5"/>
    </xf>
    <xf numFmtId="4" fontId="34" fillId="0" borderId="429" applyFill="0" applyBorder="0" applyProtection="0">
      <alignment horizontal="right" vertical="center"/>
    </xf>
    <xf numFmtId="4" fontId="32" fillId="32" borderId="429">
      <alignment horizontal="right" vertical="center"/>
    </xf>
    <xf numFmtId="0" fontId="58" fillId="43" borderId="426" applyNumberFormat="0" applyAlignment="0" applyProtection="0"/>
    <xf numFmtId="0" fontId="49" fillId="43" borderId="426" applyNumberFormat="0" applyAlignment="0" applyProtection="0"/>
    <xf numFmtId="0" fontId="45" fillId="56" borderId="426" applyNumberFormat="0" applyAlignment="0" applyProtection="0"/>
    <xf numFmtId="0" fontId="34" fillId="34" borderId="432">
      <alignment horizontal="left" vertical="center" wrapText="1" indent="2"/>
    </xf>
    <xf numFmtId="0" fontId="34" fillId="0" borderId="432">
      <alignment horizontal="left" vertical="center" wrapText="1" indent="2"/>
    </xf>
    <xf numFmtId="0" fontId="34" fillId="34" borderId="432">
      <alignment horizontal="left" vertical="center" wrapText="1" indent="2"/>
    </xf>
    <xf numFmtId="0" fontId="26" fillId="27" borderId="0" applyNumberFormat="0" applyBorder="0" applyAlignment="0" applyProtection="0"/>
    <xf numFmtId="0" fontId="26" fillId="18" borderId="0" applyNumberFormat="0" applyBorder="0" applyAlignment="0" applyProtection="0"/>
    <xf numFmtId="0" fontId="26" fillId="21" borderId="0" applyNumberFormat="0" applyBorder="0" applyAlignment="0" applyProtection="0"/>
    <xf numFmtId="0" fontId="2" fillId="0" borderId="15" applyNumberFormat="0" applyFill="0" applyAlignment="0" applyProtection="0"/>
    <xf numFmtId="0" fontId="12" fillId="28" borderId="0" applyNumberFormat="0" applyBorder="0" applyAlignment="0" applyProtection="0"/>
    <xf numFmtId="0" fontId="26" fillId="21" borderId="0" applyNumberFormat="0" applyBorder="0" applyAlignment="0" applyProtection="0"/>
    <xf numFmtId="0" fontId="26" fillId="26" borderId="0" applyNumberFormat="0" applyBorder="0" applyAlignment="0" applyProtection="0"/>
    <xf numFmtId="0" fontId="12" fillId="31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9" fillId="13" borderId="13" applyNumberFormat="0" applyAlignment="0" applyProtection="0"/>
    <xf numFmtId="0" fontId="26" fillId="24" borderId="0" applyNumberFormat="0" applyBorder="0" applyAlignment="0" applyProtection="0"/>
    <xf numFmtId="0" fontId="12" fillId="28" borderId="0" applyNumberFormat="0" applyBorder="0" applyAlignment="0" applyProtection="0"/>
    <xf numFmtId="0" fontId="12" fillId="25" borderId="0" applyNumberFormat="0" applyBorder="0" applyAlignment="0" applyProtection="0"/>
    <xf numFmtId="0" fontId="26" fillId="24" borderId="0" applyNumberFormat="0" applyBorder="0" applyAlignment="0" applyProtection="0"/>
    <xf numFmtId="0" fontId="26" fillId="20" borderId="0" applyNumberFormat="0" applyBorder="0" applyAlignment="0" applyProtection="0"/>
    <xf numFmtId="0" fontId="30" fillId="0" borderId="0" applyNumberFormat="0" applyFill="0" applyBorder="0" applyAlignment="0" applyProtection="0"/>
    <xf numFmtId="0" fontId="2" fillId="0" borderId="15" applyNumberFormat="0" applyFill="0" applyAlignment="0" applyProtection="0"/>
    <xf numFmtId="0" fontId="12" fillId="31" borderId="0" applyNumberFormat="0" applyBorder="0" applyAlignment="0" applyProtection="0"/>
    <xf numFmtId="0" fontId="12" fillId="25" borderId="0" applyNumberFormat="0" applyBorder="0" applyAlignment="0" applyProtection="0"/>
    <xf numFmtId="0" fontId="26" fillId="30" borderId="0" applyNumberFormat="0" applyBorder="0" applyAlignment="0" applyProtection="0"/>
    <xf numFmtId="0" fontId="26" fillId="17" borderId="0" applyNumberFormat="0" applyBorder="0" applyAlignment="0" applyProtection="0"/>
    <xf numFmtId="0" fontId="12" fillId="22" borderId="0" applyNumberFormat="0" applyBorder="0" applyAlignment="0" applyProtection="0"/>
    <xf numFmtId="0" fontId="12" fillId="19" borderId="0" applyNumberFormat="0" applyBorder="0" applyAlignment="0" applyProtection="0"/>
    <xf numFmtId="0" fontId="28" fillId="13" borderId="14" applyNumberFormat="0" applyAlignment="0" applyProtection="0"/>
    <xf numFmtId="0" fontId="32" fillId="34" borderId="462">
      <alignment horizontal="right" vertical="center"/>
    </xf>
    <xf numFmtId="0" fontId="34" fillId="33" borderId="454"/>
    <xf numFmtId="0" fontId="49" fillId="43" borderId="441" applyNumberFormat="0" applyAlignment="0" applyProtection="0"/>
    <xf numFmtId="0" fontId="28" fillId="13" borderId="14" applyNumberFormat="0" applyAlignment="0" applyProtection="0"/>
    <xf numFmtId="0" fontId="40" fillId="59" borderId="461" applyNumberFormat="0" applyFont="0" applyAlignment="0" applyProtection="0"/>
    <xf numFmtId="0" fontId="45" fillId="56" borderId="491" applyNumberFormat="0" applyAlignment="0" applyProtection="0"/>
    <xf numFmtId="0" fontId="32" fillId="34" borderId="446">
      <alignment horizontal="right" vertical="center"/>
    </xf>
    <xf numFmtId="0" fontId="62" fillId="56" borderId="466" applyNumberFormat="0" applyAlignment="0" applyProtection="0"/>
    <xf numFmtId="49" fontId="34" fillId="0" borderId="444" applyNumberFormat="0" applyFont="0" applyFill="0" applyBorder="0" applyProtection="0">
      <alignment horizontal="left" vertical="center" indent="2"/>
    </xf>
    <xf numFmtId="0" fontId="36" fillId="32" borderId="444">
      <alignment horizontal="right" vertical="center"/>
    </xf>
    <xf numFmtId="173" fontId="34" fillId="60" borderId="444" applyNumberFormat="0" applyFont="0" applyBorder="0" applyAlignment="0" applyProtection="0">
      <alignment horizontal="right" vertical="center"/>
    </xf>
    <xf numFmtId="0" fontId="58" fillId="43" borderId="491" applyNumberFormat="0" applyAlignment="0" applyProtection="0"/>
    <xf numFmtId="0" fontId="62" fillId="56" borderId="466" applyNumberFormat="0" applyAlignment="0" applyProtection="0"/>
    <xf numFmtId="4" fontId="34" fillId="0" borderId="444">
      <alignment horizontal="right" vertical="center"/>
    </xf>
    <xf numFmtId="0" fontId="65" fillId="0" borderId="460" applyNumberFormat="0" applyFill="0" applyAlignment="0" applyProtection="0"/>
    <xf numFmtId="0" fontId="26" fillId="14" borderId="0" applyNumberFormat="0" applyBorder="0" applyAlignment="0" applyProtection="0"/>
    <xf numFmtId="0" fontId="32" fillId="34" borderId="444">
      <alignment horizontal="right" vertical="center"/>
    </xf>
    <xf numFmtId="0" fontId="46" fillId="56" borderId="468" applyNumberFormat="0" applyAlignment="0" applyProtection="0"/>
    <xf numFmtId="0" fontId="65" fillId="0" borderId="477" applyNumberFormat="0" applyFill="0" applyAlignment="0" applyProtection="0"/>
    <xf numFmtId="0" fontId="29" fillId="13" borderId="13" applyNumberFormat="0" applyAlignment="0" applyProtection="0"/>
    <xf numFmtId="4" fontId="34" fillId="33" borderId="444"/>
    <xf numFmtId="0" fontId="32" fillId="34" borderId="462">
      <alignment horizontal="right" vertical="center"/>
    </xf>
    <xf numFmtId="0" fontId="5" fillId="59" borderId="443" applyNumberFormat="0" applyFont="0" applyAlignment="0" applyProtection="0"/>
    <xf numFmtId="0" fontId="34" fillId="0" borderId="444">
      <alignment horizontal="right" vertical="center"/>
    </xf>
    <xf numFmtId="0" fontId="32" fillId="32" borderId="444">
      <alignment horizontal="right" vertical="center"/>
    </xf>
    <xf numFmtId="4" fontId="32" fillId="34" borderId="446">
      <alignment horizontal="right" vertical="center"/>
    </xf>
    <xf numFmtId="0" fontId="49" fillId="43" borderId="468" applyNumberFormat="0" applyAlignment="0" applyProtection="0"/>
    <xf numFmtId="0" fontId="32" fillId="34" borderId="446">
      <alignment horizontal="right" vertical="center"/>
    </xf>
    <xf numFmtId="0" fontId="40" fillId="59" borderId="461" applyNumberFormat="0" applyFont="0" applyAlignment="0" applyProtection="0"/>
    <xf numFmtId="0" fontId="26" fillId="14" borderId="0" applyNumberFormat="0" applyBorder="0" applyAlignment="0" applyProtection="0"/>
    <xf numFmtId="0" fontId="26" fillId="29" borderId="0" applyNumberFormat="0" applyBorder="0" applyAlignment="0" applyProtection="0"/>
    <xf numFmtId="0" fontId="65" fillId="0" borderId="469" applyNumberFormat="0" applyFill="0" applyAlignment="0" applyProtection="0"/>
    <xf numFmtId="4" fontId="34" fillId="0" borderId="444">
      <alignment horizontal="right" vertical="center"/>
    </xf>
    <xf numFmtId="0" fontId="34" fillId="34" borderId="465">
      <alignment horizontal="left" vertical="center" wrapText="1" indent="2"/>
    </xf>
    <xf numFmtId="0" fontId="46" fillId="56" borderId="459" applyNumberFormat="0" applyAlignment="0" applyProtection="0"/>
    <xf numFmtId="4" fontId="34" fillId="0" borderId="462" applyFill="0" applyBorder="0" applyProtection="0">
      <alignment horizontal="right" vertical="center"/>
    </xf>
    <xf numFmtId="4" fontId="36" fillId="32" borderId="444">
      <alignment horizontal="right" vertical="center"/>
    </xf>
    <xf numFmtId="0" fontId="46" fillId="56" borderId="441" applyNumberFormat="0" applyAlignment="0" applyProtection="0"/>
    <xf numFmtId="0" fontId="32" fillId="34" borderId="445">
      <alignment horizontal="right" vertical="center"/>
    </xf>
    <xf numFmtId="0" fontId="62" fillId="56" borderId="450" applyNumberFormat="0" applyAlignment="0" applyProtection="0"/>
    <xf numFmtId="0" fontId="40" fillId="59" borderId="443" applyNumberFormat="0" applyFont="0" applyAlignment="0" applyProtection="0"/>
    <xf numFmtId="0" fontId="12" fillId="28" borderId="0" applyNumberFormat="0" applyBorder="0" applyAlignment="0" applyProtection="0"/>
    <xf numFmtId="4" fontId="34" fillId="33" borderId="462"/>
    <xf numFmtId="4" fontId="32" fillId="34" borderId="454">
      <alignment horizontal="right" vertical="center"/>
    </xf>
    <xf numFmtId="0" fontId="46" fillId="56" borderId="459" applyNumberFormat="0" applyAlignment="0" applyProtection="0"/>
    <xf numFmtId="4" fontId="34" fillId="33" borderId="444"/>
    <xf numFmtId="0" fontId="65" fillId="0" borderId="442" applyNumberFormat="0" applyFill="0" applyAlignment="0" applyProtection="0"/>
    <xf numFmtId="0" fontId="28" fillId="13" borderId="14" applyNumberFormat="0" applyAlignment="0" applyProtection="0"/>
    <xf numFmtId="0" fontId="29" fillId="13" borderId="13" applyNumberFormat="0" applyAlignment="0" applyProtection="0"/>
    <xf numFmtId="0" fontId="58" fillId="43" borderId="441" applyNumberFormat="0" applyAlignment="0" applyProtection="0"/>
    <xf numFmtId="0" fontId="1" fillId="0" borderId="0" applyNumberFormat="0" applyFill="0" applyBorder="0" applyAlignment="0" applyProtection="0"/>
    <xf numFmtId="4" fontId="32" fillId="34" borderId="444">
      <alignment horizontal="right" vertical="center"/>
    </xf>
    <xf numFmtId="0" fontId="30" fillId="0" borderId="0" applyNumberFormat="0" applyFill="0" applyBorder="0" applyAlignment="0" applyProtection="0"/>
    <xf numFmtId="0" fontId="2" fillId="0" borderId="15" applyNumberFormat="0" applyFill="0" applyAlignment="0" applyProtection="0"/>
    <xf numFmtId="0" fontId="40" fillId="59" borderId="453" applyNumberFormat="0" applyFont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12" fillId="16" borderId="0" applyNumberFormat="0" applyBorder="0" applyAlignment="0" applyProtection="0"/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12" fillId="19" borderId="0" applyNumberFormat="0" applyBorder="0" applyAlignment="0" applyProtection="0"/>
    <xf numFmtId="0" fontId="26" fillId="26" borderId="0" applyNumberFormat="0" applyBorder="0" applyAlignment="0" applyProtection="0"/>
    <xf numFmtId="0" fontId="26" fillId="20" borderId="0" applyNumberFormat="0" applyBorder="0" applyAlignment="0" applyProtection="0"/>
    <xf numFmtId="0" fontId="26" fillId="21" borderId="0" applyNumberFormat="0" applyBorder="0" applyAlignment="0" applyProtection="0"/>
    <xf numFmtId="0" fontId="12" fillId="22" borderId="0" applyNumberFormat="0" applyBorder="0" applyAlignment="0" applyProtection="0"/>
    <xf numFmtId="4" fontId="32" fillId="34" borderId="464">
      <alignment horizontal="right" vertical="center"/>
    </xf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12" fillId="25" borderId="0" applyNumberFormat="0" applyBorder="0" applyAlignment="0" applyProtection="0"/>
    <xf numFmtId="0" fontId="5" fillId="59" borderId="453" applyNumberFormat="0" applyFont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12" fillId="28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12" fillId="31" borderId="0" applyNumberFormat="0" applyBorder="0" applyAlignment="0" applyProtection="0"/>
    <xf numFmtId="0" fontId="34" fillId="0" borderId="429" applyNumberFormat="0" applyFill="0" applyAlignment="0" applyProtection="0"/>
    <xf numFmtId="0" fontId="32" fillId="34" borderId="429">
      <alignment horizontal="right" vertical="center"/>
    </xf>
    <xf numFmtId="0" fontId="32" fillId="34" borderId="429">
      <alignment horizontal="right" vertical="center"/>
    </xf>
    <xf numFmtId="0" fontId="34" fillId="0" borderId="432">
      <alignment horizontal="left" vertical="center" wrapText="1" indent="2"/>
    </xf>
    <xf numFmtId="0" fontId="32" fillId="34" borderId="431">
      <alignment horizontal="right" vertical="center"/>
    </xf>
    <xf numFmtId="0" fontId="34" fillId="0" borderId="429">
      <alignment horizontal="right" vertical="center"/>
    </xf>
    <xf numFmtId="0" fontId="36" fillId="32" borderId="429">
      <alignment horizontal="right" vertical="center"/>
    </xf>
    <xf numFmtId="0" fontId="34" fillId="33" borderId="429"/>
    <xf numFmtId="0" fontId="32" fillId="32" borderId="429">
      <alignment horizontal="right" vertical="center"/>
    </xf>
    <xf numFmtId="4" fontId="32" fillId="34" borderId="444">
      <alignment horizontal="right" vertical="center"/>
    </xf>
    <xf numFmtId="0" fontId="36" fillId="32" borderId="444">
      <alignment horizontal="right" vertical="center"/>
    </xf>
    <xf numFmtId="0" fontId="65" fillId="0" borderId="442" applyNumberFormat="0" applyFill="0" applyAlignment="0" applyProtection="0"/>
    <xf numFmtId="0" fontId="46" fillId="56" borderId="441" applyNumberFormat="0" applyAlignment="0" applyProtection="0"/>
    <xf numFmtId="0" fontId="34" fillId="34" borderId="447">
      <alignment horizontal="left" vertical="center" wrapText="1" indent="2"/>
    </xf>
    <xf numFmtId="0" fontId="32" fillId="34" borderId="444">
      <alignment horizontal="right" vertical="center"/>
    </xf>
    <xf numFmtId="0" fontId="32" fillId="34" borderId="446">
      <alignment horizontal="right" vertical="center"/>
    </xf>
    <xf numFmtId="0" fontId="34" fillId="0" borderId="447">
      <alignment horizontal="left" vertical="center" wrapText="1" indent="2"/>
    </xf>
    <xf numFmtId="0" fontId="32" fillId="34" borderId="444">
      <alignment horizontal="right" vertical="center"/>
    </xf>
    <xf numFmtId="0" fontId="45" fillId="56" borderId="441" applyNumberFormat="0" applyAlignment="0" applyProtection="0"/>
    <xf numFmtId="0" fontId="34" fillId="33" borderId="444"/>
    <xf numFmtId="0" fontId="26" fillId="20" borderId="0" applyNumberFormat="0" applyBorder="0" applyAlignment="0" applyProtection="0"/>
    <xf numFmtId="0" fontId="43" fillId="56" borderId="498" applyNumberFormat="0" applyAlignment="0" applyProtection="0"/>
    <xf numFmtId="0" fontId="65" fillId="0" borderId="442" applyNumberFormat="0" applyFill="0" applyAlignment="0" applyProtection="0"/>
    <xf numFmtId="0" fontId="43" fillId="56" borderId="448" applyNumberFormat="0" applyAlignment="0" applyProtection="0"/>
    <xf numFmtId="0" fontId="32" fillId="34" borderId="445">
      <alignment horizontal="right" vertical="center"/>
    </xf>
    <xf numFmtId="4" fontId="36" fillId="32" borderId="462">
      <alignment horizontal="right" vertical="center"/>
    </xf>
    <xf numFmtId="4" fontId="32" fillId="32" borderId="471">
      <alignment horizontal="right" vertical="center"/>
    </xf>
    <xf numFmtId="173" fontId="34" fillId="60" borderId="444" applyNumberFormat="0" applyFont="0" applyBorder="0" applyAlignment="0" applyProtection="0">
      <alignment horizontal="right" vertical="center"/>
    </xf>
    <xf numFmtId="0" fontId="50" fillId="0" borderId="492" applyNumberFormat="0" applyFill="0" applyAlignment="0" applyProtection="0"/>
    <xf numFmtId="0" fontId="34" fillId="0" borderId="471" applyNumberFormat="0" applyFill="0" applyAlignment="0" applyProtection="0"/>
    <xf numFmtId="0" fontId="32" fillId="34" borderId="495">
      <alignment horizontal="right" vertical="center"/>
    </xf>
    <xf numFmtId="0" fontId="40" fillId="59" borderId="461" applyNumberFormat="0" applyFont="0" applyAlignment="0" applyProtection="0"/>
    <xf numFmtId="0" fontId="36" fillId="32" borderId="444">
      <alignment horizontal="right" vertical="center"/>
    </xf>
    <xf numFmtId="0" fontId="32" fillId="34" borderId="444">
      <alignment horizontal="right" vertical="center"/>
    </xf>
    <xf numFmtId="0" fontId="65" fillId="0" borderId="442" applyNumberFormat="0" applyFill="0" applyAlignment="0" applyProtection="0"/>
    <xf numFmtId="4" fontId="32" fillId="34" borderId="462">
      <alignment horizontal="right" vertical="center"/>
    </xf>
    <xf numFmtId="0" fontId="58" fillId="43" borderId="468" applyNumberFormat="0" applyAlignment="0" applyProtection="0"/>
    <xf numFmtId="0" fontId="46" fillId="56" borderId="468" applyNumberFormat="0" applyAlignment="0" applyProtection="0"/>
    <xf numFmtId="0" fontId="32" fillId="34" borderId="456">
      <alignment horizontal="right" vertical="center"/>
    </xf>
    <xf numFmtId="0" fontId="46" fillId="56" borderId="459" applyNumberFormat="0" applyAlignment="0" applyProtection="0"/>
    <xf numFmtId="0" fontId="58" fillId="43" borderId="451" applyNumberFormat="0" applyAlignment="0" applyProtection="0"/>
    <xf numFmtId="0" fontId="32" fillId="32" borderId="462">
      <alignment horizontal="right" vertical="center"/>
    </xf>
    <xf numFmtId="0" fontId="12" fillId="19" borderId="0" applyNumberFormat="0" applyBorder="0" applyAlignment="0" applyProtection="0"/>
    <xf numFmtId="0" fontId="34" fillId="0" borderId="462" applyNumberFormat="0" applyFill="0" applyAlignment="0" applyProtection="0"/>
    <xf numFmtId="0" fontId="46" fillId="56" borderId="459" applyNumberFormat="0" applyAlignment="0" applyProtection="0"/>
    <xf numFmtId="0" fontId="32" fillId="34" borderId="471">
      <alignment horizontal="right" vertical="center"/>
    </xf>
    <xf numFmtId="0" fontId="43" fillId="56" borderId="450" applyNumberFormat="0" applyAlignment="0" applyProtection="0"/>
    <xf numFmtId="49" fontId="34" fillId="0" borderId="472" applyNumberFormat="0" applyFont="0" applyFill="0" applyBorder="0" applyProtection="0">
      <alignment horizontal="left" vertical="center" indent="5"/>
    </xf>
    <xf numFmtId="0" fontId="32" fillId="34" borderId="444">
      <alignment horizontal="right" vertical="center"/>
    </xf>
    <xf numFmtId="4" fontId="36" fillId="32" borderId="444">
      <alignment horizontal="right" vertical="center"/>
    </xf>
    <xf numFmtId="0" fontId="65" fillId="0" borderId="442" applyNumberFormat="0" applyFill="0" applyAlignment="0" applyProtection="0"/>
    <xf numFmtId="0" fontId="50" fillId="0" borderId="442" applyNumberFormat="0" applyFill="0" applyAlignment="0" applyProtection="0"/>
    <xf numFmtId="4" fontId="32" fillId="34" borderId="445">
      <alignment horizontal="right" vertical="center"/>
    </xf>
    <xf numFmtId="4" fontId="36" fillId="32" borderId="444">
      <alignment horizontal="right" vertical="center"/>
    </xf>
    <xf numFmtId="4" fontId="32" fillId="34" borderId="444">
      <alignment horizontal="right" vertical="center"/>
    </xf>
    <xf numFmtId="4" fontId="32" fillId="34" borderId="444">
      <alignment horizontal="right" vertical="center"/>
    </xf>
    <xf numFmtId="4" fontId="32" fillId="34" borderId="445">
      <alignment horizontal="right" vertical="center"/>
    </xf>
    <xf numFmtId="4" fontId="32" fillId="34" borderId="446">
      <alignment horizontal="right" vertical="center"/>
    </xf>
    <xf numFmtId="0" fontId="49" fillId="43" borderId="441" applyNumberFormat="0" applyAlignment="0" applyProtection="0"/>
    <xf numFmtId="0" fontId="46" fillId="56" borderId="434" applyNumberFormat="0" applyAlignment="0" applyProtection="0"/>
    <xf numFmtId="4" fontId="32" fillId="34" borderId="444">
      <alignment horizontal="right" vertical="center"/>
    </xf>
    <xf numFmtId="43" fontId="37" fillId="0" borderId="0" applyFont="0" applyFill="0" applyBorder="0" applyAlignment="0" applyProtection="0"/>
    <xf numFmtId="4" fontId="34" fillId="33" borderId="444"/>
    <xf numFmtId="43" fontId="37" fillId="0" borderId="0" applyFont="0" applyFill="0" applyBorder="0" applyAlignment="0" applyProtection="0"/>
    <xf numFmtId="0" fontId="34" fillId="0" borderId="465">
      <alignment horizontal="left" vertical="center" wrapText="1" indent="2"/>
    </xf>
    <xf numFmtId="0" fontId="58" fillId="43" borderId="459" applyNumberFormat="0" applyAlignment="0" applyProtection="0"/>
    <xf numFmtId="4" fontId="34" fillId="0" borderId="444" applyFill="0" applyBorder="0" applyProtection="0">
      <alignment horizontal="right" vertical="center"/>
    </xf>
    <xf numFmtId="0" fontId="34" fillId="0" borderId="444">
      <alignment horizontal="right" vertical="center"/>
    </xf>
    <xf numFmtId="0" fontId="32" fillId="34" borderId="444">
      <alignment horizontal="right" vertical="center"/>
    </xf>
    <xf numFmtId="0" fontId="49" fillId="43" borderId="441" applyNumberFormat="0" applyAlignment="0" applyProtection="0"/>
    <xf numFmtId="0" fontId="34" fillId="34" borderId="447">
      <alignment horizontal="left" vertical="center" wrapText="1" indent="2"/>
    </xf>
    <xf numFmtId="0" fontId="62" fillId="56" borderId="448" applyNumberFormat="0" applyAlignment="0" applyProtection="0"/>
    <xf numFmtId="0" fontId="32" fillId="34" borderId="444">
      <alignment horizontal="right" vertical="center"/>
    </xf>
    <xf numFmtId="0" fontId="58" fillId="43" borderId="434" applyNumberFormat="0" applyAlignment="0" applyProtection="0"/>
    <xf numFmtId="49" fontId="34" fillId="0" borderId="444" applyNumberFormat="0" applyFont="0" applyFill="0" applyBorder="0" applyProtection="0">
      <alignment horizontal="left" vertical="center" indent="2"/>
    </xf>
    <xf numFmtId="4" fontId="32" fillId="34" borderId="464">
      <alignment horizontal="right" vertical="center"/>
    </xf>
    <xf numFmtId="0" fontId="32" fillId="34" borderId="471">
      <alignment horizontal="right" vertical="center"/>
    </xf>
    <xf numFmtId="0" fontId="34" fillId="33" borderId="444"/>
    <xf numFmtId="0" fontId="32" fillId="34" borderId="464">
      <alignment horizontal="right" vertical="center"/>
    </xf>
    <xf numFmtId="0" fontId="62" fillId="56" borderId="466" applyNumberFormat="0" applyAlignment="0" applyProtection="0"/>
    <xf numFmtId="0" fontId="46" fillId="56" borderId="468" applyNumberFormat="0" applyAlignment="0" applyProtection="0"/>
    <xf numFmtId="0" fontId="49" fillId="43" borderId="459" applyNumberFormat="0" applyAlignment="0" applyProtection="0"/>
    <xf numFmtId="0" fontId="30" fillId="0" borderId="0" applyNumberFormat="0" applyFill="0" applyBorder="0" applyAlignment="0" applyProtection="0"/>
    <xf numFmtId="0" fontId="26" fillId="21" borderId="0" applyNumberFormat="0" applyBorder="0" applyAlignment="0" applyProtection="0"/>
    <xf numFmtId="0" fontId="26" fillId="30" borderId="0" applyNumberFormat="0" applyBorder="0" applyAlignment="0" applyProtection="0"/>
    <xf numFmtId="49" fontId="33" fillId="0" borderId="454" applyNumberFormat="0" applyFill="0" applyBorder="0" applyProtection="0">
      <alignment horizontal="left" vertical="center"/>
    </xf>
    <xf numFmtId="0" fontId="34" fillId="0" borderId="471">
      <alignment horizontal="right" vertical="center"/>
    </xf>
    <xf numFmtId="0" fontId="26" fillId="23" borderId="0" applyNumberFormat="0" applyBorder="0" applyAlignment="0" applyProtection="0"/>
    <xf numFmtId="0" fontId="65" fillId="0" borderId="452" applyNumberFormat="0" applyFill="0" applyAlignment="0" applyProtection="0"/>
    <xf numFmtId="0" fontId="50" fillId="0" borderId="452" applyNumberFormat="0" applyFill="0" applyAlignment="0" applyProtection="0"/>
    <xf numFmtId="0" fontId="46" fillId="56" borderId="441" applyNumberFormat="0" applyAlignment="0" applyProtection="0"/>
    <xf numFmtId="4" fontId="32" fillId="34" borderId="464">
      <alignment horizontal="right" vertical="center"/>
    </xf>
    <xf numFmtId="0" fontId="65" fillId="0" borderId="492" applyNumberFormat="0" applyFill="0" applyAlignment="0" applyProtection="0"/>
    <xf numFmtId="4" fontId="34" fillId="0" borderId="429" applyFill="0" applyBorder="0" applyProtection="0">
      <alignment horizontal="right" vertical="center"/>
    </xf>
    <xf numFmtId="0" fontId="5" fillId="59" borderId="461" applyNumberFormat="0" applyFont="0" applyAlignment="0" applyProtection="0"/>
    <xf numFmtId="0" fontId="40" fillId="59" borderId="461" applyNumberFormat="0" applyFont="0" applyAlignment="0" applyProtection="0"/>
    <xf numFmtId="0" fontId="34" fillId="0" borderId="497">
      <alignment horizontal="left" vertical="center" wrapText="1" indent="2"/>
    </xf>
    <xf numFmtId="0" fontId="65" fillId="0" borderId="460" applyNumberFormat="0" applyFill="0" applyAlignment="0" applyProtection="0"/>
    <xf numFmtId="0" fontId="62" fillId="56" borderId="466" applyNumberFormat="0" applyAlignment="0" applyProtection="0"/>
    <xf numFmtId="4" fontId="32" fillId="34" borderId="444">
      <alignment horizontal="right" vertical="center"/>
    </xf>
    <xf numFmtId="0" fontId="36" fillId="32" borderId="444">
      <alignment horizontal="right" vertical="center"/>
    </xf>
    <xf numFmtId="0" fontId="43" fillId="56" borderId="467" applyNumberFormat="0" applyAlignment="0" applyProtection="0"/>
    <xf numFmtId="0" fontId="40" fillId="59" borderId="436" applyNumberFormat="0" applyFont="0" applyAlignment="0" applyProtection="0"/>
    <xf numFmtId="0" fontId="5" fillId="59" borderId="436" applyNumberFormat="0" applyFont="0" applyAlignment="0" applyProtection="0"/>
    <xf numFmtId="0" fontId="62" fillId="56" borderId="433" applyNumberFormat="0" applyAlignment="0" applyProtection="0"/>
    <xf numFmtId="4" fontId="34" fillId="33" borderId="462"/>
    <xf numFmtId="4" fontId="36" fillId="32" borderId="471">
      <alignment horizontal="right" vertical="center"/>
    </xf>
    <xf numFmtId="49" fontId="34" fillId="0" borderId="479" applyNumberFormat="0" applyFont="0" applyFill="0" applyBorder="0" applyProtection="0">
      <alignment horizontal="left" vertical="center" indent="2"/>
    </xf>
    <xf numFmtId="0" fontId="34" fillId="33" borderId="444"/>
    <xf numFmtId="0" fontId="65" fillId="0" borderId="442" applyNumberFormat="0" applyFill="0" applyAlignment="0" applyProtection="0"/>
    <xf numFmtId="0" fontId="12" fillId="16" borderId="0" applyNumberFormat="0" applyBorder="0" applyAlignment="0" applyProtection="0"/>
    <xf numFmtId="0" fontId="65" fillId="0" borderId="435" applyNumberFormat="0" applyFill="0" applyAlignment="0" applyProtection="0"/>
    <xf numFmtId="0" fontId="34" fillId="32" borderId="445">
      <alignment horizontal="left" vertical="center"/>
    </xf>
    <xf numFmtId="0" fontId="45" fillId="56" borderId="441" applyNumberFormat="0" applyAlignment="0" applyProtection="0"/>
    <xf numFmtId="4" fontId="32" fillId="34" borderId="444">
      <alignment horizontal="right" vertical="center"/>
    </xf>
    <xf numFmtId="49" fontId="33" fillId="0" borderId="462" applyNumberFormat="0" applyFill="0" applyBorder="0" applyProtection="0">
      <alignment horizontal="left" vertical="center"/>
    </xf>
    <xf numFmtId="0" fontId="12" fillId="31" borderId="0" applyNumberFormat="0" applyBorder="0" applyAlignment="0" applyProtection="0"/>
    <xf numFmtId="0" fontId="36" fillId="32" borderId="471">
      <alignment horizontal="right" vertical="center"/>
    </xf>
    <xf numFmtId="0" fontId="34" fillId="34" borderId="497">
      <alignment horizontal="left" vertical="center" wrapText="1" indent="2"/>
    </xf>
    <xf numFmtId="0" fontId="49" fillId="43" borderId="441" applyNumberFormat="0" applyAlignment="0" applyProtection="0"/>
    <xf numFmtId="0" fontId="36" fillId="32" borderId="444">
      <alignment horizontal="right" vertical="center"/>
    </xf>
    <xf numFmtId="0" fontId="32" fillId="34" borderId="462">
      <alignment horizontal="right" vertical="center"/>
    </xf>
    <xf numFmtId="49" fontId="34" fillId="0" borderId="472" applyNumberFormat="0" applyFont="0" applyFill="0" applyBorder="0" applyProtection="0">
      <alignment horizontal="left" vertical="center" indent="5"/>
    </xf>
    <xf numFmtId="4" fontId="32" fillId="34" borderId="446">
      <alignment horizontal="right" vertical="center"/>
    </xf>
    <xf numFmtId="0" fontId="65" fillId="0" borderId="460" applyNumberFormat="0" applyFill="0" applyAlignment="0" applyProtection="0"/>
    <xf numFmtId="49" fontId="33" fillId="0" borderId="444" applyNumberFormat="0" applyFill="0" applyBorder="0" applyProtection="0">
      <alignment horizontal="left" vertical="center"/>
    </xf>
    <xf numFmtId="0" fontId="12" fillId="28" borderId="0" applyNumberFormat="0" applyBorder="0" applyAlignment="0" applyProtection="0"/>
    <xf numFmtId="0" fontId="34" fillId="0" borderId="494" applyNumberFormat="0" applyFill="0" applyAlignment="0" applyProtection="0"/>
    <xf numFmtId="0" fontId="62" fillId="56" borderId="466" applyNumberFormat="0" applyAlignment="0" applyProtection="0"/>
    <xf numFmtId="0" fontId="46" fillId="56" borderId="441" applyNumberFormat="0" applyAlignment="0" applyProtection="0"/>
    <xf numFmtId="0" fontId="45" fillId="56" borderId="441" applyNumberFormat="0" applyAlignment="0" applyProtection="0"/>
    <xf numFmtId="0" fontId="40" fillId="59" borderId="443" applyNumberFormat="0" applyFont="0" applyAlignment="0" applyProtection="0"/>
    <xf numFmtId="0" fontId="32" fillId="34" borderId="444">
      <alignment horizontal="right" vertical="center"/>
    </xf>
    <xf numFmtId="0" fontId="32" fillId="34" borderId="445">
      <alignment horizontal="right" vertical="center"/>
    </xf>
    <xf numFmtId="0" fontId="46" fillId="56" borderId="441" applyNumberFormat="0" applyAlignment="0" applyProtection="0"/>
    <xf numFmtId="0" fontId="32" fillId="34" borderId="446">
      <alignment horizontal="right" vertical="center"/>
    </xf>
    <xf numFmtId="4" fontId="34" fillId="0" borderId="462" applyFill="0" applyBorder="0" applyProtection="0">
      <alignment horizontal="right" vertical="center"/>
    </xf>
    <xf numFmtId="0" fontId="34" fillId="34" borderId="487">
      <alignment horizontal="left" vertical="center" wrapText="1" indent="2"/>
    </xf>
    <xf numFmtId="0" fontId="49" fillId="43" borderId="441" applyNumberFormat="0" applyAlignment="0" applyProtection="0"/>
    <xf numFmtId="4" fontId="34" fillId="0" borderId="444">
      <alignment horizontal="right" vertical="center"/>
    </xf>
    <xf numFmtId="0" fontId="46" fillId="56" borderId="441" applyNumberFormat="0" applyAlignment="0" applyProtection="0"/>
    <xf numFmtId="0" fontId="34" fillId="32" borderId="445">
      <alignment horizontal="left" vertical="center"/>
    </xf>
    <xf numFmtId="4" fontId="34" fillId="33" borderId="471"/>
    <xf numFmtId="0" fontId="32" fillId="34" borderId="494">
      <alignment horizontal="right" vertical="center"/>
    </xf>
    <xf numFmtId="49" fontId="34" fillId="0" borderId="462" applyNumberFormat="0" applyFont="0" applyFill="0" applyBorder="0" applyProtection="0">
      <alignment horizontal="left" vertical="center" indent="2"/>
    </xf>
    <xf numFmtId="4" fontId="34" fillId="33" borderId="494"/>
    <xf numFmtId="4" fontId="32" fillId="34" borderId="445">
      <alignment horizontal="right" vertical="center"/>
    </xf>
    <xf numFmtId="4" fontId="34" fillId="0" borderId="444">
      <alignment horizontal="right" vertical="center"/>
    </xf>
    <xf numFmtId="173" fontId="34" fillId="60" borderId="444" applyNumberFormat="0" applyFont="0" applyBorder="0" applyAlignment="0" applyProtection="0">
      <alignment horizontal="right" vertical="center"/>
    </xf>
    <xf numFmtId="0" fontId="65" fillId="0" borderId="460" applyNumberFormat="0" applyFill="0" applyAlignment="0" applyProtection="0"/>
    <xf numFmtId="4" fontId="36" fillId="32" borderId="462">
      <alignment horizontal="right" vertical="center"/>
    </xf>
    <xf numFmtId="0" fontId="34" fillId="0" borderId="454" applyNumberFormat="0" applyFill="0" applyAlignment="0" applyProtection="0"/>
    <xf numFmtId="0" fontId="34" fillId="0" borderId="479">
      <alignment horizontal="right" vertical="center"/>
    </xf>
    <xf numFmtId="0" fontId="58" fillId="43" borderId="459" applyNumberFormat="0" applyAlignment="0" applyProtection="0"/>
    <xf numFmtId="0" fontId="34" fillId="34" borderId="447">
      <alignment horizontal="left" vertical="center" wrapText="1" indent="2"/>
    </xf>
    <xf numFmtId="0" fontId="46" fillId="56" borderId="434" applyNumberFormat="0" applyAlignment="0" applyProtection="0"/>
    <xf numFmtId="0" fontId="43" fillId="56" borderId="448" applyNumberFormat="0" applyAlignment="0" applyProtection="0"/>
    <xf numFmtId="0" fontId="62" fillId="56" borderId="448" applyNumberFormat="0" applyAlignment="0" applyProtection="0"/>
    <xf numFmtId="0" fontId="45" fillId="56" borderId="441" applyNumberFormat="0" applyAlignment="0" applyProtection="0"/>
    <xf numFmtId="0" fontId="65" fillId="0" borderId="442" applyNumberFormat="0" applyFill="0" applyAlignment="0" applyProtection="0"/>
    <xf numFmtId="0" fontId="34" fillId="0" borderId="447">
      <alignment horizontal="left" vertical="center" wrapText="1" indent="2"/>
    </xf>
    <xf numFmtId="0" fontId="32" fillId="34" borderId="444">
      <alignment horizontal="right" vertical="center"/>
    </xf>
    <xf numFmtId="4" fontId="36" fillId="32" borderId="444">
      <alignment horizontal="right" vertical="center"/>
    </xf>
    <xf numFmtId="0" fontId="58" fillId="43" borderId="434" applyNumberFormat="0" applyAlignment="0" applyProtection="0"/>
    <xf numFmtId="0" fontId="34" fillId="0" borderId="462" applyNumberFormat="0" applyFill="0" applyAlignment="0" applyProtection="0"/>
    <xf numFmtId="0" fontId="65" fillId="0" borderId="460" applyNumberFormat="0" applyFill="0" applyAlignment="0" applyProtection="0"/>
    <xf numFmtId="0" fontId="28" fillId="13" borderId="14" applyNumberFormat="0" applyAlignment="0" applyProtection="0"/>
    <xf numFmtId="0" fontId="40" fillId="59" borderId="436" applyNumberFormat="0" applyFont="0" applyAlignment="0" applyProtection="0"/>
    <xf numFmtId="0" fontId="62" fillId="56" borderId="433" applyNumberFormat="0" applyAlignment="0" applyProtection="0"/>
    <xf numFmtId="0" fontId="50" fillId="0" borderId="442" applyNumberFormat="0" applyFill="0" applyAlignment="0" applyProtection="0"/>
    <xf numFmtId="0" fontId="65" fillId="0" borderId="435" applyNumberFormat="0" applyFill="0" applyAlignment="0" applyProtection="0"/>
    <xf numFmtId="0" fontId="58" fillId="43" borderId="468" applyNumberFormat="0" applyAlignment="0" applyProtection="0"/>
    <xf numFmtId="0" fontId="5" fillId="59" borderId="443" applyNumberFormat="0" applyFont="0" applyAlignment="0" applyProtection="0"/>
    <xf numFmtId="0" fontId="62" fillId="56" borderId="467" applyNumberFormat="0" applyAlignment="0" applyProtection="0"/>
    <xf numFmtId="0" fontId="32" fillId="34" borderId="462">
      <alignment horizontal="right" vertical="center"/>
    </xf>
    <xf numFmtId="0" fontId="40" fillId="59" borderId="461" applyNumberFormat="0" applyFont="0" applyAlignment="0" applyProtection="0"/>
    <xf numFmtId="4" fontId="32" fillId="34" borderId="445">
      <alignment horizontal="right" vertical="center"/>
    </xf>
    <xf numFmtId="4" fontId="34" fillId="33" borderId="444"/>
    <xf numFmtId="0" fontId="26" fillId="30" borderId="0" applyNumberFormat="0" applyBorder="0" applyAlignment="0" applyProtection="0"/>
    <xf numFmtId="0" fontId="34" fillId="32" borderId="463">
      <alignment horizontal="left" vertical="center"/>
    </xf>
    <xf numFmtId="0" fontId="26" fillId="30" borderId="0" applyNumberFormat="0" applyBorder="0" applyAlignment="0" applyProtection="0"/>
    <xf numFmtId="4" fontId="32" fillId="34" borderId="462">
      <alignment horizontal="right" vertical="center"/>
    </xf>
    <xf numFmtId="0" fontId="32" fillId="34" borderId="445">
      <alignment horizontal="right" vertical="center"/>
    </xf>
    <xf numFmtId="4" fontId="32" fillId="34" borderId="455">
      <alignment horizontal="right" vertical="center"/>
    </xf>
    <xf numFmtId="0" fontId="58" fillId="43" borderId="459" applyNumberFormat="0" applyAlignment="0" applyProtection="0"/>
    <xf numFmtId="0" fontId="58" fillId="43" borderId="459" applyNumberFormat="0" applyAlignment="0" applyProtection="0"/>
    <xf numFmtId="0" fontId="34" fillId="0" borderId="465">
      <alignment horizontal="left" vertical="center" wrapText="1" indent="2"/>
    </xf>
    <xf numFmtId="4" fontId="34" fillId="0" borderId="484">
      <alignment horizontal="right" vertical="center"/>
    </xf>
    <xf numFmtId="0" fontId="40" fillId="59" borderId="478" applyNumberFormat="0" applyFont="0" applyAlignment="0" applyProtection="0"/>
    <xf numFmtId="0" fontId="40" fillId="59" borderId="461" applyNumberFormat="0" applyFont="0" applyAlignment="0" applyProtection="0"/>
    <xf numFmtId="0" fontId="32" fillId="32" borderId="437">
      <alignment horizontal="right" vertical="center"/>
    </xf>
    <xf numFmtId="4" fontId="32" fillId="32" borderId="437">
      <alignment horizontal="right" vertical="center"/>
    </xf>
    <xf numFmtId="0" fontId="36" fillId="32" borderId="437">
      <alignment horizontal="right" vertical="center"/>
    </xf>
    <xf numFmtId="4" fontId="36" fillId="32" borderId="437">
      <alignment horizontal="right" vertical="center"/>
    </xf>
    <xf numFmtId="0" fontId="32" fillId="34" borderId="437">
      <alignment horizontal="right" vertical="center"/>
    </xf>
    <xf numFmtId="4" fontId="32" fillId="34" borderId="437">
      <alignment horizontal="right" vertical="center"/>
    </xf>
    <xf numFmtId="0" fontId="32" fillId="34" borderId="437">
      <alignment horizontal="right" vertical="center"/>
    </xf>
    <xf numFmtId="4" fontId="32" fillId="34" borderId="437">
      <alignment horizontal="right" vertical="center"/>
    </xf>
    <xf numFmtId="0" fontId="32" fillId="34" borderId="438">
      <alignment horizontal="right" vertical="center"/>
    </xf>
    <xf numFmtId="4" fontId="32" fillId="34" borderId="438">
      <alignment horizontal="right" vertical="center"/>
    </xf>
    <xf numFmtId="0" fontId="32" fillId="34" borderId="439">
      <alignment horizontal="right" vertical="center"/>
    </xf>
    <xf numFmtId="4" fontId="32" fillId="34" borderId="439">
      <alignment horizontal="right" vertical="center"/>
    </xf>
    <xf numFmtId="0" fontId="46" fillId="56" borderId="434" applyNumberFormat="0" applyAlignment="0" applyProtection="0"/>
    <xf numFmtId="0" fontId="34" fillId="34" borderId="440">
      <alignment horizontal="left" vertical="center" wrapText="1" indent="2"/>
    </xf>
    <xf numFmtId="0" fontId="34" fillId="0" borderId="440">
      <alignment horizontal="left" vertical="center" wrapText="1" indent="2"/>
    </xf>
    <xf numFmtId="0" fontId="34" fillId="32" borderId="438">
      <alignment horizontal="left" vertical="center"/>
    </xf>
    <xf numFmtId="0" fontId="32" fillId="34" borderId="444">
      <alignment horizontal="right" vertical="center"/>
    </xf>
    <xf numFmtId="0" fontId="58" fillId="43" borderId="434" applyNumberFormat="0" applyAlignment="0" applyProtection="0"/>
    <xf numFmtId="0" fontId="34" fillId="0" borderId="437">
      <alignment horizontal="right" vertical="center"/>
    </xf>
    <xf numFmtId="4" fontId="34" fillId="0" borderId="437">
      <alignment horizontal="right" vertical="center"/>
    </xf>
    <xf numFmtId="0" fontId="32" fillId="34" borderId="445">
      <alignment horizontal="right" vertical="center"/>
    </xf>
    <xf numFmtId="0" fontId="34" fillId="0" borderId="437" applyNumberFormat="0" applyFill="0" applyAlignment="0" applyProtection="0"/>
    <xf numFmtId="0" fontId="62" fillId="56" borderId="433" applyNumberFormat="0" applyAlignment="0" applyProtection="0"/>
    <xf numFmtId="173" fontId="34" fillId="60" borderId="437" applyNumberFormat="0" applyFont="0" applyBorder="0" applyAlignment="0" applyProtection="0">
      <alignment horizontal="right" vertical="center"/>
    </xf>
    <xf numFmtId="0" fontId="34" fillId="33" borderId="437"/>
    <xf numFmtId="4" fontId="34" fillId="33" borderId="437"/>
    <xf numFmtId="0" fontId="65" fillId="0" borderId="435" applyNumberFormat="0" applyFill="0" applyAlignment="0" applyProtection="0"/>
    <xf numFmtId="0" fontId="26" fillId="27" borderId="0" applyNumberFormat="0" applyBorder="0" applyAlignment="0" applyProtection="0"/>
    <xf numFmtId="0" fontId="65" fillId="0" borderId="460" applyNumberFormat="0" applyFill="0" applyAlignment="0" applyProtection="0"/>
    <xf numFmtId="4" fontId="32" fillId="32" borderId="444">
      <alignment horizontal="right" vertical="center"/>
    </xf>
    <xf numFmtId="0" fontId="34" fillId="0" borderId="465">
      <alignment horizontal="left" vertical="center" wrapText="1" indent="2"/>
    </xf>
    <xf numFmtId="0" fontId="40" fillId="59" borderId="443" applyNumberFormat="0" applyFont="0" applyAlignment="0" applyProtection="0"/>
    <xf numFmtId="0" fontId="50" fillId="0" borderId="460" applyNumberFormat="0" applyFill="0" applyAlignment="0" applyProtection="0"/>
    <xf numFmtId="0" fontId="50" fillId="0" borderId="442" applyNumberFormat="0" applyFill="0" applyAlignment="0" applyProtection="0"/>
    <xf numFmtId="0" fontId="26" fillId="15" borderId="0" applyNumberFormat="0" applyBorder="0" applyAlignment="0" applyProtection="0"/>
    <xf numFmtId="0" fontId="62" fillId="56" borderId="467" applyNumberFormat="0" applyAlignment="0" applyProtection="0"/>
    <xf numFmtId="0" fontId="34" fillId="33" borderId="444"/>
    <xf numFmtId="0" fontId="12" fillId="28" borderId="0" applyNumberFormat="0" applyBorder="0" applyAlignment="0" applyProtection="0"/>
    <xf numFmtId="49" fontId="33" fillId="0" borderId="444" applyNumberFormat="0" applyFill="0" applyBorder="0" applyProtection="0">
      <alignment horizontal="left" vertical="center"/>
    </xf>
    <xf numFmtId="0" fontId="62" fillId="56" borderId="450" applyNumberFormat="0" applyAlignment="0" applyProtection="0"/>
    <xf numFmtId="0" fontId="12" fillId="31" borderId="0" applyNumberFormat="0" applyBorder="0" applyAlignment="0" applyProtection="0"/>
    <xf numFmtId="4" fontId="36" fillId="32" borderId="444">
      <alignment horizontal="right" vertical="center"/>
    </xf>
    <xf numFmtId="0" fontId="43" fillId="56" borderId="448" applyNumberFormat="0" applyAlignment="0" applyProtection="0"/>
    <xf numFmtId="0" fontId="43" fillId="56" borderId="448" applyNumberFormat="0" applyAlignment="0" applyProtection="0"/>
    <xf numFmtId="0" fontId="5" fillId="59" borderId="443" applyNumberFormat="0" applyFont="0" applyAlignment="0" applyProtection="0"/>
    <xf numFmtId="0" fontId="46" fillId="56" borderId="441" applyNumberFormat="0" applyAlignment="0" applyProtection="0"/>
    <xf numFmtId="0" fontId="46" fillId="56" borderId="441" applyNumberFormat="0" applyAlignment="0" applyProtection="0"/>
    <xf numFmtId="0" fontId="32" fillId="32" borderId="471">
      <alignment horizontal="right" vertical="center"/>
    </xf>
    <xf numFmtId="0" fontId="12" fillId="22" borderId="0" applyNumberFormat="0" applyBorder="0" applyAlignment="0" applyProtection="0"/>
    <xf numFmtId="0" fontId="26" fillId="27" borderId="0" applyNumberFormat="0" applyBorder="0" applyAlignment="0" applyProtection="0"/>
    <xf numFmtId="0" fontId="26" fillId="14" borderId="0" applyNumberFormat="0" applyBorder="0" applyAlignment="0" applyProtection="0"/>
    <xf numFmtId="0" fontId="34" fillId="0" borderId="444">
      <alignment horizontal="right" vertical="center"/>
    </xf>
    <xf numFmtId="0" fontId="26" fillId="15" borderId="0" applyNumberFormat="0" applyBorder="0" applyAlignment="0" applyProtection="0"/>
    <xf numFmtId="0" fontId="58" fillId="43" borderId="468" applyNumberFormat="0" applyAlignment="0" applyProtection="0"/>
    <xf numFmtId="0" fontId="58" fillId="43" borderId="459" applyNumberFormat="0" applyAlignment="0" applyProtection="0"/>
    <xf numFmtId="0" fontId="45" fillId="56" borderId="459" applyNumberFormat="0" applyAlignment="0" applyProtection="0"/>
    <xf numFmtId="0" fontId="26" fillId="21" borderId="0" applyNumberFormat="0" applyBorder="0" applyAlignment="0" applyProtection="0"/>
    <xf numFmtId="4" fontId="36" fillId="32" borderId="462">
      <alignment horizontal="right" vertical="center"/>
    </xf>
    <xf numFmtId="0" fontId="58" fillId="43" borderId="441" applyNumberFormat="0" applyAlignment="0" applyProtection="0"/>
    <xf numFmtId="0" fontId="34" fillId="0" borderId="447">
      <alignment horizontal="left" vertical="center" wrapText="1" indent="2"/>
    </xf>
    <xf numFmtId="0" fontId="45" fillId="56" borderId="441" applyNumberFormat="0" applyAlignment="0" applyProtection="0"/>
    <xf numFmtId="49" fontId="34" fillId="0" borderId="444" applyNumberFormat="0" applyFont="0" applyFill="0" applyBorder="0" applyProtection="0">
      <alignment horizontal="left" vertical="center" indent="2"/>
    </xf>
    <xf numFmtId="0" fontId="36" fillId="32" borderId="444">
      <alignment horizontal="right" vertical="center"/>
    </xf>
    <xf numFmtId="0" fontId="58" fillId="43" borderId="441" applyNumberFormat="0" applyAlignment="0" applyProtection="0"/>
    <xf numFmtId="0" fontId="40" fillId="59" borderId="443" applyNumberFormat="0" applyFont="0" applyAlignment="0" applyProtection="0"/>
    <xf numFmtId="0" fontId="65" fillId="0" borderId="442" applyNumberFormat="0" applyFill="0" applyAlignment="0" applyProtection="0"/>
    <xf numFmtId="4" fontId="34" fillId="0" borderId="444" applyFill="0" applyBorder="0" applyProtection="0">
      <alignment horizontal="right" vertical="center"/>
    </xf>
    <xf numFmtId="0" fontId="32" fillId="32" borderId="444">
      <alignment horizontal="right" vertical="center"/>
    </xf>
    <xf numFmtId="49" fontId="34" fillId="0" borderId="444" applyNumberFormat="0" applyFont="0" applyFill="0" applyBorder="0" applyProtection="0">
      <alignment horizontal="left" vertical="center" indent="2"/>
    </xf>
    <xf numFmtId="0" fontId="34" fillId="0" borderId="474">
      <alignment horizontal="left" vertical="center" wrapText="1" indent="2"/>
    </xf>
    <xf numFmtId="0" fontId="12" fillId="19" borderId="0" applyNumberFormat="0" applyBorder="0" applyAlignment="0" applyProtection="0"/>
    <xf numFmtId="0" fontId="26" fillId="24" borderId="0" applyNumberFormat="0" applyBorder="0" applyAlignment="0" applyProtection="0"/>
    <xf numFmtId="0" fontId="26" fillId="26" borderId="0" applyNumberFormat="0" applyBorder="0" applyAlignment="0" applyProtection="0"/>
    <xf numFmtId="0" fontId="26" fillId="21" borderId="0" applyNumberFormat="0" applyBorder="0" applyAlignment="0" applyProtection="0"/>
    <xf numFmtId="0" fontId="5" fillId="59" borderId="470" applyNumberFormat="0" applyFont="0" applyAlignment="0" applyProtection="0"/>
    <xf numFmtId="4" fontId="32" fillId="34" borderId="471">
      <alignment horizontal="right" vertical="center"/>
    </xf>
    <xf numFmtId="0" fontId="29" fillId="13" borderId="13" applyNumberFormat="0" applyAlignment="0" applyProtection="0"/>
    <xf numFmtId="0" fontId="32" fillId="34" borderId="473">
      <alignment horizontal="right" vertical="center"/>
    </xf>
    <xf numFmtId="173" fontId="34" fillId="60" borderId="444" applyNumberFormat="0" applyFont="0" applyBorder="0" applyAlignment="0" applyProtection="0">
      <alignment horizontal="right" vertical="center"/>
    </xf>
    <xf numFmtId="0" fontId="58" fillId="43" borderId="441" applyNumberFormat="0" applyAlignment="0" applyProtection="0"/>
    <xf numFmtId="0" fontId="50" fillId="0" borderId="469" applyNumberFormat="0" applyFill="0" applyAlignment="0" applyProtection="0"/>
    <xf numFmtId="4" fontId="32" fillId="34" borderId="462">
      <alignment horizontal="right" vertical="center"/>
    </xf>
    <xf numFmtId="0" fontId="1" fillId="0" borderId="0" applyNumberFormat="0" applyFill="0" applyBorder="0" applyAlignment="0" applyProtection="0"/>
    <xf numFmtId="49" fontId="34" fillId="0" borderId="437" applyNumberFormat="0" applyFont="0" applyFill="0" applyBorder="0" applyProtection="0">
      <alignment horizontal="left" vertical="center" indent="2"/>
    </xf>
    <xf numFmtId="49" fontId="34" fillId="0" borderId="438" applyNumberFormat="0" applyFont="0" applyFill="0" applyBorder="0" applyProtection="0">
      <alignment horizontal="left" vertical="center" indent="5"/>
    </xf>
    <xf numFmtId="0" fontId="34" fillId="33" borderId="462"/>
    <xf numFmtId="4" fontId="34" fillId="33" borderId="462"/>
    <xf numFmtId="4" fontId="32" fillId="32" borderId="471">
      <alignment horizontal="right" vertical="center"/>
    </xf>
    <xf numFmtId="0" fontId="32" fillId="34" borderId="446">
      <alignment horizontal="right" vertical="center"/>
    </xf>
    <xf numFmtId="4" fontId="36" fillId="32" borderId="444">
      <alignment horizontal="right" vertical="center"/>
    </xf>
    <xf numFmtId="0" fontId="46" fillId="56" borderId="441" applyNumberFormat="0" applyAlignment="0" applyProtection="0"/>
    <xf numFmtId="49" fontId="34" fillId="0" borderId="455" applyNumberFormat="0" applyFont="0" applyFill="0" applyBorder="0" applyProtection="0">
      <alignment horizontal="left" vertical="center" indent="5"/>
    </xf>
    <xf numFmtId="4" fontId="36" fillId="32" borderId="444">
      <alignment horizontal="right" vertical="center"/>
    </xf>
    <xf numFmtId="0" fontId="32" fillId="34" borderId="464">
      <alignment horizontal="right" vertical="center"/>
    </xf>
    <xf numFmtId="4" fontId="34" fillId="0" borderId="437" applyFill="0" applyBorder="0" applyProtection="0">
      <alignment horizontal="right" vertical="center"/>
    </xf>
    <xf numFmtId="49" fontId="33" fillId="0" borderId="437" applyNumberFormat="0" applyFill="0" applyBorder="0" applyProtection="0">
      <alignment horizontal="left" vertical="center"/>
    </xf>
    <xf numFmtId="49" fontId="33" fillId="0" borderId="462" applyNumberFormat="0" applyFill="0" applyBorder="0" applyProtection="0">
      <alignment horizontal="left" vertical="center"/>
    </xf>
    <xf numFmtId="0" fontId="62" fillId="56" borderId="448" applyNumberFormat="0" applyAlignment="0" applyProtection="0"/>
    <xf numFmtId="0" fontId="58" fillId="43" borderId="441" applyNumberFormat="0" applyAlignment="0" applyProtection="0"/>
    <xf numFmtId="0" fontId="5" fillId="59" borderId="443" applyNumberFormat="0" applyFont="0" applyAlignment="0" applyProtection="0"/>
    <xf numFmtId="4" fontId="34" fillId="0" borderId="444">
      <alignment horizontal="right" vertical="center"/>
    </xf>
    <xf numFmtId="4" fontId="32" fillId="32" borderId="444">
      <alignment horizontal="right" vertical="center"/>
    </xf>
    <xf numFmtId="0" fontId="65" fillId="0" borderId="460" applyNumberFormat="0" applyFill="0" applyAlignment="0" applyProtection="0"/>
    <xf numFmtId="0" fontId="50" fillId="0" borderId="442" applyNumberFormat="0" applyFill="0" applyAlignment="0" applyProtection="0"/>
    <xf numFmtId="0" fontId="45" fillId="56" borderId="441" applyNumberFormat="0" applyAlignment="0" applyProtection="0"/>
    <xf numFmtId="0" fontId="50" fillId="0" borderId="442" applyNumberFormat="0" applyFill="0" applyAlignment="0" applyProtection="0"/>
    <xf numFmtId="0" fontId="46" fillId="56" borderId="441" applyNumberFormat="0" applyAlignment="0" applyProtection="0"/>
    <xf numFmtId="0" fontId="50" fillId="0" borderId="460" applyNumberFormat="0" applyFill="0" applyAlignment="0" applyProtection="0"/>
    <xf numFmtId="0" fontId="34" fillId="0" borderId="457">
      <alignment horizontal="left" vertical="center" wrapText="1" indent="2"/>
    </xf>
    <xf numFmtId="173" fontId="34" fillId="60" borderId="462" applyNumberFormat="0" applyFont="0" applyBorder="0" applyAlignment="0" applyProtection="0">
      <alignment horizontal="right" vertical="center"/>
    </xf>
    <xf numFmtId="4" fontId="32" fillId="34" borderId="446">
      <alignment horizontal="right" vertical="center"/>
    </xf>
    <xf numFmtId="0" fontId="43" fillId="56" borderId="466" applyNumberFormat="0" applyAlignment="0" applyProtection="0"/>
    <xf numFmtId="0" fontId="12" fillId="19" borderId="0" applyNumberFormat="0" applyBorder="0" applyAlignment="0" applyProtection="0"/>
    <xf numFmtId="0" fontId="36" fillId="32" borderId="462">
      <alignment horizontal="right" vertical="center"/>
    </xf>
    <xf numFmtId="0" fontId="45" fillId="56" borderId="451" applyNumberFormat="0" applyAlignment="0" applyProtection="0"/>
    <xf numFmtId="4" fontId="32" fillId="34" borderId="463">
      <alignment horizontal="right" vertical="center"/>
    </xf>
    <xf numFmtId="0" fontId="5" fillId="59" borderId="443" applyNumberFormat="0" applyFont="0" applyAlignment="0" applyProtection="0"/>
    <xf numFmtId="0" fontId="32" fillId="34" borderId="496">
      <alignment horizontal="right" vertical="center"/>
    </xf>
    <xf numFmtId="0" fontId="49" fillId="43" borderId="468" applyNumberFormat="0" applyAlignment="0" applyProtection="0"/>
    <xf numFmtId="4" fontId="32" fillId="34" borderId="472">
      <alignment horizontal="right" vertical="center"/>
    </xf>
    <xf numFmtId="4" fontId="32" fillId="32" borderId="462">
      <alignment horizontal="right" vertical="center"/>
    </xf>
    <xf numFmtId="0" fontId="43" fillId="56" borderId="433" applyNumberFormat="0" applyAlignment="0" applyProtection="0"/>
    <xf numFmtId="0" fontId="45" fillId="56" borderId="434" applyNumberFormat="0" applyAlignment="0" applyProtection="0"/>
    <xf numFmtId="0" fontId="50" fillId="0" borderId="435" applyNumberFormat="0" applyFill="0" applyAlignment="0" applyProtection="0"/>
    <xf numFmtId="0" fontId="65" fillId="0" borderId="442" applyNumberFormat="0" applyFill="0" applyAlignment="0" applyProtection="0"/>
    <xf numFmtId="0" fontId="5" fillId="59" borderId="443" applyNumberFormat="0" applyFont="0" applyAlignment="0" applyProtection="0"/>
    <xf numFmtId="0" fontId="43" fillId="56" borderId="448" applyNumberFormat="0" applyAlignment="0" applyProtection="0"/>
    <xf numFmtId="0" fontId="28" fillId="13" borderId="14" applyNumberFormat="0" applyAlignment="0" applyProtection="0"/>
    <xf numFmtId="0" fontId="12" fillId="31" borderId="0" applyNumberFormat="0" applyBorder="0" applyAlignment="0" applyProtection="0"/>
    <xf numFmtId="0" fontId="40" fillId="59" borderId="461" applyNumberFormat="0" applyFont="0" applyAlignment="0" applyProtection="0"/>
    <xf numFmtId="4" fontId="32" fillId="34" borderId="444">
      <alignment horizontal="right" vertical="center"/>
    </xf>
    <xf numFmtId="49" fontId="33" fillId="0" borderId="444" applyNumberFormat="0" applyFill="0" applyBorder="0" applyProtection="0">
      <alignment horizontal="left" vertical="center"/>
    </xf>
    <xf numFmtId="0" fontId="26" fillId="17" borderId="0" applyNumberFormat="0" applyBorder="0" applyAlignment="0" applyProtection="0"/>
    <xf numFmtId="173" fontId="34" fillId="60" borderId="471" applyNumberFormat="0" applyFont="0" applyBorder="0" applyAlignment="0" applyProtection="0">
      <alignment horizontal="right" vertical="center"/>
    </xf>
    <xf numFmtId="0" fontId="26" fillId="20" borderId="0" applyNumberFormat="0" applyBorder="0" applyAlignment="0" applyProtection="0"/>
    <xf numFmtId="0" fontId="46" fillId="56" borderId="451" applyNumberFormat="0" applyAlignment="0" applyProtection="0"/>
    <xf numFmtId="4" fontId="34" fillId="0" borderId="494" applyFill="0" applyBorder="0" applyProtection="0">
      <alignment horizontal="right" vertical="center"/>
    </xf>
    <xf numFmtId="0" fontId="62" fillId="56" borderId="448" applyNumberFormat="0" applyAlignment="0" applyProtection="0"/>
    <xf numFmtId="0" fontId="34" fillId="32" borderId="445">
      <alignment horizontal="left" vertical="center"/>
    </xf>
    <xf numFmtId="4" fontId="32" fillId="32" borderId="454">
      <alignment horizontal="right" vertical="center"/>
    </xf>
    <xf numFmtId="0" fontId="34" fillId="34" borderId="447">
      <alignment horizontal="left" vertical="center" wrapText="1" indent="2"/>
    </xf>
    <xf numFmtId="4" fontId="32" fillId="34" borderId="446">
      <alignment horizontal="right" vertical="center"/>
    </xf>
    <xf numFmtId="0" fontId="32" fillId="34" borderId="444">
      <alignment horizontal="right" vertical="center"/>
    </xf>
    <xf numFmtId="4" fontId="32" fillId="34" borderId="473">
      <alignment horizontal="right" vertical="center"/>
    </xf>
    <xf numFmtId="4" fontId="34" fillId="0" borderId="462">
      <alignment horizontal="right" vertical="center"/>
    </xf>
    <xf numFmtId="0" fontId="36" fillId="32" borderId="462">
      <alignment horizontal="right" vertical="center"/>
    </xf>
    <xf numFmtId="0" fontId="26" fillId="17" borderId="0" applyNumberFormat="0" applyBorder="0" applyAlignment="0" applyProtection="0"/>
    <xf numFmtId="0" fontId="49" fillId="43" borderId="434" applyNumberFormat="0" applyAlignment="0" applyProtection="0"/>
    <xf numFmtId="0" fontId="40" fillId="59" borderId="443" applyNumberFormat="0" applyFont="0" applyAlignment="0" applyProtection="0"/>
    <xf numFmtId="0" fontId="34" fillId="0" borderId="465">
      <alignment horizontal="left" vertical="center" wrapText="1" indent="2"/>
    </xf>
    <xf numFmtId="49" fontId="33" fillId="0" borderId="471" applyNumberFormat="0" applyFill="0" applyBorder="0" applyProtection="0">
      <alignment horizontal="left" vertical="center"/>
    </xf>
    <xf numFmtId="49" fontId="34" fillId="0" borderId="462" applyNumberFormat="0" applyFont="0" applyFill="0" applyBorder="0" applyProtection="0">
      <alignment horizontal="left" vertical="center" indent="2"/>
    </xf>
    <xf numFmtId="0" fontId="34" fillId="0" borderId="462">
      <alignment horizontal="right" vertical="center"/>
    </xf>
    <xf numFmtId="0" fontId="32" fillId="32" borderId="494">
      <alignment horizontal="right" vertical="center"/>
    </xf>
    <xf numFmtId="0" fontId="50" fillId="0" borderId="442" applyNumberFormat="0" applyFill="0" applyAlignment="0" applyProtection="0"/>
    <xf numFmtId="4" fontId="32" fillId="34" borderId="445">
      <alignment horizontal="right" vertical="center"/>
    </xf>
    <xf numFmtId="0" fontId="26" fillId="17" borderId="0" applyNumberFormat="0" applyBorder="0" applyAlignment="0" applyProtection="0"/>
    <xf numFmtId="0" fontId="58" fillId="43" borderId="441" applyNumberFormat="0" applyAlignment="0" applyProtection="0"/>
    <xf numFmtId="0" fontId="34" fillId="34" borderId="474">
      <alignment horizontal="left" vertical="center" wrapText="1" indent="2"/>
    </xf>
    <xf numFmtId="0" fontId="65" fillId="0" borderId="460" applyNumberFormat="0" applyFill="0" applyAlignment="0" applyProtection="0"/>
    <xf numFmtId="4" fontId="32" fillId="34" borderId="462">
      <alignment horizontal="right" vertical="center"/>
    </xf>
    <xf numFmtId="4" fontId="34" fillId="33" borderId="471"/>
    <xf numFmtId="0" fontId="58" fillId="43" borderId="441" applyNumberFormat="0" applyAlignment="0" applyProtection="0"/>
    <xf numFmtId="0" fontId="34" fillId="34" borderId="447">
      <alignment horizontal="left" vertical="center" wrapText="1" indent="2"/>
    </xf>
    <xf numFmtId="0" fontId="50" fillId="0" borderId="442" applyNumberFormat="0" applyFill="0" applyAlignment="0" applyProtection="0"/>
    <xf numFmtId="4" fontId="34" fillId="33" borderId="444"/>
    <xf numFmtId="0" fontId="49" fillId="43" borderId="459" applyNumberFormat="0" applyAlignment="0" applyProtection="0"/>
    <xf numFmtId="0" fontId="34" fillId="34" borderId="440">
      <alignment horizontal="left" vertical="center" wrapText="1" indent="2"/>
    </xf>
    <xf numFmtId="0" fontId="34" fillId="0" borderId="440">
      <alignment horizontal="left" vertical="center" wrapText="1" indent="2"/>
    </xf>
    <xf numFmtId="0" fontId="29" fillId="13" borderId="13" applyNumberFormat="0" applyAlignment="0" applyProtection="0"/>
    <xf numFmtId="0" fontId="12" fillId="19" borderId="0" applyNumberFormat="0" applyBorder="0" applyAlignment="0" applyProtection="0"/>
    <xf numFmtId="0" fontId="45" fillId="56" borderId="441" applyNumberFormat="0" applyAlignment="0" applyProtection="0"/>
    <xf numFmtId="0" fontId="34" fillId="0" borderId="465">
      <alignment horizontal="left" vertical="center" wrapText="1" indent="2"/>
    </xf>
    <xf numFmtId="0" fontId="65" fillId="0" borderId="460" applyNumberFormat="0" applyFill="0" applyAlignment="0" applyProtection="0"/>
    <xf numFmtId="4" fontId="32" fillId="32" borderId="462">
      <alignment horizontal="right" vertical="center"/>
    </xf>
    <xf numFmtId="0" fontId="49" fillId="43" borderId="476" applyNumberFormat="0" applyAlignment="0" applyProtection="0"/>
    <xf numFmtId="173" fontId="34" fillId="60" borderId="462" applyNumberFormat="0" applyFont="0" applyBorder="0" applyAlignment="0" applyProtection="0">
      <alignment horizontal="right" vertical="center"/>
    </xf>
    <xf numFmtId="0" fontId="46" fillId="56" borderId="468" applyNumberFormat="0" applyAlignment="0" applyProtection="0"/>
    <xf numFmtId="0" fontId="12" fillId="28" borderId="0" applyNumberFormat="0" applyBorder="0" applyAlignment="0" applyProtection="0"/>
    <xf numFmtId="0" fontId="45" fillId="56" borderId="441" applyNumberFormat="0" applyAlignment="0" applyProtection="0"/>
    <xf numFmtId="0" fontId="58" fillId="43" borderId="459" applyNumberFormat="0" applyAlignment="0" applyProtection="0"/>
    <xf numFmtId="0" fontId="58" fillId="43" borderId="459" applyNumberFormat="0" applyAlignment="0" applyProtection="0"/>
    <xf numFmtId="4" fontId="32" fillId="34" borderId="454">
      <alignment horizontal="right" vertical="center"/>
    </xf>
    <xf numFmtId="0" fontId="26" fillId="15" borderId="0" applyNumberFormat="0" applyBorder="0" applyAlignment="0" applyProtection="0"/>
    <xf numFmtId="4" fontId="32" fillId="34" borderId="446">
      <alignment horizontal="right" vertical="center"/>
    </xf>
    <xf numFmtId="4" fontId="32" fillId="34" borderId="445">
      <alignment horizontal="right" vertical="center"/>
    </xf>
    <xf numFmtId="0" fontId="40" fillId="59" borderId="443" applyNumberFormat="0" applyFont="0" applyAlignment="0" applyProtection="0"/>
    <xf numFmtId="0" fontId="50" fillId="0" borderId="442" applyNumberFormat="0" applyFill="0" applyAlignment="0" applyProtection="0"/>
    <xf numFmtId="49" fontId="34" fillId="0" borderId="444" applyNumberFormat="0" applyFont="0" applyFill="0" applyBorder="0" applyProtection="0">
      <alignment horizontal="left" vertical="center" indent="2"/>
    </xf>
    <xf numFmtId="0" fontId="65" fillId="0" borderId="442" applyNumberFormat="0" applyFill="0" applyAlignment="0" applyProtection="0"/>
    <xf numFmtId="49" fontId="33" fillId="0" borderId="462" applyNumberFormat="0" applyFill="0" applyBorder="0" applyProtection="0">
      <alignment horizontal="left" vertical="center"/>
    </xf>
    <xf numFmtId="4" fontId="32" fillId="34" borderId="446">
      <alignment horizontal="right" vertical="center"/>
    </xf>
    <xf numFmtId="0" fontId="34" fillId="0" borderId="444" applyNumberFormat="0" applyFill="0" applyAlignment="0" applyProtection="0"/>
    <xf numFmtId="0" fontId="46" fillId="56" borderId="441" applyNumberFormat="0" applyAlignment="0" applyProtection="0"/>
    <xf numFmtId="0" fontId="34" fillId="34" borderId="447">
      <alignment horizontal="left" vertical="center" wrapText="1" indent="2"/>
    </xf>
    <xf numFmtId="4" fontId="36" fillId="32" borderId="444">
      <alignment horizontal="right" vertical="center"/>
    </xf>
    <xf numFmtId="0" fontId="34" fillId="0" borderId="444" applyNumberFormat="0" applyFill="0" applyAlignment="0" applyProtection="0"/>
    <xf numFmtId="0" fontId="65" fillId="0" borderId="442" applyNumberFormat="0" applyFill="0" applyAlignment="0" applyProtection="0"/>
    <xf numFmtId="4" fontId="32" fillId="34" borderId="446">
      <alignment horizontal="right" vertical="center"/>
    </xf>
    <xf numFmtId="0" fontId="62" fillId="56" borderId="448" applyNumberFormat="0" applyAlignment="0" applyProtection="0"/>
    <xf numFmtId="0" fontId="58" fillId="43" borderId="441" applyNumberFormat="0" applyAlignment="0" applyProtection="0"/>
    <xf numFmtId="0" fontId="32" fillId="32" borderId="444">
      <alignment horizontal="right" vertical="center"/>
    </xf>
    <xf numFmtId="0" fontId="32" fillId="34" borderId="444">
      <alignment horizontal="right" vertical="center"/>
    </xf>
    <xf numFmtId="0" fontId="40" fillId="59" borderId="443" applyNumberFormat="0" applyFont="0" applyAlignment="0" applyProtection="0"/>
    <xf numFmtId="0" fontId="1" fillId="0" borderId="0" applyNumberFormat="0" applyFill="0" applyBorder="0" applyAlignment="0" applyProtection="0"/>
    <xf numFmtId="49" fontId="34" fillId="0" borderId="445" applyNumberFormat="0" applyFont="0" applyFill="0" applyBorder="0" applyProtection="0">
      <alignment horizontal="left" vertical="center" indent="5"/>
    </xf>
    <xf numFmtId="0" fontId="50" fillId="0" borderId="442" applyNumberFormat="0" applyFill="0" applyAlignment="0" applyProtection="0"/>
    <xf numFmtId="0" fontId="34" fillId="0" borderId="447">
      <alignment horizontal="left" vertical="center" wrapText="1" indent="2"/>
    </xf>
    <xf numFmtId="0" fontId="49" fillId="43" borderId="441" applyNumberFormat="0" applyAlignment="0" applyProtection="0"/>
    <xf numFmtId="0" fontId="58" fillId="43" borderId="476" applyNumberFormat="0" applyAlignment="0" applyProtection="0"/>
    <xf numFmtId="0" fontId="34" fillId="33" borderId="444"/>
    <xf numFmtId="4" fontId="34" fillId="0" borderId="444">
      <alignment horizontal="right" vertical="center"/>
    </xf>
    <xf numFmtId="0" fontId="26" fillId="24" borderId="0" applyNumberFormat="0" applyBorder="0" applyAlignment="0" applyProtection="0"/>
    <xf numFmtId="0" fontId="26" fillId="30" borderId="0" applyNumberFormat="0" applyBorder="0" applyAlignment="0" applyProtection="0"/>
    <xf numFmtId="0" fontId="40" fillId="59" borderId="483" applyNumberFormat="0" applyFont="0" applyAlignment="0" applyProtection="0"/>
    <xf numFmtId="0" fontId="12" fillId="16" borderId="0" applyNumberFormat="0" applyBorder="0" applyAlignment="0" applyProtection="0"/>
    <xf numFmtId="0" fontId="26" fillId="20" borderId="0" applyNumberFormat="0" applyBorder="0" applyAlignment="0" applyProtection="0"/>
    <xf numFmtId="0" fontId="12" fillId="25" borderId="0" applyNumberFormat="0" applyBorder="0" applyAlignment="0" applyProtection="0"/>
    <xf numFmtId="0" fontId="1" fillId="0" borderId="0" applyNumberFormat="0" applyFill="0" applyBorder="0" applyAlignment="0" applyProtection="0"/>
    <xf numFmtId="0" fontId="26" fillId="23" borderId="0" applyNumberFormat="0" applyBorder="0" applyAlignment="0" applyProtection="0"/>
    <xf numFmtId="0" fontId="34" fillId="0" borderId="471" applyNumberFormat="0" applyFill="0" applyAlignment="0" applyProtection="0"/>
    <xf numFmtId="0" fontId="26" fillId="20" borderId="0" applyNumberFormat="0" applyBorder="0" applyAlignment="0" applyProtection="0"/>
    <xf numFmtId="0" fontId="26" fillId="18" borderId="0" applyNumberFormat="0" applyBorder="0" applyAlignment="0" applyProtection="0"/>
    <xf numFmtId="4" fontId="32" fillId="34" borderId="456">
      <alignment horizontal="right" vertical="center"/>
    </xf>
    <xf numFmtId="4" fontId="32" fillId="34" borderId="463">
      <alignment horizontal="right" vertical="center"/>
    </xf>
    <xf numFmtId="0" fontId="30" fillId="0" borderId="0" applyNumberFormat="0" applyFill="0" applyBorder="0" applyAlignment="0" applyProtection="0"/>
    <xf numFmtId="0" fontId="2" fillId="0" borderId="15" applyNumberFormat="0" applyFill="0" applyAlignment="0" applyProtection="0"/>
    <xf numFmtId="0" fontId="1" fillId="0" borderId="0" applyNumberFormat="0" applyFill="0" applyBorder="0" applyAlignment="0" applyProtection="0"/>
    <xf numFmtId="0" fontId="34" fillId="33" borderId="462"/>
    <xf numFmtId="0" fontId="28" fillId="13" borderId="14" applyNumberFormat="0" applyAlignment="0" applyProtection="0"/>
    <xf numFmtId="0" fontId="26" fillId="14" borderId="0" applyNumberFormat="0" applyBorder="0" applyAlignment="0" applyProtection="0"/>
    <xf numFmtId="4" fontId="36" fillId="32" borderId="471">
      <alignment horizontal="right" vertical="center"/>
    </xf>
    <xf numFmtId="0" fontId="1" fillId="0" borderId="0" applyNumberFormat="0" applyFill="0" applyBorder="0" applyAlignment="0" applyProtection="0"/>
    <xf numFmtId="0" fontId="49" fillId="43" borderId="468" applyNumberFormat="0" applyAlignment="0" applyProtection="0"/>
    <xf numFmtId="0" fontId="5" fillId="59" borderId="461" applyNumberFormat="0" applyFont="0" applyAlignment="0" applyProtection="0"/>
    <xf numFmtId="0" fontId="34" fillId="33" borderId="462"/>
    <xf numFmtId="0" fontId="2" fillId="0" borderId="15" applyNumberFormat="0" applyFill="0" applyAlignment="0" applyProtection="0"/>
    <xf numFmtId="4" fontId="32" fillId="34" borderId="437">
      <alignment horizontal="right" vertical="center"/>
    </xf>
    <xf numFmtId="0" fontId="34" fillId="33" borderId="437"/>
    <xf numFmtId="0" fontId="45" fillId="56" borderId="434" applyNumberFormat="0" applyAlignment="0" applyProtection="0"/>
    <xf numFmtId="0" fontId="32" fillId="32" borderId="437">
      <alignment horizontal="right" vertical="center"/>
    </xf>
    <xf numFmtId="0" fontId="34" fillId="0" borderId="437">
      <alignment horizontal="right" vertical="center"/>
    </xf>
    <xf numFmtId="0" fontId="65" fillId="0" borderId="435" applyNumberFormat="0" applyFill="0" applyAlignment="0" applyProtection="0"/>
    <xf numFmtId="0" fontId="34" fillId="32" borderId="438">
      <alignment horizontal="left" vertical="center"/>
    </xf>
    <xf numFmtId="0" fontId="58" fillId="43" borderId="434" applyNumberFormat="0" applyAlignment="0" applyProtection="0"/>
    <xf numFmtId="173" fontId="34" fillId="60" borderId="437" applyNumberFormat="0" applyFont="0" applyBorder="0" applyAlignment="0" applyProtection="0">
      <alignment horizontal="right" vertical="center"/>
    </xf>
    <xf numFmtId="0" fontId="40" fillId="59" borderId="436" applyNumberFormat="0" applyFont="0" applyAlignment="0" applyProtection="0"/>
    <xf numFmtId="0" fontId="34" fillId="0" borderId="440">
      <alignment horizontal="left" vertical="center" wrapText="1" indent="2"/>
    </xf>
    <xf numFmtId="4" fontId="34" fillId="33" borderId="437"/>
    <xf numFmtId="49" fontId="33" fillId="0" borderId="437" applyNumberFormat="0" applyFill="0" applyBorder="0" applyProtection="0">
      <alignment horizontal="left" vertical="center"/>
    </xf>
    <xf numFmtId="0" fontId="34" fillId="0" borderId="437">
      <alignment horizontal="right" vertical="center"/>
    </xf>
    <xf numFmtId="4" fontId="32" fillId="34" borderId="439">
      <alignment horizontal="right" vertical="center"/>
    </xf>
    <xf numFmtId="4" fontId="32" fillId="34" borderId="437">
      <alignment horizontal="right" vertical="center"/>
    </xf>
    <xf numFmtId="4" fontId="32" fillId="34" borderId="437">
      <alignment horizontal="right" vertical="center"/>
    </xf>
    <xf numFmtId="0" fontId="36" fillId="32" borderId="437">
      <alignment horizontal="right" vertical="center"/>
    </xf>
    <xf numFmtId="0" fontId="32" fillId="32" borderId="437">
      <alignment horizontal="right" vertical="center"/>
    </xf>
    <xf numFmtId="49" fontId="34" fillId="0" borderId="437" applyNumberFormat="0" applyFont="0" applyFill="0" applyBorder="0" applyProtection="0">
      <alignment horizontal="left" vertical="center" indent="2"/>
    </xf>
    <xf numFmtId="0" fontId="58" fillId="43" borderId="434" applyNumberFormat="0" applyAlignment="0" applyProtection="0"/>
    <xf numFmtId="0" fontId="43" fillId="56" borderId="433" applyNumberFormat="0" applyAlignment="0" applyProtection="0"/>
    <xf numFmtId="49" fontId="34" fillId="0" borderId="437" applyNumberFormat="0" applyFont="0" applyFill="0" applyBorder="0" applyProtection="0">
      <alignment horizontal="left" vertical="center" indent="2"/>
    </xf>
    <xf numFmtId="0" fontId="49" fillId="43" borderId="434" applyNumberFormat="0" applyAlignment="0" applyProtection="0"/>
    <xf numFmtId="4" fontId="34" fillId="0" borderId="437" applyFill="0" applyBorder="0" applyProtection="0">
      <alignment horizontal="right" vertical="center"/>
    </xf>
    <xf numFmtId="0" fontId="46" fillId="56" borderId="434" applyNumberFormat="0" applyAlignment="0" applyProtection="0"/>
    <xf numFmtId="0" fontId="65" fillId="0" borderId="435" applyNumberFormat="0" applyFill="0" applyAlignment="0" applyProtection="0"/>
    <xf numFmtId="0" fontId="62" fillId="56" borderId="433" applyNumberFormat="0" applyAlignment="0" applyProtection="0"/>
    <xf numFmtId="0" fontId="34" fillId="0" borderId="437" applyNumberFormat="0" applyFill="0" applyAlignment="0" applyProtection="0"/>
    <xf numFmtId="4" fontId="34" fillId="0" borderId="437">
      <alignment horizontal="right" vertical="center"/>
    </xf>
    <xf numFmtId="0" fontId="34" fillId="0" borderId="437">
      <alignment horizontal="right" vertical="center"/>
    </xf>
    <xf numFmtId="0" fontId="58" fillId="43" borderId="434" applyNumberFormat="0" applyAlignment="0" applyProtection="0"/>
    <xf numFmtId="0" fontId="43" fillId="56" borderId="433" applyNumberFormat="0" applyAlignment="0" applyProtection="0"/>
    <xf numFmtId="0" fontId="45" fillId="56" borderId="434" applyNumberFormat="0" applyAlignment="0" applyProtection="0"/>
    <xf numFmtId="0" fontId="34" fillId="34" borderId="440">
      <alignment horizontal="left" vertical="center" wrapText="1" indent="2"/>
    </xf>
    <xf numFmtId="0" fontId="46" fillId="56" borderId="434" applyNumberFormat="0" applyAlignment="0" applyProtection="0"/>
    <xf numFmtId="0" fontId="46" fillId="56" borderId="434" applyNumberFormat="0" applyAlignment="0" applyProtection="0"/>
    <xf numFmtId="4" fontId="32" fillId="34" borderId="438">
      <alignment horizontal="right" vertical="center"/>
    </xf>
    <xf numFmtId="0" fontId="32" fillId="34" borderId="438">
      <alignment horizontal="right" vertical="center"/>
    </xf>
    <xf numFmtId="0" fontId="32" fillId="34" borderId="437">
      <alignment horizontal="right" vertical="center"/>
    </xf>
    <xf numFmtId="4" fontId="36" fillId="32" borderId="437">
      <alignment horizontal="right" vertical="center"/>
    </xf>
    <xf numFmtId="0" fontId="49" fillId="43" borderId="434" applyNumberFormat="0" applyAlignment="0" applyProtection="0"/>
    <xf numFmtId="0" fontId="50" fillId="0" borderId="435" applyNumberFormat="0" applyFill="0" applyAlignment="0" applyProtection="0"/>
    <xf numFmtId="0" fontId="65" fillId="0" borderId="435" applyNumberFormat="0" applyFill="0" applyAlignment="0" applyProtection="0"/>
    <xf numFmtId="0" fontId="40" fillId="59" borderId="436" applyNumberFormat="0" applyFont="0" applyAlignment="0" applyProtection="0"/>
    <xf numFmtId="0" fontId="58" fillId="43" borderId="434" applyNumberFormat="0" applyAlignment="0" applyProtection="0"/>
    <xf numFmtId="49" fontId="33" fillId="0" borderId="437" applyNumberFormat="0" applyFill="0" applyBorder="0" applyProtection="0">
      <alignment horizontal="left" vertical="center"/>
    </xf>
    <xf numFmtId="0" fontId="34" fillId="34" borderId="440">
      <alignment horizontal="left" vertical="center" wrapText="1" indent="2"/>
    </xf>
    <xf numFmtId="0" fontId="46" fillId="56" borderId="434" applyNumberFormat="0" applyAlignment="0" applyProtection="0"/>
    <xf numFmtId="0" fontId="34" fillId="0" borderId="440">
      <alignment horizontal="left" vertical="center" wrapText="1" indent="2"/>
    </xf>
    <xf numFmtId="0" fontId="40" fillId="59" borderId="436" applyNumberFormat="0" applyFont="0" applyAlignment="0" applyProtection="0"/>
    <xf numFmtId="0" fontId="5" fillId="59" borderId="436" applyNumberFormat="0" applyFont="0" applyAlignment="0" applyProtection="0"/>
    <xf numFmtId="0" fontId="62" fillId="56" borderId="433" applyNumberFormat="0" applyAlignment="0" applyProtection="0"/>
    <xf numFmtId="0" fontId="65" fillId="0" borderId="435" applyNumberFormat="0" applyFill="0" applyAlignment="0" applyProtection="0"/>
    <xf numFmtId="4" fontId="34" fillId="33" borderId="437"/>
    <xf numFmtId="0" fontId="32" fillId="34" borderId="437">
      <alignment horizontal="right" vertical="center"/>
    </xf>
    <xf numFmtId="0" fontId="65" fillId="0" borderId="435" applyNumberFormat="0" applyFill="0" applyAlignment="0" applyProtection="0"/>
    <xf numFmtId="4" fontId="32" fillId="34" borderId="439">
      <alignment horizontal="right" vertical="center"/>
    </xf>
    <xf numFmtId="0" fontId="45" fillId="56" borderId="434" applyNumberFormat="0" applyAlignment="0" applyProtection="0"/>
    <xf numFmtId="0" fontId="32" fillId="34" borderId="438">
      <alignment horizontal="right" vertical="center"/>
    </xf>
    <xf numFmtId="0" fontId="46" fillId="56" borderId="434" applyNumberFormat="0" applyAlignment="0" applyProtection="0"/>
    <xf numFmtId="0" fontId="50" fillId="0" borderId="435" applyNumberFormat="0" applyFill="0" applyAlignment="0" applyProtection="0"/>
    <xf numFmtId="0" fontId="40" fillId="59" borderId="436" applyNumberFormat="0" applyFont="0" applyAlignment="0" applyProtection="0"/>
    <xf numFmtId="4" fontId="32" fillId="34" borderId="438">
      <alignment horizontal="right" vertical="center"/>
    </xf>
    <xf numFmtId="0" fontId="34" fillId="34" borderId="440">
      <alignment horizontal="left" vertical="center" wrapText="1" indent="2"/>
    </xf>
    <xf numFmtId="0" fontId="34" fillId="33" borderId="437"/>
    <xf numFmtId="173" fontId="34" fillId="60" borderId="437" applyNumberFormat="0" applyFont="0" applyBorder="0" applyAlignment="0" applyProtection="0">
      <alignment horizontal="right" vertical="center"/>
    </xf>
    <xf numFmtId="0" fontId="34" fillId="0" borderId="437" applyNumberFormat="0" applyFill="0" applyAlignment="0" applyProtection="0"/>
    <xf numFmtId="4" fontId="34" fillId="0" borderId="437" applyFill="0" applyBorder="0" applyProtection="0">
      <alignment horizontal="right" vertical="center"/>
    </xf>
    <xf numFmtId="4" fontId="32" fillId="32" borderId="437">
      <alignment horizontal="right" vertical="center"/>
    </xf>
    <xf numFmtId="0" fontId="50" fillId="0" borderId="435" applyNumberFormat="0" applyFill="0" applyAlignment="0" applyProtection="0"/>
    <xf numFmtId="49" fontId="33" fillId="0" borderId="437" applyNumberFormat="0" applyFill="0" applyBorder="0" applyProtection="0">
      <alignment horizontal="left" vertical="center"/>
    </xf>
    <xf numFmtId="49" fontId="34" fillId="0" borderId="438" applyNumberFormat="0" applyFont="0" applyFill="0" applyBorder="0" applyProtection="0">
      <alignment horizontal="left" vertical="center" indent="5"/>
    </xf>
    <xf numFmtId="0" fontId="34" fillId="32" borderId="438">
      <alignment horizontal="left" vertical="center"/>
    </xf>
    <xf numFmtId="0" fontId="46" fillId="56" borderId="434" applyNumberFormat="0" applyAlignment="0" applyProtection="0"/>
    <xf numFmtId="4" fontId="32" fillId="34" borderId="439">
      <alignment horizontal="right" vertical="center"/>
    </xf>
    <xf numFmtId="0" fontId="58" fillId="43" borderId="434" applyNumberFormat="0" applyAlignment="0" applyProtection="0"/>
    <xf numFmtId="0" fontId="58" fillId="43" borderId="434" applyNumberFormat="0" applyAlignment="0" applyProtection="0"/>
    <xf numFmtId="0" fontId="40" fillId="59" borderId="436" applyNumberFormat="0" applyFont="0" applyAlignment="0" applyProtection="0"/>
    <xf numFmtId="0" fontId="62" fillId="56" borderId="433" applyNumberFormat="0" applyAlignment="0" applyProtection="0"/>
    <xf numFmtId="0" fontId="65" fillId="0" borderId="435" applyNumberFormat="0" applyFill="0" applyAlignment="0" applyProtection="0"/>
    <xf numFmtId="0" fontId="32" fillId="34" borderId="437">
      <alignment horizontal="right" vertical="center"/>
    </xf>
    <xf numFmtId="0" fontId="5" fillId="59" borderId="436" applyNumberFormat="0" applyFont="0" applyAlignment="0" applyProtection="0"/>
    <xf numFmtId="4" fontId="34" fillId="0" borderId="437">
      <alignment horizontal="right" vertical="center"/>
    </xf>
    <xf numFmtId="0" fontId="65" fillId="0" borderId="435" applyNumberFormat="0" applyFill="0" applyAlignment="0" applyProtection="0"/>
    <xf numFmtId="0" fontId="32" fillId="34" borderId="437">
      <alignment horizontal="right" vertical="center"/>
    </xf>
    <xf numFmtId="0" fontId="32" fillId="34" borderId="437">
      <alignment horizontal="right" vertical="center"/>
    </xf>
    <xf numFmtId="4" fontId="36" fillId="32" borderId="437">
      <alignment horizontal="right" vertical="center"/>
    </xf>
    <xf numFmtId="0" fontId="32" fillId="32" borderId="437">
      <alignment horizontal="right" vertical="center"/>
    </xf>
    <xf numFmtId="4" fontId="32" fillId="32" borderId="437">
      <alignment horizontal="right" vertical="center"/>
    </xf>
    <xf numFmtId="0" fontId="36" fillId="32" borderId="437">
      <alignment horizontal="right" vertical="center"/>
    </xf>
    <xf numFmtId="4" fontId="36" fillId="32" borderId="437">
      <alignment horizontal="right" vertical="center"/>
    </xf>
    <xf numFmtId="0" fontId="32" fillId="34" borderId="437">
      <alignment horizontal="right" vertical="center"/>
    </xf>
    <xf numFmtId="4" fontId="32" fillId="34" borderId="437">
      <alignment horizontal="right" vertical="center"/>
    </xf>
    <xf numFmtId="0" fontId="32" fillId="34" borderId="437">
      <alignment horizontal="right" vertical="center"/>
    </xf>
    <xf numFmtId="4" fontId="32" fillId="34" borderId="437">
      <alignment horizontal="right" vertical="center"/>
    </xf>
    <xf numFmtId="0" fontId="32" fillId="34" borderId="438">
      <alignment horizontal="right" vertical="center"/>
    </xf>
    <xf numFmtId="4" fontId="32" fillId="34" borderId="438">
      <alignment horizontal="right" vertical="center"/>
    </xf>
    <xf numFmtId="0" fontId="32" fillId="34" borderId="439">
      <alignment horizontal="right" vertical="center"/>
    </xf>
    <xf numFmtId="4" fontId="32" fillId="34" borderId="439">
      <alignment horizontal="right" vertical="center"/>
    </xf>
    <xf numFmtId="0" fontId="46" fillId="56" borderId="434" applyNumberFormat="0" applyAlignment="0" applyProtection="0"/>
    <xf numFmtId="0" fontId="34" fillId="34" borderId="440">
      <alignment horizontal="left" vertical="center" wrapText="1" indent="2"/>
    </xf>
    <xf numFmtId="0" fontId="34" fillId="0" borderId="440">
      <alignment horizontal="left" vertical="center" wrapText="1" indent="2"/>
    </xf>
    <xf numFmtId="0" fontId="34" fillId="32" borderId="438">
      <alignment horizontal="left" vertical="center"/>
    </xf>
    <xf numFmtId="0" fontId="58" fillId="43" borderId="434" applyNumberFormat="0" applyAlignment="0" applyProtection="0"/>
    <xf numFmtId="0" fontId="34" fillId="0" borderId="437">
      <alignment horizontal="right" vertical="center"/>
    </xf>
    <xf numFmtId="4" fontId="34" fillId="0" borderId="437">
      <alignment horizontal="right" vertical="center"/>
    </xf>
    <xf numFmtId="0" fontId="34" fillId="0" borderId="437" applyNumberFormat="0" applyFill="0" applyAlignment="0" applyProtection="0"/>
    <xf numFmtId="0" fontId="62" fillId="56" borderId="433" applyNumberFormat="0" applyAlignment="0" applyProtection="0"/>
    <xf numFmtId="173" fontId="34" fillId="60" borderId="437" applyNumberFormat="0" applyFont="0" applyBorder="0" applyAlignment="0" applyProtection="0">
      <alignment horizontal="right" vertical="center"/>
    </xf>
    <xf numFmtId="0" fontId="34" fillId="33" borderId="437"/>
    <xf numFmtId="4" fontId="34" fillId="33" borderId="437"/>
    <xf numFmtId="0" fontId="65" fillId="0" borderId="435" applyNumberFormat="0" applyFill="0" applyAlignment="0" applyProtection="0"/>
    <xf numFmtId="0" fontId="5" fillId="59" borderId="436" applyNumberFormat="0" applyFont="0" applyAlignment="0" applyProtection="0"/>
    <xf numFmtId="0" fontId="40" fillId="59" borderId="436" applyNumberFormat="0" applyFont="0" applyAlignment="0" applyProtection="0"/>
    <xf numFmtId="0" fontId="34" fillId="0" borderId="437" applyNumberFormat="0" applyFill="0" applyAlignment="0" applyProtection="0"/>
    <xf numFmtId="0" fontId="50" fillId="0" borderId="435" applyNumberFormat="0" applyFill="0" applyAlignment="0" applyProtection="0"/>
    <xf numFmtId="0" fontId="65" fillId="0" borderId="435" applyNumberFormat="0" applyFill="0" applyAlignment="0" applyProtection="0"/>
    <xf numFmtId="0" fontId="49" fillId="43" borderId="434" applyNumberFormat="0" applyAlignment="0" applyProtection="0"/>
    <xf numFmtId="0" fontId="46" fillId="56" borderId="434" applyNumberFormat="0" applyAlignment="0" applyProtection="0"/>
    <xf numFmtId="4" fontId="36" fillId="32" borderId="437">
      <alignment horizontal="right" vertical="center"/>
    </xf>
    <xf numFmtId="0" fontId="32" fillId="32" borderId="437">
      <alignment horizontal="right" vertical="center"/>
    </xf>
    <xf numFmtId="173" fontId="34" fillId="60" borderId="437" applyNumberFormat="0" applyFont="0" applyBorder="0" applyAlignment="0" applyProtection="0">
      <alignment horizontal="right" vertical="center"/>
    </xf>
    <xf numFmtId="0" fontId="50" fillId="0" borderId="435" applyNumberFormat="0" applyFill="0" applyAlignment="0" applyProtection="0"/>
    <xf numFmtId="49" fontId="34" fillId="0" borderId="437" applyNumberFormat="0" applyFont="0" applyFill="0" applyBorder="0" applyProtection="0">
      <alignment horizontal="left" vertical="center" indent="2"/>
    </xf>
    <xf numFmtId="49" fontId="34" fillId="0" borderId="438" applyNumberFormat="0" applyFont="0" applyFill="0" applyBorder="0" applyProtection="0">
      <alignment horizontal="left" vertical="center" indent="5"/>
    </xf>
    <xf numFmtId="49" fontId="34" fillId="0" borderId="437" applyNumberFormat="0" applyFont="0" applyFill="0" applyBorder="0" applyProtection="0">
      <alignment horizontal="left" vertical="center" indent="2"/>
    </xf>
    <xf numFmtId="4" fontId="34" fillId="0" borderId="437" applyFill="0" applyBorder="0" applyProtection="0">
      <alignment horizontal="right" vertical="center"/>
    </xf>
    <xf numFmtId="49" fontId="33" fillId="0" borderId="437" applyNumberFormat="0" applyFill="0" applyBorder="0" applyProtection="0">
      <alignment horizontal="left" vertical="center"/>
    </xf>
    <xf numFmtId="0" fontId="34" fillId="0" borderId="440">
      <alignment horizontal="left" vertical="center" wrapText="1" indent="2"/>
    </xf>
    <xf numFmtId="0" fontId="62" fillId="56" borderId="433" applyNumberFormat="0" applyAlignment="0" applyProtection="0"/>
    <xf numFmtId="0" fontId="32" fillId="34" borderId="439">
      <alignment horizontal="right" vertical="center"/>
    </xf>
    <xf numFmtId="0" fontId="49" fillId="43" borderId="434" applyNumberFormat="0" applyAlignment="0" applyProtection="0"/>
    <xf numFmtId="0" fontId="32" fillId="34" borderId="439">
      <alignment horizontal="right" vertical="center"/>
    </xf>
    <xf numFmtId="4" fontId="32" fillId="34" borderId="437">
      <alignment horizontal="right" vertical="center"/>
    </xf>
    <xf numFmtId="0" fontId="32" fillId="34" borderId="437">
      <alignment horizontal="right" vertical="center"/>
    </xf>
    <xf numFmtId="0" fontId="43" fillId="56" borderId="433" applyNumberFormat="0" applyAlignment="0" applyProtection="0"/>
    <xf numFmtId="0" fontId="45" fillId="56" borderId="434" applyNumberFormat="0" applyAlignment="0" applyProtection="0"/>
    <xf numFmtId="0" fontId="50" fillId="0" borderId="435" applyNumberFormat="0" applyFill="0" applyAlignment="0" applyProtection="0"/>
    <xf numFmtId="0" fontId="34" fillId="33" borderId="437"/>
    <xf numFmtId="4" fontId="34" fillId="33" borderId="437"/>
    <xf numFmtId="4" fontId="32" fillId="34" borderId="437">
      <alignment horizontal="right" vertical="center"/>
    </xf>
    <xf numFmtId="0" fontId="36" fillId="32" borderId="437">
      <alignment horizontal="right" vertical="center"/>
    </xf>
    <xf numFmtId="0" fontId="49" fillId="43" borderId="434" applyNumberFormat="0" applyAlignment="0" applyProtection="0"/>
    <xf numFmtId="0" fontId="46" fillId="56" borderId="434" applyNumberFormat="0" applyAlignment="0" applyProtection="0"/>
    <xf numFmtId="4" fontId="34" fillId="0" borderId="437">
      <alignment horizontal="right" vertical="center"/>
    </xf>
    <xf numFmtId="0" fontId="34" fillId="34" borderId="440">
      <alignment horizontal="left" vertical="center" wrapText="1" indent="2"/>
    </xf>
    <xf numFmtId="0" fontId="34" fillId="0" borderId="440">
      <alignment horizontal="left" vertical="center" wrapText="1" indent="2"/>
    </xf>
    <xf numFmtId="0" fontId="62" fillId="56" borderId="433" applyNumberFormat="0" applyAlignment="0" applyProtection="0"/>
    <xf numFmtId="0" fontId="58" fillId="43" borderId="434" applyNumberFormat="0" applyAlignment="0" applyProtection="0"/>
    <xf numFmtId="0" fontId="45" fillId="56" borderId="434" applyNumberFormat="0" applyAlignment="0" applyProtection="0"/>
    <xf numFmtId="0" fontId="43" fillId="56" borderId="433" applyNumberFormat="0" applyAlignment="0" applyProtection="0"/>
    <xf numFmtId="0" fontId="32" fillId="34" borderId="439">
      <alignment horizontal="right" vertical="center"/>
    </xf>
    <xf numFmtId="0" fontId="36" fillId="32" borderId="437">
      <alignment horizontal="right" vertical="center"/>
    </xf>
    <xf numFmtId="4" fontId="32" fillId="32" borderId="437">
      <alignment horizontal="right" vertical="center"/>
    </xf>
    <xf numFmtId="4" fontId="32" fillId="34" borderId="437">
      <alignment horizontal="right" vertical="center"/>
    </xf>
    <xf numFmtId="49" fontId="34" fillId="0" borderId="438" applyNumberFormat="0" applyFont="0" applyFill="0" applyBorder="0" applyProtection="0">
      <alignment horizontal="left" vertical="center" indent="5"/>
    </xf>
    <xf numFmtId="4" fontId="34" fillId="0" borderId="437" applyFill="0" applyBorder="0" applyProtection="0">
      <alignment horizontal="right" vertical="center"/>
    </xf>
    <xf numFmtId="4" fontId="32" fillId="32" borderId="437">
      <alignment horizontal="right" vertical="center"/>
    </xf>
    <xf numFmtId="0" fontId="29" fillId="13" borderId="13" applyNumberFormat="0" applyAlignment="0" applyProtection="0"/>
    <xf numFmtId="0" fontId="58" fillId="43" borderId="434" applyNumberFormat="0" applyAlignment="0" applyProtection="0"/>
    <xf numFmtId="0" fontId="49" fillId="43" borderId="434" applyNumberFormat="0" applyAlignment="0" applyProtection="0"/>
    <xf numFmtId="0" fontId="45" fillId="56" borderId="434" applyNumberFormat="0" applyAlignment="0" applyProtection="0"/>
    <xf numFmtId="0" fontId="34" fillId="34" borderId="440">
      <alignment horizontal="left" vertical="center" wrapText="1" indent="2"/>
    </xf>
    <xf numFmtId="0" fontId="34" fillId="0" borderId="440">
      <alignment horizontal="left" vertical="center" wrapText="1" indent="2"/>
    </xf>
    <xf numFmtId="0" fontId="34" fillId="34" borderId="440">
      <alignment horizontal="left" vertical="center" wrapText="1" indent="2"/>
    </xf>
    <xf numFmtId="0" fontId="34" fillId="0" borderId="440">
      <alignment horizontal="left" vertical="center" wrapText="1" indent="2"/>
    </xf>
    <xf numFmtId="0" fontId="43" fillId="56" borderId="433" applyNumberFormat="0" applyAlignment="0" applyProtection="0"/>
    <xf numFmtId="0" fontId="45" fillId="56" borderId="434" applyNumberFormat="0" applyAlignment="0" applyProtection="0"/>
    <xf numFmtId="0" fontId="46" fillId="56" borderId="434" applyNumberFormat="0" applyAlignment="0" applyProtection="0"/>
    <xf numFmtId="0" fontId="49" fillId="43" borderId="434" applyNumberFormat="0" applyAlignment="0" applyProtection="0"/>
    <xf numFmtId="0" fontId="50" fillId="0" borderId="435" applyNumberFormat="0" applyFill="0" applyAlignment="0" applyProtection="0"/>
    <xf numFmtId="0" fontId="58" fillId="43" borderId="434" applyNumberFormat="0" applyAlignment="0" applyProtection="0"/>
    <xf numFmtId="0" fontId="40" fillId="59" borderId="436" applyNumberFormat="0" applyFont="0" applyAlignment="0" applyProtection="0"/>
    <xf numFmtId="0" fontId="5" fillId="59" borderId="436" applyNumberFormat="0" applyFont="0" applyAlignment="0" applyProtection="0"/>
    <xf numFmtId="0" fontId="62" fillId="56" borderId="433" applyNumberFormat="0" applyAlignment="0" applyProtection="0"/>
    <xf numFmtId="0" fontId="65" fillId="0" borderId="435" applyNumberFormat="0" applyFill="0" applyAlignment="0" applyProtection="0"/>
    <xf numFmtId="0" fontId="46" fillId="56" borderId="434" applyNumberFormat="0" applyAlignment="0" applyProtection="0"/>
    <xf numFmtId="0" fontId="58" fillId="43" borderId="434" applyNumberFormat="0" applyAlignment="0" applyProtection="0"/>
    <xf numFmtId="0" fontId="40" fillId="59" borderId="436" applyNumberFormat="0" applyFont="0" applyAlignment="0" applyProtection="0"/>
    <xf numFmtId="0" fontId="62" fillId="56" borderId="433" applyNumberFormat="0" applyAlignment="0" applyProtection="0"/>
    <xf numFmtId="0" fontId="65" fillId="0" borderId="435" applyNumberFormat="0" applyFill="0" applyAlignment="0" applyProtection="0"/>
    <xf numFmtId="0" fontId="46" fillId="56" borderId="441" applyNumberFormat="0" applyAlignment="0" applyProtection="0"/>
    <xf numFmtId="0" fontId="32" fillId="34" borderId="446">
      <alignment horizontal="right" vertical="center"/>
    </xf>
    <xf numFmtId="0" fontId="32" fillId="34" borderId="431">
      <alignment horizontal="right" vertical="center"/>
    </xf>
    <xf numFmtId="4" fontId="32" fillId="34" borderId="431">
      <alignment horizontal="right" vertical="center"/>
    </xf>
    <xf numFmtId="0" fontId="46" fillId="56" borderId="434" applyNumberFormat="0" applyAlignment="0" applyProtection="0"/>
    <xf numFmtId="0" fontId="34" fillId="34" borderId="432">
      <alignment horizontal="left" vertical="center" wrapText="1" indent="2"/>
    </xf>
    <xf numFmtId="0" fontId="34" fillId="0" borderId="432">
      <alignment horizontal="left" vertical="center" wrapText="1" indent="2"/>
    </xf>
    <xf numFmtId="0" fontId="46" fillId="56" borderId="468" applyNumberFormat="0" applyAlignment="0" applyProtection="0"/>
    <xf numFmtId="0" fontId="58" fillId="43" borderId="434" applyNumberFormat="0" applyAlignment="0" applyProtection="0"/>
    <xf numFmtId="0" fontId="62" fillId="56" borderId="433" applyNumberFormat="0" applyAlignment="0" applyProtection="0"/>
    <xf numFmtId="0" fontId="65" fillId="0" borderId="435" applyNumberFormat="0" applyFill="0" applyAlignment="0" applyProtection="0"/>
    <xf numFmtId="0" fontId="62" fillId="56" borderId="466" applyNumberFormat="0" applyAlignment="0" applyProtection="0"/>
    <xf numFmtId="0" fontId="43" fillId="56" borderId="433" applyNumberFormat="0" applyAlignment="0" applyProtection="0"/>
    <xf numFmtId="0" fontId="45" fillId="56" borderId="434" applyNumberFormat="0" applyAlignment="0" applyProtection="0"/>
    <xf numFmtId="0" fontId="50" fillId="0" borderId="435" applyNumberFormat="0" applyFill="0" applyAlignment="0" applyProtection="0"/>
    <xf numFmtId="49" fontId="34" fillId="0" borderId="437" applyNumberFormat="0" applyFont="0" applyFill="0" applyBorder="0" applyProtection="0">
      <alignment horizontal="left" vertical="center" indent="2"/>
    </xf>
    <xf numFmtId="0" fontId="32" fillId="32" borderId="437">
      <alignment horizontal="right" vertical="center"/>
    </xf>
    <xf numFmtId="4" fontId="32" fillId="32" borderId="437">
      <alignment horizontal="right" vertical="center"/>
    </xf>
    <xf numFmtId="0" fontId="36" fillId="32" borderId="437">
      <alignment horizontal="right" vertical="center"/>
    </xf>
    <xf numFmtId="4" fontId="36" fillId="32" borderId="437">
      <alignment horizontal="right" vertical="center"/>
    </xf>
    <xf numFmtId="0" fontId="32" fillId="34" borderId="437">
      <alignment horizontal="right" vertical="center"/>
    </xf>
    <xf numFmtId="4" fontId="32" fillId="34" borderId="437">
      <alignment horizontal="right" vertical="center"/>
    </xf>
    <xf numFmtId="0" fontId="32" fillId="34" borderId="437">
      <alignment horizontal="right" vertical="center"/>
    </xf>
    <xf numFmtId="4" fontId="32" fillId="34" borderId="437">
      <alignment horizontal="right" vertical="center"/>
    </xf>
    <xf numFmtId="0" fontId="49" fillId="43" borderId="434" applyNumberFormat="0" applyAlignment="0" applyProtection="0"/>
    <xf numFmtId="0" fontId="34" fillId="0" borderId="437">
      <alignment horizontal="right" vertical="center"/>
    </xf>
    <xf numFmtId="4" fontId="34" fillId="0" borderId="437">
      <alignment horizontal="right" vertical="center"/>
    </xf>
    <xf numFmtId="4" fontId="34" fillId="0" borderId="437" applyFill="0" applyBorder="0" applyProtection="0">
      <alignment horizontal="right" vertical="center"/>
    </xf>
    <xf numFmtId="49" fontId="33" fillId="0" borderId="437" applyNumberFormat="0" applyFill="0" applyBorder="0" applyProtection="0">
      <alignment horizontal="left" vertical="center"/>
    </xf>
    <xf numFmtId="0" fontId="34" fillId="0" borderId="437" applyNumberFormat="0" applyFill="0" applyAlignment="0" applyProtection="0"/>
    <xf numFmtId="173" fontId="34" fillId="60" borderId="437" applyNumberFormat="0" applyFont="0" applyBorder="0" applyAlignment="0" applyProtection="0">
      <alignment horizontal="right" vertical="center"/>
    </xf>
    <xf numFmtId="0" fontId="34" fillId="33" borderId="437"/>
    <xf numFmtId="4" fontId="34" fillId="33" borderId="437"/>
    <xf numFmtId="4" fontId="32" fillId="34" borderId="437">
      <alignment horizontal="right" vertical="center"/>
    </xf>
    <xf numFmtId="0" fontId="34" fillId="33" borderId="437"/>
    <xf numFmtId="0" fontId="45" fillId="56" borderId="434" applyNumberFormat="0" applyAlignment="0" applyProtection="0"/>
    <xf numFmtId="0" fontId="32" fillId="32" borderId="437">
      <alignment horizontal="right" vertical="center"/>
    </xf>
    <xf numFmtId="0" fontId="34" fillId="0" borderId="437">
      <alignment horizontal="right" vertical="center"/>
    </xf>
    <xf numFmtId="0" fontId="65" fillId="0" borderId="435" applyNumberFormat="0" applyFill="0" applyAlignment="0" applyProtection="0"/>
    <xf numFmtId="0" fontId="34" fillId="32" borderId="438">
      <alignment horizontal="left" vertical="center"/>
    </xf>
    <xf numFmtId="0" fontId="58" fillId="43" borderId="434" applyNumberFormat="0" applyAlignment="0" applyProtection="0"/>
    <xf numFmtId="173" fontId="34" fillId="60" borderId="437" applyNumberFormat="0" applyFont="0" applyBorder="0" applyAlignment="0" applyProtection="0">
      <alignment horizontal="right" vertical="center"/>
    </xf>
    <xf numFmtId="0" fontId="40" fillId="59" borderId="436" applyNumberFormat="0" applyFont="0" applyAlignment="0" applyProtection="0"/>
    <xf numFmtId="0" fontId="34" fillId="0" borderId="440">
      <alignment horizontal="left" vertical="center" wrapText="1" indent="2"/>
    </xf>
    <xf numFmtId="4" fontId="34" fillId="33" borderId="437"/>
    <xf numFmtId="49" fontId="33" fillId="0" borderId="437" applyNumberFormat="0" applyFill="0" applyBorder="0" applyProtection="0">
      <alignment horizontal="left" vertical="center"/>
    </xf>
    <xf numFmtId="0" fontId="34" fillId="0" borderId="437">
      <alignment horizontal="right" vertical="center"/>
    </xf>
    <xf numFmtId="4" fontId="32" fillId="34" borderId="439">
      <alignment horizontal="right" vertical="center"/>
    </xf>
    <xf numFmtId="4" fontId="32" fillId="34" borderId="437">
      <alignment horizontal="right" vertical="center"/>
    </xf>
    <xf numFmtId="4" fontId="32" fillId="34" borderId="437">
      <alignment horizontal="right" vertical="center"/>
    </xf>
    <xf numFmtId="0" fontId="36" fillId="32" borderId="437">
      <alignment horizontal="right" vertical="center"/>
    </xf>
    <xf numFmtId="0" fontId="32" fillId="32" borderId="437">
      <alignment horizontal="right" vertical="center"/>
    </xf>
    <xf numFmtId="49" fontId="34" fillId="0" borderId="437" applyNumberFormat="0" applyFont="0" applyFill="0" applyBorder="0" applyProtection="0">
      <alignment horizontal="left" vertical="center" indent="2"/>
    </xf>
    <xf numFmtId="0" fontId="58" fillId="43" borderId="434" applyNumberFormat="0" applyAlignment="0" applyProtection="0"/>
    <xf numFmtId="0" fontId="43" fillId="56" borderId="433" applyNumberFormat="0" applyAlignment="0" applyProtection="0"/>
    <xf numFmtId="49" fontId="34" fillId="0" borderId="437" applyNumberFormat="0" applyFont="0" applyFill="0" applyBorder="0" applyProtection="0">
      <alignment horizontal="left" vertical="center" indent="2"/>
    </xf>
    <xf numFmtId="0" fontId="49" fillId="43" borderId="434" applyNumberFormat="0" applyAlignment="0" applyProtection="0"/>
    <xf numFmtId="4" fontId="34" fillId="0" borderId="437" applyFill="0" applyBorder="0" applyProtection="0">
      <alignment horizontal="right" vertical="center"/>
    </xf>
    <xf numFmtId="0" fontId="46" fillId="56" borderId="434" applyNumberFormat="0" applyAlignment="0" applyProtection="0"/>
    <xf numFmtId="0" fontId="65" fillId="0" borderId="435" applyNumberFormat="0" applyFill="0" applyAlignment="0" applyProtection="0"/>
    <xf numFmtId="0" fontId="62" fillId="56" borderId="433" applyNumberFormat="0" applyAlignment="0" applyProtection="0"/>
    <xf numFmtId="0" fontId="34" fillId="0" borderId="437" applyNumberFormat="0" applyFill="0" applyAlignment="0" applyProtection="0"/>
    <xf numFmtId="4" fontId="34" fillId="0" borderId="437">
      <alignment horizontal="right" vertical="center"/>
    </xf>
    <xf numFmtId="0" fontId="34" fillId="0" borderId="437">
      <alignment horizontal="right" vertical="center"/>
    </xf>
    <xf numFmtId="0" fontId="58" fillId="43" borderId="434" applyNumberFormat="0" applyAlignment="0" applyProtection="0"/>
    <xf numFmtId="0" fontId="43" fillId="56" borderId="433" applyNumberFormat="0" applyAlignment="0" applyProtection="0"/>
    <xf numFmtId="0" fontId="45" fillId="56" borderId="434" applyNumberFormat="0" applyAlignment="0" applyProtection="0"/>
    <xf numFmtId="0" fontId="34" fillId="34" borderId="440">
      <alignment horizontal="left" vertical="center" wrapText="1" indent="2"/>
    </xf>
    <xf numFmtId="0" fontId="46" fillId="56" borderId="434" applyNumberFormat="0" applyAlignment="0" applyProtection="0"/>
    <xf numFmtId="0" fontId="46" fillId="56" borderId="434" applyNumberFormat="0" applyAlignment="0" applyProtection="0"/>
    <xf numFmtId="4" fontId="32" fillId="34" borderId="438">
      <alignment horizontal="right" vertical="center"/>
    </xf>
    <xf numFmtId="0" fontId="32" fillId="34" borderId="438">
      <alignment horizontal="right" vertical="center"/>
    </xf>
    <xf numFmtId="0" fontId="32" fillId="34" borderId="437">
      <alignment horizontal="right" vertical="center"/>
    </xf>
    <xf numFmtId="4" fontId="36" fillId="32" borderId="437">
      <alignment horizontal="right" vertical="center"/>
    </xf>
    <xf numFmtId="0" fontId="49" fillId="43" borderId="434" applyNumberFormat="0" applyAlignment="0" applyProtection="0"/>
    <xf numFmtId="0" fontId="50" fillId="0" borderId="435" applyNumberFormat="0" applyFill="0" applyAlignment="0" applyProtection="0"/>
    <xf numFmtId="0" fontId="65" fillId="0" borderId="435" applyNumberFormat="0" applyFill="0" applyAlignment="0" applyProtection="0"/>
    <xf numFmtId="0" fontId="40" fillId="59" borderId="436" applyNumberFormat="0" applyFont="0" applyAlignment="0" applyProtection="0"/>
    <xf numFmtId="0" fontId="58" fillId="43" borderId="434" applyNumberFormat="0" applyAlignment="0" applyProtection="0"/>
    <xf numFmtId="49" fontId="33" fillId="0" borderId="437" applyNumberFormat="0" applyFill="0" applyBorder="0" applyProtection="0">
      <alignment horizontal="left" vertical="center"/>
    </xf>
    <xf numFmtId="0" fontId="34" fillId="34" borderId="440">
      <alignment horizontal="left" vertical="center" wrapText="1" indent="2"/>
    </xf>
    <xf numFmtId="0" fontId="46" fillId="56" borderId="434" applyNumberFormat="0" applyAlignment="0" applyProtection="0"/>
    <xf numFmtId="0" fontId="34" fillId="0" borderId="440">
      <alignment horizontal="left" vertical="center" wrapText="1" indent="2"/>
    </xf>
    <xf numFmtId="0" fontId="40" fillId="59" borderId="436" applyNumberFormat="0" applyFont="0" applyAlignment="0" applyProtection="0"/>
    <xf numFmtId="0" fontId="5" fillId="59" borderId="436" applyNumberFormat="0" applyFont="0" applyAlignment="0" applyProtection="0"/>
    <xf numFmtId="0" fontId="62" fillId="56" borderId="433" applyNumberFormat="0" applyAlignment="0" applyProtection="0"/>
    <xf numFmtId="0" fontId="65" fillId="0" borderId="435" applyNumberFormat="0" applyFill="0" applyAlignment="0" applyProtection="0"/>
    <xf numFmtId="4" fontId="34" fillId="33" borderId="437"/>
    <xf numFmtId="0" fontId="32" fillId="34" borderId="437">
      <alignment horizontal="right" vertical="center"/>
    </xf>
    <xf numFmtId="0" fontId="65" fillId="0" borderId="435" applyNumberFormat="0" applyFill="0" applyAlignment="0" applyProtection="0"/>
    <xf numFmtId="4" fontId="32" fillId="34" borderId="439">
      <alignment horizontal="right" vertical="center"/>
    </xf>
    <xf numFmtId="0" fontId="45" fillId="56" borderId="434" applyNumberFormat="0" applyAlignment="0" applyProtection="0"/>
    <xf numFmtId="0" fontId="32" fillId="34" borderId="438">
      <alignment horizontal="right" vertical="center"/>
    </xf>
    <xf numFmtId="0" fontId="46" fillId="56" borderId="434" applyNumberFormat="0" applyAlignment="0" applyProtection="0"/>
    <xf numFmtId="0" fontId="50" fillId="0" borderId="435" applyNumberFormat="0" applyFill="0" applyAlignment="0" applyProtection="0"/>
    <xf numFmtId="0" fontId="40" fillId="59" borderId="436" applyNumberFormat="0" applyFont="0" applyAlignment="0" applyProtection="0"/>
    <xf numFmtId="4" fontId="32" fillId="34" borderId="438">
      <alignment horizontal="right" vertical="center"/>
    </xf>
    <xf numFmtId="0" fontId="34" fillId="34" borderId="440">
      <alignment horizontal="left" vertical="center" wrapText="1" indent="2"/>
    </xf>
    <xf numFmtId="0" fontId="34" fillId="33" borderId="437"/>
    <xf numFmtId="173" fontId="34" fillId="60" borderId="437" applyNumberFormat="0" applyFont="0" applyBorder="0" applyAlignment="0" applyProtection="0">
      <alignment horizontal="right" vertical="center"/>
    </xf>
    <xf numFmtId="0" fontId="34" fillId="0" borderId="437" applyNumberFormat="0" applyFill="0" applyAlignment="0" applyProtection="0"/>
    <xf numFmtId="4" fontId="34" fillId="0" borderId="437" applyFill="0" applyBorder="0" applyProtection="0">
      <alignment horizontal="right" vertical="center"/>
    </xf>
    <xf numFmtId="4" fontId="32" fillId="32" borderId="437">
      <alignment horizontal="right" vertical="center"/>
    </xf>
    <xf numFmtId="0" fontId="50" fillId="0" borderId="435" applyNumberFormat="0" applyFill="0" applyAlignment="0" applyProtection="0"/>
    <xf numFmtId="49" fontId="33" fillId="0" borderId="437" applyNumberFormat="0" applyFill="0" applyBorder="0" applyProtection="0">
      <alignment horizontal="left" vertical="center"/>
    </xf>
    <xf numFmtId="49" fontId="34" fillId="0" borderId="438" applyNumberFormat="0" applyFont="0" applyFill="0" applyBorder="0" applyProtection="0">
      <alignment horizontal="left" vertical="center" indent="5"/>
    </xf>
    <xf numFmtId="0" fontId="34" fillId="32" borderId="438">
      <alignment horizontal="left" vertical="center"/>
    </xf>
    <xf numFmtId="0" fontId="46" fillId="56" borderId="434" applyNumberFormat="0" applyAlignment="0" applyProtection="0"/>
    <xf numFmtId="4" fontId="32" fillId="34" borderId="439">
      <alignment horizontal="right" vertical="center"/>
    </xf>
    <xf numFmtId="0" fontId="58" fillId="43" borderId="434" applyNumberFormat="0" applyAlignment="0" applyProtection="0"/>
    <xf numFmtId="0" fontId="58" fillId="43" borderId="434" applyNumberFormat="0" applyAlignment="0" applyProtection="0"/>
    <xf numFmtId="0" fontId="40" fillId="59" borderId="436" applyNumberFormat="0" applyFont="0" applyAlignment="0" applyProtection="0"/>
    <xf numFmtId="0" fontId="62" fillId="56" borderId="433" applyNumberFormat="0" applyAlignment="0" applyProtection="0"/>
    <xf numFmtId="0" fontId="65" fillId="0" borderId="435" applyNumberFormat="0" applyFill="0" applyAlignment="0" applyProtection="0"/>
    <xf numFmtId="0" fontId="32" fillId="34" borderId="437">
      <alignment horizontal="right" vertical="center"/>
    </xf>
    <xf numFmtId="0" fontId="5" fillId="59" borderId="436" applyNumberFormat="0" applyFont="0" applyAlignment="0" applyProtection="0"/>
    <xf numFmtId="4" fontId="34" fillId="0" borderId="437">
      <alignment horizontal="right" vertical="center"/>
    </xf>
    <xf numFmtId="0" fontId="65" fillId="0" borderId="435" applyNumberFormat="0" applyFill="0" applyAlignment="0" applyProtection="0"/>
    <xf numFmtId="0" fontId="32" fillId="34" borderId="437">
      <alignment horizontal="right" vertical="center"/>
    </xf>
    <xf numFmtId="0" fontId="32" fillId="34" borderId="437">
      <alignment horizontal="right" vertical="center"/>
    </xf>
    <xf numFmtId="4" fontId="36" fillId="32" borderId="437">
      <alignment horizontal="right" vertical="center"/>
    </xf>
    <xf numFmtId="0" fontId="32" fillId="32" borderId="437">
      <alignment horizontal="right" vertical="center"/>
    </xf>
    <xf numFmtId="4" fontId="32" fillId="32" borderId="437">
      <alignment horizontal="right" vertical="center"/>
    </xf>
    <xf numFmtId="0" fontId="36" fillId="32" borderId="437">
      <alignment horizontal="right" vertical="center"/>
    </xf>
    <xf numFmtId="4" fontId="36" fillId="32" borderId="437">
      <alignment horizontal="right" vertical="center"/>
    </xf>
    <xf numFmtId="0" fontId="32" fillId="34" borderId="437">
      <alignment horizontal="right" vertical="center"/>
    </xf>
    <xf numFmtId="4" fontId="32" fillId="34" borderId="437">
      <alignment horizontal="right" vertical="center"/>
    </xf>
    <xf numFmtId="0" fontId="32" fillId="34" borderId="437">
      <alignment horizontal="right" vertical="center"/>
    </xf>
    <xf numFmtId="4" fontId="32" fillId="34" borderId="437">
      <alignment horizontal="right" vertical="center"/>
    </xf>
    <xf numFmtId="0" fontId="32" fillId="34" borderId="438">
      <alignment horizontal="right" vertical="center"/>
    </xf>
    <xf numFmtId="4" fontId="32" fillId="34" borderId="438">
      <alignment horizontal="right" vertical="center"/>
    </xf>
    <xf numFmtId="0" fontId="32" fillId="34" borderId="439">
      <alignment horizontal="right" vertical="center"/>
    </xf>
    <xf numFmtId="4" fontId="32" fillId="34" borderId="439">
      <alignment horizontal="right" vertical="center"/>
    </xf>
    <xf numFmtId="0" fontId="46" fillId="56" borderId="434" applyNumberFormat="0" applyAlignment="0" applyProtection="0"/>
    <xf numFmtId="0" fontId="34" fillId="34" borderId="440">
      <alignment horizontal="left" vertical="center" wrapText="1" indent="2"/>
    </xf>
    <xf numFmtId="0" fontId="34" fillId="0" borderId="440">
      <alignment horizontal="left" vertical="center" wrapText="1" indent="2"/>
    </xf>
    <xf numFmtId="0" fontId="34" fillId="32" borderId="438">
      <alignment horizontal="left" vertical="center"/>
    </xf>
    <xf numFmtId="0" fontId="58" fillId="43" borderId="434" applyNumberFormat="0" applyAlignment="0" applyProtection="0"/>
    <xf numFmtId="0" fontId="34" fillId="0" borderId="437">
      <alignment horizontal="right" vertical="center"/>
    </xf>
    <xf numFmtId="4" fontId="34" fillId="0" borderId="437">
      <alignment horizontal="right" vertical="center"/>
    </xf>
    <xf numFmtId="0" fontId="34" fillId="0" borderId="437" applyNumberFormat="0" applyFill="0" applyAlignment="0" applyProtection="0"/>
    <xf numFmtId="0" fontId="62" fillId="56" borderId="433" applyNumberFormat="0" applyAlignment="0" applyProtection="0"/>
    <xf numFmtId="173" fontId="34" fillId="60" borderId="437" applyNumberFormat="0" applyFont="0" applyBorder="0" applyAlignment="0" applyProtection="0">
      <alignment horizontal="right" vertical="center"/>
    </xf>
    <xf numFmtId="0" fontId="34" fillId="33" borderId="437"/>
    <xf numFmtId="4" fontId="34" fillId="33" borderId="437"/>
    <xf numFmtId="0" fontId="65" fillId="0" borderId="435" applyNumberFormat="0" applyFill="0" applyAlignment="0" applyProtection="0"/>
    <xf numFmtId="0" fontId="5" fillId="59" borderId="436" applyNumberFormat="0" applyFont="0" applyAlignment="0" applyProtection="0"/>
    <xf numFmtId="0" fontId="40" fillId="59" borderId="436" applyNumberFormat="0" applyFont="0" applyAlignment="0" applyProtection="0"/>
    <xf numFmtId="0" fontId="34" fillId="0" borderId="437" applyNumberFormat="0" applyFill="0" applyAlignment="0" applyProtection="0"/>
    <xf numFmtId="0" fontId="50" fillId="0" borderId="435" applyNumberFormat="0" applyFill="0" applyAlignment="0" applyProtection="0"/>
    <xf numFmtId="0" fontId="65" fillId="0" borderId="435" applyNumberFormat="0" applyFill="0" applyAlignment="0" applyProtection="0"/>
    <xf numFmtId="0" fontId="49" fillId="43" borderId="434" applyNumberFormat="0" applyAlignment="0" applyProtection="0"/>
    <xf numFmtId="0" fontId="46" fillId="56" borderId="434" applyNumberFormat="0" applyAlignment="0" applyProtection="0"/>
    <xf numFmtId="4" fontId="36" fillId="32" borderId="437">
      <alignment horizontal="right" vertical="center"/>
    </xf>
    <xf numFmtId="0" fontId="32" fillId="32" borderId="437">
      <alignment horizontal="right" vertical="center"/>
    </xf>
    <xf numFmtId="173" fontId="34" fillId="60" borderId="437" applyNumberFormat="0" applyFont="0" applyBorder="0" applyAlignment="0" applyProtection="0">
      <alignment horizontal="right" vertical="center"/>
    </xf>
    <xf numFmtId="0" fontId="50" fillId="0" borderId="435" applyNumberFormat="0" applyFill="0" applyAlignment="0" applyProtection="0"/>
    <xf numFmtId="49" fontId="34" fillId="0" borderId="437" applyNumberFormat="0" applyFont="0" applyFill="0" applyBorder="0" applyProtection="0">
      <alignment horizontal="left" vertical="center" indent="2"/>
    </xf>
    <xf numFmtId="49" fontId="34" fillId="0" borderId="438" applyNumberFormat="0" applyFont="0" applyFill="0" applyBorder="0" applyProtection="0">
      <alignment horizontal="left" vertical="center" indent="5"/>
    </xf>
    <xf numFmtId="49" fontId="34" fillId="0" borderId="437" applyNumberFormat="0" applyFont="0" applyFill="0" applyBorder="0" applyProtection="0">
      <alignment horizontal="left" vertical="center" indent="2"/>
    </xf>
    <xf numFmtId="4" fontId="34" fillId="0" borderId="437" applyFill="0" applyBorder="0" applyProtection="0">
      <alignment horizontal="right" vertical="center"/>
    </xf>
    <xf numFmtId="49" fontId="33" fillId="0" borderId="437" applyNumberFormat="0" applyFill="0" applyBorder="0" applyProtection="0">
      <alignment horizontal="left" vertical="center"/>
    </xf>
    <xf numFmtId="0" fontId="34" fillId="0" borderId="440">
      <alignment horizontal="left" vertical="center" wrapText="1" indent="2"/>
    </xf>
    <xf numFmtId="0" fontId="62" fillId="56" borderId="433" applyNumberFormat="0" applyAlignment="0" applyProtection="0"/>
    <xf numFmtId="0" fontId="32" fillId="34" borderId="439">
      <alignment horizontal="right" vertical="center"/>
    </xf>
    <xf numFmtId="0" fontId="49" fillId="43" borderId="434" applyNumberFormat="0" applyAlignment="0" applyProtection="0"/>
    <xf numFmtId="0" fontId="32" fillId="34" borderId="439">
      <alignment horizontal="right" vertical="center"/>
    </xf>
    <xf numFmtId="4" fontId="32" fillId="34" borderId="437">
      <alignment horizontal="right" vertical="center"/>
    </xf>
    <xf numFmtId="0" fontId="32" fillId="34" borderId="437">
      <alignment horizontal="right" vertical="center"/>
    </xf>
    <xf numFmtId="0" fontId="43" fillId="56" borderId="433" applyNumberFormat="0" applyAlignment="0" applyProtection="0"/>
    <xf numFmtId="0" fontId="45" fillId="56" borderId="434" applyNumberFormat="0" applyAlignment="0" applyProtection="0"/>
    <xf numFmtId="0" fontId="50" fillId="0" borderId="435" applyNumberFormat="0" applyFill="0" applyAlignment="0" applyProtection="0"/>
    <xf numFmtId="0" fontId="34" fillId="33" borderId="437"/>
    <xf numFmtId="4" fontId="34" fillId="33" borderId="437"/>
    <xf numFmtId="4" fontId="32" fillId="34" borderId="437">
      <alignment horizontal="right" vertical="center"/>
    </xf>
    <xf numFmtId="0" fontId="36" fillId="32" borderId="437">
      <alignment horizontal="right" vertical="center"/>
    </xf>
    <xf numFmtId="0" fontId="49" fillId="43" borderId="434" applyNumberFormat="0" applyAlignment="0" applyProtection="0"/>
    <xf numFmtId="0" fontId="46" fillId="56" borderId="434" applyNumberFormat="0" applyAlignment="0" applyProtection="0"/>
    <xf numFmtId="4" fontId="34" fillId="0" borderId="437">
      <alignment horizontal="right" vertical="center"/>
    </xf>
    <xf numFmtId="0" fontId="34" fillId="34" borderId="440">
      <alignment horizontal="left" vertical="center" wrapText="1" indent="2"/>
    </xf>
    <xf numFmtId="0" fontId="34" fillId="0" borderId="440">
      <alignment horizontal="left" vertical="center" wrapText="1" indent="2"/>
    </xf>
    <xf numFmtId="0" fontId="62" fillId="56" borderId="433" applyNumberFormat="0" applyAlignment="0" applyProtection="0"/>
    <xf numFmtId="0" fontId="58" fillId="43" borderId="434" applyNumberFormat="0" applyAlignment="0" applyProtection="0"/>
    <xf numFmtId="0" fontId="45" fillId="56" borderId="434" applyNumberFormat="0" applyAlignment="0" applyProtection="0"/>
    <xf numFmtId="0" fontId="43" fillId="56" borderId="433" applyNumberFormat="0" applyAlignment="0" applyProtection="0"/>
    <xf numFmtId="0" fontId="32" fillId="34" borderId="439">
      <alignment horizontal="right" vertical="center"/>
    </xf>
    <xf numFmtId="0" fontId="36" fillId="32" borderId="437">
      <alignment horizontal="right" vertical="center"/>
    </xf>
    <xf numFmtId="4" fontId="32" fillId="32" borderId="437">
      <alignment horizontal="right" vertical="center"/>
    </xf>
    <xf numFmtId="4" fontId="32" fillId="34" borderId="437">
      <alignment horizontal="right" vertical="center"/>
    </xf>
    <xf numFmtId="49" fontId="34" fillId="0" borderId="438" applyNumberFormat="0" applyFont="0" applyFill="0" applyBorder="0" applyProtection="0">
      <alignment horizontal="left" vertical="center" indent="5"/>
    </xf>
    <xf numFmtId="4" fontId="34" fillId="0" borderId="437" applyFill="0" applyBorder="0" applyProtection="0">
      <alignment horizontal="right" vertical="center"/>
    </xf>
    <xf numFmtId="4" fontId="32" fillId="32" borderId="437">
      <alignment horizontal="right" vertical="center"/>
    </xf>
    <xf numFmtId="0" fontId="58" fillId="43" borderId="434" applyNumberFormat="0" applyAlignment="0" applyProtection="0"/>
    <xf numFmtId="0" fontId="49" fillId="43" borderId="434" applyNumberFormat="0" applyAlignment="0" applyProtection="0"/>
    <xf numFmtId="0" fontId="45" fillId="56" borderId="434" applyNumberFormat="0" applyAlignment="0" applyProtection="0"/>
    <xf numFmtId="0" fontId="34" fillId="34" borderId="440">
      <alignment horizontal="left" vertical="center" wrapText="1" indent="2"/>
    </xf>
    <xf numFmtId="0" fontId="34" fillId="0" borderId="440">
      <alignment horizontal="left" vertical="center" wrapText="1" indent="2"/>
    </xf>
    <xf numFmtId="0" fontId="34" fillId="34" borderId="440">
      <alignment horizontal="left" vertical="center" wrapText="1" indent="2"/>
    </xf>
    <xf numFmtId="0" fontId="34" fillId="33" borderId="462"/>
    <xf numFmtId="0" fontId="34" fillId="0" borderId="444">
      <alignment horizontal="right" vertical="center"/>
    </xf>
    <xf numFmtId="0" fontId="65" fillId="0" borderId="442" applyNumberFormat="0" applyFill="0" applyAlignment="0" applyProtection="0"/>
    <xf numFmtId="0" fontId="65" fillId="0" borderId="442" applyNumberFormat="0" applyFill="0" applyAlignment="0" applyProtection="0"/>
    <xf numFmtId="49" fontId="34" fillId="0" borderId="445" applyNumberFormat="0" applyFont="0" applyFill="0" applyBorder="0" applyProtection="0">
      <alignment horizontal="left" vertical="center" indent="5"/>
    </xf>
    <xf numFmtId="0" fontId="43" fillId="56" borderId="448" applyNumberFormat="0" applyAlignment="0" applyProtection="0"/>
    <xf numFmtId="49" fontId="34" fillId="0" borderId="444" applyNumberFormat="0" applyFont="0" applyFill="0" applyBorder="0" applyProtection="0">
      <alignment horizontal="left" vertical="center" indent="2"/>
    </xf>
    <xf numFmtId="0" fontId="32" fillId="34" borderId="444">
      <alignment horizontal="right" vertical="center"/>
    </xf>
    <xf numFmtId="0" fontId="46" fillId="56" borderId="441" applyNumberFormat="0" applyAlignment="0" applyProtection="0"/>
    <xf numFmtId="173" fontId="34" fillId="60" borderId="444" applyNumberFormat="0" applyFont="0" applyBorder="0" applyAlignment="0" applyProtection="0">
      <alignment horizontal="right" vertical="center"/>
    </xf>
    <xf numFmtId="0" fontId="58" fillId="43" borderId="441" applyNumberFormat="0" applyAlignment="0" applyProtection="0"/>
    <xf numFmtId="0" fontId="32" fillId="32" borderId="444">
      <alignment horizontal="right" vertical="center"/>
    </xf>
    <xf numFmtId="0" fontId="26" fillId="23" borderId="0" applyNumberFormat="0" applyBorder="0" applyAlignment="0" applyProtection="0"/>
    <xf numFmtId="0" fontId="34" fillId="34" borderId="474">
      <alignment horizontal="left" vertical="center" wrapText="1" indent="2"/>
    </xf>
    <xf numFmtId="0" fontId="49" fillId="43" borderId="459" applyNumberFormat="0" applyAlignment="0" applyProtection="0"/>
    <xf numFmtId="0" fontId="34" fillId="34" borderId="465">
      <alignment horizontal="left" vertical="center" wrapText="1" indent="2"/>
    </xf>
    <xf numFmtId="0" fontId="26" fillId="27" borderId="0" applyNumberFormat="0" applyBorder="0" applyAlignment="0" applyProtection="0"/>
    <xf numFmtId="0" fontId="40" fillId="59" borderId="461" applyNumberFormat="0" applyFont="0" applyAlignment="0" applyProtection="0"/>
    <xf numFmtId="0" fontId="2" fillId="0" borderId="15" applyNumberFormat="0" applyFill="0" applyAlignment="0" applyProtection="0"/>
    <xf numFmtId="0" fontId="30" fillId="0" borderId="0" applyNumberFormat="0" applyFill="0" applyBorder="0" applyAlignment="0" applyProtection="0"/>
    <xf numFmtId="4" fontId="36" fillId="32" borderId="462">
      <alignment horizontal="right" vertical="center"/>
    </xf>
    <xf numFmtId="0" fontId="34" fillId="0" borderId="447">
      <alignment horizontal="left" vertical="center" wrapText="1" indent="2"/>
    </xf>
    <xf numFmtId="0" fontId="34" fillId="0" borderId="462" applyNumberFormat="0" applyFill="0" applyAlignment="0" applyProtection="0"/>
    <xf numFmtId="0" fontId="26" fillId="18" borderId="0" applyNumberFormat="0" applyBorder="0" applyAlignment="0" applyProtection="0"/>
    <xf numFmtId="0" fontId="65" fillId="0" borderId="442" applyNumberFormat="0" applyFill="0" applyAlignment="0" applyProtection="0"/>
    <xf numFmtId="0" fontId="65" fillId="0" borderId="452" applyNumberFormat="0" applyFill="0" applyAlignment="0" applyProtection="0"/>
    <xf numFmtId="0" fontId="34" fillId="34" borderId="465">
      <alignment horizontal="left" vertical="center" wrapText="1" indent="2"/>
    </xf>
    <xf numFmtId="0" fontId="45" fillId="56" borderId="459" applyNumberFormat="0" applyAlignment="0" applyProtection="0"/>
    <xf numFmtId="0" fontId="5" fillId="59" borderId="461" applyNumberFormat="0" applyFont="0" applyAlignment="0" applyProtection="0"/>
    <xf numFmtId="4" fontId="34" fillId="33" borderId="454"/>
    <xf numFmtId="0" fontId="32" fillId="34" borderId="462">
      <alignment horizontal="right" vertical="center"/>
    </xf>
    <xf numFmtId="0" fontId="26" fillId="20" borderId="0" applyNumberFormat="0" applyBorder="0" applyAlignment="0" applyProtection="0"/>
    <xf numFmtId="0" fontId="26" fillId="15" borderId="0" applyNumberFormat="0" applyBorder="0" applyAlignment="0" applyProtection="0"/>
    <xf numFmtId="0" fontId="50" fillId="0" borderId="460" applyNumberFormat="0" applyFill="0" applyAlignment="0" applyProtection="0"/>
    <xf numFmtId="0" fontId="28" fillId="13" borderId="14" applyNumberFormat="0" applyAlignment="0" applyProtection="0"/>
    <xf numFmtId="4" fontId="34" fillId="0" borderId="462">
      <alignment horizontal="right" vertical="center"/>
    </xf>
    <xf numFmtId="4" fontId="34" fillId="33" borderId="462"/>
    <xf numFmtId="0" fontId="28" fillId="13" borderId="14" applyNumberFormat="0" applyAlignment="0" applyProtection="0"/>
    <xf numFmtId="0" fontId="12" fillId="25" borderId="0" applyNumberFormat="0" applyBorder="0" applyAlignment="0" applyProtection="0"/>
    <xf numFmtId="4" fontId="32" fillId="34" borderId="463">
      <alignment horizontal="right" vertical="center"/>
    </xf>
    <xf numFmtId="0" fontId="46" fillId="56" borderId="441" applyNumberFormat="0" applyAlignment="0" applyProtection="0"/>
    <xf numFmtId="0" fontId="34" fillId="0" borderId="444" applyNumberFormat="0" applyFill="0" applyAlignment="0" applyProtection="0"/>
    <xf numFmtId="0" fontId="34" fillId="33" borderId="444"/>
    <xf numFmtId="4" fontId="34" fillId="33" borderId="444"/>
    <xf numFmtId="173" fontId="34" fillId="60" borderId="454" applyNumberFormat="0" applyFont="0" applyBorder="0" applyAlignment="0" applyProtection="0">
      <alignment horizontal="right" vertical="center"/>
    </xf>
    <xf numFmtId="0" fontId="58" fillId="43" borderId="441" applyNumberFormat="0" applyAlignment="0" applyProtection="0"/>
    <xf numFmtId="0" fontId="34" fillId="0" borderId="444">
      <alignment horizontal="right" vertical="center"/>
    </xf>
    <xf numFmtId="0" fontId="34" fillId="32" borderId="445">
      <alignment horizontal="left" vertical="center"/>
    </xf>
    <xf numFmtId="0" fontId="34" fillId="34" borderId="447">
      <alignment horizontal="left" vertical="center" wrapText="1" indent="2"/>
    </xf>
    <xf numFmtId="0" fontId="32" fillId="34" borderId="444">
      <alignment horizontal="right" vertical="center"/>
    </xf>
    <xf numFmtId="4" fontId="32" fillId="34" borderId="444">
      <alignment horizontal="right" vertical="center"/>
    </xf>
    <xf numFmtId="0" fontId="32" fillId="34" borderId="445">
      <alignment horizontal="right" vertical="center"/>
    </xf>
    <xf numFmtId="4" fontId="32" fillId="34" borderId="444">
      <alignment horizontal="right" vertical="center"/>
    </xf>
    <xf numFmtId="0" fontId="32" fillId="32" borderId="444">
      <alignment horizontal="right" vertical="center"/>
    </xf>
    <xf numFmtId="4" fontId="32" fillId="32" borderId="444">
      <alignment horizontal="right" vertical="center"/>
    </xf>
    <xf numFmtId="0" fontId="40" fillId="59" borderId="470" applyNumberFormat="0" applyFont="0" applyAlignment="0" applyProtection="0"/>
    <xf numFmtId="0" fontId="49" fillId="43" borderId="451" applyNumberFormat="0" applyAlignment="0" applyProtection="0"/>
    <xf numFmtId="0" fontId="26" fillId="15" borderId="0" applyNumberFormat="0" applyBorder="0" applyAlignment="0" applyProtection="0"/>
    <xf numFmtId="4" fontId="32" fillId="34" borderId="494">
      <alignment horizontal="right" vertical="center"/>
    </xf>
    <xf numFmtId="0" fontId="12" fillId="19" borderId="0" applyNumberFormat="0" applyBorder="0" applyAlignment="0" applyProtection="0"/>
    <xf numFmtId="0" fontId="34" fillId="34" borderId="465">
      <alignment horizontal="left" vertical="center" wrapText="1" indent="2"/>
    </xf>
    <xf numFmtId="0" fontId="49" fillId="43" borderId="459" applyNumberFormat="0" applyAlignment="0" applyProtection="0"/>
    <xf numFmtId="0" fontId="50" fillId="0" borderId="469" applyNumberFormat="0" applyFill="0" applyAlignment="0" applyProtection="0"/>
    <xf numFmtId="49" fontId="33" fillId="0" borderId="471" applyNumberFormat="0" applyFill="0" applyBorder="0" applyProtection="0">
      <alignment horizontal="left" vertical="center"/>
    </xf>
    <xf numFmtId="0" fontId="65" fillId="0" borderId="442" applyNumberFormat="0" applyFill="0" applyAlignment="0" applyProtection="0"/>
    <xf numFmtId="0" fontId="40" fillId="59" borderId="443" applyNumberFormat="0" applyFont="0" applyAlignment="0" applyProtection="0"/>
    <xf numFmtId="0" fontId="62" fillId="56" borderId="467" applyNumberFormat="0" applyAlignment="0" applyProtection="0"/>
    <xf numFmtId="0" fontId="65" fillId="0" borderId="460" applyNumberFormat="0" applyFill="0" applyAlignment="0" applyProtection="0"/>
    <xf numFmtId="0" fontId="46" fillId="56" borderId="441" applyNumberFormat="0" applyAlignment="0" applyProtection="0"/>
    <xf numFmtId="4" fontId="34" fillId="0" borderId="462">
      <alignment horizontal="right" vertical="center"/>
    </xf>
    <xf numFmtId="0" fontId="65" fillId="0" borderId="460" applyNumberFormat="0" applyFill="0" applyAlignment="0" applyProtection="0"/>
    <xf numFmtId="0" fontId="58" fillId="43" borderId="451" applyNumberFormat="0" applyAlignment="0" applyProtection="0"/>
    <xf numFmtId="4" fontId="34" fillId="0" borderId="454" applyFill="0" applyBorder="0" applyProtection="0">
      <alignment horizontal="right" vertical="center"/>
    </xf>
    <xf numFmtId="0" fontId="34" fillId="32" borderId="463">
      <alignment horizontal="left" vertical="center"/>
    </xf>
    <xf numFmtId="0" fontId="49" fillId="43" borderId="459" applyNumberFormat="0" applyAlignment="0" applyProtection="0"/>
    <xf numFmtId="0" fontId="32" fillId="34" borderId="464">
      <alignment horizontal="right" vertical="center"/>
    </xf>
    <xf numFmtId="0" fontId="32" fillId="34" borderId="463">
      <alignment horizontal="right" vertical="center"/>
    </xf>
    <xf numFmtId="0" fontId="26" fillId="30" borderId="0" applyNumberFormat="0" applyBorder="0" applyAlignment="0" applyProtection="0"/>
    <xf numFmtId="4" fontId="32" fillId="32" borderId="471">
      <alignment horizontal="right" vertical="center"/>
    </xf>
    <xf numFmtId="0" fontId="49" fillId="43" borderId="468" applyNumberFormat="0" applyAlignment="0" applyProtection="0"/>
    <xf numFmtId="0" fontId="65" fillId="0" borderId="460" applyNumberFormat="0" applyFill="0" applyAlignment="0" applyProtection="0"/>
    <xf numFmtId="0" fontId="49" fillId="43" borderId="459" applyNumberFormat="0" applyAlignment="0" applyProtection="0"/>
    <xf numFmtId="0" fontId="36" fillId="32" borderId="471">
      <alignment horizontal="right" vertical="center"/>
    </xf>
    <xf numFmtId="0" fontId="58" fillId="43" borderId="468" applyNumberFormat="0" applyAlignment="0" applyProtection="0"/>
    <xf numFmtId="0" fontId="26" fillId="14" borderId="0" applyNumberFormat="0" applyBorder="0" applyAlignment="0" applyProtection="0"/>
    <xf numFmtId="0" fontId="34" fillId="32" borderId="463">
      <alignment horizontal="left" vertical="center"/>
    </xf>
    <xf numFmtId="0" fontId="62" fillId="56" borderId="467" applyNumberFormat="0" applyAlignment="0" applyProtection="0"/>
    <xf numFmtId="0" fontId="62" fillId="56" borderId="466" applyNumberFormat="0" applyAlignment="0" applyProtection="0"/>
    <xf numFmtId="0" fontId="62" fillId="56" borderId="466" applyNumberFormat="0" applyAlignment="0" applyProtection="0"/>
    <xf numFmtId="0" fontId="12" fillId="28" borderId="0" applyNumberFormat="0" applyBorder="0" applyAlignment="0" applyProtection="0"/>
    <xf numFmtId="0" fontId="45" fillId="56" borderId="459" applyNumberFormat="0" applyAlignment="0" applyProtection="0"/>
    <xf numFmtId="4" fontId="32" fillId="34" borderId="464">
      <alignment horizontal="right" vertical="center"/>
    </xf>
    <xf numFmtId="0" fontId="32" fillId="34" borderId="480">
      <alignment horizontal="right" vertical="center"/>
    </xf>
    <xf numFmtId="4" fontId="32" fillId="34" borderId="464">
      <alignment horizontal="right" vertical="center"/>
    </xf>
    <xf numFmtId="0" fontId="34" fillId="0" borderId="471">
      <alignment horizontal="right" vertical="center"/>
    </xf>
    <xf numFmtId="0" fontId="34" fillId="0" borderId="494">
      <alignment horizontal="right" vertical="center"/>
    </xf>
    <xf numFmtId="0" fontId="40" fillId="59" borderId="443" applyNumberFormat="0" applyFont="0" applyAlignment="0" applyProtection="0"/>
    <xf numFmtId="0" fontId="29" fillId="13" borderId="13" applyNumberFormat="0" applyAlignment="0" applyProtection="0"/>
    <xf numFmtId="4" fontId="34" fillId="0" borderId="462" applyFill="0" applyBorder="0" applyProtection="0">
      <alignment horizontal="right" vertical="center"/>
    </xf>
    <xf numFmtId="0" fontId="49" fillId="43" borderId="491" applyNumberFormat="0" applyAlignment="0" applyProtection="0"/>
    <xf numFmtId="0" fontId="2" fillId="0" borderId="15" applyNumberFormat="0" applyFill="0" applyAlignment="0" applyProtection="0"/>
    <xf numFmtId="0" fontId="32" fillId="34" borderId="481">
      <alignment horizontal="right" vertical="center"/>
    </xf>
    <xf numFmtId="0" fontId="34" fillId="34" borderId="465">
      <alignment horizontal="left" vertical="center" wrapText="1" indent="2"/>
    </xf>
    <xf numFmtId="0" fontId="26" fillId="14" borderId="0" applyNumberFormat="0" applyBorder="0" applyAlignment="0" applyProtection="0"/>
    <xf numFmtId="0" fontId="58" fillId="43" borderId="441" applyNumberFormat="0" applyAlignment="0" applyProtection="0"/>
    <xf numFmtId="0" fontId="5" fillId="59" borderId="461" applyNumberFormat="0" applyFont="0" applyAlignment="0" applyProtection="0"/>
    <xf numFmtId="0" fontId="34" fillId="34" borderId="447">
      <alignment horizontal="left" vertical="center" wrapText="1" indent="2"/>
    </xf>
    <xf numFmtId="4" fontId="36" fillId="32" borderId="444">
      <alignment horizontal="right" vertical="center"/>
    </xf>
    <xf numFmtId="0" fontId="30" fillId="0" borderId="0" applyNumberFormat="0" applyFill="0" applyBorder="0" applyAlignment="0" applyProtection="0"/>
    <xf numFmtId="49" fontId="33" fillId="0" borderId="471" applyNumberFormat="0" applyFill="0" applyBorder="0" applyProtection="0">
      <alignment horizontal="left" vertical="center"/>
    </xf>
    <xf numFmtId="0" fontId="29" fillId="13" borderId="13" applyNumberFormat="0" applyAlignment="0" applyProtection="0"/>
    <xf numFmtId="0" fontId="50" fillId="0" borderId="469" applyNumberFormat="0" applyFill="0" applyAlignment="0" applyProtection="0"/>
    <xf numFmtId="0" fontId="26" fillId="15" borderId="0" applyNumberFormat="0" applyBorder="0" applyAlignment="0" applyProtection="0"/>
    <xf numFmtId="0" fontId="12" fillId="16" borderId="0" applyNumberFormat="0" applyBorder="0" applyAlignment="0" applyProtection="0"/>
    <xf numFmtId="0" fontId="5" fillId="59" borderId="461" applyNumberFormat="0" applyFont="0" applyAlignment="0" applyProtection="0"/>
    <xf numFmtId="0" fontId="43" fillId="56" borderId="467" applyNumberFormat="0" applyAlignment="0" applyProtection="0"/>
    <xf numFmtId="4" fontId="32" fillId="34" borderId="480">
      <alignment horizontal="right" vertical="center"/>
    </xf>
    <xf numFmtId="4" fontId="36" fillId="32" borderId="444">
      <alignment horizontal="right" vertical="center"/>
    </xf>
    <xf numFmtId="4" fontId="32" fillId="32" borderId="444">
      <alignment horizontal="right" vertical="center"/>
    </xf>
    <xf numFmtId="0" fontId="34" fillId="0" borderId="447">
      <alignment horizontal="left" vertical="center" wrapText="1" indent="2"/>
    </xf>
    <xf numFmtId="0" fontId="62" fillId="56" borderId="448" applyNumberFormat="0" applyAlignment="0" applyProtection="0"/>
    <xf numFmtId="0" fontId="34" fillId="0" borderId="444">
      <alignment horizontal="right" vertical="center"/>
    </xf>
    <xf numFmtId="0" fontId="65" fillId="0" borderId="442" applyNumberFormat="0" applyFill="0" applyAlignment="0" applyProtection="0"/>
    <xf numFmtId="49" fontId="33" fillId="0" borderId="444" applyNumberFormat="0" applyFill="0" applyBorder="0" applyProtection="0">
      <alignment horizontal="left" vertical="center"/>
    </xf>
    <xf numFmtId="4" fontId="34" fillId="33" borderId="444"/>
    <xf numFmtId="0" fontId="58" fillId="43" borderId="441" applyNumberFormat="0" applyAlignment="0" applyProtection="0"/>
    <xf numFmtId="0" fontId="12" fillId="16" borderId="0" applyNumberFormat="0" applyBorder="0" applyAlignment="0" applyProtection="0"/>
    <xf numFmtId="173" fontId="34" fillId="60" borderId="444" applyNumberFormat="0" applyFont="0" applyBorder="0" applyAlignment="0" applyProtection="0">
      <alignment horizontal="right" vertical="center"/>
    </xf>
    <xf numFmtId="0" fontId="65" fillId="0" borderId="469" applyNumberFormat="0" applyFill="0" applyAlignment="0" applyProtection="0"/>
    <xf numFmtId="0" fontId="46" fillId="56" borderId="441" applyNumberFormat="0" applyAlignment="0" applyProtection="0"/>
    <xf numFmtId="4" fontId="34" fillId="0" borderId="471">
      <alignment horizontal="right" vertical="center"/>
    </xf>
    <xf numFmtId="4" fontId="34" fillId="33" borderId="462"/>
    <xf numFmtId="0" fontId="32" fillId="34" borderId="463">
      <alignment horizontal="right" vertical="center"/>
    </xf>
    <xf numFmtId="0" fontId="58" fillId="43" borderId="441" applyNumberFormat="0" applyAlignment="0" applyProtection="0"/>
    <xf numFmtId="0" fontId="43" fillId="56" borderId="448" applyNumberFormat="0" applyAlignment="0" applyProtection="0"/>
    <xf numFmtId="4" fontId="36" fillId="32" borderId="494">
      <alignment horizontal="right" vertical="center"/>
    </xf>
    <xf numFmtId="49" fontId="33" fillId="0" borderId="444" applyNumberFormat="0" applyFill="0" applyBorder="0" applyProtection="0">
      <alignment horizontal="left" vertical="center"/>
    </xf>
    <xf numFmtId="0" fontId="65" fillId="0" borderId="442" applyNumberFormat="0" applyFill="0" applyAlignment="0" applyProtection="0"/>
    <xf numFmtId="0" fontId="34" fillId="0" borderId="444">
      <alignment horizontal="right" vertical="center"/>
    </xf>
    <xf numFmtId="0" fontId="32" fillId="34" borderId="445">
      <alignment horizontal="right" vertical="center"/>
    </xf>
    <xf numFmtId="0" fontId="65" fillId="0" borderId="442" applyNumberFormat="0" applyFill="0" applyAlignment="0" applyProtection="0"/>
    <xf numFmtId="4" fontId="36" fillId="32" borderId="471">
      <alignment horizontal="right" vertical="center"/>
    </xf>
    <xf numFmtId="0" fontId="26" fillId="17" borderId="0" applyNumberFormat="0" applyBorder="0" applyAlignment="0" applyProtection="0"/>
    <xf numFmtId="0" fontId="26" fillId="20" borderId="0" applyNumberFormat="0" applyBorder="0" applyAlignment="0" applyProtection="0"/>
    <xf numFmtId="4" fontId="32" fillId="34" borderId="463">
      <alignment horizontal="right" vertical="center"/>
    </xf>
    <xf numFmtId="4" fontId="34" fillId="0" borderId="462">
      <alignment horizontal="right" vertical="center"/>
    </xf>
    <xf numFmtId="0" fontId="26" fillId="24" borderId="0" applyNumberFormat="0" applyBorder="0" applyAlignment="0" applyProtection="0"/>
    <xf numFmtId="0" fontId="46" fillId="56" borderId="441" applyNumberFormat="0" applyAlignment="0" applyProtection="0"/>
    <xf numFmtId="49" fontId="34" fillId="0" borderId="462" applyNumberFormat="0" applyFont="0" applyFill="0" applyBorder="0" applyProtection="0">
      <alignment horizontal="left" vertical="center" indent="2"/>
    </xf>
    <xf numFmtId="4" fontId="34" fillId="0" borderId="444" applyFill="0" applyBorder="0" applyProtection="0">
      <alignment horizontal="right" vertical="center"/>
    </xf>
    <xf numFmtId="0" fontId="32" fillId="34" borderId="471">
      <alignment horizontal="right" vertical="center"/>
    </xf>
    <xf numFmtId="49" fontId="33" fillId="0" borderId="471" applyNumberFormat="0" applyFill="0" applyBorder="0" applyProtection="0">
      <alignment horizontal="left" vertical="center"/>
    </xf>
    <xf numFmtId="0" fontId="46" fillId="56" borderId="459" applyNumberFormat="0" applyAlignment="0" applyProtection="0"/>
    <xf numFmtId="0" fontId="26" fillId="29" borderId="0" applyNumberFormat="0" applyBorder="0" applyAlignment="0" applyProtection="0"/>
    <xf numFmtId="0" fontId="58" fillId="43" borderId="459" applyNumberFormat="0" applyAlignment="0" applyProtection="0"/>
    <xf numFmtId="0" fontId="34" fillId="0" borderId="447">
      <alignment horizontal="left" vertical="center" wrapText="1" indent="2"/>
    </xf>
    <xf numFmtId="49" fontId="34" fillId="0" borderId="454" applyNumberFormat="0" applyFont="0" applyFill="0" applyBorder="0" applyProtection="0">
      <alignment horizontal="left" vertical="center" indent="2"/>
    </xf>
    <xf numFmtId="0" fontId="65" fillId="0" borderId="442" applyNumberFormat="0" applyFill="0" applyAlignment="0" applyProtection="0"/>
    <xf numFmtId="0" fontId="43" fillId="56" borderId="448" applyNumberFormat="0" applyAlignment="0" applyProtection="0"/>
    <xf numFmtId="0" fontId="32" fillId="34" borderId="444">
      <alignment horizontal="right" vertical="center"/>
    </xf>
    <xf numFmtId="0" fontId="45" fillId="56" borderId="441" applyNumberFormat="0" applyAlignment="0" applyProtection="0"/>
    <xf numFmtId="0" fontId="34" fillId="34" borderId="457">
      <alignment horizontal="left" vertical="center" wrapText="1" indent="2"/>
    </xf>
    <xf numFmtId="0" fontId="34" fillId="0" borderId="474">
      <alignment horizontal="left" vertical="center" wrapText="1" indent="2"/>
    </xf>
    <xf numFmtId="0" fontId="34" fillId="32" borderId="445">
      <alignment horizontal="left" vertical="center"/>
    </xf>
    <xf numFmtId="0" fontId="34" fillId="34" borderId="474">
      <alignment horizontal="left" vertical="center" wrapText="1" indent="2"/>
    </xf>
    <xf numFmtId="0" fontId="34" fillId="0" borderId="497">
      <alignment horizontal="left" vertical="center" wrapText="1" indent="2"/>
    </xf>
    <xf numFmtId="0" fontId="34" fillId="0" borderId="462">
      <alignment horizontal="right" vertical="center"/>
    </xf>
    <xf numFmtId="0" fontId="65" fillId="0" borderId="452" applyNumberFormat="0" applyFill="0" applyAlignment="0" applyProtection="0"/>
    <xf numFmtId="0" fontId="58" fillId="43" borderId="459" applyNumberFormat="0" applyAlignment="0" applyProtection="0"/>
    <xf numFmtId="0" fontId="32" fillId="32" borderId="444">
      <alignment horizontal="right" vertical="center"/>
    </xf>
    <xf numFmtId="0" fontId="32" fillId="34" borderId="454">
      <alignment horizontal="right" vertical="center"/>
    </xf>
    <xf numFmtId="0" fontId="34" fillId="32" borderId="455">
      <alignment horizontal="left" vertical="center"/>
    </xf>
    <xf numFmtId="0" fontId="50" fillId="0" borderId="442" applyNumberFormat="0" applyFill="0" applyAlignment="0" applyProtection="0"/>
    <xf numFmtId="0" fontId="32" fillId="34" borderId="471">
      <alignment horizontal="right" vertical="center"/>
    </xf>
    <xf numFmtId="0" fontId="34" fillId="0" borderId="444">
      <alignment horizontal="right" vertical="center"/>
    </xf>
    <xf numFmtId="0" fontId="5" fillId="59" borderId="443" applyNumberFormat="0" applyFont="0" applyAlignment="0" applyProtection="0"/>
    <xf numFmtId="0" fontId="34" fillId="33" borderId="471"/>
    <xf numFmtId="0" fontId="62" fillId="56" borderId="450" applyNumberFormat="0" applyAlignment="0" applyProtection="0"/>
    <xf numFmtId="0" fontId="34" fillId="34" borderId="457">
      <alignment horizontal="left" vertical="center" wrapText="1" indent="2"/>
    </xf>
    <xf numFmtId="0" fontId="12" fillId="25" borderId="0" applyNumberFormat="0" applyBorder="0" applyAlignment="0" applyProtection="0"/>
    <xf numFmtId="0" fontId="36" fillId="32" borderId="462">
      <alignment horizontal="right" vertical="center"/>
    </xf>
    <xf numFmtId="0" fontId="58" fillId="43" borderId="441" applyNumberFormat="0" applyAlignment="0" applyProtection="0"/>
    <xf numFmtId="4" fontId="34" fillId="33" borderId="471"/>
    <xf numFmtId="49" fontId="34" fillId="0" borderId="445" applyNumberFormat="0" applyFont="0" applyFill="0" applyBorder="0" applyProtection="0">
      <alignment horizontal="left" vertical="center" indent="5"/>
    </xf>
    <xf numFmtId="4" fontId="34" fillId="33" borderId="462"/>
    <xf numFmtId="0" fontId="34" fillId="0" borderId="444" applyNumberFormat="0" applyFill="0" applyAlignment="0" applyProtection="0"/>
    <xf numFmtId="0" fontId="50" fillId="0" borderId="442" applyNumberFormat="0" applyFill="0" applyAlignment="0" applyProtection="0"/>
    <xf numFmtId="0" fontId="62" fillId="56" borderId="448" applyNumberFormat="0" applyAlignment="0" applyProtection="0"/>
    <xf numFmtId="4" fontId="32" fillId="34" borderId="444">
      <alignment horizontal="right" vertical="center"/>
    </xf>
    <xf numFmtId="4" fontId="34" fillId="33" borderId="444"/>
    <xf numFmtId="0" fontId="65" fillId="0" borderId="442" applyNumberFormat="0" applyFill="0" applyAlignment="0" applyProtection="0"/>
    <xf numFmtId="0" fontId="32" fillId="34" borderId="454">
      <alignment horizontal="right" vertical="center"/>
    </xf>
    <xf numFmtId="0" fontId="43" fillId="56" borderId="448" applyNumberFormat="0" applyAlignment="0" applyProtection="0"/>
    <xf numFmtId="0" fontId="45" fillId="56" borderId="441" applyNumberFormat="0" applyAlignment="0" applyProtection="0"/>
    <xf numFmtId="0" fontId="46" fillId="56" borderId="441" applyNumberFormat="0" applyAlignment="0" applyProtection="0"/>
    <xf numFmtId="0" fontId="62" fillId="56" borderId="448" applyNumberFormat="0" applyAlignment="0" applyProtection="0"/>
    <xf numFmtId="0" fontId="32" fillId="34" borderId="446">
      <alignment horizontal="right" vertical="center"/>
    </xf>
    <xf numFmtId="0" fontId="34" fillId="0" borderId="444" applyNumberFormat="0" applyFill="0" applyAlignment="0" applyProtection="0"/>
    <xf numFmtId="49" fontId="34" fillId="0" borderId="445" applyNumberFormat="0" applyFont="0" applyFill="0" applyBorder="0" applyProtection="0">
      <alignment horizontal="left" vertical="center" indent="5"/>
    </xf>
    <xf numFmtId="0" fontId="65" fillId="0" borderId="442" applyNumberFormat="0" applyFill="0" applyAlignment="0" applyProtection="0"/>
    <xf numFmtId="0" fontId="34" fillId="0" borderId="444" applyNumberFormat="0" applyFill="0" applyAlignment="0" applyProtection="0"/>
    <xf numFmtId="0" fontId="49" fillId="43" borderId="459" applyNumberFormat="0" applyAlignment="0" applyProtection="0"/>
    <xf numFmtId="0" fontId="46" fillId="56" borderId="451" applyNumberFormat="0" applyAlignment="0" applyProtection="0"/>
    <xf numFmtId="0" fontId="50" fillId="0" borderId="460" applyNumberFormat="0" applyFill="0" applyAlignment="0" applyProtection="0"/>
    <xf numFmtId="0" fontId="12" fillId="22" borderId="0" applyNumberFormat="0" applyBorder="0" applyAlignment="0" applyProtection="0"/>
    <xf numFmtId="0" fontId="32" fillId="32" borderId="494">
      <alignment horizontal="right" vertical="center"/>
    </xf>
    <xf numFmtId="0" fontId="45" fillId="56" borderId="459" applyNumberFormat="0" applyAlignment="0" applyProtection="0"/>
    <xf numFmtId="0" fontId="40" fillId="59" borderId="443" applyNumberFormat="0" applyFont="0" applyAlignment="0" applyProtection="0"/>
    <xf numFmtId="0" fontId="26" fillId="14" borderId="0" applyNumberFormat="0" applyBorder="0" applyAlignment="0" applyProtection="0"/>
    <xf numFmtId="0" fontId="34" fillId="0" borderId="462" applyNumberFormat="0" applyFill="0" applyAlignment="0" applyProtection="0"/>
    <xf numFmtId="4" fontId="34" fillId="0" borderId="462">
      <alignment horizontal="right" vertical="center"/>
    </xf>
    <xf numFmtId="0" fontId="30" fillId="0" borderId="0" applyNumberFormat="0" applyFill="0" applyBorder="0" applyAlignment="0" applyProtection="0"/>
    <xf numFmtId="0" fontId="32" fillId="32" borderId="454">
      <alignment horizontal="right" vertical="center"/>
    </xf>
    <xf numFmtId="0" fontId="65" fillId="0" borderId="460" applyNumberFormat="0" applyFill="0" applyAlignment="0" applyProtection="0"/>
    <xf numFmtId="0" fontId="43" fillId="56" borderId="466" applyNumberFormat="0" applyAlignment="0" applyProtection="0"/>
    <xf numFmtId="0" fontId="26" fillId="18" borderId="0" applyNumberFormat="0" applyBorder="0" applyAlignment="0" applyProtection="0"/>
    <xf numFmtId="0" fontId="32" fillId="32" borderId="462">
      <alignment horizontal="right" vertical="center"/>
    </xf>
    <xf numFmtId="0" fontId="26" fillId="17" borderId="0" applyNumberFormat="0" applyBorder="0" applyAlignment="0" applyProtection="0"/>
    <xf numFmtId="0" fontId="34" fillId="0" borderId="447">
      <alignment horizontal="left" vertical="center" wrapText="1" indent="2"/>
    </xf>
    <xf numFmtId="49" fontId="33" fillId="0" borderId="471" applyNumberFormat="0" applyFill="0" applyBorder="0" applyProtection="0">
      <alignment horizontal="left" vertical="center"/>
    </xf>
    <xf numFmtId="4" fontId="32" fillId="32" borderId="444">
      <alignment horizontal="right" vertical="center"/>
    </xf>
    <xf numFmtId="0" fontId="32" fillId="34" borderId="462">
      <alignment horizontal="right" vertical="center"/>
    </xf>
    <xf numFmtId="4" fontId="32" fillId="34" borderId="463">
      <alignment horizontal="right" vertical="center"/>
    </xf>
    <xf numFmtId="0" fontId="62" fillId="56" borderId="448" applyNumberFormat="0" applyAlignment="0" applyProtection="0"/>
    <xf numFmtId="49" fontId="34" fillId="0" borderId="445" applyNumberFormat="0" applyFont="0" applyFill="0" applyBorder="0" applyProtection="0">
      <alignment horizontal="left" vertical="center" indent="5"/>
    </xf>
    <xf numFmtId="4" fontId="34" fillId="0" borderId="444">
      <alignment horizontal="right" vertical="center"/>
    </xf>
    <xf numFmtId="0" fontId="46" fillId="56" borderId="459" applyNumberFormat="0" applyAlignment="0" applyProtection="0"/>
    <xf numFmtId="0" fontId="46" fillId="56" borderId="451" applyNumberFormat="0" applyAlignment="0" applyProtection="0"/>
    <xf numFmtId="0" fontId="32" fillId="34" borderId="462">
      <alignment horizontal="right" vertical="center"/>
    </xf>
    <xf numFmtId="0" fontId="26" fillId="23" borderId="0" applyNumberFormat="0" applyBorder="0" applyAlignment="0" applyProtection="0"/>
    <xf numFmtId="0" fontId="50" fillId="0" borderId="442" applyNumberFormat="0" applyFill="0" applyAlignment="0" applyProtection="0"/>
    <xf numFmtId="0" fontId="43" fillId="56" borderId="467" applyNumberFormat="0" applyAlignment="0" applyProtection="0"/>
    <xf numFmtId="4" fontId="32" fillId="34" borderId="446">
      <alignment horizontal="right" vertical="center"/>
    </xf>
    <xf numFmtId="4" fontId="32" fillId="34" borderId="444">
      <alignment horizontal="right" vertical="center"/>
    </xf>
    <xf numFmtId="4" fontId="32" fillId="34" borderId="444">
      <alignment horizontal="right" vertical="center"/>
    </xf>
    <xf numFmtId="0" fontId="65" fillId="0" borderId="442" applyNumberFormat="0" applyFill="0" applyAlignment="0" applyProtection="0"/>
    <xf numFmtId="0" fontId="46" fillId="56" borderId="441" applyNumberFormat="0" applyAlignment="0" applyProtection="0"/>
    <xf numFmtId="0" fontId="49" fillId="43" borderId="441" applyNumberFormat="0" applyAlignment="0" applyProtection="0"/>
    <xf numFmtId="0" fontId="46" fillId="56" borderId="459" applyNumberFormat="0" applyAlignment="0" applyProtection="0"/>
    <xf numFmtId="0" fontId="58" fillId="43" borderId="468" applyNumberFormat="0" applyAlignment="0" applyProtection="0"/>
    <xf numFmtId="49" fontId="33" fillId="0" borderId="444" applyNumberFormat="0" applyFill="0" applyBorder="0" applyProtection="0">
      <alignment horizontal="left" vertical="center"/>
    </xf>
    <xf numFmtId="0" fontId="5" fillId="59" borderId="443" applyNumberFormat="0" applyFont="0" applyAlignment="0" applyProtection="0"/>
    <xf numFmtId="0" fontId="40" fillId="59" borderId="453" applyNumberFormat="0" applyFont="0" applyAlignment="0" applyProtection="0"/>
    <xf numFmtId="4" fontId="32" fillId="34" borderId="444">
      <alignment horizontal="right" vertical="center"/>
    </xf>
    <xf numFmtId="0" fontId="26" fillId="24" borderId="0" applyNumberFormat="0" applyBorder="0" applyAlignment="0" applyProtection="0"/>
    <xf numFmtId="0" fontId="49" fillId="43" borderId="459" applyNumberFormat="0" applyAlignment="0" applyProtection="0"/>
    <xf numFmtId="0" fontId="36" fillId="32" borderId="471">
      <alignment horizontal="right" vertical="center"/>
    </xf>
    <xf numFmtId="0" fontId="12" fillId="28" borderId="0" applyNumberFormat="0" applyBorder="0" applyAlignment="0" applyProtection="0"/>
    <xf numFmtId="0" fontId="62" fillId="56" borderId="475" applyNumberFormat="0" applyAlignment="0" applyProtection="0"/>
    <xf numFmtId="49" fontId="34" fillId="0" borderId="444" applyNumberFormat="0" applyFont="0" applyFill="0" applyBorder="0" applyProtection="0">
      <alignment horizontal="left" vertical="center" indent="2"/>
    </xf>
    <xf numFmtId="0" fontId="65" fillId="0" borderId="442" applyNumberFormat="0" applyFill="0" applyAlignment="0" applyProtection="0"/>
    <xf numFmtId="4" fontId="34" fillId="0" borderId="444" applyFill="0" applyBorder="0" applyProtection="0">
      <alignment horizontal="right" vertical="center"/>
    </xf>
    <xf numFmtId="0" fontId="58" fillId="43" borderId="441" applyNumberFormat="0" applyAlignment="0" applyProtection="0"/>
    <xf numFmtId="49" fontId="33" fillId="0" borderId="444" applyNumberFormat="0" applyFill="0" applyBorder="0" applyProtection="0">
      <alignment horizontal="left" vertical="center"/>
    </xf>
    <xf numFmtId="49" fontId="34" fillId="0" borderId="444" applyNumberFormat="0" applyFont="0" applyFill="0" applyBorder="0" applyProtection="0">
      <alignment horizontal="left" vertical="center" indent="2"/>
    </xf>
    <xf numFmtId="4" fontId="34" fillId="0" borderId="444" applyFill="0" applyBorder="0" applyProtection="0">
      <alignment horizontal="right" vertical="center"/>
    </xf>
    <xf numFmtId="0" fontId="32" fillId="34" borderId="464">
      <alignment horizontal="right" vertical="center"/>
    </xf>
    <xf numFmtId="173" fontId="34" fillId="60" borderId="444" applyNumberFormat="0" applyFont="0" applyBorder="0" applyAlignment="0" applyProtection="0">
      <alignment horizontal="right" vertical="center"/>
    </xf>
    <xf numFmtId="173" fontId="34" fillId="60" borderId="462" applyNumberFormat="0" applyFont="0" applyBorder="0" applyAlignment="0" applyProtection="0">
      <alignment horizontal="right" vertical="center"/>
    </xf>
    <xf numFmtId="0" fontId="34" fillId="0" borderId="474">
      <alignment horizontal="left" vertical="center" wrapText="1" indent="2"/>
    </xf>
    <xf numFmtId="173" fontId="34" fillId="60" borderId="471" applyNumberFormat="0" applyFont="0" applyBorder="0" applyAlignment="0" applyProtection="0">
      <alignment horizontal="right" vertical="center"/>
    </xf>
    <xf numFmtId="0" fontId="36" fillId="32" borderId="444">
      <alignment horizontal="right" vertical="center"/>
    </xf>
    <xf numFmtId="0" fontId="46" fillId="56" borderId="459" applyNumberFormat="0" applyAlignment="0" applyProtection="0"/>
    <xf numFmtId="0" fontId="58" fillId="43" borderId="459" applyNumberFormat="0" applyAlignment="0" applyProtection="0"/>
    <xf numFmtId="0" fontId="34" fillId="0" borderId="462">
      <alignment horizontal="right" vertical="center"/>
    </xf>
    <xf numFmtId="0" fontId="49" fillId="43" borderId="441" applyNumberFormat="0" applyAlignment="0" applyProtection="0"/>
    <xf numFmtId="4" fontId="32" fillId="34" borderId="444">
      <alignment horizontal="right" vertical="center"/>
    </xf>
    <xf numFmtId="0" fontId="34" fillId="32" borderId="445">
      <alignment horizontal="left" vertical="center"/>
    </xf>
    <xf numFmtId="0" fontId="58" fillId="43" borderId="459" applyNumberFormat="0" applyAlignment="0" applyProtection="0"/>
    <xf numFmtId="4" fontId="34" fillId="0" borderId="471" applyFill="0" applyBorder="0" applyProtection="0">
      <alignment horizontal="right" vertical="center"/>
    </xf>
    <xf numFmtId="0" fontId="32" fillId="34" borderId="464">
      <alignment horizontal="right" vertical="center"/>
    </xf>
    <xf numFmtId="0" fontId="40" fillId="59" borderId="461" applyNumberFormat="0" applyFont="0" applyAlignment="0" applyProtection="0"/>
    <xf numFmtId="0" fontId="12" fillId="31" borderId="0" applyNumberFormat="0" applyBorder="0" applyAlignment="0" applyProtection="0"/>
    <xf numFmtId="0" fontId="26" fillId="26" borderId="0" applyNumberFormat="0" applyBorder="0" applyAlignment="0" applyProtection="0"/>
    <xf numFmtId="0" fontId="46" fillId="56" borderId="459" applyNumberFormat="0" applyAlignment="0" applyProtection="0"/>
    <xf numFmtId="4" fontId="36" fillId="32" borderId="454">
      <alignment horizontal="right" vertical="center"/>
    </xf>
    <xf numFmtId="0" fontId="32" fillId="32" borderId="462">
      <alignment horizontal="right" vertical="center"/>
    </xf>
    <xf numFmtId="4" fontId="34" fillId="33" borderId="471"/>
    <xf numFmtId="0" fontId="12" fillId="22" borderId="0" applyNumberFormat="0" applyBorder="0" applyAlignment="0" applyProtection="0"/>
    <xf numFmtId="4" fontId="34" fillId="0" borderId="462" applyFill="0" applyBorder="0" applyProtection="0">
      <alignment horizontal="right" vertical="center"/>
    </xf>
    <xf numFmtId="0" fontId="32" fillId="34" borderId="444">
      <alignment horizontal="right" vertical="center"/>
    </xf>
    <xf numFmtId="0" fontId="34" fillId="34" borderId="447">
      <alignment horizontal="left" vertical="center" wrapText="1" indent="2"/>
    </xf>
    <xf numFmtId="173" fontId="34" fillId="60" borderId="444" applyNumberFormat="0" applyFont="0" applyBorder="0" applyAlignment="0" applyProtection="0">
      <alignment horizontal="right" vertical="center"/>
    </xf>
    <xf numFmtId="0" fontId="40" fillId="59" borderId="443" applyNumberFormat="0" applyFont="0" applyAlignment="0" applyProtection="0"/>
    <xf numFmtId="49" fontId="34" fillId="0" borderId="444" applyNumberFormat="0" applyFont="0" applyFill="0" applyBorder="0" applyProtection="0">
      <alignment horizontal="left" vertical="center" indent="2"/>
    </xf>
    <xf numFmtId="0" fontId="46" fillId="56" borderId="459" applyNumberFormat="0" applyAlignment="0" applyProtection="0"/>
    <xf numFmtId="0" fontId="58" fillId="43" borderId="451" applyNumberFormat="0" applyAlignment="0" applyProtection="0"/>
    <xf numFmtId="0" fontId="45" fillId="56" borderId="459" applyNumberFormat="0" applyAlignment="0" applyProtection="0"/>
    <xf numFmtId="0" fontId="30" fillId="0" borderId="0" applyNumberFormat="0" applyFill="0" applyBorder="0" applyAlignment="0" applyProtection="0"/>
    <xf numFmtId="49" fontId="33" fillId="0" borderId="444" applyNumberFormat="0" applyFill="0" applyBorder="0" applyProtection="0">
      <alignment horizontal="left" vertical="center"/>
    </xf>
    <xf numFmtId="0" fontId="34" fillId="0" borderId="471" applyNumberFormat="0" applyFill="0" applyAlignment="0" applyProtection="0"/>
    <xf numFmtId="173" fontId="34" fillId="60" borderId="444" applyNumberFormat="0" applyFont="0" applyBorder="0" applyAlignment="0" applyProtection="0">
      <alignment horizontal="right" vertical="center"/>
    </xf>
    <xf numFmtId="0" fontId="62" fillId="56" borderId="448" applyNumberFormat="0" applyAlignment="0" applyProtection="0"/>
    <xf numFmtId="0" fontId="34" fillId="0" borderId="444">
      <alignment horizontal="right" vertical="center"/>
    </xf>
    <xf numFmtId="0" fontId="26" fillId="29" borderId="0" applyNumberFormat="0" applyBorder="0" applyAlignment="0" applyProtection="0"/>
    <xf numFmtId="0" fontId="34" fillId="33" borderId="444"/>
    <xf numFmtId="4" fontId="32" fillId="34" borderId="444">
      <alignment horizontal="right" vertical="center"/>
    </xf>
    <xf numFmtId="0" fontId="34" fillId="33" borderId="444"/>
    <xf numFmtId="0" fontId="58" fillId="43" borderId="441" applyNumberFormat="0" applyAlignment="0" applyProtection="0"/>
    <xf numFmtId="0" fontId="49" fillId="43" borderId="459" applyNumberFormat="0" applyAlignment="0" applyProtection="0"/>
    <xf numFmtId="0" fontId="36" fillId="32" borderId="444">
      <alignment horizontal="right" vertical="center"/>
    </xf>
    <xf numFmtId="0" fontId="34" fillId="0" borderId="447">
      <alignment horizontal="left" vertical="center" wrapText="1" indent="2"/>
    </xf>
    <xf numFmtId="0" fontId="32" fillId="32" borderId="444">
      <alignment horizontal="right" vertical="center"/>
    </xf>
    <xf numFmtId="0" fontId="49" fillId="43" borderId="441" applyNumberFormat="0" applyAlignment="0" applyProtection="0"/>
    <xf numFmtId="0" fontId="34" fillId="34" borderId="447">
      <alignment horizontal="left" vertical="center" wrapText="1" indent="2"/>
    </xf>
    <xf numFmtId="0" fontId="26" fillId="27" borderId="0" applyNumberFormat="0" applyBorder="0" applyAlignment="0" applyProtection="0"/>
    <xf numFmtId="0" fontId="26" fillId="20" borderId="0" applyNumberFormat="0" applyBorder="0" applyAlignment="0" applyProtection="0"/>
    <xf numFmtId="4" fontId="34" fillId="0" borderId="462" applyFill="0" applyBorder="0" applyProtection="0">
      <alignment horizontal="right"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32" fillId="34" borderId="495">
      <alignment horizontal="right" vertical="center"/>
    </xf>
    <xf numFmtId="4" fontId="32" fillId="34" borderId="462">
      <alignment horizontal="right" vertical="center"/>
    </xf>
    <xf numFmtId="0" fontId="43" fillId="56" borderId="466" applyNumberFormat="0" applyAlignment="0" applyProtection="0"/>
    <xf numFmtId="0" fontId="34" fillId="34" borderId="497">
      <alignment horizontal="left" vertical="center" wrapText="1" indent="2"/>
    </xf>
    <xf numFmtId="0" fontId="45" fillId="56" borderId="441" applyNumberFormat="0" applyAlignment="0" applyProtection="0"/>
    <xf numFmtId="0" fontId="36" fillId="32" borderId="444">
      <alignment horizontal="right" vertical="center"/>
    </xf>
    <xf numFmtId="0" fontId="49" fillId="43" borderId="459" applyNumberFormat="0" applyAlignment="0" applyProtection="0"/>
    <xf numFmtId="0" fontId="26" fillId="21" borderId="0" applyNumberFormat="0" applyBorder="0" applyAlignment="0" applyProtection="0"/>
    <xf numFmtId="0" fontId="40" fillId="59" borderId="478" applyNumberFormat="0" applyFont="0" applyAlignment="0" applyProtection="0"/>
    <xf numFmtId="0" fontId="29" fillId="13" borderId="13" applyNumberFormat="0" applyAlignment="0" applyProtection="0"/>
    <xf numFmtId="0" fontId="26" fillId="14" borderId="0" applyNumberFormat="0" applyBorder="0" applyAlignment="0" applyProtection="0"/>
    <xf numFmtId="0" fontId="36" fillId="32" borderId="471">
      <alignment horizontal="right" vertical="center"/>
    </xf>
    <xf numFmtId="4" fontId="36" fillId="32" borderId="471">
      <alignment horizontal="right" vertical="center"/>
    </xf>
    <xf numFmtId="0" fontId="32" fillId="34" borderId="463">
      <alignment horizontal="right" vertical="center"/>
    </xf>
    <xf numFmtId="0" fontId="45" fillId="56" borderId="459" applyNumberFormat="0" applyAlignment="0" applyProtection="0"/>
    <xf numFmtId="0" fontId="32" fillId="34" borderId="444">
      <alignment horizontal="right" vertical="center"/>
    </xf>
    <xf numFmtId="4" fontId="34" fillId="0" borderId="444" applyFill="0" applyBorder="0" applyProtection="0">
      <alignment horizontal="right" vertical="center"/>
    </xf>
    <xf numFmtId="0" fontId="34" fillId="34" borderId="447">
      <alignment horizontal="left" vertical="center" wrapText="1" indent="2"/>
    </xf>
    <xf numFmtId="0" fontId="40" fillId="59" borderId="443" applyNumberFormat="0" applyFont="0" applyAlignment="0" applyProtection="0"/>
    <xf numFmtId="0" fontId="49" fillId="43" borderId="441" applyNumberFormat="0" applyAlignment="0" applyProtection="0"/>
    <xf numFmtId="4" fontId="34" fillId="33" borderId="444"/>
    <xf numFmtId="4" fontId="34" fillId="0" borderId="444" applyFill="0" applyBorder="0" applyProtection="0">
      <alignment horizontal="right" vertical="center"/>
    </xf>
    <xf numFmtId="0" fontId="65" fillId="0" borderId="442" applyNumberFormat="0" applyFill="0" applyAlignment="0" applyProtection="0"/>
    <xf numFmtId="0" fontId="34" fillId="32" borderId="445">
      <alignment horizontal="left" vertical="center"/>
    </xf>
    <xf numFmtId="0" fontId="34" fillId="0" borderId="447">
      <alignment horizontal="left" vertical="center" wrapText="1" indent="2"/>
    </xf>
    <xf numFmtId="0" fontId="32" fillId="34" borderId="462">
      <alignment horizontal="right" vertical="center"/>
    </xf>
    <xf numFmtId="0" fontId="58" fillId="43" borderId="441" applyNumberFormat="0" applyAlignment="0" applyProtection="0"/>
    <xf numFmtId="0" fontId="34" fillId="34" borderId="447">
      <alignment horizontal="left" vertical="center" wrapText="1" indent="2"/>
    </xf>
    <xf numFmtId="0" fontId="12" fillId="16" borderId="0" applyNumberFormat="0" applyBorder="0" applyAlignment="0" applyProtection="0"/>
    <xf numFmtId="0" fontId="49" fillId="43" borderId="459" applyNumberFormat="0" applyAlignment="0" applyProtection="0"/>
    <xf numFmtId="0" fontId="40" fillId="59" borderId="443" applyNumberFormat="0" applyFont="0" applyAlignment="0" applyProtection="0"/>
    <xf numFmtId="0" fontId="58" fillId="43" borderId="441" applyNumberFormat="0" applyAlignment="0" applyProtection="0"/>
    <xf numFmtId="0" fontId="26" fillId="21" borderId="0" applyNumberFormat="0" applyBorder="0" applyAlignment="0" applyProtection="0"/>
    <xf numFmtId="4" fontId="34" fillId="33" borderId="444"/>
    <xf numFmtId="0" fontId="46" fillId="56" borderId="441" applyNumberFormat="0" applyAlignment="0" applyProtection="0"/>
    <xf numFmtId="0" fontId="58" fillId="43" borderId="441" applyNumberFormat="0" applyAlignment="0" applyProtection="0"/>
    <xf numFmtId="4" fontId="32" fillId="34" borderId="444">
      <alignment horizontal="right" vertical="center"/>
    </xf>
    <xf numFmtId="0" fontId="50" fillId="0" borderId="442" applyNumberFormat="0" applyFill="0" applyAlignment="0" applyProtection="0"/>
    <xf numFmtId="4" fontId="32" fillId="34" borderId="463">
      <alignment horizontal="right" vertical="center"/>
    </xf>
    <xf numFmtId="0" fontId="40" fillId="59" borderId="461" applyNumberFormat="0" applyFont="0" applyAlignment="0" applyProtection="0"/>
    <xf numFmtId="4" fontId="36" fillId="32" borderId="462">
      <alignment horizontal="right" vertical="center"/>
    </xf>
    <xf numFmtId="4" fontId="34" fillId="0" borderId="454">
      <alignment horizontal="right" vertical="center"/>
    </xf>
    <xf numFmtId="4" fontId="34" fillId="33" borderId="462"/>
    <xf numFmtId="0" fontId="49" fillId="43" borderId="441" applyNumberFormat="0" applyAlignment="0" applyProtection="0"/>
    <xf numFmtId="0" fontId="26" fillId="17" borderId="0" applyNumberFormat="0" applyBorder="0" applyAlignment="0" applyProtection="0"/>
    <xf numFmtId="0" fontId="32" fillId="34" borderId="462">
      <alignment horizontal="right" vertical="center"/>
    </xf>
    <xf numFmtId="0" fontId="34" fillId="32" borderId="463">
      <alignment horizontal="left" vertical="center"/>
    </xf>
    <xf numFmtId="0" fontId="40" fillId="59" borderId="461" applyNumberFormat="0" applyFont="0" applyAlignment="0" applyProtection="0"/>
    <xf numFmtId="0" fontId="32" fillId="34" borderId="496">
      <alignment horizontal="right" vertical="center"/>
    </xf>
    <xf numFmtId="0" fontId="34" fillId="32" borderId="480">
      <alignment horizontal="left" vertical="center"/>
    </xf>
    <xf numFmtId="0" fontId="34" fillId="34" borderId="447">
      <alignment horizontal="left" vertical="center" wrapText="1" indent="2"/>
    </xf>
    <xf numFmtId="0" fontId="29" fillId="13" borderId="13" applyNumberFormat="0" applyAlignment="0" applyProtection="0"/>
    <xf numFmtId="0" fontId="62" fillId="56" borderId="448" applyNumberFormat="0" applyAlignment="0" applyProtection="0"/>
    <xf numFmtId="0" fontId="58" fillId="43" borderId="441" applyNumberFormat="0" applyAlignment="0" applyProtection="0"/>
    <xf numFmtId="4" fontId="32" fillId="34" borderId="444">
      <alignment horizontal="right" vertical="center"/>
    </xf>
    <xf numFmtId="0" fontId="34" fillId="33" borderId="444"/>
    <xf numFmtId="0" fontId="65" fillId="0" borderId="460" applyNumberFormat="0" applyFill="0" applyAlignment="0" applyProtection="0"/>
    <xf numFmtId="0" fontId="45" fillId="56" borderId="468" applyNumberFormat="0" applyAlignment="0" applyProtection="0"/>
    <xf numFmtId="0" fontId="34" fillId="0" borderId="447">
      <alignment horizontal="left" vertical="center" wrapText="1" indent="2"/>
    </xf>
    <xf numFmtId="0" fontId="26" fillId="24" borderId="0" applyNumberFormat="0" applyBorder="0" applyAlignment="0" applyProtection="0"/>
    <xf numFmtId="0" fontId="12" fillId="19" borderId="0" applyNumberFormat="0" applyBorder="0" applyAlignment="0" applyProtection="0"/>
    <xf numFmtId="0" fontId="45" fillId="56" borderId="459" applyNumberFormat="0" applyAlignment="0" applyProtection="0"/>
    <xf numFmtId="0" fontId="62" fillId="56" borderId="466" applyNumberFormat="0" applyAlignment="0" applyProtection="0"/>
    <xf numFmtId="0" fontId="45" fillId="56" borderId="441" applyNumberFormat="0" applyAlignment="0" applyProtection="0"/>
    <xf numFmtId="0" fontId="32" fillId="34" borderId="455">
      <alignment horizontal="right" vertical="center"/>
    </xf>
    <xf numFmtId="0" fontId="34" fillId="0" borderId="454">
      <alignment horizontal="right" vertical="center"/>
    </xf>
    <xf numFmtId="4" fontId="32" fillId="32" borderId="444">
      <alignment horizontal="right" vertical="center"/>
    </xf>
    <xf numFmtId="0" fontId="43" fillId="56" borderId="466" applyNumberFormat="0" applyAlignment="0" applyProtection="0"/>
    <xf numFmtId="0" fontId="32" fillId="32" borderId="444">
      <alignment horizontal="right" vertical="center"/>
    </xf>
    <xf numFmtId="0" fontId="32" fillId="34" borderId="444">
      <alignment horizontal="right" vertical="center"/>
    </xf>
    <xf numFmtId="0" fontId="32" fillId="34" borderId="462">
      <alignment horizontal="right" vertical="center"/>
    </xf>
    <xf numFmtId="173" fontId="34" fillId="60" borderId="471" applyNumberFormat="0" applyFont="0" applyBorder="0" applyAlignment="0" applyProtection="0">
      <alignment horizontal="right" vertical="center"/>
    </xf>
    <xf numFmtId="0" fontId="34" fillId="0" borderId="462">
      <alignment horizontal="right" vertical="center"/>
    </xf>
    <xf numFmtId="0" fontId="26" fillId="24" borderId="0" applyNumberFormat="0" applyBorder="0" applyAlignment="0" applyProtection="0"/>
    <xf numFmtId="0" fontId="62" fillId="56" borderId="448" applyNumberFormat="0" applyAlignment="0" applyProtection="0"/>
    <xf numFmtId="0" fontId="26" fillId="14" borderId="0" applyNumberFormat="0" applyBorder="0" applyAlignment="0" applyProtection="0"/>
    <xf numFmtId="49" fontId="34" fillId="0" borderId="444" applyNumberFormat="0" applyFont="0" applyFill="0" applyBorder="0" applyProtection="0">
      <alignment horizontal="left" vertical="center" indent="2"/>
    </xf>
    <xf numFmtId="0" fontId="40" fillId="59" borderId="461" applyNumberFormat="0" applyFont="0" applyAlignment="0" applyProtection="0"/>
    <xf numFmtId="0" fontId="40" fillId="59" borderId="443" applyNumberFormat="0" applyFont="0" applyAlignment="0" applyProtection="0"/>
    <xf numFmtId="173" fontId="34" fillId="60" borderId="444" applyNumberFormat="0" applyFont="0" applyBorder="0" applyAlignment="0" applyProtection="0">
      <alignment horizontal="right" vertical="center"/>
    </xf>
    <xf numFmtId="0" fontId="58" fillId="43" borderId="441" applyNumberFormat="0" applyAlignment="0" applyProtection="0"/>
    <xf numFmtId="0" fontId="32" fillId="34" borderId="444">
      <alignment horizontal="right" vertical="center"/>
    </xf>
    <xf numFmtId="0" fontId="34" fillId="33" borderId="444"/>
    <xf numFmtId="0" fontId="62" fillId="56" borderId="448" applyNumberFormat="0" applyAlignment="0" applyProtection="0"/>
    <xf numFmtId="0" fontId="46" fillId="56" borderId="441" applyNumberFormat="0" applyAlignment="0" applyProtection="0"/>
    <xf numFmtId="0" fontId="45" fillId="56" borderId="441" applyNumberFormat="0" applyAlignment="0" applyProtection="0"/>
    <xf numFmtId="0" fontId="49" fillId="43" borderId="441" applyNumberFormat="0" applyAlignment="0" applyProtection="0"/>
    <xf numFmtId="0" fontId="49" fillId="43" borderId="441" applyNumberFormat="0" applyAlignment="0" applyProtection="0"/>
    <xf numFmtId="0" fontId="34" fillId="0" borderId="447">
      <alignment horizontal="left" vertical="center" wrapText="1" indent="2"/>
    </xf>
    <xf numFmtId="4" fontId="32" fillId="34" borderId="445">
      <alignment horizontal="right" vertical="center"/>
    </xf>
    <xf numFmtId="4" fontId="34" fillId="0" borderId="444">
      <alignment horizontal="right" vertical="center"/>
    </xf>
    <xf numFmtId="49" fontId="33" fillId="0" borderId="444" applyNumberFormat="0" applyFill="0" applyBorder="0" applyProtection="0">
      <alignment horizontal="left" vertical="center"/>
    </xf>
    <xf numFmtId="4" fontId="34" fillId="0" borderId="444">
      <alignment horizontal="right" vertical="center"/>
    </xf>
    <xf numFmtId="0" fontId="62" fillId="56" borderId="448" applyNumberFormat="0" applyAlignment="0" applyProtection="0"/>
    <xf numFmtId="0" fontId="34" fillId="32" borderId="495">
      <alignment horizontal="left" vertical="center"/>
    </xf>
    <xf numFmtId="0" fontId="50" fillId="0" borderId="460" applyNumberFormat="0" applyFill="0" applyAlignment="0" applyProtection="0"/>
    <xf numFmtId="173" fontId="34" fillId="60" borderId="494" applyNumberFormat="0" applyFont="0" applyBorder="0" applyAlignment="0" applyProtection="0">
      <alignment horizontal="right" vertical="center"/>
    </xf>
    <xf numFmtId="0" fontId="65" fillId="0" borderId="460" applyNumberFormat="0" applyFill="0" applyAlignment="0" applyProtection="0"/>
    <xf numFmtId="4" fontId="32" fillId="32" borderId="462">
      <alignment horizontal="right" vertical="center"/>
    </xf>
    <xf numFmtId="0" fontId="26" fillId="14" borderId="0" applyNumberFormat="0" applyBorder="0" applyAlignment="0" applyProtection="0"/>
    <xf numFmtId="0" fontId="34" fillId="0" borderId="447">
      <alignment horizontal="left" vertical="center" wrapText="1" indent="2"/>
    </xf>
    <xf numFmtId="0" fontId="12" fillId="16" borderId="0" applyNumberFormat="0" applyBorder="0" applyAlignment="0" applyProtection="0"/>
    <xf numFmtId="0" fontId="58" fillId="43" borderId="491" applyNumberFormat="0" applyAlignment="0" applyProtection="0"/>
    <xf numFmtId="0" fontId="46" fillId="56" borderId="459" applyNumberFormat="0" applyAlignment="0" applyProtection="0"/>
    <xf numFmtId="0" fontId="26" fillId="23" borderId="0" applyNumberFormat="0" applyBorder="0" applyAlignment="0" applyProtection="0"/>
    <xf numFmtId="0" fontId="62" fillId="56" borderId="467" applyNumberFormat="0" applyAlignment="0" applyProtection="0"/>
    <xf numFmtId="0" fontId="26" fillId="15" borderId="0" applyNumberFormat="0" applyBorder="0" applyAlignment="0" applyProtection="0"/>
    <xf numFmtId="0" fontId="12" fillId="31" borderId="0" applyNumberFormat="0" applyBorder="0" applyAlignment="0" applyProtection="0"/>
    <xf numFmtId="0" fontId="45" fillId="56" borderId="459" applyNumberFormat="0" applyAlignment="0" applyProtection="0"/>
    <xf numFmtId="0" fontId="50" fillId="0" borderId="460" applyNumberFormat="0" applyFill="0" applyAlignment="0" applyProtection="0"/>
    <xf numFmtId="0" fontId="40" fillId="59" borderId="461" applyNumberFormat="0" applyFont="0" applyAlignment="0" applyProtection="0"/>
    <xf numFmtId="0" fontId="40" fillId="59" borderId="443" applyNumberFormat="0" applyFont="0" applyAlignment="0" applyProtection="0"/>
    <xf numFmtId="0" fontId="34" fillId="0" borderId="462" applyNumberFormat="0" applyFill="0" applyAlignment="0" applyProtection="0"/>
    <xf numFmtId="0" fontId="32" fillId="32" borderId="444">
      <alignment horizontal="right" vertical="center"/>
    </xf>
    <xf numFmtId="0" fontId="2" fillId="0" borderId="15" applyNumberFormat="0" applyFill="0" applyAlignment="0" applyProtection="0"/>
    <xf numFmtId="4" fontId="32" fillId="34" borderId="462">
      <alignment horizontal="right" vertical="center"/>
    </xf>
    <xf numFmtId="0" fontId="34" fillId="0" borderId="444" applyNumberFormat="0" applyFill="0" applyAlignment="0" applyProtection="0"/>
    <xf numFmtId="49" fontId="33" fillId="0" borderId="444" applyNumberFormat="0" applyFill="0" applyBorder="0" applyProtection="0">
      <alignment horizontal="left" vertical="center"/>
    </xf>
    <xf numFmtId="0" fontId="34" fillId="0" borderId="444">
      <alignment horizontal="right" vertical="center"/>
    </xf>
    <xf numFmtId="0" fontId="32" fillId="34" borderId="471">
      <alignment horizontal="right" vertical="center"/>
    </xf>
    <xf numFmtId="0" fontId="34" fillId="0" borderId="457">
      <alignment horizontal="left" vertical="center" wrapText="1" indent="2"/>
    </xf>
    <xf numFmtId="0" fontId="12" fillId="19" borderId="0" applyNumberFormat="0" applyBorder="0" applyAlignment="0" applyProtection="0"/>
    <xf numFmtId="0" fontId="46" fillId="56" borderId="459" applyNumberFormat="0" applyAlignment="0" applyProtection="0"/>
    <xf numFmtId="4" fontId="32" fillId="32" borderId="444">
      <alignment horizontal="right" vertical="center"/>
    </xf>
    <xf numFmtId="0" fontId="34" fillId="0" borderId="471">
      <alignment horizontal="right" vertical="center"/>
    </xf>
    <xf numFmtId="0" fontId="46" fillId="56" borderId="441" applyNumberFormat="0" applyAlignment="0" applyProtection="0"/>
    <xf numFmtId="0" fontId="32" fillId="34" borderId="446">
      <alignment horizontal="right" vertical="center"/>
    </xf>
    <xf numFmtId="4" fontId="32" fillId="32" borderId="444">
      <alignment horizontal="right" vertical="center"/>
    </xf>
    <xf numFmtId="0" fontId="32" fillId="34" borderId="444">
      <alignment horizontal="right" vertical="center"/>
    </xf>
    <xf numFmtId="0" fontId="46" fillId="56" borderId="441" applyNumberFormat="0" applyAlignment="0" applyProtection="0"/>
    <xf numFmtId="49" fontId="33" fillId="0" borderId="462" applyNumberFormat="0" applyFill="0" applyBorder="0" applyProtection="0">
      <alignment horizontal="left" vertical="center"/>
    </xf>
    <xf numFmtId="0" fontId="26" fillId="26" borderId="0" applyNumberFormat="0" applyBorder="0" applyAlignment="0" applyProtection="0"/>
    <xf numFmtId="0" fontId="2" fillId="0" borderId="15" applyNumberFormat="0" applyFill="0" applyAlignment="0" applyProtection="0"/>
    <xf numFmtId="4" fontId="34" fillId="0" borderId="444" applyFill="0" applyBorder="0" applyProtection="0">
      <alignment horizontal="right" vertical="center"/>
    </xf>
    <xf numFmtId="0" fontId="40" fillId="59" borderId="443" applyNumberFormat="0" applyFont="0" applyAlignment="0" applyProtection="0"/>
    <xf numFmtId="4" fontId="32" fillId="34" borderId="496">
      <alignment horizontal="right" vertical="center"/>
    </xf>
    <xf numFmtId="0" fontId="28" fillId="13" borderId="14" applyNumberFormat="0" applyAlignment="0" applyProtection="0"/>
    <xf numFmtId="0" fontId="26" fillId="29" borderId="0" applyNumberFormat="0" applyBorder="0" applyAlignment="0" applyProtection="0"/>
    <xf numFmtId="0" fontId="26" fillId="20" borderId="0" applyNumberFormat="0" applyBorder="0" applyAlignment="0" applyProtection="0"/>
    <xf numFmtId="0" fontId="32" fillId="34" borderId="462">
      <alignment horizontal="right" vertical="center"/>
    </xf>
    <xf numFmtId="0" fontId="26" fillId="27" borderId="0" applyNumberFormat="0" applyBorder="0" applyAlignment="0" applyProtection="0"/>
    <xf numFmtId="0" fontId="65" fillId="0" borderId="460" applyNumberFormat="0" applyFill="0" applyAlignment="0" applyProtection="0"/>
    <xf numFmtId="0" fontId="32" fillId="32" borderId="444">
      <alignment horizontal="right" vertical="center"/>
    </xf>
    <xf numFmtId="0" fontId="50" fillId="0" borderId="442" applyNumberFormat="0" applyFill="0" applyAlignment="0" applyProtection="0"/>
    <xf numFmtId="0" fontId="34" fillId="0" borderId="444" applyNumberFormat="0" applyFill="0" applyAlignment="0" applyProtection="0"/>
    <xf numFmtId="0" fontId="50" fillId="0" borderId="442" applyNumberFormat="0" applyFill="0" applyAlignment="0" applyProtection="0"/>
    <xf numFmtId="4" fontId="34" fillId="0" borderId="444" applyFill="0" applyBorder="0" applyProtection="0">
      <alignment horizontal="right" vertical="center"/>
    </xf>
    <xf numFmtId="49" fontId="34" fillId="0" borderId="445" applyNumberFormat="0" applyFont="0" applyFill="0" applyBorder="0" applyProtection="0">
      <alignment horizontal="left" vertical="center" indent="5"/>
    </xf>
    <xf numFmtId="0" fontId="34" fillId="0" borderId="444" applyNumberFormat="0" applyFill="0" applyAlignment="0" applyProtection="0"/>
    <xf numFmtId="0" fontId="58" fillId="43" borderId="441" applyNumberFormat="0" applyAlignment="0" applyProtection="0"/>
    <xf numFmtId="0" fontId="34" fillId="0" borderId="444" applyNumberFormat="0" applyFill="0" applyAlignment="0" applyProtection="0"/>
    <xf numFmtId="0" fontId="28" fillId="13" borderId="14" applyNumberFormat="0" applyAlignment="0" applyProtection="0"/>
    <xf numFmtId="4" fontId="32" fillId="34" borderId="444">
      <alignment horizontal="right" vertical="center"/>
    </xf>
    <xf numFmtId="0" fontId="43" fillId="56" borderId="466" applyNumberFormat="0" applyAlignment="0" applyProtection="0"/>
    <xf numFmtId="0" fontId="12" fillId="22" borderId="0" applyNumberFormat="0" applyBorder="0" applyAlignment="0" applyProtection="0"/>
    <xf numFmtId="0" fontId="50" fillId="0" borderId="460" applyNumberFormat="0" applyFill="0" applyAlignment="0" applyProtection="0"/>
    <xf numFmtId="0" fontId="49" fillId="43" borderId="441" applyNumberFormat="0" applyAlignment="0" applyProtection="0"/>
    <xf numFmtId="0" fontId="46" fillId="56" borderId="441" applyNumberFormat="0" applyAlignment="0" applyProtection="0"/>
    <xf numFmtId="4" fontId="34" fillId="0" borderId="444">
      <alignment horizontal="right" vertical="center"/>
    </xf>
    <xf numFmtId="0" fontId="34" fillId="34" borderId="447">
      <alignment horizontal="left" vertical="center" wrapText="1" indent="2"/>
    </xf>
    <xf numFmtId="0" fontId="34" fillId="0" borderId="447">
      <alignment horizontal="left" vertical="center" wrapText="1" indent="2"/>
    </xf>
    <xf numFmtId="0" fontId="62" fillId="56" borderId="448" applyNumberFormat="0" applyAlignment="0" applyProtection="0"/>
    <xf numFmtId="0" fontId="58" fillId="43" borderId="441" applyNumberFormat="0" applyAlignment="0" applyProtection="0"/>
    <xf numFmtId="0" fontId="45" fillId="56" borderId="441" applyNumberFormat="0" applyAlignment="0" applyProtection="0"/>
    <xf numFmtId="0" fontId="43" fillId="56" borderId="448" applyNumberFormat="0" applyAlignment="0" applyProtection="0"/>
    <xf numFmtId="0" fontId="32" fillId="34" borderId="446">
      <alignment horizontal="right" vertical="center"/>
    </xf>
    <xf numFmtId="0" fontId="36" fillId="32" borderId="444">
      <alignment horizontal="right" vertical="center"/>
    </xf>
    <xf numFmtId="4" fontId="32" fillId="32" borderId="444">
      <alignment horizontal="right" vertical="center"/>
    </xf>
    <xf numFmtId="4" fontId="32" fillId="34" borderId="444">
      <alignment horizontal="right" vertical="center"/>
    </xf>
    <xf numFmtId="49" fontId="34" fillId="0" borderId="445" applyNumberFormat="0" applyFont="0" applyFill="0" applyBorder="0" applyProtection="0">
      <alignment horizontal="left" vertical="center" indent="5"/>
    </xf>
    <xf numFmtId="4" fontId="34" fillId="0" borderId="444" applyFill="0" applyBorder="0" applyProtection="0">
      <alignment horizontal="right" vertical="center"/>
    </xf>
    <xf numFmtId="4" fontId="32" fillId="32" borderId="444">
      <alignment horizontal="right" vertical="center"/>
    </xf>
    <xf numFmtId="0" fontId="58" fillId="43" borderId="441" applyNumberFormat="0" applyAlignment="0" applyProtection="0"/>
    <xf numFmtId="0" fontId="49" fillId="43" borderId="441" applyNumberFormat="0" applyAlignment="0" applyProtection="0"/>
    <xf numFmtId="0" fontId="45" fillId="56" borderId="441" applyNumberFormat="0" applyAlignment="0" applyProtection="0"/>
    <xf numFmtId="0" fontId="34" fillId="34" borderId="447">
      <alignment horizontal="left" vertical="center" wrapText="1" indent="2"/>
    </xf>
    <xf numFmtId="0" fontId="34" fillId="0" borderId="447">
      <alignment horizontal="left" vertical="center" wrapText="1" indent="2"/>
    </xf>
    <xf numFmtId="0" fontId="34" fillId="34" borderId="447">
      <alignment horizontal="left" vertical="center" wrapText="1" indent="2"/>
    </xf>
    <xf numFmtId="0" fontId="36" fillId="32" borderId="454">
      <alignment horizontal="right" vertical="center"/>
    </xf>
    <xf numFmtId="4" fontId="34" fillId="0" borderId="462">
      <alignment horizontal="right" vertical="center"/>
    </xf>
    <xf numFmtId="173" fontId="34" fillId="60" borderId="462" applyNumberFormat="0" applyFont="0" applyBorder="0" applyAlignment="0" applyProtection="0">
      <alignment horizontal="right" vertical="center"/>
    </xf>
    <xf numFmtId="0" fontId="50" fillId="0" borderId="469" applyNumberFormat="0" applyFill="0" applyAlignment="0" applyProtection="0"/>
    <xf numFmtId="0" fontId="34" fillId="34" borderId="465">
      <alignment horizontal="left" vertical="center" wrapText="1" indent="2"/>
    </xf>
    <xf numFmtId="0" fontId="32" fillId="34" borderId="463">
      <alignment horizontal="right" vertical="center"/>
    </xf>
    <xf numFmtId="0" fontId="43" fillId="56" borderId="467" applyNumberFormat="0" applyAlignment="0" applyProtection="0"/>
    <xf numFmtId="0" fontId="32" fillId="32" borderId="484">
      <alignment horizontal="right" vertical="center"/>
    </xf>
    <xf numFmtId="0" fontId="32" fillId="34" borderId="472">
      <alignment horizontal="right" vertical="center"/>
    </xf>
    <xf numFmtId="0" fontId="65" fillId="0" borderId="477" applyNumberFormat="0" applyFill="0" applyAlignment="0" applyProtection="0"/>
    <xf numFmtId="4" fontId="36" fillId="32" borderId="462">
      <alignment horizontal="right" vertical="center"/>
    </xf>
    <xf numFmtId="0" fontId="32" fillId="34" borderId="462">
      <alignment horizontal="right" vertical="center"/>
    </xf>
    <xf numFmtId="49" fontId="33" fillId="0" borderId="471" applyNumberFormat="0" applyFill="0" applyBorder="0" applyProtection="0">
      <alignment horizontal="left" vertical="center"/>
    </xf>
    <xf numFmtId="4" fontId="32" fillId="32" borderId="494">
      <alignment horizontal="right" vertical="center"/>
    </xf>
    <xf numFmtId="0" fontId="32" fillId="34" borderId="462">
      <alignment horizontal="right" vertical="center"/>
    </xf>
    <xf numFmtId="173" fontId="34" fillId="60" borderId="462" applyNumberFormat="0" applyFont="0" applyBorder="0" applyAlignment="0" applyProtection="0">
      <alignment horizontal="right" vertical="center"/>
    </xf>
    <xf numFmtId="4" fontId="32" fillId="34" borderId="462">
      <alignment horizontal="right" vertical="center"/>
    </xf>
    <xf numFmtId="0" fontId="36" fillId="32" borderId="484">
      <alignment horizontal="right" vertical="center"/>
    </xf>
    <xf numFmtId="0" fontId="58" fillId="43" borderId="459" applyNumberFormat="0" applyAlignment="0" applyProtection="0"/>
    <xf numFmtId="0" fontId="34" fillId="32" borderId="463">
      <alignment horizontal="left" vertical="center"/>
    </xf>
    <xf numFmtId="0" fontId="62" fillId="56" borderId="467" applyNumberFormat="0" applyAlignment="0" applyProtection="0"/>
    <xf numFmtId="0" fontId="30" fillId="0" borderId="0" applyNumberFormat="0" applyFill="0" applyBorder="0" applyAlignment="0" applyProtection="0"/>
    <xf numFmtId="0" fontId="58" fillId="43" borderId="468" applyNumberFormat="0" applyAlignment="0" applyProtection="0"/>
    <xf numFmtId="173" fontId="34" fillId="60" borderId="471" applyNumberFormat="0" applyFont="0" applyBorder="0" applyAlignment="0" applyProtection="0">
      <alignment horizontal="right" vertical="center"/>
    </xf>
    <xf numFmtId="0" fontId="32" fillId="34" borderId="473">
      <alignment horizontal="right" vertical="center"/>
    </xf>
    <xf numFmtId="0" fontId="32" fillId="34" borderId="484">
      <alignment horizontal="right" vertical="center"/>
    </xf>
    <xf numFmtId="0" fontId="36" fillId="32" borderId="462">
      <alignment horizontal="right" vertical="center"/>
    </xf>
    <xf numFmtId="0" fontId="26" fillId="27" borderId="0" applyNumberFormat="0" applyBorder="0" applyAlignment="0" applyProtection="0"/>
    <xf numFmtId="0" fontId="32" fillId="34" borderId="462">
      <alignment horizontal="right" vertical="center"/>
    </xf>
    <xf numFmtId="4" fontId="32" fillId="34" borderId="471">
      <alignment horizontal="right" vertical="center"/>
    </xf>
    <xf numFmtId="0" fontId="65" fillId="0" borderId="469" applyNumberFormat="0" applyFill="0" applyAlignment="0" applyProtection="0"/>
    <xf numFmtId="0" fontId="26" fillId="18" borderId="0" applyNumberFormat="0" applyBorder="0" applyAlignment="0" applyProtection="0"/>
    <xf numFmtId="0" fontId="26" fillId="30" borderId="0" applyNumberFormat="0" applyBorder="0" applyAlignment="0" applyProtection="0"/>
    <xf numFmtId="0" fontId="40" fillId="59" borderId="470" applyNumberFormat="0" applyFont="0" applyAlignment="0" applyProtection="0"/>
    <xf numFmtId="0" fontId="1" fillId="0" borderId="0" applyNumberFormat="0" applyFill="0" applyBorder="0" applyAlignment="0" applyProtection="0"/>
    <xf numFmtId="0" fontId="62" fillId="56" borderId="498" applyNumberFormat="0" applyAlignment="0" applyProtection="0"/>
    <xf numFmtId="0" fontId="34" fillId="33" borderId="462"/>
    <xf numFmtId="0" fontId="62" fillId="56" borderId="467" applyNumberFormat="0" applyAlignment="0" applyProtection="0"/>
    <xf numFmtId="0" fontId="12" fillId="31" borderId="0" applyNumberFormat="0" applyBorder="0" applyAlignment="0" applyProtection="0"/>
    <xf numFmtId="0" fontId="26" fillId="24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12" fillId="25" borderId="0" applyNumberFormat="0" applyBorder="0" applyAlignment="0" applyProtection="0"/>
    <xf numFmtId="0" fontId="26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16" borderId="0" applyNumberFormat="0" applyBorder="0" applyAlignment="0" applyProtection="0"/>
    <xf numFmtId="0" fontId="26" fillId="23" borderId="0" applyNumberFormat="0" applyBorder="0" applyAlignment="0" applyProtection="0"/>
    <xf numFmtId="4" fontId="32" fillId="34" borderId="462">
      <alignment horizontal="right" vertical="center"/>
    </xf>
    <xf numFmtId="0" fontId="34" fillId="33" borderId="471"/>
    <xf numFmtId="49" fontId="34" fillId="0" borderId="462" applyNumberFormat="0" applyFont="0" applyFill="0" applyBorder="0" applyProtection="0">
      <alignment horizontal="left" vertical="center" indent="2"/>
    </xf>
    <xf numFmtId="4" fontId="32" fillId="34" borderId="454">
      <alignment horizontal="right" vertical="center"/>
    </xf>
    <xf numFmtId="0" fontId="34" fillId="33" borderId="454"/>
    <xf numFmtId="0" fontId="45" fillId="56" borderId="451" applyNumberFormat="0" applyAlignment="0" applyProtection="0"/>
    <xf numFmtId="0" fontId="32" fillId="32" borderId="454">
      <alignment horizontal="right" vertical="center"/>
    </xf>
    <xf numFmtId="0" fontId="34" fillId="0" borderId="454">
      <alignment horizontal="right" vertical="center"/>
    </xf>
    <xf numFmtId="0" fontId="65" fillId="0" borderId="452" applyNumberFormat="0" applyFill="0" applyAlignment="0" applyProtection="0"/>
    <xf numFmtId="0" fontId="34" fillId="32" borderId="455">
      <alignment horizontal="left" vertical="center"/>
    </xf>
    <xf numFmtId="0" fontId="58" fillId="43" borderId="451" applyNumberFormat="0" applyAlignment="0" applyProtection="0"/>
    <xf numFmtId="173" fontId="34" fillId="60" borderId="454" applyNumberFormat="0" applyFont="0" applyBorder="0" applyAlignment="0" applyProtection="0">
      <alignment horizontal="right" vertical="center"/>
    </xf>
    <xf numFmtId="0" fontId="40" fillId="59" borderId="453" applyNumberFormat="0" applyFont="0" applyAlignment="0" applyProtection="0"/>
    <xf numFmtId="0" fontId="34" fillId="0" borderId="457">
      <alignment horizontal="left" vertical="center" wrapText="1" indent="2"/>
    </xf>
    <xf numFmtId="4" fontId="34" fillId="33" borderId="454"/>
    <xf numFmtId="49" fontId="33" fillId="0" borderId="454" applyNumberFormat="0" applyFill="0" applyBorder="0" applyProtection="0">
      <alignment horizontal="left" vertical="center"/>
    </xf>
    <xf numFmtId="0" fontId="34" fillId="0" borderId="454">
      <alignment horizontal="right" vertical="center"/>
    </xf>
    <xf numFmtId="4" fontId="32" fillId="34" borderId="456">
      <alignment horizontal="right" vertical="center"/>
    </xf>
    <xf numFmtId="4" fontId="32" fillId="34" borderId="454">
      <alignment horizontal="right" vertical="center"/>
    </xf>
    <xf numFmtId="4" fontId="32" fillId="34" borderId="454">
      <alignment horizontal="right" vertical="center"/>
    </xf>
    <xf numFmtId="0" fontId="36" fillId="32" borderId="454">
      <alignment horizontal="right" vertical="center"/>
    </xf>
    <xf numFmtId="0" fontId="32" fillId="32" borderId="454">
      <alignment horizontal="right" vertical="center"/>
    </xf>
    <xf numFmtId="49" fontId="34" fillId="0" borderId="454" applyNumberFormat="0" applyFont="0" applyFill="0" applyBorder="0" applyProtection="0">
      <alignment horizontal="left" vertical="center" indent="2"/>
    </xf>
    <xf numFmtId="0" fontId="58" fillId="43" borderId="451" applyNumberFormat="0" applyAlignment="0" applyProtection="0"/>
    <xf numFmtId="0" fontId="43" fillId="56" borderId="450" applyNumberFormat="0" applyAlignment="0" applyProtection="0"/>
    <xf numFmtId="49" fontId="34" fillId="0" borderId="454" applyNumberFormat="0" applyFont="0" applyFill="0" applyBorder="0" applyProtection="0">
      <alignment horizontal="left" vertical="center" indent="2"/>
    </xf>
    <xf numFmtId="0" fontId="49" fillId="43" borderId="451" applyNumberFormat="0" applyAlignment="0" applyProtection="0"/>
    <xf numFmtId="4" fontId="34" fillId="0" borderId="454" applyFill="0" applyBorder="0" applyProtection="0">
      <alignment horizontal="right" vertical="center"/>
    </xf>
    <xf numFmtId="0" fontId="46" fillId="56" borderId="451" applyNumberFormat="0" applyAlignment="0" applyProtection="0"/>
    <xf numFmtId="0" fontId="65" fillId="0" borderId="452" applyNumberFormat="0" applyFill="0" applyAlignment="0" applyProtection="0"/>
    <xf numFmtId="0" fontId="62" fillId="56" borderId="450" applyNumberFormat="0" applyAlignment="0" applyProtection="0"/>
    <xf numFmtId="0" fontId="34" fillId="0" borderId="454" applyNumberFormat="0" applyFill="0" applyAlignment="0" applyProtection="0"/>
    <xf numFmtId="4" fontId="34" fillId="0" borderId="454">
      <alignment horizontal="right" vertical="center"/>
    </xf>
    <xf numFmtId="0" fontId="34" fillId="0" borderId="454">
      <alignment horizontal="right" vertical="center"/>
    </xf>
    <xf numFmtId="0" fontId="58" fillId="43" borderId="451" applyNumberFormat="0" applyAlignment="0" applyProtection="0"/>
    <xf numFmtId="0" fontId="43" fillId="56" borderId="450" applyNumberFormat="0" applyAlignment="0" applyProtection="0"/>
    <xf numFmtId="0" fontId="45" fillId="56" borderId="451" applyNumberFormat="0" applyAlignment="0" applyProtection="0"/>
    <xf numFmtId="0" fontId="34" fillId="34" borderId="457">
      <alignment horizontal="left" vertical="center" wrapText="1" indent="2"/>
    </xf>
    <xf numFmtId="0" fontId="46" fillId="56" borderId="451" applyNumberFormat="0" applyAlignment="0" applyProtection="0"/>
    <xf numFmtId="0" fontId="46" fillId="56" borderId="451" applyNumberFormat="0" applyAlignment="0" applyProtection="0"/>
    <xf numFmtId="4" fontId="32" fillId="34" borderId="455">
      <alignment horizontal="right" vertical="center"/>
    </xf>
    <xf numFmtId="0" fontId="32" fillId="34" borderId="455">
      <alignment horizontal="right" vertical="center"/>
    </xf>
    <xf numFmtId="0" fontId="32" fillId="34" borderId="454">
      <alignment horizontal="right" vertical="center"/>
    </xf>
    <xf numFmtId="4" fontId="36" fillId="32" borderId="454">
      <alignment horizontal="right" vertical="center"/>
    </xf>
    <xf numFmtId="0" fontId="49" fillId="43" borderId="451" applyNumberFormat="0" applyAlignment="0" applyProtection="0"/>
    <xf numFmtId="0" fontId="50" fillId="0" borderId="452" applyNumberFormat="0" applyFill="0" applyAlignment="0" applyProtection="0"/>
    <xf numFmtId="0" fontId="65" fillId="0" borderId="452" applyNumberFormat="0" applyFill="0" applyAlignment="0" applyProtection="0"/>
    <xf numFmtId="0" fontId="40" fillId="59" borderId="453" applyNumberFormat="0" applyFont="0" applyAlignment="0" applyProtection="0"/>
    <xf numFmtId="0" fontId="58" fillId="43" borderId="451" applyNumberFormat="0" applyAlignment="0" applyProtection="0"/>
    <xf numFmtId="49" fontId="33" fillId="0" borderId="454" applyNumberFormat="0" applyFill="0" applyBorder="0" applyProtection="0">
      <alignment horizontal="left" vertical="center"/>
    </xf>
    <xf numFmtId="0" fontId="34" fillId="34" borderId="457">
      <alignment horizontal="left" vertical="center" wrapText="1" indent="2"/>
    </xf>
    <xf numFmtId="0" fontId="46" fillId="56" borderId="451" applyNumberFormat="0" applyAlignment="0" applyProtection="0"/>
    <xf numFmtId="0" fontId="34" fillId="0" borderId="457">
      <alignment horizontal="left" vertical="center" wrapText="1" indent="2"/>
    </xf>
    <xf numFmtId="0" fontId="40" fillId="59" borderId="453" applyNumberFormat="0" applyFont="0" applyAlignment="0" applyProtection="0"/>
    <xf numFmtId="0" fontId="5" fillId="59" borderId="453" applyNumberFormat="0" applyFont="0" applyAlignment="0" applyProtection="0"/>
    <xf numFmtId="0" fontId="62" fillId="56" borderId="450" applyNumberFormat="0" applyAlignment="0" applyProtection="0"/>
    <xf numFmtId="0" fontId="65" fillId="0" borderId="452" applyNumberFormat="0" applyFill="0" applyAlignment="0" applyProtection="0"/>
    <xf numFmtId="4" fontId="34" fillId="33" borderId="454"/>
    <xf numFmtId="0" fontId="32" fillId="34" borderId="454">
      <alignment horizontal="right" vertical="center"/>
    </xf>
    <xf numFmtId="0" fontId="65" fillId="0" borderId="452" applyNumberFormat="0" applyFill="0" applyAlignment="0" applyProtection="0"/>
    <xf numFmtId="4" fontId="32" fillId="34" borderId="456">
      <alignment horizontal="right" vertical="center"/>
    </xf>
    <xf numFmtId="0" fontId="45" fillId="56" borderId="451" applyNumberFormat="0" applyAlignment="0" applyProtection="0"/>
    <xf numFmtId="0" fontId="32" fillId="34" borderId="455">
      <alignment horizontal="right" vertical="center"/>
    </xf>
    <xf numFmtId="0" fontId="46" fillId="56" borderId="451" applyNumberFormat="0" applyAlignment="0" applyProtection="0"/>
    <xf numFmtId="0" fontId="50" fillId="0" borderId="452" applyNumberFormat="0" applyFill="0" applyAlignment="0" applyProtection="0"/>
    <xf numFmtId="0" fontId="40" fillId="59" borderId="453" applyNumberFormat="0" applyFont="0" applyAlignment="0" applyProtection="0"/>
    <xf numFmtId="4" fontId="32" fillId="34" borderId="455">
      <alignment horizontal="right" vertical="center"/>
    </xf>
    <xf numFmtId="0" fontId="34" fillId="34" borderId="457">
      <alignment horizontal="left" vertical="center" wrapText="1" indent="2"/>
    </xf>
    <xf numFmtId="0" fontId="34" fillId="33" borderId="454"/>
    <xf numFmtId="173" fontId="34" fillId="60" borderId="454" applyNumberFormat="0" applyFont="0" applyBorder="0" applyAlignment="0" applyProtection="0">
      <alignment horizontal="right" vertical="center"/>
    </xf>
    <xf numFmtId="0" fontId="34" fillId="0" borderId="454" applyNumberFormat="0" applyFill="0" applyAlignment="0" applyProtection="0"/>
    <xf numFmtId="4" fontId="34" fillId="0" borderId="454" applyFill="0" applyBorder="0" applyProtection="0">
      <alignment horizontal="right" vertical="center"/>
    </xf>
    <xf numFmtId="4" fontId="32" fillId="32" borderId="454">
      <alignment horizontal="right" vertical="center"/>
    </xf>
    <xf numFmtId="0" fontId="50" fillId="0" borderId="452" applyNumberFormat="0" applyFill="0" applyAlignment="0" applyProtection="0"/>
    <xf numFmtId="49" fontId="33" fillId="0" borderId="454" applyNumberFormat="0" applyFill="0" applyBorder="0" applyProtection="0">
      <alignment horizontal="left" vertical="center"/>
    </xf>
    <xf numFmtId="49" fontId="34" fillId="0" borderId="455" applyNumberFormat="0" applyFont="0" applyFill="0" applyBorder="0" applyProtection="0">
      <alignment horizontal="left" vertical="center" indent="5"/>
    </xf>
    <xf numFmtId="0" fontId="34" fillId="32" borderId="455">
      <alignment horizontal="left" vertical="center"/>
    </xf>
    <xf numFmtId="0" fontId="46" fillId="56" borderId="451" applyNumberFormat="0" applyAlignment="0" applyProtection="0"/>
    <xf numFmtId="4" fontId="32" fillId="34" borderId="456">
      <alignment horizontal="right" vertical="center"/>
    </xf>
    <xf numFmtId="0" fontId="58" fillId="43" borderId="451" applyNumberFormat="0" applyAlignment="0" applyProtection="0"/>
    <xf numFmtId="0" fontId="58" fillId="43" borderId="451" applyNumberFormat="0" applyAlignment="0" applyProtection="0"/>
    <xf numFmtId="0" fontId="40" fillId="59" borderId="453" applyNumberFormat="0" applyFont="0" applyAlignment="0" applyProtection="0"/>
    <xf numFmtId="0" fontId="62" fillId="56" borderId="450" applyNumberFormat="0" applyAlignment="0" applyProtection="0"/>
    <xf numFmtId="0" fontId="65" fillId="0" borderId="452" applyNumberFormat="0" applyFill="0" applyAlignment="0" applyProtection="0"/>
    <xf numFmtId="0" fontId="32" fillId="34" borderId="454">
      <alignment horizontal="right" vertical="center"/>
    </xf>
    <xf numFmtId="0" fontId="5" fillId="59" borderId="453" applyNumberFormat="0" applyFont="0" applyAlignment="0" applyProtection="0"/>
    <xf numFmtId="4" fontId="34" fillId="0" borderId="454">
      <alignment horizontal="right" vertical="center"/>
    </xf>
    <xf numFmtId="0" fontId="65" fillId="0" borderId="452" applyNumberFormat="0" applyFill="0" applyAlignment="0" applyProtection="0"/>
    <xf numFmtId="0" fontId="32" fillId="34" borderId="454">
      <alignment horizontal="right" vertical="center"/>
    </xf>
    <xf numFmtId="0" fontId="32" fillId="34" borderId="454">
      <alignment horizontal="right" vertical="center"/>
    </xf>
    <xf numFmtId="4" fontId="36" fillId="32" borderId="454">
      <alignment horizontal="right" vertical="center"/>
    </xf>
    <xf numFmtId="0" fontId="32" fillId="32" borderId="454">
      <alignment horizontal="right" vertical="center"/>
    </xf>
    <xf numFmtId="4" fontId="32" fillId="32" borderId="454">
      <alignment horizontal="right" vertical="center"/>
    </xf>
    <xf numFmtId="0" fontId="36" fillId="32" borderId="454">
      <alignment horizontal="right" vertical="center"/>
    </xf>
    <xf numFmtId="4" fontId="36" fillId="32" borderId="454">
      <alignment horizontal="right" vertical="center"/>
    </xf>
    <xf numFmtId="0" fontId="32" fillId="34" borderId="454">
      <alignment horizontal="right" vertical="center"/>
    </xf>
    <xf numFmtId="4" fontId="32" fillId="34" borderId="454">
      <alignment horizontal="right" vertical="center"/>
    </xf>
    <xf numFmtId="0" fontId="32" fillId="34" borderId="454">
      <alignment horizontal="right" vertical="center"/>
    </xf>
    <xf numFmtId="4" fontId="32" fillId="34" borderId="454">
      <alignment horizontal="right" vertical="center"/>
    </xf>
    <xf numFmtId="0" fontId="32" fillId="34" borderId="455">
      <alignment horizontal="right" vertical="center"/>
    </xf>
    <xf numFmtId="4" fontId="32" fillId="34" borderId="455">
      <alignment horizontal="right" vertical="center"/>
    </xf>
    <xf numFmtId="0" fontId="32" fillId="34" borderId="456">
      <alignment horizontal="right" vertical="center"/>
    </xf>
    <xf numFmtId="4" fontId="32" fillId="34" borderId="456">
      <alignment horizontal="right" vertical="center"/>
    </xf>
    <xf numFmtId="0" fontId="46" fillId="56" borderId="451" applyNumberFormat="0" applyAlignment="0" applyProtection="0"/>
    <xf numFmtId="0" fontId="34" fillId="34" borderId="457">
      <alignment horizontal="left" vertical="center" wrapText="1" indent="2"/>
    </xf>
    <xf numFmtId="0" fontId="34" fillId="0" borderId="457">
      <alignment horizontal="left" vertical="center" wrapText="1" indent="2"/>
    </xf>
    <xf numFmtId="0" fontId="34" fillId="32" borderId="455">
      <alignment horizontal="left" vertical="center"/>
    </xf>
    <xf numFmtId="0" fontId="58" fillId="43" borderId="451" applyNumberFormat="0" applyAlignment="0" applyProtection="0"/>
    <xf numFmtId="0" fontId="34" fillId="0" borderId="454">
      <alignment horizontal="right" vertical="center"/>
    </xf>
    <xf numFmtId="4" fontId="34" fillId="0" borderId="454">
      <alignment horizontal="right" vertical="center"/>
    </xf>
    <xf numFmtId="0" fontId="34" fillId="0" borderId="454" applyNumberFormat="0" applyFill="0" applyAlignment="0" applyProtection="0"/>
    <xf numFmtId="0" fontId="62" fillId="56" borderId="450" applyNumberFormat="0" applyAlignment="0" applyProtection="0"/>
    <xf numFmtId="173" fontId="34" fillId="60" borderId="454" applyNumberFormat="0" applyFont="0" applyBorder="0" applyAlignment="0" applyProtection="0">
      <alignment horizontal="right" vertical="center"/>
    </xf>
    <xf numFmtId="0" fontId="34" fillId="33" borderId="454"/>
    <xf numFmtId="4" fontId="34" fillId="33" borderId="454"/>
    <xf numFmtId="0" fontId="65" fillId="0" borderId="452" applyNumberFormat="0" applyFill="0" applyAlignment="0" applyProtection="0"/>
    <xf numFmtId="0" fontId="5" fillId="59" borderId="453" applyNumberFormat="0" applyFont="0" applyAlignment="0" applyProtection="0"/>
    <xf numFmtId="0" fontId="40" fillId="59" borderId="453" applyNumberFormat="0" applyFont="0" applyAlignment="0" applyProtection="0"/>
    <xf numFmtId="0" fontId="34" fillId="0" borderId="454" applyNumberFormat="0" applyFill="0" applyAlignment="0" applyProtection="0"/>
    <xf numFmtId="0" fontId="50" fillId="0" borderId="452" applyNumberFormat="0" applyFill="0" applyAlignment="0" applyProtection="0"/>
    <xf numFmtId="0" fontId="65" fillId="0" borderId="452" applyNumberFormat="0" applyFill="0" applyAlignment="0" applyProtection="0"/>
    <xf numFmtId="0" fontId="49" fillId="43" borderId="451" applyNumberFormat="0" applyAlignment="0" applyProtection="0"/>
    <xf numFmtId="0" fontId="46" fillId="56" borderId="451" applyNumberFormat="0" applyAlignment="0" applyProtection="0"/>
    <xf numFmtId="4" fontId="36" fillId="32" borderId="454">
      <alignment horizontal="right" vertical="center"/>
    </xf>
    <xf numFmtId="0" fontId="32" fillId="32" borderId="454">
      <alignment horizontal="right" vertical="center"/>
    </xf>
    <xf numFmtId="173" fontId="34" fillId="60" borderId="454" applyNumberFormat="0" applyFont="0" applyBorder="0" applyAlignment="0" applyProtection="0">
      <alignment horizontal="right" vertical="center"/>
    </xf>
    <xf numFmtId="0" fontId="50" fillId="0" borderId="452" applyNumberFormat="0" applyFill="0" applyAlignment="0" applyProtection="0"/>
    <xf numFmtId="49" fontId="34" fillId="0" borderId="454" applyNumberFormat="0" applyFont="0" applyFill="0" applyBorder="0" applyProtection="0">
      <alignment horizontal="left" vertical="center" indent="2"/>
    </xf>
    <xf numFmtId="49" fontId="34" fillId="0" borderId="455" applyNumberFormat="0" applyFont="0" applyFill="0" applyBorder="0" applyProtection="0">
      <alignment horizontal="left" vertical="center" indent="5"/>
    </xf>
    <xf numFmtId="49" fontId="34" fillId="0" borderId="454" applyNumberFormat="0" applyFont="0" applyFill="0" applyBorder="0" applyProtection="0">
      <alignment horizontal="left" vertical="center" indent="2"/>
    </xf>
    <xf numFmtId="4" fontId="34" fillId="0" borderId="454" applyFill="0" applyBorder="0" applyProtection="0">
      <alignment horizontal="right" vertical="center"/>
    </xf>
    <xf numFmtId="49" fontId="33" fillId="0" borderId="454" applyNumberFormat="0" applyFill="0" applyBorder="0" applyProtection="0">
      <alignment horizontal="left" vertical="center"/>
    </xf>
    <xf numFmtId="0" fontId="34" fillId="0" borderId="457">
      <alignment horizontal="left" vertical="center" wrapText="1" indent="2"/>
    </xf>
    <xf numFmtId="0" fontId="62" fillId="56" borderId="450" applyNumberFormat="0" applyAlignment="0" applyProtection="0"/>
    <xf numFmtId="0" fontId="32" fillId="34" borderId="456">
      <alignment horizontal="right" vertical="center"/>
    </xf>
    <xf numFmtId="0" fontId="49" fillId="43" borderId="451" applyNumberFormat="0" applyAlignment="0" applyProtection="0"/>
    <xf numFmtId="0" fontId="32" fillId="34" borderId="456">
      <alignment horizontal="right" vertical="center"/>
    </xf>
    <xf numFmtId="4" fontId="32" fillId="34" borderId="454">
      <alignment horizontal="right" vertical="center"/>
    </xf>
    <xf numFmtId="0" fontId="32" fillId="34" borderId="454">
      <alignment horizontal="right" vertical="center"/>
    </xf>
    <xf numFmtId="0" fontId="43" fillId="56" borderId="450" applyNumberFormat="0" applyAlignment="0" applyProtection="0"/>
    <xf numFmtId="0" fontId="45" fillId="56" borderId="451" applyNumberFormat="0" applyAlignment="0" applyProtection="0"/>
    <xf numFmtId="0" fontId="50" fillId="0" borderId="452" applyNumberFormat="0" applyFill="0" applyAlignment="0" applyProtection="0"/>
    <xf numFmtId="0" fontId="34" fillId="33" borderId="454"/>
    <xf numFmtId="4" fontId="34" fillId="33" borderId="454"/>
    <xf numFmtId="4" fontId="32" fillId="34" borderId="454">
      <alignment horizontal="right" vertical="center"/>
    </xf>
    <xf numFmtId="0" fontId="36" fillId="32" borderId="454">
      <alignment horizontal="right" vertical="center"/>
    </xf>
    <xf numFmtId="0" fontId="49" fillId="43" borderId="451" applyNumberFormat="0" applyAlignment="0" applyProtection="0"/>
    <xf numFmtId="0" fontId="46" fillId="56" borderId="451" applyNumberFormat="0" applyAlignment="0" applyProtection="0"/>
    <xf numFmtId="4" fontId="34" fillId="0" borderId="454">
      <alignment horizontal="right" vertical="center"/>
    </xf>
    <xf numFmtId="0" fontId="34" fillId="34" borderId="457">
      <alignment horizontal="left" vertical="center" wrapText="1" indent="2"/>
    </xf>
    <xf numFmtId="0" fontId="34" fillId="0" borderId="457">
      <alignment horizontal="left" vertical="center" wrapText="1" indent="2"/>
    </xf>
    <xf numFmtId="0" fontId="62" fillId="56" borderId="450" applyNumberFormat="0" applyAlignment="0" applyProtection="0"/>
    <xf numFmtId="0" fontId="58" fillId="43" borderId="451" applyNumberFormat="0" applyAlignment="0" applyProtection="0"/>
    <xf numFmtId="0" fontId="45" fillId="56" borderId="451" applyNumberFormat="0" applyAlignment="0" applyProtection="0"/>
    <xf numFmtId="0" fontId="43" fillId="56" borderId="450" applyNumberFormat="0" applyAlignment="0" applyProtection="0"/>
    <xf numFmtId="0" fontId="32" fillId="34" borderId="456">
      <alignment horizontal="right" vertical="center"/>
    </xf>
    <xf numFmtId="0" fontId="36" fillId="32" borderId="454">
      <alignment horizontal="right" vertical="center"/>
    </xf>
    <xf numFmtId="4" fontId="32" fillId="32" borderId="454">
      <alignment horizontal="right" vertical="center"/>
    </xf>
    <xf numFmtId="4" fontId="32" fillId="34" borderId="454">
      <alignment horizontal="right" vertical="center"/>
    </xf>
    <xf numFmtId="49" fontId="34" fillId="0" borderId="455" applyNumberFormat="0" applyFont="0" applyFill="0" applyBorder="0" applyProtection="0">
      <alignment horizontal="left" vertical="center" indent="5"/>
    </xf>
    <xf numFmtId="4" fontId="34" fillId="0" borderId="454" applyFill="0" applyBorder="0" applyProtection="0">
      <alignment horizontal="right" vertical="center"/>
    </xf>
    <xf numFmtId="4" fontId="32" fillId="32" borderId="454">
      <alignment horizontal="right" vertical="center"/>
    </xf>
    <xf numFmtId="0" fontId="58" fillId="43" borderId="459" applyNumberFormat="0" applyAlignment="0" applyProtection="0"/>
    <xf numFmtId="0" fontId="58" fillId="43" borderId="451" applyNumberFormat="0" applyAlignment="0" applyProtection="0"/>
    <xf numFmtId="0" fontId="49" fillId="43" borderId="451" applyNumberFormat="0" applyAlignment="0" applyProtection="0"/>
    <xf numFmtId="0" fontId="45" fillId="56" borderId="451" applyNumberFormat="0" applyAlignment="0" applyProtection="0"/>
    <xf numFmtId="0" fontId="34" fillId="34" borderId="457">
      <alignment horizontal="left" vertical="center" wrapText="1" indent="2"/>
    </xf>
    <xf numFmtId="0" fontId="34" fillId="0" borderId="457">
      <alignment horizontal="left" vertical="center" wrapText="1" indent="2"/>
    </xf>
    <xf numFmtId="0" fontId="34" fillId="34" borderId="457">
      <alignment horizontal="left" vertical="center" wrapText="1" indent="2"/>
    </xf>
    <xf numFmtId="0" fontId="34" fillId="0" borderId="457">
      <alignment horizontal="left" vertical="center" wrapText="1" indent="2"/>
    </xf>
    <xf numFmtId="0" fontId="43" fillId="56" borderId="450" applyNumberFormat="0" applyAlignment="0" applyProtection="0"/>
    <xf numFmtId="0" fontId="45" fillId="56" borderId="451" applyNumberFormat="0" applyAlignment="0" applyProtection="0"/>
    <xf numFmtId="0" fontId="46" fillId="56" borderId="451" applyNumberFormat="0" applyAlignment="0" applyProtection="0"/>
    <xf numFmtId="0" fontId="49" fillId="43" borderId="451" applyNumberFormat="0" applyAlignment="0" applyProtection="0"/>
    <xf numFmtId="0" fontId="50" fillId="0" borderId="452" applyNumberFormat="0" applyFill="0" applyAlignment="0" applyProtection="0"/>
    <xf numFmtId="0" fontId="58" fillId="43" borderId="451" applyNumberFormat="0" applyAlignment="0" applyProtection="0"/>
    <xf numFmtId="0" fontId="40" fillId="59" borderId="453" applyNumberFormat="0" applyFont="0" applyAlignment="0" applyProtection="0"/>
    <xf numFmtId="0" fontId="5" fillId="59" borderId="453" applyNumberFormat="0" applyFont="0" applyAlignment="0" applyProtection="0"/>
    <xf numFmtId="0" fontId="62" fillId="56" borderId="450" applyNumberFormat="0" applyAlignment="0" applyProtection="0"/>
    <xf numFmtId="0" fontId="65" fillId="0" borderId="452" applyNumberFormat="0" applyFill="0" applyAlignment="0" applyProtection="0"/>
    <xf numFmtId="0" fontId="46" fillId="56" borderId="451" applyNumberFormat="0" applyAlignment="0" applyProtection="0"/>
    <xf numFmtId="0" fontId="58" fillId="43" borderId="451" applyNumberFormat="0" applyAlignment="0" applyProtection="0"/>
    <xf numFmtId="0" fontId="40" fillId="59" borderId="453" applyNumberFormat="0" applyFont="0" applyAlignment="0" applyProtection="0"/>
    <xf numFmtId="0" fontId="62" fillId="56" borderId="450" applyNumberFormat="0" applyAlignment="0" applyProtection="0"/>
    <xf numFmtId="0" fontId="65" fillId="0" borderId="452" applyNumberFormat="0" applyFill="0" applyAlignment="0" applyProtection="0"/>
    <xf numFmtId="4" fontId="32" fillId="34" borderId="464">
      <alignment horizontal="right" vertical="center"/>
    </xf>
    <xf numFmtId="0" fontId="65" fillId="0" borderId="469" applyNumberFormat="0" applyFill="0" applyAlignment="0" applyProtection="0"/>
    <xf numFmtId="0" fontId="62" fillId="56" borderId="498" applyNumberFormat="0" applyAlignment="0" applyProtection="0"/>
    <xf numFmtId="0" fontId="46" fillId="56" borderId="451" applyNumberFormat="0" applyAlignment="0" applyProtection="0"/>
    <xf numFmtId="4" fontId="34" fillId="0" borderId="462" applyFill="0" applyBorder="0" applyProtection="0">
      <alignment horizontal="right" vertical="center"/>
    </xf>
    <xf numFmtId="0" fontId="46" fillId="56" borderId="468" applyNumberFormat="0" applyAlignment="0" applyProtection="0"/>
    <xf numFmtId="0" fontId="58" fillId="43" borderId="451" applyNumberFormat="0" applyAlignment="0" applyProtection="0"/>
    <xf numFmtId="0" fontId="62" fillId="56" borderId="450" applyNumberFormat="0" applyAlignment="0" applyProtection="0"/>
    <xf numFmtId="0" fontId="65" fillId="0" borderId="452" applyNumberFormat="0" applyFill="0" applyAlignment="0" applyProtection="0"/>
    <xf numFmtId="0" fontId="34" fillId="0" borderId="462">
      <alignment horizontal="right" vertical="center"/>
    </xf>
    <xf numFmtId="0" fontId="43" fillId="56" borderId="450" applyNumberFormat="0" applyAlignment="0" applyProtection="0"/>
    <xf numFmtId="0" fontId="45" fillId="56" borderId="451" applyNumberFormat="0" applyAlignment="0" applyProtection="0"/>
    <xf numFmtId="0" fontId="50" fillId="0" borderId="452" applyNumberFormat="0" applyFill="0" applyAlignment="0" applyProtection="0"/>
    <xf numFmtId="49" fontId="34" fillId="0" borderId="454" applyNumberFormat="0" applyFont="0" applyFill="0" applyBorder="0" applyProtection="0">
      <alignment horizontal="left" vertical="center" indent="2"/>
    </xf>
    <xf numFmtId="0" fontId="32" fillId="32" borderId="454">
      <alignment horizontal="right" vertical="center"/>
    </xf>
    <xf numFmtId="4" fontId="32" fillId="32" borderId="454">
      <alignment horizontal="right" vertical="center"/>
    </xf>
    <xf numFmtId="0" fontId="36" fillId="32" borderId="454">
      <alignment horizontal="right" vertical="center"/>
    </xf>
    <xf numFmtId="4" fontId="36" fillId="32" borderId="454">
      <alignment horizontal="right" vertical="center"/>
    </xf>
    <xf numFmtId="0" fontId="32" fillId="34" borderId="454">
      <alignment horizontal="right" vertical="center"/>
    </xf>
    <xf numFmtId="4" fontId="32" fillId="34" borderId="454">
      <alignment horizontal="right" vertical="center"/>
    </xf>
    <xf numFmtId="0" fontId="32" fillId="34" borderId="454">
      <alignment horizontal="right" vertical="center"/>
    </xf>
    <xf numFmtId="4" fontId="32" fillId="34" borderId="454">
      <alignment horizontal="right" vertical="center"/>
    </xf>
    <xf numFmtId="0" fontId="49" fillId="43" borderId="451" applyNumberFormat="0" applyAlignment="0" applyProtection="0"/>
    <xf numFmtId="0" fontId="34" fillId="0" borderId="454">
      <alignment horizontal="right" vertical="center"/>
    </xf>
    <xf numFmtId="4" fontId="34" fillId="0" borderId="454">
      <alignment horizontal="right" vertical="center"/>
    </xf>
    <xf numFmtId="4" fontId="34" fillId="0" borderId="454" applyFill="0" applyBorder="0" applyProtection="0">
      <alignment horizontal="right" vertical="center"/>
    </xf>
    <xf numFmtId="49" fontId="33" fillId="0" borderId="454" applyNumberFormat="0" applyFill="0" applyBorder="0" applyProtection="0">
      <alignment horizontal="left" vertical="center"/>
    </xf>
    <xf numFmtId="0" fontId="34" fillId="0" borderId="454" applyNumberFormat="0" applyFill="0" applyAlignment="0" applyProtection="0"/>
    <xf numFmtId="173" fontId="34" fillId="60" borderId="454" applyNumberFormat="0" applyFont="0" applyBorder="0" applyAlignment="0" applyProtection="0">
      <alignment horizontal="right" vertical="center"/>
    </xf>
    <xf numFmtId="0" fontId="34" fillId="33" borderId="454"/>
    <xf numFmtId="4" fontId="34" fillId="33" borderId="454"/>
    <xf numFmtId="4" fontId="32" fillId="34" borderId="454">
      <alignment horizontal="right" vertical="center"/>
    </xf>
    <xf numFmtId="0" fontId="34" fillId="33" borderId="454"/>
    <xf numFmtId="0" fontId="45" fillId="56" borderId="451" applyNumberFormat="0" applyAlignment="0" applyProtection="0"/>
    <xf numFmtId="0" fontId="32" fillId="32" borderId="454">
      <alignment horizontal="right" vertical="center"/>
    </xf>
    <xf numFmtId="0" fontId="34" fillId="0" borderId="454">
      <alignment horizontal="right" vertical="center"/>
    </xf>
    <xf numFmtId="0" fontId="65" fillId="0" borderId="452" applyNumberFormat="0" applyFill="0" applyAlignment="0" applyProtection="0"/>
    <xf numFmtId="0" fontId="34" fillId="32" borderId="455">
      <alignment horizontal="left" vertical="center"/>
    </xf>
    <xf numFmtId="0" fontId="58" fillId="43" borderId="451" applyNumberFormat="0" applyAlignment="0" applyProtection="0"/>
    <xf numFmtId="173" fontId="34" fillId="60" borderId="454" applyNumberFormat="0" applyFont="0" applyBorder="0" applyAlignment="0" applyProtection="0">
      <alignment horizontal="right" vertical="center"/>
    </xf>
    <xf numFmtId="0" fontId="40" fillId="59" borderId="453" applyNumberFormat="0" applyFont="0" applyAlignment="0" applyProtection="0"/>
    <xf numFmtId="0" fontId="34" fillId="0" borderId="457">
      <alignment horizontal="left" vertical="center" wrapText="1" indent="2"/>
    </xf>
    <xf numFmtId="4" fontId="34" fillId="33" borderId="454"/>
    <xf numFmtId="49" fontId="33" fillId="0" borderId="454" applyNumberFormat="0" applyFill="0" applyBorder="0" applyProtection="0">
      <alignment horizontal="left" vertical="center"/>
    </xf>
    <xf numFmtId="0" fontId="34" fillId="0" borderId="454">
      <alignment horizontal="right" vertical="center"/>
    </xf>
    <xf numFmtId="4" fontId="32" fillId="34" borderId="456">
      <alignment horizontal="right" vertical="center"/>
    </xf>
    <xf numFmtId="4" fontId="32" fillId="34" borderId="454">
      <alignment horizontal="right" vertical="center"/>
    </xf>
    <xf numFmtId="4" fontId="32" fillId="34" borderId="454">
      <alignment horizontal="right" vertical="center"/>
    </xf>
    <xf numFmtId="0" fontId="36" fillId="32" borderId="454">
      <alignment horizontal="right" vertical="center"/>
    </xf>
    <xf numFmtId="0" fontId="32" fillId="32" borderId="454">
      <alignment horizontal="right" vertical="center"/>
    </xf>
    <xf numFmtId="49" fontId="34" fillId="0" borderId="454" applyNumberFormat="0" applyFont="0" applyFill="0" applyBorder="0" applyProtection="0">
      <alignment horizontal="left" vertical="center" indent="2"/>
    </xf>
    <xf numFmtId="0" fontId="58" fillId="43" borderId="451" applyNumberFormat="0" applyAlignment="0" applyProtection="0"/>
    <xf numFmtId="0" fontId="43" fillId="56" borderId="450" applyNumberFormat="0" applyAlignment="0" applyProtection="0"/>
    <xf numFmtId="49" fontId="34" fillId="0" borderId="454" applyNumberFormat="0" applyFont="0" applyFill="0" applyBorder="0" applyProtection="0">
      <alignment horizontal="left" vertical="center" indent="2"/>
    </xf>
    <xf numFmtId="0" fontId="49" fillId="43" borderId="451" applyNumberFormat="0" applyAlignment="0" applyProtection="0"/>
    <xf numFmtId="4" fontId="34" fillId="0" borderId="454" applyFill="0" applyBorder="0" applyProtection="0">
      <alignment horizontal="right" vertical="center"/>
    </xf>
    <xf numFmtId="0" fontId="46" fillId="56" borderId="451" applyNumberFormat="0" applyAlignment="0" applyProtection="0"/>
    <xf numFmtId="0" fontId="65" fillId="0" borderId="452" applyNumberFormat="0" applyFill="0" applyAlignment="0" applyProtection="0"/>
    <xf numFmtId="0" fontId="62" fillId="56" borderId="450" applyNumberFormat="0" applyAlignment="0" applyProtection="0"/>
    <xf numFmtId="0" fontId="34" fillId="0" borderId="454" applyNumberFormat="0" applyFill="0" applyAlignment="0" applyProtection="0"/>
    <xf numFmtId="4" fontId="34" fillId="0" borderId="454">
      <alignment horizontal="right" vertical="center"/>
    </xf>
    <xf numFmtId="0" fontId="34" fillId="0" borderId="454">
      <alignment horizontal="right" vertical="center"/>
    </xf>
    <xf numFmtId="0" fontId="58" fillId="43" borderId="451" applyNumberFormat="0" applyAlignment="0" applyProtection="0"/>
    <xf numFmtId="0" fontId="43" fillId="56" borderId="450" applyNumberFormat="0" applyAlignment="0" applyProtection="0"/>
    <xf numFmtId="0" fontId="45" fillId="56" borderId="451" applyNumberFormat="0" applyAlignment="0" applyProtection="0"/>
    <xf numFmtId="0" fontId="34" fillId="34" borderId="457">
      <alignment horizontal="left" vertical="center" wrapText="1" indent="2"/>
    </xf>
    <xf numFmtId="0" fontId="46" fillId="56" borderId="451" applyNumberFormat="0" applyAlignment="0" applyProtection="0"/>
    <xf numFmtId="0" fontId="46" fillId="56" borderId="451" applyNumberFormat="0" applyAlignment="0" applyProtection="0"/>
    <xf numFmtId="4" fontId="32" fillId="34" borderId="455">
      <alignment horizontal="right" vertical="center"/>
    </xf>
    <xf numFmtId="0" fontId="32" fillId="34" borderId="455">
      <alignment horizontal="right" vertical="center"/>
    </xf>
    <xf numFmtId="0" fontId="32" fillId="34" borderId="454">
      <alignment horizontal="right" vertical="center"/>
    </xf>
    <xf numFmtId="4" fontId="36" fillId="32" borderId="454">
      <alignment horizontal="right" vertical="center"/>
    </xf>
    <xf numFmtId="0" fontId="49" fillId="43" borderId="451" applyNumberFormat="0" applyAlignment="0" applyProtection="0"/>
    <xf numFmtId="0" fontId="50" fillId="0" borderId="452" applyNumberFormat="0" applyFill="0" applyAlignment="0" applyProtection="0"/>
    <xf numFmtId="0" fontId="65" fillId="0" borderId="452" applyNumberFormat="0" applyFill="0" applyAlignment="0" applyProtection="0"/>
    <xf numFmtId="0" fontId="40" fillId="59" borderId="453" applyNumberFormat="0" applyFont="0" applyAlignment="0" applyProtection="0"/>
    <xf numFmtId="0" fontId="58" fillId="43" borderId="451" applyNumberFormat="0" applyAlignment="0" applyProtection="0"/>
    <xf numFmtId="49" fontId="33" fillId="0" borderId="454" applyNumberFormat="0" applyFill="0" applyBorder="0" applyProtection="0">
      <alignment horizontal="left" vertical="center"/>
    </xf>
    <xf numFmtId="0" fontId="34" fillId="34" borderId="457">
      <alignment horizontal="left" vertical="center" wrapText="1" indent="2"/>
    </xf>
    <xf numFmtId="0" fontId="46" fillId="56" borderId="451" applyNumberFormat="0" applyAlignment="0" applyProtection="0"/>
    <xf numFmtId="0" fontId="34" fillId="0" borderId="457">
      <alignment horizontal="left" vertical="center" wrapText="1" indent="2"/>
    </xf>
    <xf numFmtId="0" fontId="40" fillId="59" borderId="453" applyNumberFormat="0" applyFont="0" applyAlignment="0" applyProtection="0"/>
    <xf numFmtId="0" fontId="5" fillId="59" borderId="453" applyNumberFormat="0" applyFont="0" applyAlignment="0" applyProtection="0"/>
    <xf numFmtId="0" fontId="62" fillId="56" borderId="450" applyNumberFormat="0" applyAlignment="0" applyProtection="0"/>
    <xf numFmtId="0" fontId="65" fillId="0" borderId="452" applyNumberFormat="0" applyFill="0" applyAlignment="0" applyProtection="0"/>
    <xf numFmtId="4" fontId="34" fillId="33" borderId="454"/>
    <xf numFmtId="0" fontId="32" fillId="34" borderId="454">
      <alignment horizontal="right" vertical="center"/>
    </xf>
    <xf numFmtId="0" fontId="65" fillId="0" borderId="452" applyNumberFormat="0" applyFill="0" applyAlignment="0" applyProtection="0"/>
    <xf numFmtId="4" fontId="32" fillId="34" borderId="456">
      <alignment horizontal="right" vertical="center"/>
    </xf>
    <xf numFmtId="0" fontId="45" fillId="56" borderId="451" applyNumberFormat="0" applyAlignment="0" applyProtection="0"/>
    <xf numFmtId="0" fontId="32" fillId="34" borderId="455">
      <alignment horizontal="right" vertical="center"/>
    </xf>
    <xf numFmtId="0" fontId="46" fillId="56" borderId="451" applyNumberFormat="0" applyAlignment="0" applyProtection="0"/>
    <xf numFmtId="0" fontId="50" fillId="0" borderId="452" applyNumberFormat="0" applyFill="0" applyAlignment="0" applyProtection="0"/>
    <xf numFmtId="0" fontId="40" fillId="59" borderId="453" applyNumberFormat="0" applyFont="0" applyAlignment="0" applyProtection="0"/>
    <xf numFmtId="4" fontId="32" fillId="34" borderId="455">
      <alignment horizontal="right" vertical="center"/>
    </xf>
    <xf numFmtId="0" fontId="34" fillId="34" borderId="457">
      <alignment horizontal="left" vertical="center" wrapText="1" indent="2"/>
    </xf>
    <xf numFmtId="0" fontId="34" fillId="33" borderId="454"/>
    <xf numFmtId="173" fontId="34" fillId="60" borderId="454" applyNumberFormat="0" applyFont="0" applyBorder="0" applyAlignment="0" applyProtection="0">
      <alignment horizontal="right" vertical="center"/>
    </xf>
    <xf numFmtId="0" fontId="34" fillId="0" borderId="454" applyNumberFormat="0" applyFill="0" applyAlignment="0" applyProtection="0"/>
    <xf numFmtId="4" fontId="34" fillId="0" borderId="454" applyFill="0" applyBorder="0" applyProtection="0">
      <alignment horizontal="right" vertical="center"/>
    </xf>
    <xf numFmtId="4" fontId="32" fillId="32" borderId="454">
      <alignment horizontal="right" vertical="center"/>
    </xf>
    <xf numFmtId="0" fontId="50" fillId="0" borderId="452" applyNumberFormat="0" applyFill="0" applyAlignment="0" applyProtection="0"/>
    <xf numFmtId="49" fontId="33" fillId="0" borderId="454" applyNumberFormat="0" applyFill="0" applyBorder="0" applyProtection="0">
      <alignment horizontal="left" vertical="center"/>
    </xf>
    <xf numFmtId="49" fontId="34" fillId="0" borderId="455" applyNumberFormat="0" applyFont="0" applyFill="0" applyBorder="0" applyProtection="0">
      <alignment horizontal="left" vertical="center" indent="5"/>
    </xf>
    <xf numFmtId="0" fontId="34" fillId="32" borderId="455">
      <alignment horizontal="left" vertical="center"/>
    </xf>
    <xf numFmtId="0" fontId="46" fillId="56" borderId="451" applyNumberFormat="0" applyAlignment="0" applyProtection="0"/>
    <xf numFmtId="4" fontId="32" fillId="34" borderId="456">
      <alignment horizontal="right" vertical="center"/>
    </xf>
    <xf numFmtId="0" fontId="58" fillId="43" borderId="451" applyNumberFormat="0" applyAlignment="0" applyProtection="0"/>
    <xf numFmtId="0" fontId="58" fillId="43" borderId="451" applyNumberFormat="0" applyAlignment="0" applyProtection="0"/>
    <xf numFmtId="0" fontId="40" fillId="59" borderId="453" applyNumberFormat="0" applyFont="0" applyAlignment="0" applyProtection="0"/>
    <xf numFmtId="0" fontId="62" fillId="56" borderId="450" applyNumberFormat="0" applyAlignment="0" applyProtection="0"/>
    <xf numFmtId="0" fontId="65" fillId="0" borderId="452" applyNumberFormat="0" applyFill="0" applyAlignment="0" applyProtection="0"/>
    <xf numFmtId="0" fontId="32" fillId="34" borderId="454">
      <alignment horizontal="right" vertical="center"/>
    </xf>
    <xf numFmtId="0" fontId="5" fillId="59" borderId="453" applyNumberFormat="0" applyFont="0" applyAlignment="0" applyProtection="0"/>
    <xf numFmtId="4" fontId="34" fillId="0" borderId="454">
      <alignment horizontal="right" vertical="center"/>
    </xf>
    <xf numFmtId="0" fontId="65" fillId="0" borderId="452" applyNumberFormat="0" applyFill="0" applyAlignment="0" applyProtection="0"/>
    <xf numFmtId="0" fontId="32" fillId="34" borderId="454">
      <alignment horizontal="right" vertical="center"/>
    </xf>
    <xf numFmtId="0" fontId="32" fillId="34" borderId="454">
      <alignment horizontal="right" vertical="center"/>
    </xf>
    <xf numFmtId="4" fontId="36" fillId="32" borderId="454">
      <alignment horizontal="right" vertical="center"/>
    </xf>
    <xf numFmtId="0" fontId="32" fillId="32" borderId="454">
      <alignment horizontal="right" vertical="center"/>
    </xf>
    <xf numFmtId="4" fontId="32" fillId="32" borderId="454">
      <alignment horizontal="right" vertical="center"/>
    </xf>
    <xf numFmtId="0" fontId="36" fillId="32" borderId="454">
      <alignment horizontal="right" vertical="center"/>
    </xf>
    <xf numFmtId="4" fontId="36" fillId="32" borderId="454">
      <alignment horizontal="right" vertical="center"/>
    </xf>
    <xf numFmtId="0" fontId="32" fillId="34" borderId="454">
      <alignment horizontal="right" vertical="center"/>
    </xf>
    <xf numFmtId="4" fontId="32" fillId="34" borderId="454">
      <alignment horizontal="right" vertical="center"/>
    </xf>
    <xf numFmtId="0" fontId="32" fillId="34" borderId="454">
      <alignment horizontal="right" vertical="center"/>
    </xf>
    <xf numFmtId="4" fontId="32" fillId="34" borderId="454">
      <alignment horizontal="right" vertical="center"/>
    </xf>
    <xf numFmtId="0" fontId="32" fillId="34" borderId="455">
      <alignment horizontal="right" vertical="center"/>
    </xf>
    <xf numFmtId="4" fontId="32" fillId="34" borderId="455">
      <alignment horizontal="right" vertical="center"/>
    </xf>
    <xf numFmtId="0" fontId="32" fillId="34" borderId="456">
      <alignment horizontal="right" vertical="center"/>
    </xf>
    <xf numFmtId="4" fontId="32" fillId="34" borderId="456">
      <alignment horizontal="right" vertical="center"/>
    </xf>
    <xf numFmtId="0" fontId="46" fillId="56" borderId="451" applyNumberFormat="0" applyAlignment="0" applyProtection="0"/>
    <xf numFmtId="0" fontId="34" fillId="34" borderId="457">
      <alignment horizontal="left" vertical="center" wrapText="1" indent="2"/>
    </xf>
    <xf numFmtId="0" fontId="34" fillId="0" borderId="457">
      <alignment horizontal="left" vertical="center" wrapText="1" indent="2"/>
    </xf>
    <xf numFmtId="0" fontId="34" fillId="32" borderId="455">
      <alignment horizontal="left" vertical="center"/>
    </xf>
    <xf numFmtId="0" fontId="58" fillId="43" borderId="451" applyNumberFormat="0" applyAlignment="0" applyProtection="0"/>
    <xf numFmtId="0" fontId="34" fillId="0" borderId="454">
      <alignment horizontal="right" vertical="center"/>
    </xf>
    <xf numFmtId="4" fontId="34" fillId="0" borderId="454">
      <alignment horizontal="right" vertical="center"/>
    </xf>
    <xf numFmtId="0" fontId="34" fillId="0" borderId="454" applyNumberFormat="0" applyFill="0" applyAlignment="0" applyProtection="0"/>
    <xf numFmtId="0" fontId="62" fillId="56" borderId="450" applyNumberFormat="0" applyAlignment="0" applyProtection="0"/>
    <xf numFmtId="173" fontId="34" fillId="60" borderId="454" applyNumberFormat="0" applyFont="0" applyBorder="0" applyAlignment="0" applyProtection="0">
      <alignment horizontal="right" vertical="center"/>
    </xf>
    <xf numFmtId="0" fontId="34" fillId="33" borderId="454"/>
    <xf numFmtId="4" fontId="34" fillId="33" borderId="454"/>
    <xf numFmtId="0" fontId="65" fillId="0" borderId="452" applyNumberFormat="0" applyFill="0" applyAlignment="0" applyProtection="0"/>
    <xf numFmtId="0" fontId="5" fillId="59" borderId="453" applyNumberFormat="0" applyFont="0" applyAlignment="0" applyProtection="0"/>
    <xf numFmtId="0" fontId="40" fillId="59" borderId="453" applyNumberFormat="0" applyFont="0" applyAlignment="0" applyProtection="0"/>
    <xf numFmtId="0" fontId="34" fillId="0" borderId="454" applyNumberFormat="0" applyFill="0" applyAlignment="0" applyProtection="0"/>
    <xf numFmtId="0" fontId="50" fillId="0" borderId="452" applyNumberFormat="0" applyFill="0" applyAlignment="0" applyProtection="0"/>
    <xf numFmtId="0" fontId="65" fillId="0" borderId="452" applyNumberFormat="0" applyFill="0" applyAlignment="0" applyProtection="0"/>
    <xf numFmtId="0" fontId="49" fillId="43" borderId="451" applyNumberFormat="0" applyAlignment="0" applyProtection="0"/>
    <xf numFmtId="0" fontId="46" fillId="56" borderId="451" applyNumberFormat="0" applyAlignment="0" applyProtection="0"/>
    <xf numFmtId="4" fontId="36" fillId="32" borderId="454">
      <alignment horizontal="right" vertical="center"/>
    </xf>
    <xf numFmtId="0" fontId="32" fillId="32" borderId="454">
      <alignment horizontal="right" vertical="center"/>
    </xf>
    <xf numFmtId="173" fontId="34" fillId="60" borderId="454" applyNumberFormat="0" applyFont="0" applyBorder="0" applyAlignment="0" applyProtection="0">
      <alignment horizontal="right" vertical="center"/>
    </xf>
    <xf numFmtId="0" fontId="50" fillId="0" borderId="452" applyNumberFormat="0" applyFill="0" applyAlignment="0" applyProtection="0"/>
    <xf numFmtId="49" fontId="34" fillId="0" borderId="454" applyNumberFormat="0" applyFont="0" applyFill="0" applyBorder="0" applyProtection="0">
      <alignment horizontal="left" vertical="center" indent="2"/>
    </xf>
    <xf numFmtId="49" fontId="34" fillId="0" borderId="455" applyNumberFormat="0" applyFont="0" applyFill="0" applyBorder="0" applyProtection="0">
      <alignment horizontal="left" vertical="center" indent="5"/>
    </xf>
    <xf numFmtId="49" fontId="34" fillId="0" borderId="454" applyNumberFormat="0" applyFont="0" applyFill="0" applyBorder="0" applyProtection="0">
      <alignment horizontal="left" vertical="center" indent="2"/>
    </xf>
    <xf numFmtId="4" fontId="34" fillId="0" borderId="454" applyFill="0" applyBorder="0" applyProtection="0">
      <alignment horizontal="right" vertical="center"/>
    </xf>
    <xf numFmtId="49" fontId="33" fillId="0" borderId="454" applyNumberFormat="0" applyFill="0" applyBorder="0" applyProtection="0">
      <alignment horizontal="left" vertical="center"/>
    </xf>
    <xf numFmtId="0" fontId="34" fillId="0" borderId="457">
      <alignment horizontal="left" vertical="center" wrapText="1" indent="2"/>
    </xf>
    <xf numFmtId="0" fontId="62" fillId="56" borderId="450" applyNumberFormat="0" applyAlignment="0" applyProtection="0"/>
    <xf numFmtId="0" fontId="32" fillId="34" borderId="456">
      <alignment horizontal="right" vertical="center"/>
    </xf>
    <xf numFmtId="0" fontId="49" fillId="43" borderId="451" applyNumberFormat="0" applyAlignment="0" applyProtection="0"/>
    <xf numFmtId="0" fontId="32" fillId="34" borderId="456">
      <alignment horizontal="right" vertical="center"/>
    </xf>
    <xf numFmtId="4" fontId="32" fillId="34" borderId="454">
      <alignment horizontal="right" vertical="center"/>
    </xf>
    <xf numFmtId="0" fontId="32" fillId="34" borderId="454">
      <alignment horizontal="right" vertical="center"/>
    </xf>
    <xf numFmtId="0" fontId="43" fillId="56" borderId="450" applyNumberFormat="0" applyAlignment="0" applyProtection="0"/>
    <xf numFmtId="0" fontId="45" fillId="56" borderId="451" applyNumberFormat="0" applyAlignment="0" applyProtection="0"/>
    <xf numFmtId="0" fontId="50" fillId="0" borderId="452" applyNumberFormat="0" applyFill="0" applyAlignment="0" applyProtection="0"/>
    <xf numFmtId="0" fontId="34" fillId="33" borderId="454"/>
    <xf numFmtId="4" fontId="34" fillId="33" borderId="454"/>
    <xf numFmtId="4" fontId="32" fillId="34" borderId="454">
      <alignment horizontal="right" vertical="center"/>
    </xf>
    <xf numFmtId="0" fontId="36" fillId="32" borderId="454">
      <alignment horizontal="right" vertical="center"/>
    </xf>
    <xf numFmtId="0" fontId="49" fillId="43" borderId="451" applyNumberFormat="0" applyAlignment="0" applyProtection="0"/>
    <xf numFmtId="0" fontId="46" fillId="56" borderId="451" applyNumberFormat="0" applyAlignment="0" applyProtection="0"/>
    <xf numFmtId="4" fontId="34" fillId="0" borderId="454">
      <alignment horizontal="right" vertical="center"/>
    </xf>
    <xf numFmtId="0" fontId="34" fillId="34" borderId="457">
      <alignment horizontal="left" vertical="center" wrapText="1" indent="2"/>
    </xf>
    <xf numFmtId="0" fontId="34" fillId="0" borderId="457">
      <alignment horizontal="left" vertical="center" wrapText="1" indent="2"/>
    </xf>
    <xf numFmtId="0" fontId="62" fillId="56" borderId="450" applyNumberFormat="0" applyAlignment="0" applyProtection="0"/>
    <xf numFmtId="0" fontId="58" fillId="43" borderId="451" applyNumberFormat="0" applyAlignment="0" applyProtection="0"/>
    <xf numFmtId="0" fontId="45" fillId="56" borderId="451" applyNumberFormat="0" applyAlignment="0" applyProtection="0"/>
    <xf numFmtId="0" fontId="43" fillId="56" borderId="450" applyNumberFormat="0" applyAlignment="0" applyProtection="0"/>
    <xf numFmtId="0" fontId="32" fillId="34" borderId="456">
      <alignment horizontal="right" vertical="center"/>
    </xf>
    <xf numFmtId="0" fontId="36" fillId="32" borderId="454">
      <alignment horizontal="right" vertical="center"/>
    </xf>
    <xf numFmtId="4" fontId="32" fillId="32" borderId="454">
      <alignment horizontal="right" vertical="center"/>
    </xf>
    <xf numFmtId="4" fontId="32" fillId="34" borderId="454">
      <alignment horizontal="right" vertical="center"/>
    </xf>
    <xf numFmtId="49" fontId="34" fillId="0" borderId="455" applyNumberFormat="0" applyFont="0" applyFill="0" applyBorder="0" applyProtection="0">
      <alignment horizontal="left" vertical="center" indent="5"/>
    </xf>
    <xf numFmtId="4" fontId="34" fillId="0" borderId="454" applyFill="0" applyBorder="0" applyProtection="0">
      <alignment horizontal="right" vertical="center"/>
    </xf>
    <xf numFmtId="4" fontId="32" fillId="32" borderId="454">
      <alignment horizontal="right" vertical="center"/>
    </xf>
    <xf numFmtId="0" fontId="58" fillId="43" borderId="451" applyNumberFormat="0" applyAlignment="0" applyProtection="0"/>
    <xf numFmtId="0" fontId="49" fillId="43" borderId="451" applyNumberFormat="0" applyAlignment="0" applyProtection="0"/>
    <xf numFmtId="0" fontId="45" fillId="56" borderId="451" applyNumberFormat="0" applyAlignment="0" applyProtection="0"/>
    <xf numFmtId="0" fontId="34" fillId="34" borderId="457">
      <alignment horizontal="left" vertical="center" wrapText="1" indent="2"/>
    </xf>
    <xf numFmtId="0" fontId="34" fillId="0" borderId="457">
      <alignment horizontal="left" vertical="center" wrapText="1" indent="2"/>
    </xf>
    <xf numFmtId="0" fontId="34" fillId="34" borderId="457">
      <alignment horizontal="left" vertical="center" wrapText="1" indent="2"/>
    </xf>
    <xf numFmtId="0" fontId="32" fillId="32" borderId="462">
      <alignment horizontal="right" vertical="center"/>
    </xf>
    <xf numFmtId="0" fontId="32" fillId="34" borderId="464">
      <alignment horizontal="right" vertical="center"/>
    </xf>
    <xf numFmtId="0" fontId="32" fillId="34" borderId="464">
      <alignment horizontal="right" vertical="center"/>
    </xf>
    <xf numFmtId="4" fontId="32" fillId="34" borderId="464">
      <alignment horizontal="right" vertical="center"/>
    </xf>
    <xf numFmtId="0" fontId="34" fillId="34" borderId="465">
      <alignment horizontal="left" vertical="center" wrapText="1" indent="2"/>
    </xf>
    <xf numFmtId="0" fontId="32" fillId="34" borderId="462">
      <alignment horizontal="right" vertical="center"/>
    </xf>
    <xf numFmtId="4" fontId="32" fillId="34" borderId="462">
      <alignment horizontal="right" vertical="center"/>
    </xf>
    <xf numFmtId="0" fontId="32" fillId="34" borderId="462">
      <alignment horizontal="right" vertical="center"/>
    </xf>
    <xf numFmtId="4" fontId="32" fillId="34" borderId="462">
      <alignment horizontal="right" vertical="center"/>
    </xf>
    <xf numFmtId="4" fontId="32" fillId="34" borderId="462">
      <alignment horizontal="right" vertical="center"/>
    </xf>
    <xf numFmtId="0" fontId="32" fillId="34" borderId="471">
      <alignment horizontal="right" vertical="center"/>
    </xf>
    <xf numFmtId="4" fontId="34" fillId="33" borderId="462"/>
    <xf numFmtId="4" fontId="32" fillId="34" borderId="462">
      <alignment horizontal="right" vertical="center"/>
    </xf>
    <xf numFmtId="0" fontId="49" fillId="43" borderId="459" applyNumberFormat="0" applyAlignment="0" applyProtection="0"/>
    <xf numFmtId="0" fontId="50" fillId="0" borderId="460" applyNumberFormat="0" applyFill="0" applyAlignment="0" applyProtection="0"/>
    <xf numFmtId="4" fontId="32" fillId="34" borderId="472">
      <alignment horizontal="right" vertical="center"/>
    </xf>
    <xf numFmtId="0" fontId="46" fillId="56" borderId="491" applyNumberFormat="0" applyAlignment="0" applyProtection="0"/>
    <xf numFmtId="0" fontId="46" fillId="56" borderId="491" applyNumberFormat="0" applyAlignment="0" applyProtection="0"/>
    <xf numFmtId="0" fontId="32" fillId="34" borderId="462">
      <alignment horizontal="right" vertical="center"/>
    </xf>
    <xf numFmtId="0" fontId="65" fillId="0" borderId="460" applyNumberFormat="0" applyFill="0" applyAlignment="0" applyProtection="0"/>
    <xf numFmtId="0" fontId="1" fillId="0" borderId="0" applyNumberFormat="0" applyFill="0" applyBorder="0" applyAlignment="0" applyProtection="0"/>
    <xf numFmtId="0" fontId="50" fillId="0" borderId="469" applyNumberFormat="0" applyFill="0" applyAlignment="0" applyProtection="0"/>
    <xf numFmtId="0" fontId="29" fillId="13" borderId="13" applyNumberFormat="0" applyAlignment="0" applyProtection="0"/>
    <xf numFmtId="0" fontId="34" fillId="0" borderId="462">
      <alignment horizontal="right" vertical="center"/>
    </xf>
    <xf numFmtId="0" fontId="62" fillId="56" borderId="466" applyNumberFormat="0" applyAlignment="0" applyProtection="0"/>
    <xf numFmtId="0" fontId="46" fillId="56" borderId="459" applyNumberFormat="0" applyAlignment="0" applyProtection="0"/>
    <xf numFmtId="0" fontId="32" fillId="34" borderId="462">
      <alignment horizontal="right" vertical="center"/>
    </xf>
    <xf numFmtId="0" fontId="34" fillId="0" borderId="465">
      <alignment horizontal="left" vertical="center" wrapText="1" indent="2"/>
    </xf>
    <xf numFmtId="0" fontId="34" fillId="34" borderId="465">
      <alignment horizontal="left" vertical="center" wrapText="1" indent="2"/>
    </xf>
    <xf numFmtId="0" fontId="62" fillId="56" borderId="466" applyNumberFormat="0" applyAlignment="0" applyProtection="0"/>
    <xf numFmtId="4" fontId="32" fillId="32" borderId="462">
      <alignment horizontal="right" vertical="center"/>
    </xf>
    <xf numFmtId="4" fontId="36" fillId="32" borderId="462">
      <alignment horizontal="right" vertical="center"/>
    </xf>
    <xf numFmtId="4" fontId="36" fillId="32" borderId="462">
      <alignment horizontal="right" vertical="center"/>
    </xf>
    <xf numFmtId="49" fontId="34" fillId="0" borderId="462" applyNumberFormat="0" applyFont="0" applyFill="0" applyBorder="0" applyProtection="0">
      <alignment horizontal="left" vertical="center" indent="2"/>
    </xf>
    <xf numFmtId="49" fontId="33" fillId="0" borderId="462" applyNumberFormat="0" applyFill="0" applyBorder="0" applyProtection="0">
      <alignment horizontal="left" vertical="center"/>
    </xf>
    <xf numFmtId="0" fontId="32" fillId="34" borderId="472">
      <alignment horizontal="right" vertical="center"/>
    </xf>
    <xf numFmtId="0" fontId="2" fillId="0" borderId="15" applyNumberFormat="0" applyFill="0" applyAlignment="0" applyProtection="0"/>
    <xf numFmtId="0" fontId="5" fillId="59" borderId="478" applyNumberFormat="0" applyFont="0" applyAlignment="0" applyProtection="0"/>
    <xf numFmtId="0" fontId="34" fillId="33" borderId="462"/>
    <xf numFmtId="0" fontId="26" fillId="23" borderId="0" applyNumberFormat="0" applyBorder="0" applyAlignment="0" applyProtection="0"/>
    <xf numFmtId="0" fontId="46" fillId="56" borderId="468" applyNumberFormat="0" applyAlignment="0" applyProtection="0"/>
    <xf numFmtId="49" fontId="34" fillId="0" borderId="471" applyNumberFormat="0" applyFont="0" applyFill="0" applyBorder="0" applyProtection="0">
      <alignment horizontal="left" vertical="center" indent="2"/>
    </xf>
    <xf numFmtId="0" fontId="34" fillId="34" borderId="474">
      <alignment horizontal="left" vertical="center" wrapText="1" indent="2"/>
    </xf>
    <xf numFmtId="4" fontId="34" fillId="0" borderId="471">
      <alignment horizontal="right" vertical="center"/>
    </xf>
    <xf numFmtId="0" fontId="26" fillId="30" borderId="0" applyNumberFormat="0" applyBorder="0" applyAlignment="0" applyProtection="0"/>
    <xf numFmtId="0" fontId="26" fillId="21" borderId="0" applyNumberFormat="0" applyBorder="0" applyAlignment="0" applyProtection="0"/>
    <xf numFmtId="0" fontId="12" fillId="25" borderId="0" applyNumberFormat="0" applyBorder="0" applyAlignment="0" applyProtection="0"/>
    <xf numFmtId="49" fontId="34" fillId="0" borderId="471" applyNumberFormat="0" applyFont="0" applyFill="0" applyBorder="0" applyProtection="0">
      <alignment horizontal="left" vertical="center" indent="2"/>
    </xf>
    <xf numFmtId="0" fontId="46" fillId="56" borderId="491" applyNumberFormat="0" applyAlignment="0" applyProtection="0"/>
    <xf numFmtId="0" fontId="32" fillId="34" borderId="473">
      <alignment horizontal="right" vertical="center"/>
    </xf>
    <xf numFmtId="0" fontId="12" fillId="31" borderId="0" applyNumberFormat="0" applyBorder="0" applyAlignment="0" applyProtection="0"/>
    <xf numFmtId="4" fontId="32" fillId="34" borderId="462">
      <alignment horizontal="right" vertical="center"/>
    </xf>
    <xf numFmtId="0" fontId="32" fillId="32" borderId="471">
      <alignment horizontal="right" vertical="center"/>
    </xf>
    <xf numFmtId="4" fontId="32" fillId="34" borderId="471">
      <alignment horizontal="right" vertical="center"/>
    </xf>
    <xf numFmtId="49" fontId="34" fillId="0" borderId="494" applyNumberFormat="0" applyFont="0" applyFill="0" applyBorder="0" applyProtection="0">
      <alignment horizontal="left" vertical="center" indent="2"/>
    </xf>
    <xf numFmtId="173" fontId="34" fillId="60" borderId="471" applyNumberFormat="0" applyFont="0" applyBorder="0" applyAlignment="0" applyProtection="0">
      <alignment horizontal="right" vertical="center"/>
    </xf>
    <xf numFmtId="0" fontId="58" fillId="43" borderId="468" applyNumberFormat="0" applyAlignment="0" applyProtection="0"/>
    <xf numFmtId="0" fontId="34" fillId="0" borderId="497">
      <alignment horizontal="left" vertical="center" wrapText="1" indent="2"/>
    </xf>
    <xf numFmtId="0" fontId="50" fillId="0" borderId="460" applyNumberFormat="0" applyFill="0" applyAlignment="0" applyProtection="0"/>
    <xf numFmtId="0" fontId="34" fillId="34" borderId="465">
      <alignment horizontal="left" vertical="center" wrapText="1" indent="2"/>
    </xf>
    <xf numFmtId="0" fontId="65" fillId="0" borderId="492" applyNumberFormat="0" applyFill="0" applyAlignment="0" applyProtection="0"/>
    <xf numFmtId="0" fontId="26" fillId="15" borderId="0" applyNumberFormat="0" applyBorder="0" applyAlignment="0" applyProtection="0"/>
    <xf numFmtId="0" fontId="50" fillId="0" borderId="460" applyNumberFormat="0" applyFill="0" applyAlignment="0" applyProtection="0"/>
    <xf numFmtId="0" fontId="46" fillId="56" borderId="459" applyNumberFormat="0" applyAlignment="0" applyProtection="0"/>
    <xf numFmtId="0" fontId="26" fillId="17" borderId="0" applyNumberFormat="0" applyBorder="0" applyAlignment="0" applyProtection="0"/>
    <xf numFmtId="0" fontId="45" fillId="56" borderId="459" applyNumberFormat="0" applyAlignment="0" applyProtection="0"/>
    <xf numFmtId="0" fontId="58" fillId="43" borderId="468" applyNumberFormat="0" applyAlignment="0" applyProtection="0"/>
    <xf numFmtId="0" fontId="62" fillId="56" borderId="466" applyNumberFormat="0" applyAlignment="0" applyProtection="0"/>
    <xf numFmtId="173" fontId="34" fillId="60" borderId="462" applyNumberFormat="0" applyFont="0" applyBorder="0" applyAlignment="0" applyProtection="0">
      <alignment horizontal="right" vertical="center"/>
    </xf>
    <xf numFmtId="173" fontId="34" fillId="60" borderId="494" applyNumberFormat="0" applyFont="0" applyBorder="0" applyAlignment="0" applyProtection="0">
      <alignment horizontal="right" vertical="center"/>
    </xf>
    <xf numFmtId="0" fontId="12" fillId="22" borderId="0" applyNumberFormat="0" applyBorder="0" applyAlignment="0" applyProtection="0"/>
    <xf numFmtId="0" fontId="12" fillId="16" borderId="0" applyNumberFormat="0" applyBorder="0" applyAlignment="0" applyProtection="0"/>
    <xf numFmtId="0" fontId="34" fillId="0" borderId="471" applyNumberFormat="0" applyFill="0" applyAlignment="0" applyProtection="0"/>
    <xf numFmtId="0" fontId="32" fillId="34" borderId="494">
      <alignment horizontal="right" vertical="center"/>
    </xf>
    <xf numFmtId="0" fontId="26" fillId="17" borderId="0" applyNumberFormat="0" applyBorder="0" applyAlignment="0" applyProtection="0"/>
    <xf numFmtId="0" fontId="32" fillId="32" borderId="494">
      <alignment horizontal="right" vertical="center"/>
    </xf>
    <xf numFmtId="0" fontId="26" fillId="15" borderId="0" applyNumberFormat="0" applyBorder="0" applyAlignment="0" applyProtection="0"/>
    <xf numFmtId="49" fontId="34" fillId="0" borderId="462" applyNumberFormat="0" applyFont="0" applyFill="0" applyBorder="0" applyProtection="0">
      <alignment horizontal="left" vertical="center" indent="2"/>
    </xf>
    <xf numFmtId="4" fontId="34" fillId="0" borderId="462" applyFill="0" applyBorder="0" applyProtection="0">
      <alignment horizontal="right" vertical="center"/>
    </xf>
    <xf numFmtId="0" fontId="34" fillId="33" borderId="462"/>
    <xf numFmtId="49" fontId="34" fillId="0" borderId="494" applyNumberFormat="0" applyFont="0" applyFill="0" applyBorder="0" applyProtection="0">
      <alignment horizontal="left" vertical="center" indent="2"/>
    </xf>
    <xf numFmtId="0" fontId="26" fillId="18" borderId="0" applyNumberFormat="0" applyBorder="0" applyAlignment="0" applyProtection="0"/>
    <xf numFmtId="0" fontId="26" fillId="20" borderId="0" applyNumberFormat="0" applyBorder="0" applyAlignment="0" applyProtection="0"/>
    <xf numFmtId="4" fontId="34" fillId="33" borderId="471"/>
    <xf numFmtId="4" fontId="34" fillId="33" borderId="462"/>
    <xf numFmtId="0" fontId="26" fillId="30" borderId="0" applyNumberFormat="0" applyBorder="0" applyAlignment="0" applyProtection="0"/>
    <xf numFmtId="0" fontId="12" fillId="22" borderId="0" applyNumberFormat="0" applyBorder="0" applyAlignment="0" applyProtection="0"/>
    <xf numFmtId="0" fontId="32" fillId="34" borderId="464">
      <alignment horizontal="right" vertical="center"/>
    </xf>
    <xf numFmtId="0" fontId="62" fillId="56" borderId="498" applyNumberFormat="0" applyAlignment="0" applyProtection="0"/>
    <xf numFmtId="0" fontId="40" fillId="59" borderId="461" applyNumberFormat="0" applyFont="0" applyAlignment="0" applyProtection="0"/>
    <xf numFmtId="0" fontId="34" fillId="34" borderId="474">
      <alignment horizontal="left" vertical="center" wrapText="1" indent="2"/>
    </xf>
    <xf numFmtId="0" fontId="34" fillId="0" borderId="462">
      <alignment horizontal="right" vertical="center"/>
    </xf>
    <xf numFmtId="4" fontId="34" fillId="33" borderId="462"/>
    <xf numFmtId="0" fontId="34" fillId="0" borderId="465">
      <alignment horizontal="left" vertical="center" wrapText="1" indent="2"/>
    </xf>
    <xf numFmtId="4" fontId="32" fillId="34" borderId="462">
      <alignment horizontal="right" vertical="center"/>
    </xf>
    <xf numFmtId="0" fontId="34" fillId="0" borderId="462">
      <alignment horizontal="right" vertical="center"/>
    </xf>
    <xf numFmtId="0" fontId="34" fillId="0" borderId="484">
      <alignment horizontal="right" vertical="center"/>
    </xf>
    <xf numFmtId="4" fontId="32" fillId="32" borderId="494">
      <alignment horizontal="right" vertical="center"/>
    </xf>
    <xf numFmtId="0" fontId="32" fillId="32" borderId="462">
      <alignment horizontal="right" vertical="center"/>
    </xf>
    <xf numFmtId="49" fontId="33" fillId="0" borderId="494" applyNumberFormat="0" applyFill="0" applyBorder="0" applyProtection="0">
      <alignment horizontal="left" vertical="center"/>
    </xf>
    <xf numFmtId="0" fontId="26" fillId="29" borderId="0" applyNumberFormat="0" applyBorder="0" applyAlignment="0" applyProtection="0"/>
    <xf numFmtId="49" fontId="34" fillId="0" borderId="463" applyNumberFormat="0" applyFont="0" applyFill="0" applyBorder="0" applyProtection="0">
      <alignment horizontal="left" vertical="center" indent="5"/>
    </xf>
    <xf numFmtId="0" fontId="58" fillId="43" borderId="459" applyNumberFormat="0" applyAlignment="0" applyProtection="0"/>
    <xf numFmtId="4" fontId="34" fillId="0" borderId="471" applyFill="0" applyBorder="0" applyProtection="0">
      <alignment horizontal="right" vertical="center"/>
    </xf>
    <xf numFmtId="0" fontId="32" fillId="32" borderId="462">
      <alignment horizontal="right" vertical="center"/>
    </xf>
    <xf numFmtId="0" fontId="40" fillId="59" borderId="493" applyNumberFormat="0" applyFont="0" applyAlignment="0" applyProtection="0"/>
    <xf numFmtId="0" fontId="58" fillId="43" borderId="459" applyNumberFormat="0" applyAlignment="0" applyProtection="0"/>
    <xf numFmtId="0" fontId="46" fillId="56" borderId="459" applyNumberFormat="0" applyAlignment="0" applyProtection="0"/>
    <xf numFmtId="0" fontId="34" fillId="34" borderId="465">
      <alignment horizontal="left" vertical="center" wrapText="1" indent="2"/>
    </xf>
    <xf numFmtId="0" fontId="26" fillId="23" borderId="0" applyNumberFormat="0" applyBorder="0" applyAlignment="0" applyProtection="0"/>
    <xf numFmtId="4" fontId="36" fillId="32" borderId="462">
      <alignment horizontal="right" vertical="center"/>
    </xf>
    <xf numFmtId="4" fontId="32" fillId="34" borderId="473">
      <alignment horizontal="right" vertical="center"/>
    </xf>
    <xf numFmtId="0" fontId="12" fillId="22" borderId="0" applyNumberFormat="0" applyBorder="0" applyAlignment="0" applyProtection="0"/>
    <xf numFmtId="49" fontId="33" fillId="0" borderId="494" applyNumberFormat="0" applyFill="0" applyBorder="0" applyProtection="0">
      <alignment horizontal="left" vertical="center"/>
    </xf>
    <xf numFmtId="0" fontId="32" fillId="34" borderId="463">
      <alignment horizontal="right" vertical="center"/>
    </xf>
    <xf numFmtId="0" fontId="43" fillId="56" borderId="467" applyNumberFormat="0" applyAlignment="0" applyProtection="0"/>
    <xf numFmtId="0" fontId="36" fillId="32" borderId="462">
      <alignment horizontal="right" vertical="center"/>
    </xf>
    <xf numFmtId="0" fontId="34" fillId="34" borderId="474">
      <alignment horizontal="left" vertical="center" wrapText="1" indent="2"/>
    </xf>
    <xf numFmtId="0" fontId="26" fillId="15" borderId="0" applyNumberFormat="0" applyBorder="0" applyAlignment="0" applyProtection="0"/>
    <xf numFmtId="0" fontId="12" fillId="19" borderId="0" applyNumberFormat="0" applyBorder="0" applyAlignment="0" applyProtection="0"/>
    <xf numFmtId="4" fontId="32" fillId="34" borderId="462">
      <alignment horizontal="right" vertical="center"/>
    </xf>
    <xf numFmtId="4" fontId="34" fillId="33" borderId="494"/>
    <xf numFmtId="0" fontId="32" fillId="34" borderId="463">
      <alignment horizontal="right" vertical="center"/>
    </xf>
    <xf numFmtId="0" fontId="32" fillId="34" borderId="471">
      <alignment horizontal="right" vertical="center"/>
    </xf>
    <xf numFmtId="49" fontId="34" fillId="0" borderId="463" applyNumberFormat="0" applyFont="0" applyFill="0" applyBorder="0" applyProtection="0">
      <alignment horizontal="left" vertical="center" indent="5"/>
    </xf>
    <xf numFmtId="0" fontId="12" fillId="25" borderId="0" applyNumberFormat="0" applyBorder="0" applyAlignment="0" applyProtection="0"/>
    <xf numFmtId="0" fontId="34" fillId="33" borderId="462"/>
    <xf numFmtId="4" fontId="32" fillId="34" borderId="473">
      <alignment horizontal="right" vertical="center"/>
    </xf>
    <xf numFmtId="0" fontId="5" fillId="59" borderId="461" applyNumberFormat="0" applyFont="0" applyAlignment="0" applyProtection="0"/>
    <xf numFmtId="0" fontId="34" fillId="32" borderId="463">
      <alignment horizontal="left" vertical="center"/>
    </xf>
    <xf numFmtId="0" fontId="65" fillId="0" borderId="460" applyNumberFormat="0" applyFill="0" applyAlignment="0" applyProtection="0"/>
    <xf numFmtId="4" fontId="32" fillId="32" borderId="494">
      <alignment horizontal="right" vertical="center"/>
    </xf>
    <xf numFmtId="0" fontId="40" fillId="59" borderId="470" applyNumberFormat="0" applyFont="0" applyAlignment="0" applyProtection="0"/>
    <xf numFmtId="49" fontId="33" fillId="0" borderId="462" applyNumberFormat="0" applyFill="0" applyBorder="0" applyProtection="0">
      <alignment horizontal="left" vertical="center"/>
    </xf>
    <xf numFmtId="0" fontId="34" fillId="0" borderId="465">
      <alignment horizontal="left" vertical="center" wrapText="1" indent="2"/>
    </xf>
    <xf numFmtId="0" fontId="49" fillId="43" borderId="468" applyNumberFormat="0" applyAlignment="0" applyProtection="0"/>
    <xf numFmtId="0" fontId="32" fillId="34" borderId="496">
      <alignment horizontal="right" vertical="center"/>
    </xf>
    <xf numFmtId="0" fontId="34" fillId="33" borderId="494"/>
    <xf numFmtId="0" fontId="65" fillId="0" borderId="460" applyNumberFormat="0" applyFill="0" applyAlignment="0" applyProtection="0"/>
    <xf numFmtId="0" fontId="36" fillId="32" borderId="462">
      <alignment horizontal="right" vertical="center"/>
    </xf>
    <xf numFmtId="0" fontId="34" fillId="0" borderId="465">
      <alignment horizontal="left" vertical="center" wrapText="1" indent="2"/>
    </xf>
    <xf numFmtId="0" fontId="26" fillId="23" borderId="0" applyNumberFormat="0" applyBorder="0" applyAlignment="0" applyProtection="0"/>
    <xf numFmtId="49" fontId="34" fillId="0" borderId="463" applyNumberFormat="0" applyFont="0" applyFill="0" applyBorder="0" applyProtection="0">
      <alignment horizontal="left" vertical="center" indent="5"/>
    </xf>
    <xf numFmtId="0" fontId="12" fillId="25" borderId="0" applyNumberFormat="0" applyBorder="0" applyAlignment="0" applyProtection="0"/>
    <xf numFmtId="0" fontId="50" fillId="0" borderId="460" applyNumberFormat="0" applyFill="0" applyAlignment="0" applyProtection="0"/>
    <xf numFmtId="0" fontId="34" fillId="32" borderId="472">
      <alignment horizontal="left" vertical="center"/>
    </xf>
    <xf numFmtId="0" fontId="43" fillId="56" borderId="498" applyNumberFormat="0" applyAlignment="0" applyProtection="0"/>
    <xf numFmtId="0" fontId="32" fillId="34" borderId="471">
      <alignment horizontal="right" vertical="center"/>
    </xf>
    <xf numFmtId="0" fontId="65" fillId="0" borderId="469" applyNumberFormat="0" applyFill="0" applyAlignment="0" applyProtection="0"/>
    <xf numFmtId="4" fontId="32" fillId="34" borderId="462">
      <alignment horizontal="right" vertical="center"/>
    </xf>
    <xf numFmtId="0" fontId="34" fillId="0" borderId="471">
      <alignment horizontal="right" vertical="center"/>
    </xf>
    <xf numFmtId="173" fontId="34" fillId="60" borderId="462" applyNumberFormat="0" applyFont="0" applyBorder="0" applyAlignment="0" applyProtection="0">
      <alignment horizontal="right" vertical="center"/>
    </xf>
    <xf numFmtId="4" fontId="32" fillId="34" borderId="463">
      <alignment horizontal="right" vertical="center"/>
    </xf>
    <xf numFmtId="0" fontId="12" fillId="31" borderId="0" applyNumberFormat="0" applyBorder="0" applyAlignment="0" applyProtection="0"/>
    <xf numFmtId="4" fontId="32" fillId="34" borderId="471">
      <alignment horizontal="right" vertical="center"/>
    </xf>
    <xf numFmtId="0" fontId="46" fillId="56" borderId="459" applyNumberFormat="0" applyAlignment="0" applyProtection="0"/>
    <xf numFmtId="0" fontId="43" fillId="56" borderId="467" applyNumberFormat="0" applyAlignment="0" applyProtection="0"/>
    <xf numFmtId="0" fontId="40" fillId="59" borderId="461" applyNumberFormat="0" applyFont="0" applyAlignment="0" applyProtection="0"/>
    <xf numFmtId="0" fontId="45" fillId="56" borderId="459" applyNumberFormat="0" applyAlignment="0" applyProtection="0"/>
    <xf numFmtId="0" fontId="46" fillId="56" borderId="459" applyNumberFormat="0" applyAlignment="0" applyProtection="0"/>
    <xf numFmtId="0" fontId="34" fillId="34" borderId="465">
      <alignment horizontal="left" vertical="center" wrapText="1" indent="2"/>
    </xf>
    <xf numFmtId="0" fontId="65" fillId="0" borderId="460" applyNumberFormat="0" applyFill="0" applyAlignment="0" applyProtection="0"/>
    <xf numFmtId="0" fontId="26" fillId="26" borderId="0" applyNumberFormat="0" applyBorder="0" applyAlignment="0" applyProtection="0"/>
    <xf numFmtId="0" fontId="34" fillId="34" borderId="465">
      <alignment horizontal="left" vertical="center" wrapText="1" indent="2"/>
    </xf>
    <xf numFmtId="0" fontId="34" fillId="33" borderId="462"/>
    <xf numFmtId="0" fontId="62" fillId="56" borderId="467" applyNumberFormat="0" applyAlignment="0" applyProtection="0"/>
    <xf numFmtId="0" fontId="26" fillId="14" borderId="0" applyNumberFormat="0" applyBorder="0" applyAlignment="0" applyProtection="0"/>
    <xf numFmtId="0" fontId="34" fillId="0" borderId="465">
      <alignment horizontal="left" vertical="center" wrapText="1" indent="2"/>
    </xf>
    <xf numFmtId="4" fontId="32" fillId="32" borderId="462">
      <alignment horizontal="right" vertical="center"/>
    </xf>
    <xf numFmtId="0" fontId="26" fillId="26" borderId="0" applyNumberFormat="0" applyBorder="0" applyAlignment="0" applyProtection="0"/>
    <xf numFmtId="0" fontId="50" fillId="0" borderId="492" applyNumberFormat="0" applyFill="0" applyAlignment="0" applyProtection="0"/>
    <xf numFmtId="0" fontId="58" fillId="43" borderId="468" applyNumberFormat="0" applyAlignment="0" applyProtection="0"/>
    <xf numFmtId="0" fontId="26" fillId="23" borderId="0" applyNumberFormat="0" applyBorder="0" applyAlignment="0" applyProtection="0"/>
    <xf numFmtId="0" fontId="26" fillId="17" borderId="0" applyNumberFormat="0" applyBorder="0" applyAlignment="0" applyProtection="0"/>
    <xf numFmtId="0" fontId="5" fillId="59" borderId="470" applyNumberFormat="0" applyFont="0" applyAlignment="0" applyProtection="0"/>
    <xf numFmtId="0" fontId="5" fillId="59" borderId="461" applyNumberFormat="0" applyFont="0" applyAlignment="0" applyProtection="0"/>
    <xf numFmtId="4" fontId="32" fillId="34" borderId="462">
      <alignment horizontal="right" vertical="center"/>
    </xf>
    <xf numFmtId="49" fontId="34" fillId="0" borderId="462" applyNumberFormat="0" applyFont="0" applyFill="0" applyBorder="0" applyProtection="0">
      <alignment horizontal="left" vertical="center" indent="2"/>
    </xf>
    <xf numFmtId="0" fontId="65" fillId="0" borderId="460" applyNumberFormat="0" applyFill="0" applyAlignment="0" applyProtection="0"/>
    <xf numFmtId="0" fontId="26" fillId="18" borderId="0" applyNumberFormat="0" applyBorder="0" applyAlignment="0" applyProtection="0"/>
    <xf numFmtId="0" fontId="26" fillId="20" borderId="0" applyNumberFormat="0" applyBorder="0" applyAlignment="0" applyProtection="0"/>
    <xf numFmtId="0" fontId="1" fillId="0" borderId="0" applyNumberFormat="0" applyFill="0" applyBorder="0" applyAlignment="0" applyProtection="0"/>
    <xf numFmtId="0" fontId="12" fillId="31" borderId="0" applyNumberFormat="0" applyBorder="0" applyAlignment="0" applyProtection="0"/>
    <xf numFmtId="0" fontId="34" fillId="0" borderId="462" applyNumberFormat="0" applyFill="0" applyAlignment="0" applyProtection="0"/>
    <xf numFmtId="0" fontId="58" fillId="43" borderId="459" applyNumberFormat="0" applyAlignment="0" applyProtection="0"/>
    <xf numFmtId="0" fontId="12" fillId="31" borderId="0" applyNumberFormat="0" applyBorder="0" applyAlignment="0" applyProtection="0"/>
    <xf numFmtId="0" fontId="46" fillId="56" borderId="476" applyNumberFormat="0" applyAlignment="0" applyProtection="0"/>
    <xf numFmtId="0" fontId="46" fillId="56" borderId="491" applyNumberFormat="0" applyAlignment="0" applyProtection="0"/>
    <xf numFmtId="0" fontId="12" fillId="28" borderId="0" applyNumberFormat="0" applyBorder="0" applyAlignment="0" applyProtection="0"/>
    <xf numFmtId="0" fontId="26" fillId="30" borderId="0" applyNumberFormat="0" applyBorder="0" applyAlignment="0" applyProtection="0"/>
    <xf numFmtId="0" fontId="65" fillId="0" borderId="460" applyNumberFormat="0" applyFill="0" applyAlignment="0" applyProtection="0"/>
    <xf numFmtId="0" fontId="49" fillId="43" borderId="468" applyNumberFormat="0" applyAlignment="0" applyProtection="0"/>
    <xf numFmtId="0" fontId="46" fillId="56" borderId="468" applyNumberFormat="0" applyAlignment="0" applyProtection="0"/>
    <xf numFmtId="4" fontId="34" fillId="0" borderId="462">
      <alignment horizontal="right" vertical="center"/>
    </xf>
    <xf numFmtId="0" fontId="34" fillId="32" borderId="485">
      <alignment horizontal="left" vertical="center"/>
    </xf>
    <xf numFmtId="0" fontId="46" fillId="56" borderId="476" applyNumberFormat="0" applyAlignment="0" applyProtection="0"/>
    <xf numFmtId="0" fontId="26" fillId="18" borderId="0" applyNumberFormat="0" applyBorder="0" applyAlignment="0" applyProtection="0"/>
    <xf numFmtId="0" fontId="34" fillId="32" borderId="472">
      <alignment horizontal="left" vertical="center"/>
    </xf>
    <xf numFmtId="0" fontId="29" fillId="13" borderId="13" applyNumberFormat="0" applyAlignment="0" applyProtection="0"/>
    <xf numFmtId="0" fontId="62" fillId="56" borderId="466" applyNumberFormat="0" applyAlignment="0" applyProtection="0"/>
    <xf numFmtId="0" fontId="43" fillId="56" borderId="467" applyNumberFormat="0" applyAlignment="0" applyProtection="0"/>
    <xf numFmtId="4" fontId="32" fillId="34" borderId="471">
      <alignment horizontal="right" vertical="center"/>
    </xf>
    <xf numFmtId="0" fontId="65" fillId="0" borderId="469" applyNumberFormat="0" applyFill="0" applyAlignment="0" applyProtection="0"/>
    <xf numFmtId="0" fontId="26" fillId="23" borderId="0" applyNumberFormat="0" applyBorder="0" applyAlignment="0" applyProtection="0"/>
    <xf numFmtId="0" fontId="26" fillId="17" borderId="0" applyNumberFormat="0" applyBorder="0" applyAlignment="0" applyProtection="0"/>
    <xf numFmtId="4" fontId="32" fillId="32" borderId="462">
      <alignment horizontal="right" vertical="center"/>
    </xf>
    <xf numFmtId="0" fontId="32" fillId="32" borderId="471">
      <alignment horizontal="right" vertical="center"/>
    </xf>
    <xf numFmtId="0" fontId="34" fillId="34" borderId="474">
      <alignment horizontal="left" vertical="center" wrapText="1" indent="2"/>
    </xf>
    <xf numFmtId="0" fontId="32" fillId="32" borderId="462">
      <alignment horizontal="right" vertical="center"/>
    </xf>
    <xf numFmtId="0" fontId="12" fillId="31" borderId="0" applyNumberFormat="0" applyBorder="0" applyAlignment="0" applyProtection="0"/>
    <xf numFmtId="0" fontId="26" fillId="26" borderId="0" applyNumberFormat="0" applyBorder="0" applyAlignment="0" applyProtection="0"/>
    <xf numFmtId="0" fontId="36" fillId="32" borderId="494">
      <alignment horizontal="right" vertical="center"/>
    </xf>
    <xf numFmtId="0" fontId="32" fillId="32" borderId="479">
      <alignment horizontal="right" vertical="center"/>
    </xf>
    <xf numFmtId="0" fontId="29" fillId="13" borderId="13" applyNumberFormat="0" applyAlignment="0" applyProtection="0"/>
    <xf numFmtId="0" fontId="49" fillId="43" borderId="468" applyNumberFormat="0" applyAlignment="0" applyProtection="0"/>
    <xf numFmtId="0" fontId="12" fillId="22" borderId="0" applyNumberFormat="0" applyBorder="0" applyAlignment="0" applyProtection="0"/>
    <xf numFmtId="0" fontId="43" fillId="56" borderId="466" applyNumberFormat="0" applyAlignment="0" applyProtection="0"/>
    <xf numFmtId="0" fontId="50" fillId="0" borderId="492" applyNumberFormat="0" applyFill="0" applyAlignment="0" applyProtection="0"/>
    <xf numFmtId="49" fontId="33" fillId="0" borderId="471" applyNumberFormat="0" applyFill="0" applyBorder="0" applyProtection="0">
      <alignment horizontal="left" vertical="center"/>
    </xf>
    <xf numFmtId="49" fontId="34" fillId="0" borderId="495" applyNumberFormat="0" applyFont="0" applyFill="0" applyBorder="0" applyProtection="0">
      <alignment horizontal="left" vertical="center" indent="5"/>
    </xf>
    <xf numFmtId="0" fontId="58" fillId="43" borderId="459" applyNumberFormat="0" applyAlignment="0" applyProtection="0"/>
    <xf numFmtId="0" fontId="58" fillId="43" borderId="468" applyNumberFormat="0" applyAlignment="0" applyProtection="0"/>
    <xf numFmtId="49" fontId="33" fillId="0" borderId="494" applyNumberFormat="0" applyFill="0" applyBorder="0" applyProtection="0">
      <alignment horizontal="left" vertical="center"/>
    </xf>
    <xf numFmtId="0" fontId="34" fillId="0" borderId="462">
      <alignment horizontal="right" vertical="center"/>
    </xf>
    <xf numFmtId="0" fontId="46" fillId="56" borderId="468" applyNumberFormat="0" applyAlignment="0" applyProtection="0"/>
    <xf numFmtId="0" fontId="46" fillId="56" borderId="459" applyNumberFormat="0" applyAlignment="0" applyProtection="0"/>
    <xf numFmtId="0" fontId="65" fillId="0" borderId="460" applyNumberFormat="0" applyFill="0" applyAlignment="0" applyProtection="0"/>
    <xf numFmtId="0" fontId="12" fillId="19" borderId="0" applyNumberFormat="0" applyBorder="0" applyAlignment="0" applyProtection="0"/>
    <xf numFmtId="0" fontId="26" fillId="29" borderId="0" applyNumberFormat="0" applyBorder="0" applyAlignment="0" applyProtection="0"/>
    <xf numFmtId="0" fontId="30" fillId="0" borderId="0" applyNumberFormat="0" applyFill="0" applyBorder="0" applyAlignment="0" applyProtection="0"/>
    <xf numFmtId="0" fontId="58" fillId="43" borderId="459" applyNumberFormat="0" applyAlignment="0" applyProtection="0"/>
    <xf numFmtId="4" fontId="34" fillId="0" borderId="471" applyFill="0" applyBorder="0" applyProtection="0">
      <alignment horizontal="right" vertical="center"/>
    </xf>
    <xf numFmtId="0" fontId="49" fillId="43" borderId="459" applyNumberFormat="0" applyAlignment="0" applyProtection="0"/>
    <xf numFmtId="4" fontId="34" fillId="0" borderId="471">
      <alignment horizontal="right" vertical="center"/>
    </xf>
    <xf numFmtId="0" fontId="58" fillId="43" borderId="468" applyNumberFormat="0" applyAlignment="0" applyProtection="0"/>
    <xf numFmtId="0" fontId="49" fillId="43" borderId="468" applyNumberFormat="0" applyAlignment="0" applyProtection="0"/>
    <xf numFmtId="0" fontId="58" fillId="43" borderId="459" applyNumberFormat="0" applyAlignment="0" applyProtection="0"/>
    <xf numFmtId="0" fontId="32" fillId="34" borderId="462">
      <alignment horizontal="right" vertical="center"/>
    </xf>
    <xf numFmtId="4" fontId="32" fillId="32" borderId="462">
      <alignment horizontal="right" vertical="center"/>
    </xf>
    <xf numFmtId="0" fontId="5" fillId="59" borderId="470" applyNumberFormat="0" applyFont="0" applyAlignment="0" applyProtection="0"/>
    <xf numFmtId="4" fontId="32" fillId="34" borderId="473">
      <alignment horizontal="right" vertical="center"/>
    </xf>
    <xf numFmtId="0" fontId="26" fillId="27" borderId="0" applyNumberFormat="0" applyBorder="0" applyAlignment="0" applyProtection="0"/>
    <xf numFmtId="0" fontId="58" fillId="43" borderId="468" applyNumberFormat="0" applyAlignment="0" applyProtection="0"/>
    <xf numFmtId="0" fontId="50" fillId="0" borderId="460" applyNumberFormat="0" applyFill="0" applyAlignment="0" applyProtection="0"/>
    <xf numFmtId="0" fontId="26" fillId="18" borderId="0" applyNumberFormat="0" applyBorder="0" applyAlignment="0" applyProtection="0"/>
    <xf numFmtId="0" fontId="40" fillId="59" borderId="470" applyNumberFormat="0" applyFont="0" applyAlignment="0" applyProtection="0"/>
    <xf numFmtId="0" fontId="1" fillId="0" borderId="0" applyNumberFormat="0" applyFill="0" applyBorder="0" applyAlignment="0" applyProtection="0"/>
    <xf numFmtId="0" fontId="34" fillId="0" borderId="471">
      <alignment horizontal="right" vertical="center"/>
    </xf>
    <xf numFmtId="0" fontId="36" fillId="32" borderId="462">
      <alignment horizontal="right" vertical="center"/>
    </xf>
    <xf numFmtId="0" fontId="43" fillId="56" borderId="466" applyNumberFormat="0" applyAlignment="0" applyProtection="0"/>
    <xf numFmtId="0" fontId="58" fillId="43" borderId="459" applyNumberFormat="0" applyAlignment="0" applyProtection="0"/>
    <xf numFmtId="0" fontId="26" fillId="18" borderId="0" applyNumberFormat="0" applyBorder="0" applyAlignment="0" applyProtection="0"/>
    <xf numFmtId="0" fontId="36" fillId="32" borderId="462">
      <alignment horizontal="right" vertical="center"/>
    </xf>
    <xf numFmtId="0" fontId="34" fillId="32" borderId="463">
      <alignment horizontal="left" vertical="center"/>
    </xf>
    <xf numFmtId="0" fontId="50" fillId="0" borderId="469" applyNumberFormat="0" applyFill="0" applyAlignment="0" applyProtection="0"/>
    <xf numFmtId="0" fontId="26" fillId="14" borderId="0" applyNumberFormat="0" applyBorder="0" applyAlignment="0" applyProtection="0"/>
    <xf numFmtId="0" fontId="46" fillId="56" borderId="459" applyNumberFormat="0" applyAlignment="0" applyProtection="0"/>
    <xf numFmtId="0" fontId="32" fillId="34" borderId="494">
      <alignment horizontal="right" vertical="center"/>
    </xf>
    <xf numFmtId="0" fontId="26" fillId="17" borderId="0" applyNumberFormat="0" applyBorder="0" applyAlignment="0" applyProtection="0"/>
    <xf numFmtId="4" fontId="34" fillId="0" borderId="494">
      <alignment horizontal="right" vertical="center"/>
    </xf>
    <xf numFmtId="0" fontId="50" fillId="0" borderId="469" applyNumberFormat="0" applyFill="0" applyAlignment="0" applyProtection="0"/>
    <xf numFmtId="0" fontId="50" fillId="0" borderId="460" applyNumberFormat="0" applyFill="0" applyAlignment="0" applyProtection="0"/>
    <xf numFmtId="0" fontId="32" fillId="34" borderId="471">
      <alignment horizontal="right" vertical="center"/>
    </xf>
    <xf numFmtId="0" fontId="34" fillId="34" borderId="465">
      <alignment horizontal="left" vertical="center" wrapText="1" indent="2"/>
    </xf>
    <xf numFmtId="0" fontId="26" fillId="30" borderId="0" applyNumberFormat="0" applyBorder="0" applyAlignment="0" applyProtection="0"/>
    <xf numFmtId="0" fontId="49" fillId="43" borderId="468" applyNumberFormat="0" applyAlignment="0" applyProtection="0"/>
    <xf numFmtId="4" fontId="32" fillId="34" borderId="471">
      <alignment horizontal="right" vertical="center"/>
    </xf>
    <xf numFmtId="0" fontId="45" fillId="56" borderId="468" applyNumberFormat="0" applyAlignment="0" applyProtection="0"/>
    <xf numFmtId="0" fontId="45" fillId="56" borderId="491" applyNumberFormat="0" applyAlignment="0" applyProtection="0"/>
    <xf numFmtId="0" fontId="43" fillId="56" borderId="466" applyNumberFormat="0" applyAlignment="0" applyProtection="0"/>
    <xf numFmtId="4" fontId="32" fillId="34" borderId="471">
      <alignment horizontal="right" vertical="center"/>
    </xf>
    <xf numFmtId="0" fontId="43" fillId="56" borderId="466" applyNumberFormat="0" applyAlignment="0" applyProtection="0"/>
    <xf numFmtId="0" fontId="45" fillId="56" borderId="468" applyNumberFormat="0" applyAlignment="0" applyProtection="0"/>
    <xf numFmtId="0" fontId="34" fillId="34" borderId="497">
      <alignment horizontal="left" vertical="center" wrapText="1" indent="2"/>
    </xf>
    <xf numFmtId="0" fontId="5" fillId="59" borderId="470" applyNumberFormat="0" applyFont="0" applyAlignment="0" applyProtection="0"/>
    <xf numFmtId="0" fontId="34" fillId="0" borderId="474">
      <alignment horizontal="left" vertical="center" wrapText="1" indent="2"/>
    </xf>
    <xf numFmtId="49" fontId="33" fillId="0" borderId="462" applyNumberFormat="0" applyFill="0" applyBorder="0" applyProtection="0">
      <alignment horizontal="left" vertical="center"/>
    </xf>
    <xf numFmtId="0" fontId="45" fillId="56" borderId="468" applyNumberFormat="0" applyAlignment="0" applyProtection="0"/>
    <xf numFmtId="0" fontId="46" fillId="56" borderId="468" applyNumberFormat="0" applyAlignment="0" applyProtection="0"/>
    <xf numFmtId="173" fontId="34" fillId="60" borderId="462" applyNumberFormat="0" applyFont="0" applyBorder="0" applyAlignment="0" applyProtection="0">
      <alignment horizontal="right" vertical="center"/>
    </xf>
    <xf numFmtId="0" fontId="45" fillId="56" borderId="491" applyNumberFormat="0" applyAlignment="0" applyProtection="0"/>
    <xf numFmtId="0" fontId="62" fillId="56" borderId="466" applyNumberFormat="0" applyAlignment="0" applyProtection="0"/>
    <xf numFmtId="0" fontId="49" fillId="43" borderId="468" applyNumberFormat="0" applyAlignment="0" applyProtection="0"/>
    <xf numFmtId="173" fontId="34" fillId="60" borderId="462" applyNumberFormat="0" applyFont="0" applyBorder="0" applyAlignment="0" applyProtection="0">
      <alignment horizontal="right" vertical="center"/>
    </xf>
    <xf numFmtId="0" fontId="26" fillId="24" borderId="0" applyNumberFormat="0" applyBorder="0" applyAlignment="0" applyProtection="0"/>
    <xf numFmtId="4" fontId="34" fillId="0" borderId="462">
      <alignment horizontal="right" vertical="center"/>
    </xf>
    <xf numFmtId="0" fontId="46" fillId="56" borderId="459" applyNumberFormat="0" applyAlignment="0" applyProtection="0"/>
    <xf numFmtId="0" fontId="1" fillId="0" borderId="0" applyNumberFormat="0" applyFill="0" applyBorder="0" applyAlignment="0" applyProtection="0"/>
    <xf numFmtId="0" fontId="58" fillId="43" borderId="491" applyNumberFormat="0" applyAlignment="0" applyProtection="0"/>
    <xf numFmtId="4" fontId="32" fillId="34" borderId="464">
      <alignment horizontal="right" vertical="center"/>
    </xf>
    <xf numFmtId="4" fontId="34" fillId="0" borderId="479">
      <alignment horizontal="right" vertical="center"/>
    </xf>
    <xf numFmtId="0" fontId="32" fillId="34" borderId="471">
      <alignment horizontal="right" vertical="center"/>
    </xf>
    <xf numFmtId="0" fontId="36" fillId="32" borderId="462">
      <alignment horizontal="right" vertical="center"/>
    </xf>
    <xf numFmtId="0" fontId="34" fillId="33" borderId="462"/>
    <xf numFmtId="0" fontId="65" fillId="0" borderId="460" applyNumberFormat="0" applyFill="0" applyAlignment="0" applyProtection="0"/>
    <xf numFmtId="0" fontId="28" fillId="13" borderId="14" applyNumberFormat="0" applyAlignment="0" applyProtection="0"/>
    <xf numFmtId="0" fontId="65" fillId="0" borderId="469" applyNumberFormat="0" applyFill="0" applyAlignment="0" applyProtection="0"/>
    <xf numFmtId="0" fontId="12" fillId="25" borderId="0" applyNumberFormat="0" applyBorder="0" applyAlignment="0" applyProtection="0"/>
    <xf numFmtId="0" fontId="34" fillId="34" borderId="497">
      <alignment horizontal="left" vertical="center" wrapText="1" indent="2"/>
    </xf>
    <xf numFmtId="0" fontId="45" fillId="56" borderId="459" applyNumberFormat="0" applyAlignment="0" applyProtection="0"/>
    <xf numFmtId="0" fontId="34" fillId="34" borderId="497">
      <alignment horizontal="left" vertical="center" wrapText="1" indent="2"/>
    </xf>
    <xf numFmtId="0" fontId="32" fillId="32" borderId="462">
      <alignment horizontal="right" vertical="center"/>
    </xf>
    <xf numFmtId="49" fontId="34" fillId="0" borderId="462" applyNumberFormat="0" applyFont="0" applyFill="0" applyBorder="0" applyProtection="0">
      <alignment horizontal="left" vertical="center" indent="2"/>
    </xf>
    <xf numFmtId="173" fontId="34" fillId="60" borderId="471" applyNumberFormat="0" applyFont="0" applyBorder="0" applyAlignment="0" applyProtection="0">
      <alignment horizontal="right" vertical="center"/>
    </xf>
    <xf numFmtId="0" fontId="36" fillId="32" borderId="494">
      <alignment horizontal="right" vertical="center"/>
    </xf>
    <xf numFmtId="0" fontId="65" fillId="0" borderId="469" applyNumberFormat="0" applyFill="0" applyAlignment="0" applyProtection="0"/>
    <xf numFmtId="0" fontId="12" fillId="19" borderId="0" applyNumberFormat="0" applyBorder="0" applyAlignment="0" applyProtection="0"/>
    <xf numFmtId="0" fontId="46" fillId="56" borderId="459" applyNumberFormat="0" applyAlignment="0" applyProtection="0"/>
    <xf numFmtId="0" fontId="45" fillId="56" borderId="459" applyNumberFormat="0" applyAlignment="0" applyProtection="0"/>
    <xf numFmtId="0" fontId="1" fillId="0" borderId="0" applyNumberFormat="0" applyFill="0" applyBorder="0" applyAlignment="0" applyProtection="0"/>
    <xf numFmtId="0" fontId="45" fillId="56" borderId="459" applyNumberFormat="0" applyAlignment="0" applyProtection="0"/>
    <xf numFmtId="0" fontId="32" fillId="34" borderId="462">
      <alignment horizontal="right" vertical="center"/>
    </xf>
    <xf numFmtId="4" fontId="36" fillId="32" borderId="462">
      <alignment horizontal="right" vertical="center"/>
    </xf>
    <xf numFmtId="0" fontId="58" fillId="43" borderId="459" applyNumberFormat="0" applyAlignment="0" applyProtection="0"/>
    <xf numFmtId="4" fontId="36" fillId="32" borderId="471">
      <alignment horizontal="right" vertical="center"/>
    </xf>
    <xf numFmtId="4" fontId="34" fillId="0" borderId="462" applyFill="0" applyBorder="0" applyProtection="0">
      <alignment horizontal="right" vertical="center"/>
    </xf>
    <xf numFmtId="0" fontId="26" fillId="24" borderId="0" applyNumberFormat="0" applyBorder="0" applyAlignment="0" applyProtection="0"/>
    <xf numFmtId="0" fontId="65" fillId="0" borderId="469" applyNumberFormat="0" applyFill="0" applyAlignment="0" applyProtection="0"/>
    <xf numFmtId="0" fontId="12" fillId="28" borderId="0" applyNumberFormat="0" applyBorder="0" applyAlignment="0" applyProtection="0"/>
    <xf numFmtId="0" fontId="32" fillId="34" borderId="494">
      <alignment horizontal="right" vertical="center"/>
    </xf>
    <xf numFmtId="173" fontId="34" fillId="60" borderId="462" applyNumberFormat="0" applyFont="0" applyBorder="0" applyAlignment="0" applyProtection="0">
      <alignment horizontal="right" vertical="center"/>
    </xf>
    <xf numFmtId="4" fontId="32" fillId="34" borderId="495">
      <alignment horizontal="right" vertical="center"/>
    </xf>
    <xf numFmtId="0" fontId="12" fillId="16" borderId="0" applyNumberFormat="0" applyBorder="0" applyAlignment="0" applyProtection="0"/>
    <xf numFmtId="4" fontId="34" fillId="0" borderId="484" applyFill="0" applyBorder="0" applyProtection="0">
      <alignment horizontal="right" vertical="center"/>
    </xf>
    <xf numFmtId="0" fontId="30" fillId="0" borderId="0" applyNumberFormat="0" applyFill="0" applyBorder="0" applyAlignment="0" applyProtection="0"/>
    <xf numFmtId="0" fontId="36" fillId="32" borderId="462">
      <alignment horizontal="right" vertical="center"/>
    </xf>
    <xf numFmtId="4" fontId="34" fillId="0" borderId="471">
      <alignment horizontal="right" vertical="center"/>
    </xf>
    <xf numFmtId="0" fontId="26" fillId="26" borderId="0" applyNumberFormat="0" applyBorder="0" applyAlignment="0" applyProtection="0"/>
    <xf numFmtId="49" fontId="34" fillId="0" borderId="462" applyNumberFormat="0" applyFont="0" applyFill="0" applyBorder="0" applyProtection="0">
      <alignment horizontal="left" vertical="center" indent="2"/>
    </xf>
    <xf numFmtId="49" fontId="34" fillId="0" borderId="462" applyNumberFormat="0" applyFont="0" applyFill="0" applyBorder="0" applyProtection="0">
      <alignment horizontal="left" vertical="center" indent="2"/>
    </xf>
    <xf numFmtId="0" fontId="34" fillId="0" borderId="471">
      <alignment horizontal="right" vertical="center"/>
    </xf>
    <xf numFmtId="0" fontId="34" fillId="0" borderId="479" applyNumberFormat="0" applyFill="0" applyAlignment="0" applyProtection="0"/>
    <xf numFmtId="0" fontId="36" fillId="32" borderId="471">
      <alignment horizontal="right" vertical="center"/>
    </xf>
    <xf numFmtId="0" fontId="34" fillId="0" borderId="462" applyNumberFormat="0" applyFill="0" applyAlignment="0" applyProtection="0"/>
    <xf numFmtId="0" fontId="49" fillId="43" borderId="491" applyNumberFormat="0" applyAlignment="0" applyProtection="0"/>
    <xf numFmtId="0" fontId="58" fillId="43" borderId="468" applyNumberFormat="0" applyAlignment="0" applyProtection="0"/>
    <xf numFmtId="49" fontId="34" fillId="0" borderId="463" applyNumberFormat="0" applyFont="0" applyFill="0" applyBorder="0" applyProtection="0">
      <alignment horizontal="left" vertical="center" indent="5"/>
    </xf>
    <xf numFmtId="0" fontId="46" fillId="56" borderId="459" applyNumberFormat="0" applyAlignment="0" applyProtection="0"/>
    <xf numFmtId="0" fontId="46" fillId="56" borderId="468" applyNumberFormat="0" applyAlignment="0" applyProtection="0"/>
    <xf numFmtId="0" fontId="32" fillId="34" borderId="463">
      <alignment horizontal="right" vertical="center"/>
    </xf>
    <xf numFmtId="4" fontId="36" fillId="32" borderId="471">
      <alignment horizontal="right" vertical="center"/>
    </xf>
    <xf numFmtId="49" fontId="33" fillId="0" borderId="462" applyNumberFormat="0" applyFill="0" applyBorder="0" applyProtection="0">
      <alignment horizontal="left" vertical="center"/>
    </xf>
    <xf numFmtId="4" fontId="32" fillId="32" borderId="462">
      <alignment horizontal="right" vertical="center"/>
    </xf>
    <xf numFmtId="0" fontId="46" fillId="56" borderId="491" applyNumberFormat="0" applyAlignment="0" applyProtection="0"/>
    <xf numFmtId="0" fontId="12" fillId="16" borderId="0" applyNumberFormat="0" applyBorder="0" applyAlignment="0" applyProtection="0"/>
    <xf numFmtId="173" fontId="34" fillId="60" borderId="471" applyNumberFormat="0" applyFont="0" applyBorder="0" applyAlignment="0" applyProtection="0">
      <alignment horizontal="right" vertical="center"/>
    </xf>
    <xf numFmtId="0" fontId="46" fillId="56" borderId="468" applyNumberFormat="0" applyAlignment="0" applyProtection="0"/>
    <xf numFmtId="0" fontId="32" fillId="34" borderId="462">
      <alignment horizontal="right" vertical="center"/>
    </xf>
    <xf numFmtId="4" fontId="34" fillId="0" borderId="462">
      <alignment horizontal="right" vertical="center"/>
    </xf>
    <xf numFmtId="0" fontId="34" fillId="0" borderId="462" applyNumberFormat="0" applyFill="0" applyAlignment="0" applyProtection="0"/>
    <xf numFmtId="49" fontId="34" fillId="0" borderId="471" applyNumberFormat="0" applyFont="0" applyFill="0" applyBorder="0" applyProtection="0">
      <alignment horizontal="left" vertical="center" indent="2"/>
    </xf>
    <xf numFmtId="0" fontId="5" fillId="59" borderId="461" applyNumberFormat="0" applyFont="0" applyAlignment="0" applyProtection="0"/>
    <xf numFmtId="0" fontId="50" fillId="0" borderId="469" applyNumberFormat="0" applyFill="0" applyAlignment="0" applyProtection="0"/>
    <xf numFmtId="0" fontId="26" fillId="18" borderId="0" applyNumberFormat="0" applyBorder="0" applyAlignment="0" applyProtection="0"/>
    <xf numFmtId="0" fontId="40" fillId="59" borderId="470" applyNumberFormat="0" applyFont="0" applyAlignment="0" applyProtection="0"/>
    <xf numFmtId="0" fontId="32" fillId="34" borderId="462">
      <alignment horizontal="right" vertical="center"/>
    </xf>
    <xf numFmtId="4" fontId="32" fillId="34" borderId="462">
      <alignment horizontal="right" vertical="center"/>
    </xf>
    <xf numFmtId="0" fontId="2" fillId="0" borderId="15" applyNumberFormat="0" applyFill="0" applyAlignment="0" applyProtection="0"/>
    <xf numFmtId="0" fontId="34" fillId="0" borderId="494" applyNumberFormat="0" applyFill="0" applyAlignment="0" applyProtection="0"/>
    <xf numFmtId="0" fontId="46" fillId="56" borderId="468" applyNumberFormat="0" applyAlignment="0" applyProtection="0"/>
    <xf numFmtId="4" fontId="34" fillId="0" borderId="494" applyFill="0" applyBorder="0" applyProtection="0">
      <alignment horizontal="right" vertical="center"/>
    </xf>
    <xf numFmtId="0" fontId="32" fillId="34" borderId="495">
      <alignment horizontal="right" vertical="center"/>
    </xf>
    <xf numFmtId="0" fontId="26" fillId="21" borderId="0" applyNumberFormat="0" applyBorder="0" applyAlignment="0" applyProtection="0"/>
    <xf numFmtId="0" fontId="26" fillId="20" borderId="0" applyNumberFormat="0" applyBorder="0" applyAlignment="0" applyProtection="0"/>
    <xf numFmtId="0" fontId="32" fillId="32" borderId="462">
      <alignment horizontal="right" vertical="center"/>
    </xf>
    <xf numFmtId="0" fontId="12" fillId="25" borderId="0" applyNumberFormat="0" applyBorder="0" applyAlignment="0" applyProtection="0"/>
    <xf numFmtId="0" fontId="34" fillId="0" borderId="462">
      <alignment horizontal="right" vertical="center"/>
    </xf>
    <xf numFmtId="4" fontId="32" fillId="34" borderId="464">
      <alignment horizontal="right" vertical="center"/>
    </xf>
    <xf numFmtId="49" fontId="33" fillId="0" borderId="462" applyNumberFormat="0" applyFill="0" applyBorder="0" applyProtection="0">
      <alignment horizontal="left" vertical="center"/>
    </xf>
    <xf numFmtId="0" fontId="34" fillId="0" borderId="465">
      <alignment horizontal="left" vertical="center" wrapText="1" indent="2"/>
    </xf>
    <xf numFmtId="49" fontId="33" fillId="0" borderId="462" applyNumberFormat="0" applyFill="0" applyBorder="0" applyProtection="0">
      <alignment horizontal="left" vertical="center"/>
    </xf>
    <xf numFmtId="0" fontId="65" fillId="0" borderId="469" applyNumberFormat="0" applyFill="0" applyAlignment="0" applyProtection="0"/>
    <xf numFmtId="4" fontId="32" fillId="34" borderId="472">
      <alignment horizontal="right" vertical="center"/>
    </xf>
    <xf numFmtId="0" fontId="36" fillId="32" borderId="494">
      <alignment horizontal="right" vertical="center"/>
    </xf>
    <xf numFmtId="0" fontId="26" fillId="17" borderId="0" applyNumberFormat="0" applyBorder="0" applyAlignment="0" applyProtection="0"/>
    <xf numFmtId="0" fontId="46" fillId="56" borderId="459" applyNumberFormat="0" applyAlignment="0" applyProtection="0"/>
    <xf numFmtId="0" fontId="30" fillId="0" borderId="0" applyNumberFormat="0" applyFill="0" applyBorder="0" applyAlignment="0" applyProtection="0"/>
    <xf numFmtId="173" fontId="34" fillId="60" borderId="494" applyNumberFormat="0" applyFont="0" applyBorder="0" applyAlignment="0" applyProtection="0">
      <alignment horizontal="right" vertical="center"/>
    </xf>
    <xf numFmtId="49" fontId="33" fillId="0" borderId="479" applyNumberFormat="0" applyFill="0" applyBorder="0" applyProtection="0">
      <alignment horizontal="left" vertical="center"/>
    </xf>
    <xf numFmtId="0" fontId="26" fillId="27" borderId="0" applyNumberFormat="0" applyBorder="0" applyAlignment="0" applyProtection="0"/>
    <xf numFmtId="4" fontId="34" fillId="0" borderId="494">
      <alignment horizontal="right" vertical="center"/>
    </xf>
    <xf numFmtId="0" fontId="34" fillId="0" borderId="462">
      <alignment horizontal="right" vertical="center"/>
    </xf>
    <xf numFmtId="173" fontId="34" fillId="60" borderId="471" applyNumberFormat="0" applyFont="0" applyBorder="0" applyAlignment="0" applyProtection="0">
      <alignment horizontal="right" vertical="center"/>
    </xf>
    <xf numFmtId="0" fontId="62" fillId="56" borderId="467" applyNumberFormat="0" applyAlignment="0" applyProtection="0"/>
    <xf numFmtId="0" fontId="46" fillId="56" borderId="468" applyNumberFormat="0" applyAlignment="0" applyProtection="0"/>
    <xf numFmtId="4" fontId="32" fillId="34" borderId="471">
      <alignment horizontal="right" vertical="center"/>
    </xf>
    <xf numFmtId="49" fontId="34" fillId="0" borderId="463" applyNumberFormat="0" applyFont="0" applyFill="0" applyBorder="0" applyProtection="0">
      <alignment horizontal="left" vertical="center" indent="5"/>
    </xf>
    <xf numFmtId="0" fontId="32" fillId="34" borderId="471">
      <alignment horizontal="right" vertical="center"/>
    </xf>
    <xf numFmtId="0" fontId="34" fillId="0" borderId="471" applyNumberFormat="0" applyFill="0" applyAlignment="0" applyProtection="0"/>
    <xf numFmtId="0" fontId="32" fillId="34" borderId="494">
      <alignment horizontal="right" vertical="center"/>
    </xf>
    <xf numFmtId="4" fontId="34" fillId="0" borderId="471">
      <alignment horizontal="right" vertical="center"/>
    </xf>
    <xf numFmtId="0" fontId="34" fillId="0" borderId="465">
      <alignment horizontal="left" vertical="center" wrapText="1" indent="2"/>
    </xf>
    <xf numFmtId="0" fontId="34" fillId="0" borderId="465">
      <alignment horizontal="left" vertical="center" wrapText="1" indent="2"/>
    </xf>
    <xf numFmtId="0" fontId="34" fillId="0" borderId="482">
      <alignment horizontal="left" vertical="center" wrapText="1" indent="2"/>
    </xf>
    <xf numFmtId="0" fontId="58" fillId="43" borderId="468" applyNumberFormat="0" applyAlignment="0" applyProtection="0"/>
    <xf numFmtId="0" fontId="40" fillId="59" borderId="461" applyNumberFormat="0" applyFont="0" applyAlignment="0" applyProtection="0"/>
    <xf numFmtId="0" fontId="50" fillId="0" borderId="469" applyNumberFormat="0" applyFill="0" applyAlignment="0" applyProtection="0"/>
    <xf numFmtId="4" fontId="34" fillId="33" borderId="494"/>
    <xf numFmtId="0" fontId="26" fillId="29" borderId="0" applyNumberFormat="0" applyBorder="0" applyAlignment="0" applyProtection="0"/>
    <xf numFmtId="0" fontId="62" fillId="56" borderId="467" applyNumberFormat="0" applyAlignment="0" applyProtection="0"/>
    <xf numFmtId="0" fontId="26" fillId="27" borderId="0" applyNumberFormat="0" applyBorder="0" applyAlignment="0" applyProtection="0"/>
    <xf numFmtId="49" fontId="33" fillId="0" borderId="471" applyNumberFormat="0" applyFill="0" applyBorder="0" applyProtection="0">
      <alignment horizontal="left" vertical="center"/>
    </xf>
    <xf numFmtId="0" fontId="32" fillId="32" borderId="462">
      <alignment horizontal="right" vertical="center"/>
    </xf>
    <xf numFmtId="0" fontId="50" fillId="0" borderId="460" applyNumberFormat="0" applyFill="0" applyAlignment="0" applyProtection="0"/>
    <xf numFmtId="0" fontId="34" fillId="0" borderId="462" applyNumberFormat="0" applyFill="0" applyAlignment="0" applyProtection="0"/>
    <xf numFmtId="0" fontId="50" fillId="0" borderId="460" applyNumberFormat="0" applyFill="0" applyAlignment="0" applyProtection="0"/>
    <xf numFmtId="4" fontId="34" fillId="0" borderId="462" applyFill="0" applyBorder="0" applyProtection="0">
      <alignment horizontal="right" vertical="center"/>
    </xf>
    <xf numFmtId="49" fontId="34" fillId="0" borderId="463" applyNumberFormat="0" applyFont="0" applyFill="0" applyBorder="0" applyProtection="0">
      <alignment horizontal="left" vertical="center" indent="5"/>
    </xf>
    <xf numFmtId="0" fontId="34" fillId="0" borderId="462" applyNumberFormat="0" applyFill="0" applyAlignment="0" applyProtection="0"/>
    <xf numFmtId="0" fontId="58" fillId="43" borderId="459" applyNumberFormat="0" applyAlignment="0" applyProtection="0"/>
    <xf numFmtId="0" fontId="34" fillId="0" borderId="462" applyNumberFormat="0" applyFill="0" applyAlignment="0" applyProtection="0"/>
    <xf numFmtId="0" fontId="65" fillId="0" borderId="477" applyNumberFormat="0" applyFill="0" applyAlignment="0" applyProtection="0"/>
    <xf numFmtId="4" fontId="32" fillId="34" borderId="462">
      <alignment horizontal="right" vertical="center"/>
    </xf>
    <xf numFmtId="4" fontId="36" fillId="32" borderId="471">
      <alignment horizontal="right" vertical="center"/>
    </xf>
    <xf numFmtId="4" fontId="32" fillId="34" borderId="471">
      <alignment horizontal="right" vertical="center"/>
    </xf>
    <xf numFmtId="0" fontId="26" fillId="18" borderId="0" applyNumberFormat="0" applyBorder="0" applyAlignment="0" applyProtection="0"/>
    <xf numFmtId="0" fontId="49" fillId="43" borderId="459" applyNumberFormat="0" applyAlignment="0" applyProtection="0"/>
    <xf numFmtId="0" fontId="46" fillId="56" borderId="459" applyNumberFormat="0" applyAlignment="0" applyProtection="0"/>
    <xf numFmtId="4" fontId="34" fillId="0" borderId="462">
      <alignment horizontal="right" vertical="center"/>
    </xf>
    <xf numFmtId="0" fontId="34" fillId="34" borderId="465">
      <alignment horizontal="left" vertical="center" wrapText="1" indent="2"/>
    </xf>
    <xf numFmtId="0" fontId="34" fillId="0" borderId="465">
      <alignment horizontal="left" vertical="center" wrapText="1" indent="2"/>
    </xf>
    <xf numFmtId="0" fontId="62" fillId="56" borderId="466" applyNumberFormat="0" applyAlignment="0" applyProtection="0"/>
    <xf numFmtId="0" fontId="58" fillId="43" borderId="459" applyNumberFormat="0" applyAlignment="0" applyProtection="0"/>
    <xf numFmtId="0" fontId="45" fillId="56" borderId="459" applyNumberFormat="0" applyAlignment="0" applyProtection="0"/>
    <xf numFmtId="0" fontId="43" fillId="56" borderId="466" applyNumberFormat="0" applyAlignment="0" applyProtection="0"/>
    <xf numFmtId="0" fontId="32" fillId="34" borderId="464">
      <alignment horizontal="right" vertical="center"/>
    </xf>
    <xf numFmtId="0" fontId="36" fillId="32" borderId="462">
      <alignment horizontal="right" vertical="center"/>
    </xf>
    <xf numFmtId="4" fontId="32" fillId="32" borderId="462">
      <alignment horizontal="right" vertical="center"/>
    </xf>
    <xf numFmtId="4" fontId="32" fillId="34" borderId="462">
      <alignment horizontal="right" vertical="center"/>
    </xf>
    <xf numFmtId="49" fontId="34" fillId="0" borderId="463" applyNumberFormat="0" applyFont="0" applyFill="0" applyBorder="0" applyProtection="0">
      <alignment horizontal="left" vertical="center" indent="5"/>
    </xf>
    <xf numFmtId="4" fontId="34" fillId="0" borderId="462" applyFill="0" applyBorder="0" applyProtection="0">
      <alignment horizontal="right" vertical="center"/>
    </xf>
    <xf numFmtId="4" fontId="32" fillId="32" borderId="462">
      <alignment horizontal="right" vertical="center"/>
    </xf>
    <xf numFmtId="0" fontId="58" fillId="43" borderId="459" applyNumberFormat="0" applyAlignment="0" applyProtection="0"/>
    <xf numFmtId="0" fontId="49" fillId="43" borderId="459" applyNumberFormat="0" applyAlignment="0" applyProtection="0"/>
    <xf numFmtId="0" fontId="45" fillId="56" borderId="459" applyNumberFormat="0" applyAlignment="0" applyProtection="0"/>
    <xf numFmtId="0" fontId="34" fillId="34" borderId="465">
      <alignment horizontal="left" vertical="center" wrapText="1" indent="2"/>
    </xf>
    <xf numFmtId="0" fontId="34" fillId="0" borderId="465">
      <alignment horizontal="left" vertical="center" wrapText="1" indent="2"/>
    </xf>
    <xf numFmtId="0" fontId="34" fillId="34" borderId="465">
      <alignment horizontal="left" vertical="center" wrapText="1" indent="2"/>
    </xf>
    <xf numFmtId="0" fontId="50" fillId="0" borderId="469" applyNumberFormat="0" applyFill="0" applyAlignment="0" applyProtection="0"/>
    <xf numFmtId="0" fontId="62" fillId="56" borderId="467" applyNumberFormat="0" applyAlignment="0" applyProtection="0"/>
    <xf numFmtId="0" fontId="34" fillId="33" borderId="471"/>
    <xf numFmtId="0" fontId="32" fillId="32" borderId="471">
      <alignment horizontal="right" vertical="center"/>
    </xf>
    <xf numFmtId="0" fontId="26" fillId="18" borderId="0" applyNumberFormat="0" applyBorder="0" applyAlignment="0" applyProtection="0"/>
    <xf numFmtId="0" fontId="40" fillId="59" borderId="470" applyNumberFormat="0" applyFont="0" applyAlignment="0" applyProtection="0"/>
    <xf numFmtId="4" fontId="34" fillId="0" borderId="494">
      <alignment horizontal="right" vertical="center"/>
    </xf>
    <xf numFmtId="4" fontId="32" fillId="34" borderId="495">
      <alignment horizontal="right" vertical="center"/>
    </xf>
    <xf numFmtId="49" fontId="34" fillId="0" borderId="485" applyNumberFormat="0" applyFont="0" applyFill="0" applyBorder="0" applyProtection="0">
      <alignment horizontal="left" vertical="center" indent="5"/>
    </xf>
    <xf numFmtId="49" fontId="34" fillId="0" borderId="471" applyNumberFormat="0" applyFont="0" applyFill="0" applyBorder="0" applyProtection="0">
      <alignment horizontal="left" vertical="center" indent="2"/>
    </xf>
    <xf numFmtId="0" fontId="32" fillId="34" borderId="471">
      <alignment horizontal="right" vertical="center"/>
    </xf>
    <xf numFmtId="0" fontId="32" fillId="34" borderId="495">
      <alignment horizontal="right" vertical="center"/>
    </xf>
    <xf numFmtId="0" fontId="65" fillId="0" borderId="469" applyNumberFormat="0" applyFill="0" applyAlignment="0" applyProtection="0"/>
    <xf numFmtId="49" fontId="34" fillId="0" borderId="494" applyNumberFormat="0" applyFont="0" applyFill="0" applyBorder="0" applyProtection="0">
      <alignment horizontal="left" vertical="center" indent="2"/>
    </xf>
    <xf numFmtId="0" fontId="34" fillId="32" borderId="472">
      <alignment horizontal="left" vertical="center"/>
    </xf>
    <xf numFmtId="0" fontId="45" fillId="56" borderId="468" applyNumberFormat="0" applyAlignment="0" applyProtection="0"/>
    <xf numFmtId="0" fontId="34" fillId="33" borderId="494"/>
    <xf numFmtId="0" fontId="34" fillId="0" borderId="474">
      <alignment horizontal="left" vertical="center" wrapText="1" indent="2"/>
    </xf>
    <xf numFmtId="4" fontId="32" fillId="32" borderId="471">
      <alignment horizontal="right" vertical="center"/>
    </xf>
    <xf numFmtId="0" fontId="32" fillId="34" borderId="494">
      <alignment horizontal="right" vertical="center"/>
    </xf>
    <xf numFmtId="4" fontId="32" fillId="34" borderId="471">
      <alignment horizontal="right" vertical="center"/>
    </xf>
    <xf numFmtId="0" fontId="65" fillId="0" borderId="469" applyNumberFormat="0" applyFill="0" applyAlignment="0" applyProtection="0"/>
    <xf numFmtId="4" fontId="32" fillId="34" borderId="471">
      <alignment horizontal="right" vertical="center"/>
    </xf>
    <xf numFmtId="0" fontId="29" fillId="13" borderId="13" applyNumberFormat="0" applyAlignment="0" applyProtection="0"/>
    <xf numFmtId="0" fontId="12" fillId="19" borderId="0" applyNumberFormat="0" applyBorder="0" applyAlignment="0" applyProtection="0"/>
    <xf numFmtId="0" fontId="58" fillId="43" borderId="468" applyNumberFormat="0" applyAlignment="0" applyProtection="0"/>
    <xf numFmtId="0" fontId="12" fillId="16" borderId="0" applyNumberFormat="0" applyBorder="0" applyAlignment="0" applyProtection="0"/>
    <xf numFmtId="4" fontId="34" fillId="0" borderId="494">
      <alignment horizontal="right" vertical="center"/>
    </xf>
    <xf numFmtId="0" fontId="26" fillId="27" borderId="0" applyNumberFormat="0" applyBorder="0" applyAlignment="0" applyProtection="0"/>
    <xf numFmtId="0" fontId="12" fillId="22" borderId="0" applyNumberFormat="0" applyBorder="0" applyAlignment="0" applyProtection="0"/>
    <xf numFmtId="0" fontId="65" fillId="0" borderId="469" applyNumberFormat="0" applyFill="0" applyAlignment="0" applyProtection="0"/>
    <xf numFmtId="0" fontId="58" fillId="43" borderId="491" applyNumberFormat="0" applyAlignment="0" applyProtection="0"/>
    <xf numFmtId="0" fontId="34" fillId="33" borderId="479"/>
    <xf numFmtId="0" fontId="32" fillId="32" borderId="471">
      <alignment horizontal="right" vertical="center"/>
    </xf>
    <xf numFmtId="0" fontId="34" fillId="32" borderId="472">
      <alignment horizontal="left" vertical="center"/>
    </xf>
    <xf numFmtId="0" fontId="26" fillId="14" borderId="0" applyNumberFormat="0" applyBorder="0" applyAlignment="0" applyProtection="0"/>
    <xf numFmtId="0" fontId="26" fillId="18" borderId="0" applyNumberFormat="0" applyBorder="0" applyAlignment="0" applyProtection="0"/>
    <xf numFmtId="4" fontId="32" fillId="34" borderId="471">
      <alignment horizontal="right" vertical="center"/>
    </xf>
    <xf numFmtId="4" fontId="32" fillId="34" borderId="473">
      <alignment horizontal="right" vertical="center"/>
    </xf>
    <xf numFmtId="0" fontId="36" fillId="32" borderId="471">
      <alignment horizontal="right" vertical="center"/>
    </xf>
    <xf numFmtId="0" fontId="65" fillId="0" borderId="469" applyNumberFormat="0" applyFill="0" applyAlignment="0" applyProtection="0"/>
    <xf numFmtId="4" fontId="34" fillId="0" borderId="471" applyFill="0" applyBorder="0" applyProtection="0">
      <alignment horizontal="right" vertical="center"/>
    </xf>
    <xf numFmtId="0" fontId="34" fillId="0" borderId="494">
      <alignment horizontal="right" vertical="center"/>
    </xf>
    <xf numFmtId="0" fontId="62" fillId="56" borderId="467" applyNumberFormat="0" applyAlignment="0" applyProtection="0"/>
    <xf numFmtId="0" fontId="32" fillId="34" borderId="494">
      <alignment horizontal="right" vertical="center"/>
    </xf>
    <xf numFmtId="4" fontId="34" fillId="33" borderId="471"/>
    <xf numFmtId="0" fontId="30" fillId="0" borderId="0" applyNumberFormat="0" applyFill="0" applyBorder="0" applyAlignment="0" applyProtection="0"/>
    <xf numFmtId="49" fontId="34" fillId="0" borderId="471" applyNumberFormat="0" applyFont="0" applyFill="0" applyBorder="0" applyProtection="0">
      <alignment horizontal="left" vertical="center" indent="2"/>
    </xf>
    <xf numFmtId="0" fontId="58" fillId="43" borderId="468" applyNumberFormat="0" applyAlignment="0" applyProtection="0"/>
    <xf numFmtId="0" fontId="29" fillId="13" borderId="13" applyNumberFormat="0" applyAlignment="0" applyProtection="0"/>
    <xf numFmtId="0" fontId="34" fillId="0" borderId="471">
      <alignment horizontal="right" vertical="center"/>
    </xf>
    <xf numFmtId="0" fontId="2" fillId="0" borderId="15" applyNumberFormat="0" applyFill="0" applyAlignment="0" applyProtection="0"/>
    <xf numFmtId="0" fontId="34" fillId="0" borderId="494" applyNumberFormat="0" applyFill="0" applyAlignment="0" applyProtection="0"/>
    <xf numFmtId="0" fontId="30" fillId="0" borderId="0" applyNumberFormat="0" applyFill="0" applyBorder="0" applyAlignment="0" applyProtection="0"/>
    <xf numFmtId="4" fontId="32" fillId="34" borderId="473">
      <alignment horizontal="right" vertical="center"/>
    </xf>
    <xf numFmtId="0" fontId="12" fillId="25" borderId="0" applyNumberFormat="0" applyBorder="0" applyAlignment="0" applyProtection="0"/>
    <xf numFmtId="0" fontId="34" fillId="32" borderId="472">
      <alignment horizontal="left" vertical="center"/>
    </xf>
    <xf numFmtId="0" fontId="49" fillId="43" borderId="491" applyNumberFormat="0" applyAlignment="0" applyProtection="0"/>
    <xf numFmtId="4" fontId="32" fillId="34" borderId="495">
      <alignment horizontal="right" vertical="center"/>
    </xf>
    <xf numFmtId="0" fontId="32" fillId="34" borderId="472">
      <alignment horizontal="right" vertical="center"/>
    </xf>
    <xf numFmtId="0" fontId="46" fillId="56" borderId="476" applyNumberFormat="0" applyAlignment="0" applyProtection="0"/>
    <xf numFmtId="0" fontId="34" fillId="0" borderId="474">
      <alignment horizontal="left" vertical="center" wrapText="1" indent="2"/>
    </xf>
    <xf numFmtId="0" fontId="58" fillId="43" borderId="491" applyNumberFormat="0" applyAlignment="0" applyProtection="0"/>
    <xf numFmtId="4" fontId="32" fillId="34" borderId="496">
      <alignment horizontal="right" vertical="center"/>
    </xf>
    <xf numFmtId="0" fontId="34" fillId="32" borderId="495">
      <alignment horizontal="left" vertical="center"/>
    </xf>
    <xf numFmtId="0" fontId="32" fillId="34" borderId="472">
      <alignment horizontal="right" vertical="center"/>
    </xf>
    <xf numFmtId="0" fontId="34" fillId="34" borderId="474">
      <alignment horizontal="left" vertical="center" wrapText="1" indent="2"/>
    </xf>
    <xf numFmtId="0" fontId="65" fillId="0" borderId="492" applyNumberFormat="0" applyFill="0" applyAlignment="0" applyProtection="0"/>
    <xf numFmtId="0" fontId="32" fillId="32" borderId="471">
      <alignment horizontal="right" vertical="center"/>
    </xf>
    <xf numFmtId="49" fontId="34" fillId="0" borderId="484" applyNumberFormat="0" applyFont="0" applyFill="0" applyBorder="0" applyProtection="0">
      <alignment horizontal="left" vertical="center" indent="2"/>
    </xf>
    <xf numFmtId="0" fontId="46" fillId="56" borderId="468" applyNumberFormat="0" applyAlignment="0" applyProtection="0"/>
    <xf numFmtId="0" fontId="26" fillId="14" borderId="0" applyNumberFormat="0" applyBorder="0" applyAlignment="0" applyProtection="0"/>
    <xf numFmtId="0" fontId="12" fillId="22" borderId="0" applyNumberFormat="0" applyBorder="0" applyAlignment="0" applyProtection="0"/>
    <xf numFmtId="0" fontId="62" fillId="56" borderId="498" applyNumberFormat="0" applyAlignment="0" applyProtection="0"/>
    <xf numFmtId="0" fontId="34" fillId="0" borderId="487">
      <alignment horizontal="left" vertical="center" wrapText="1" indent="2"/>
    </xf>
    <xf numFmtId="0" fontId="26" fillId="17" borderId="0" applyNumberFormat="0" applyBorder="0" applyAlignment="0" applyProtection="0"/>
    <xf numFmtId="0" fontId="58" fillId="43" borderId="468" applyNumberFormat="0" applyAlignment="0" applyProtection="0"/>
    <xf numFmtId="0" fontId="26" fillId="21" borderId="0" applyNumberFormat="0" applyBorder="0" applyAlignment="0" applyProtection="0"/>
    <xf numFmtId="4" fontId="34" fillId="0" borderId="471">
      <alignment horizontal="right" vertical="center"/>
    </xf>
    <xf numFmtId="0" fontId="34" fillId="0" borderId="471" applyNumberFormat="0" applyFill="0" applyAlignment="0" applyProtection="0"/>
    <xf numFmtId="4" fontId="32" fillId="34" borderId="494">
      <alignment horizontal="right" vertical="center"/>
    </xf>
    <xf numFmtId="0" fontId="34" fillId="0" borderId="474">
      <alignment horizontal="left" vertical="center" wrapText="1" indent="2"/>
    </xf>
    <xf numFmtId="0" fontId="65" fillId="0" borderId="469" applyNumberFormat="0" applyFill="0" applyAlignment="0" applyProtection="0"/>
    <xf numFmtId="0" fontId="50" fillId="0" borderId="469" applyNumberFormat="0" applyFill="0" applyAlignment="0" applyProtection="0"/>
    <xf numFmtId="49" fontId="33" fillId="0" borderId="471" applyNumberFormat="0" applyFill="0" applyBorder="0" applyProtection="0">
      <alignment horizontal="left" vertical="center"/>
    </xf>
    <xf numFmtId="0" fontId="65" fillId="0" borderId="469" applyNumberFormat="0" applyFill="0" applyAlignment="0" applyProtection="0"/>
    <xf numFmtId="0" fontId="34" fillId="33" borderId="471"/>
    <xf numFmtId="0" fontId="34" fillId="34" borderId="482">
      <alignment horizontal="left" vertical="center" wrapText="1" indent="2"/>
    </xf>
    <xf numFmtId="0" fontId="32" fillId="34" borderId="471">
      <alignment horizontal="right" vertical="center"/>
    </xf>
    <xf numFmtId="0" fontId="26" fillId="29" borderId="0" applyNumberFormat="0" applyBorder="0" applyAlignment="0" applyProtection="0"/>
    <xf numFmtId="0" fontId="26" fillId="26" borderId="0" applyNumberFormat="0" applyBorder="0" applyAlignment="0" applyProtection="0"/>
    <xf numFmtId="0" fontId="12" fillId="22" borderId="0" applyNumberFormat="0" applyBorder="0" applyAlignment="0" applyProtection="0"/>
    <xf numFmtId="0" fontId="32" fillId="34" borderId="472">
      <alignment horizontal="right" vertical="center"/>
    </xf>
    <xf numFmtId="4" fontId="34" fillId="0" borderId="471" applyFill="0" applyBorder="0" applyProtection="0">
      <alignment horizontal="right" vertical="center"/>
    </xf>
    <xf numFmtId="4" fontId="32" fillId="34" borderId="473">
      <alignment horizontal="right" vertical="center"/>
    </xf>
    <xf numFmtId="0" fontId="34" fillId="34" borderId="497">
      <alignment horizontal="left" vertical="center" wrapText="1" indent="2"/>
    </xf>
    <xf numFmtId="4" fontId="32" fillId="34" borderId="473">
      <alignment horizontal="right" vertical="center"/>
    </xf>
    <xf numFmtId="49" fontId="33" fillId="0" borderId="484" applyNumberFormat="0" applyFill="0" applyBorder="0" applyProtection="0">
      <alignment horizontal="left" vertical="center"/>
    </xf>
    <xf numFmtId="0" fontId="58" fillId="43" borderId="491" applyNumberFormat="0" applyAlignment="0" applyProtection="0"/>
    <xf numFmtId="0" fontId="30" fillId="0" borderId="0" applyNumberFormat="0" applyFill="0" applyBorder="0" applyAlignment="0" applyProtection="0"/>
    <xf numFmtId="4" fontId="32" fillId="32" borderId="471">
      <alignment horizontal="right" vertical="center"/>
    </xf>
    <xf numFmtId="0" fontId="62" fillId="56" borderId="475" applyNumberFormat="0" applyAlignment="0" applyProtection="0"/>
    <xf numFmtId="0" fontId="26" fillId="24" borderId="0" applyNumberFormat="0" applyBorder="0" applyAlignment="0" applyProtection="0"/>
    <xf numFmtId="0" fontId="50" fillId="0" borderId="469" applyNumberFormat="0" applyFill="0" applyAlignment="0" applyProtection="0"/>
    <xf numFmtId="0" fontId="12" fillId="25" borderId="0" applyNumberFormat="0" applyBorder="0" applyAlignment="0" applyProtection="0"/>
    <xf numFmtId="0" fontId="65" fillId="0" borderId="492" applyNumberFormat="0" applyFill="0" applyAlignment="0" applyProtection="0"/>
    <xf numFmtId="0" fontId="46" fillId="56" borderId="468" applyNumberFormat="0" applyAlignment="0" applyProtection="0"/>
    <xf numFmtId="4" fontId="34" fillId="0" borderId="471">
      <alignment horizontal="right" vertical="center"/>
    </xf>
    <xf numFmtId="0" fontId="26" fillId="14" borderId="0" applyNumberFormat="0" applyBorder="0" applyAlignment="0" applyProtection="0"/>
    <xf numFmtId="0" fontId="40" fillId="59" borderId="470" applyNumberFormat="0" applyFont="0" applyAlignment="0" applyProtection="0"/>
    <xf numFmtId="0" fontId="12" fillId="22" borderId="0" applyNumberFormat="0" applyBorder="0" applyAlignment="0" applyProtection="0"/>
    <xf numFmtId="4" fontId="32" fillId="34" borderId="471">
      <alignment horizontal="right" vertical="center"/>
    </xf>
    <xf numFmtId="4" fontId="32" fillId="34" borderId="494">
      <alignment horizontal="right" vertical="center"/>
    </xf>
    <xf numFmtId="0" fontId="26" fillId="29" borderId="0" applyNumberFormat="0" applyBorder="0" applyAlignment="0" applyProtection="0"/>
    <xf numFmtId="0" fontId="1" fillId="0" borderId="0" applyNumberFormat="0" applyFill="0" applyBorder="0" applyAlignment="0" applyProtection="0"/>
    <xf numFmtId="0" fontId="26" fillId="15" borderId="0" applyNumberFormat="0" applyBorder="0" applyAlignment="0" applyProtection="0"/>
    <xf numFmtId="4" fontId="36" fillId="32" borderId="494">
      <alignment horizontal="right" vertical="center"/>
    </xf>
    <xf numFmtId="4" fontId="36" fillId="32" borderId="494">
      <alignment horizontal="right" vertical="center"/>
    </xf>
    <xf numFmtId="0" fontId="32" fillId="34" borderId="486">
      <alignment horizontal="right" vertical="center"/>
    </xf>
    <xf numFmtId="0" fontId="65" fillId="0" borderId="492" applyNumberFormat="0" applyFill="0" applyAlignment="0" applyProtection="0"/>
    <xf numFmtId="4" fontId="32" fillId="34" borderId="479">
      <alignment horizontal="right" vertical="center"/>
    </xf>
    <xf numFmtId="0" fontId="26" fillId="15" borderId="0" applyNumberFormat="0" applyBorder="0" applyAlignment="0" applyProtection="0"/>
    <xf numFmtId="49" fontId="34" fillId="0" borderId="480" applyNumberFormat="0" applyFont="0" applyFill="0" applyBorder="0" applyProtection="0">
      <alignment horizontal="left" vertical="center" indent="5"/>
    </xf>
    <xf numFmtId="0" fontId="12" fillId="16" borderId="0" applyNumberFormat="0" applyBorder="0" applyAlignment="0" applyProtection="0"/>
    <xf numFmtId="173" fontId="34" fillId="60" borderId="471" applyNumberFormat="0" applyFont="0" applyBorder="0" applyAlignment="0" applyProtection="0">
      <alignment horizontal="right" vertical="center"/>
    </xf>
    <xf numFmtId="0" fontId="32" fillId="32" borderId="494">
      <alignment horizontal="right" vertical="center"/>
    </xf>
    <xf numFmtId="4" fontId="36" fillId="32" borderId="494">
      <alignment horizontal="right" vertical="center"/>
    </xf>
    <xf numFmtId="0" fontId="45" fillId="56" borderId="476" applyNumberFormat="0" applyAlignment="0" applyProtection="0"/>
    <xf numFmtId="4" fontId="32" fillId="34" borderId="494">
      <alignment horizontal="right" vertical="center"/>
    </xf>
    <xf numFmtId="49" fontId="34" fillId="0" borderId="472" applyNumberFormat="0" applyFont="0" applyFill="0" applyBorder="0" applyProtection="0">
      <alignment horizontal="left" vertical="center" indent="5"/>
    </xf>
    <xf numFmtId="0" fontId="26" fillId="29" borderId="0" applyNumberFormat="0" applyBorder="0" applyAlignment="0" applyProtection="0"/>
    <xf numFmtId="0" fontId="34" fillId="32" borderId="472">
      <alignment horizontal="left" vertical="center"/>
    </xf>
    <xf numFmtId="49" fontId="34" fillId="0" borderId="471" applyNumberFormat="0" applyFont="0" applyFill="0" applyBorder="0" applyProtection="0">
      <alignment horizontal="left" vertical="center" indent="2"/>
    </xf>
    <xf numFmtId="49" fontId="34" fillId="0" borderId="495" applyNumberFormat="0" applyFont="0" applyFill="0" applyBorder="0" applyProtection="0">
      <alignment horizontal="left" vertical="center" indent="5"/>
    </xf>
    <xf numFmtId="0" fontId="65" fillId="0" borderId="469" applyNumberFormat="0" applyFill="0" applyAlignment="0" applyProtection="0"/>
    <xf numFmtId="0" fontId="46" fillId="56" borderId="468" applyNumberFormat="0" applyAlignment="0" applyProtection="0"/>
    <xf numFmtId="0" fontId="34" fillId="32" borderId="495">
      <alignment horizontal="left" vertical="center"/>
    </xf>
    <xf numFmtId="0" fontId="34" fillId="33" borderId="471"/>
    <xf numFmtId="0" fontId="26" fillId="27" borderId="0" applyNumberFormat="0" applyBorder="0" applyAlignment="0" applyProtection="0"/>
    <xf numFmtId="4" fontId="34" fillId="0" borderId="471">
      <alignment horizontal="right" vertical="center"/>
    </xf>
    <xf numFmtId="0" fontId="34" fillId="34" borderId="474">
      <alignment horizontal="left" vertical="center" wrapText="1" indent="2"/>
    </xf>
    <xf numFmtId="49" fontId="34" fillId="0" borderId="472" applyNumberFormat="0" applyFont="0" applyFill="0" applyBorder="0" applyProtection="0">
      <alignment horizontal="left" vertical="center" indent="5"/>
    </xf>
    <xf numFmtId="4" fontId="34" fillId="33" borderId="471"/>
    <xf numFmtId="0" fontId="12" fillId="31" borderId="0" applyNumberFormat="0" applyBorder="0" applyAlignment="0" applyProtection="0"/>
    <xf numFmtId="0" fontId="26" fillId="15" borderId="0" applyNumberFormat="0" applyBorder="0" applyAlignment="0" applyProtection="0"/>
    <xf numFmtId="49" fontId="34" fillId="0" borderId="472" applyNumberFormat="0" applyFont="0" applyFill="0" applyBorder="0" applyProtection="0">
      <alignment horizontal="left" vertical="center" indent="5"/>
    </xf>
    <xf numFmtId="0" fontId="30" fillId="0" borderId="0" applyNumberFormat="0" applyFill="0" applyBorder="0" applyAlignment="0" applyProtection="0"/>
    <xf numFmtId="0" fontId="46" fillId="56" borderId="468" applyNumberFormat="0" applyAlignment="0" applyProtection="0"/>
    <xf numFmtId="0" fontId="26" fillId="27" borderId="0" applyNumberFormat="0" applyBorder="0" applyAlignment="0" applyProtection="0"/>
    <xf numFmtId="0" fontId="32" fillId="32" borderId="471">
      <alignment horizontal="right" vertical="center"/>
    </xf>
    <xf numFmtId="0" fontId="34" fillId="0" borderId="471" applyNumberFormat="0" applyFill="0" applyAlignment="0" applyProtection="0"/>
    <xf numFmtId="0" fontId="1" fillId="0" borderId="0" applyNumberFormat="0" applyFill="0" applyBorder="0" applyAlignment="0" applyProtection="0"/>
    <xf numFmtId="0" fontId="34" fillId="33" borderId="471"/>
    <xf numFmtId="0" fontId="34" fillId="34" borderId="487">
      <alignment horizontal="left" vertical="center" wrapText="1" indent="2"/>
    </xf>
    <xf numFmtId="0" fontId="1" fillId="0" borderId="0" applyNumberFormat="0" applyFill="0" applyBorder="0" applyAlignment="0" applyProtection="0"/>
    <xf numFmtId="0" fontId="58" fillId="43" borderId="468" applyNumberFormat="0" applyAlignment="0" applyProtection="0"/>
    <xf numFmtId="0" fontId="26" fillId="20" borderId="0" applyNumberFormat="0" applyBorder="0" applyAlignment="0" applyProtection="0"/>
    <xf numFmtId="0" fontId="32" fillId="34" borderId="494">
      <alignment horizontal="right" vertical="center"/>
    </xf>
    <xf numFmtId="0" fontId="12" fillId="31" borderId="0" applyNumberFormat="0" applyBorder="0" applyAlignment="0" applyProtection="0"/>
    <xf numFmtId="0" fontId="26" fillId="30" borderId="0" applyNumberFormat="0" applyBorder="0" applyAlignment="0" applyProtection="0"/>
    <xf numFmtId="0" fontId="26" fillId="29" borderId="0" applyNumberFormat="0" applyBorder="0" applyAlignment="0" applyProtection="0"/>
    <xf numFmtId="49" fontId="34" fillId="0" borderId="494" applyNumberFormat="0" applyFont="0" applyFill="0" applyBorder="0" applyProtection="0">
      <alignment horizontal="left" vertical="center" indent="2"/>
    </xf>
    <xf numFmtId="0" fontId="50" fillId="0" borderId="469" applyNumberFormat="0" applyFill="0" applyAlignment="0" applyProtection="0"/>
    <xf numFmtId="0" fontId="46" fillId="56" borderId="468" applyNumberFormat="0" applyAlignment="0" applyProtection="0"/>
    <xf numFmtId="0" fontId="34" fillId="0" borderId="471">
      <alignment horizontal="right" vertical="center"/>
    </xf>
    <xf numFmtId="0" fontId="43" fillId="56" borderId="498" applyNumberFormat="0" applyAlignment="0" applyProtection="0"/>
    <xf numFmtId="0" fontId="65" fillId="0" borderId="492" applyNumberFormat="0" applyFill="0" applyAlignment="0" applyProtection="0"/>
    <xf numFmtId="49" fontId="33" fillId="0" borderId="471" applyNumberFormat="0" applyFill="0" applyBorder="0" applyProtection="0">
      <alignment horizontal="left" vertical="center"/>
    </xf>
    <xf numFmtId="4" fontId="32" fillId="34" borderId="484">
      <alignment horizontal="right" vertical="center"/>
    </xf>
    <xf numFmtId="0" fontId="62" fillId="56" borderId="498" applyNumberFormat="0" applyAlignment="0" applyProtection="0"/>
    <xf numFmtId="0" fontId="12" fillId="25" borderId="0" applyNumberFormat="0" applyBorder="0" applyAlignment="0" applyProtection="0"/>
    <xf numFmtId="0" fontId="46" fillId="56" borderId="468" applyNumberFormat="0" applyAlignment="0" applyProtection="0"/>
    <xf numFmtId="0" fontId="32" fillId="32" borderId="471">
      <alignment horizontal="right" vertical="center"/>
    </xf>
    <xf numFmtId="0" fontId="12" fillId="31" borderId="0" applyNumberFormat="0" applyBorder="0" applyAlignment="0" applyProtection="0"/>
    <xf numFmtId="0" fontId="46" fillId="56" borderId="468" applyNumberFormat="0" applyAlignment="0" applyProtection="0"/>
    <xf numFmtId="0" fontId="40" fillId="59" borderId="470" applyNumberFormat="0" applyFont="0" applyAlignment="0" applyProtection="0"/>
    <xf numFmtId="0" fontId="34" fillId="0" borderId="494" applyNumberFormat="0" applyFill="0" applyAlignment="0" applyProtection="0"/>
    <xf numFmtId="0" fontId="34" fillId="0" borderId="471" applyNumberFormat="0" applyFill="0" applyAlignment="0" applyProtection="0"/>
    <xf numFmtId="0" fontId="65" fillId="0" borderId="469" applyNumberFormat="0" applyFill="0" applyAlignment="0" applyProtection="0"/>
    <xf numFmtId="0" fontId="32" fillId="34" borderId="496">
      <alignment horizontal="right" vertical="center"/>
    </xf>
    <xf numFmtId="0" fontId="5" fillId="59" borderId="470" applyNumberFormat="0" applyFont="0" applyAlignment="0" applyProtection="0"/>
    <xf numFmtId="0" fontId="5" fillId="59" borderId="470" applyNumberFormat="0" applyFont="0" applyAlignment="0" applyProtection="0"/>
    <xf numFmtId="0" fontId="12" fillId="31" borderId="0" applyNumberFormat="0" applyBorder="0" applyAlignment="0" applyProtection="0"/>
    <xf numFmtId="0" fontId="62" fillId="56" borderId="467" applyNumberFormat="0" applyAlignment="0" applyProtection="0"/>
    <xf numFmtId="173" fontId="34" fillId="60" borderId="471" applyNumberFormat="0" applyFont="0" applyBorder="0" applyAlignment="0" applyProtection="0">
      <alignment horizontal="right" vertical="center"/>
    </xf>
    <xf numFmtId="0" fontId="2" fillId="0" borderId="15" applyNumberFormat="0" applyFill="0" applyAlignment="0" applyProtection="0"/>
    <xf numFmtId="0" fontId="12" fillId="16" borderId="0" applyNumberFormat="0" applyBorder="0" applyAlignment="0" applyProtection="0"/>
    <xf numFmtId="4" fontId="32" fillId="34" borderId="486">
      <alignment horizontal="right" vertical="center"/>
    </xf>
    <xf numFmtId="0" fontId="34" fillId="33" borderId="484"/>
    <xf numFmtId="0" fontId="5" fillId="59" borderId="470" applyNumberFormat="0" applyFont="0" applyAlignment="0" applyProtection="0"/>
    <xf numFmtId="0" fontId="32" fillId="34" borderId="494">
      <alignment horizontal="right" vertical="center"/>
    </xf>
    <xf numFmtId="0" fontId="12" fillId="28" borderId="0" applyNumberFormat="0" applyBorder="0" applyAlignment="0" applyProtection="0"/>
    <xf numFmtId="0" fontId="26" fillId="23" borderId="0" applyNumberFormat="0" applyBorder="0" applyAlignment="0" applyProtection="0"/>
    <xf numFmtId="0" fontId="34" fillId="0" borderId="471" applyNumberFormat="0" applyFill="0" applyAlignment="0" applyProtection="0"/>
    <xf numFmtId="0" fontId="34" fillId="0" borderId="487">
      <alignment horizontal="left" vertical="center" wrapText="1" indent="2"/>
    </xf>
    <xf numFmtId="0" fontId="12" fillId="19" borderId="0" applyNumberFormat="0" applyBorder="0" applyAlignment="0" applyProtection="0"/>
    <xf numFmtId="4" fontId="32" fillId="32" borderId="484">
      <alignment horizontal="right" vertical="center"/>
    </xf>
    <xf numFmtId="0" fontId="45" fillId="56" borderId="468" applyNumberFormat="0" applyAlignment="0" applyProtection="0"/>
    <xf numFmtId="0" fontId="12" fillId="22" borderId="0" applyNumberFormat="0" applyBorder="0" applyAlignment="0" applyProtection="0"/>
    <xf numFmtId="0" fontId="34" fillId="0" borderId="474">
      <alignment horizontal="left" vertical="center" wrapText="1" indent="2"/>
    </xf>
    <xf numFmtId="49" fontId="34" fillId="0" borderId="495" applyNumberFormat="0" applyFont="0" applyFill="0" applyBorder="0" applyProtection="0">
      <alignment horizontal="left" vertical="center" indent="5"/>
    </xf>
    <xf numFmtId="0" fontId="2" fillId="0" borderId="15" applyNumberFormat="0" applyFill="0" applyAlignment="0" applyProtection="0"/>
    <xf numFmtId="0" fontId="34" fillId="0" borderId="474">
      <alignment horizontal="left" vertical="center" wrapText="1" indent="2"/>
    </xf>
    <xf numFmtId="4" fontId="36" fillId="32" borderId="471">
      <alignment horizontal="right" vertical="center"/>
    </xf>
    <xf numFmtId="0" fontId="32" fillId="32" borderId="462">
      <alignment horizontal="right" vertical="center"/>
    </xf>
    <xf numFmtId="4" fontId="32" fillId="34" borderId="471">
      <alignment horizontal="right" vertical="center"/>
    </xf>
    <xf numFmtId="0" fontId="34" fillId="0" borderId="471">
      <alignment horizontal="right" vertical="center"/>
    </xf>
    <xf numFmtId="0" fontId="34" fillId="33" borderId="471"/>
    <xf numFmtId="0" fontId="32" fillId="34" borderId="471">
      <alignment horizontal="right" vertical="center"/>
    </xf>
    <xf numFmtId="0" fontId="34" fillId="33" borderId="471"/>
    <xf numFmtId="0" fontId="26" fillId="24" borderId="0" applyNumberFormat="0" applyBorder="0" applyAlignment="0" applyProtection="0"/>
    <xf numFmtId="0" fontId="34" fillId="33" borderId="462"/>
    <xf numFmtId="0" fontId="58" fillId="43" borderId="476" applyNumberFormat="0" applyAlignment="0" applyProtection="0"/>
    <xf numFmtId="4" fontId="34" fillId="0" borderId="494">
      <alignment horizontal="right" vertical="center"/>
    </xf>
    <xf numFmtId="0" fontId="40" fillId="59" borderId="470" applyNumberFormat="0" applyFont="0" applyAlignment="0" applyProtection="0"/>
    <xf numFmtId="0" fontId="26" fillId="26" borderId="0" applyNumberFormat="0" applyBorder="0" applyAlignment="0" applyProtection="0"/>
    <xf numFmtId="4" fontId="34" fillId="0" borderId="471">
      <alignment horizontal="right" vertical="center"/>
    </xf>
    <xf numFmtId="0" fontId="43" fillId="56" borderId="467" applyNumberFormat="0" applyAlignment="0" applyProtection="0"/>
    <xf numFmtId="0" fontId="2" fillId="0" borderId="15" applyNumberFormat="0" applyFill="0" applyAlignment="0" applyProtection="0"/>
    <xf numFmtId="0" fontId="26" fillId="15" borderId="0" applyNumberFormat="0" applyBorder="0" applyAlignment="0" applyProtection="0"/>
    <xf numFmtId="4" fontId="32" fillId="34" borderId="495">
      <alignment horizontal="right" vertical="center"/>
    </xf>
    <xf numFmtId="0" fontId="34" fillId="33" borderId="471"/>
    <xf numFmtId="0" fontId="32" fillId="34" borderId="471">
      <alignment horizontal="right" vertical="center"/>
    </xf>
    <xf numFmtId="4" fontId="32" fillId="34" borderId="472">
      <alignment horizontal="right" vertical="center"/>
    </xf>
    <xf numFmtId="4" fontId="36" fillId="32" borderId="471">
      <alignment horizontal="right" vertical="center"/>
    </xf>
    <xf numFmtId="49" fontId="33" fillId="0" borderId="494" applyNumberFormat="0" applyFill="0" applyBorder="0" applyProtection="0">
      <alignment horizontal="left" vertical="center"/>
    </xf>
    <xf numFmtId="0" fontId="45" fillId="56" borderId="491" applyNumberFormat="0" applyAlignment="0" applyProtection="0"/>
    <xf numFmtId="0" fontId="32" fillId="34" borderId="479">
      <alignment horizontal="right" vertical="center"/>
    </xf>
    <xf numFmtId="0" fontId="36" fillId="32" borderId="494">
      <alignment horizontal="right" vertical="center"/>
    </xf>
    <xf numFmtId="0" fontId="12" fillId="22" borderId="0" applyNumberFormat="0" applyBorder="0" applyAlignment="0" applyProtection="0"/>
    <xf numFmtId="0" fontId="49" fillId="43" borderId="491" applyNumberFormat="0" applyAlignment="0" applyProtection="0"/>
    <xf numFmtId="0" fontId="65" fillId="0" borderId="492" applyNumberFormat="0" applyFill="0" applyAlignment="0" applyProtection="0"/>
    <xf numFmtId="4" fontId="32" fillId="32" borderId="471">
      <alignment horizontal="right" vertical="center"/>
    </xf>
    <xf numFmtId="0" fontId="58" fillId="43" borderId="468" applyNumberFormat="0" applyAlignment="0" applyProtection="0"/>
    <xf numFmtId="0" fontId="46" fillId="56" borderId="491" applyNumberFormat="0" applyAlignment="0" applyProtection="0"/>
    <xf numFmtId="4" fontId="32" fillId="34" borderId="473">
      <alignment horizontal="right" vertical="center"/>
    </xf>
    <xf numFmtId="4" fontId="32" fillId="32" borderId="471">
      <alignment horizontal="right" vertical="center"/>
    </xf>
    <xf numFmtId="0" fontId="34" fillId="0" borderId="474">
      <alignment horizontal="left" vertical="center" wrapText="1" indent="2"/>
    </xf>
    <xf numFmtId="4" fontId="36" fillId="32" borderId="471">
      <alignment horizontal="right" vertical="center"/>
    </xf>
    <xf numFmtId="173" fontId="34" fillId="60" borderId="484" applyNumberFormat="0" applyFont="0" applyBorder="0" applyAlignment="0" applyProtection="0">
      <alignment horizontal="right" vertical="center"/>
    </xf>
    <xf numFmtId="0" fontId="26" fillId="26" borderId="0" applyNumberFormat="0" applyBorder="0" applyAlignment="0" applyProtection="0"/>
    <xf numFmtId="0" fontId="26" fillId="17" borderId="0" applyNumberFormat="0" applyBorder="0" applyAlignment="0" applyProtection="0"/>
    <xf numFmtId="0" fontId="5" fillId="59" borderId="470" applyNumberFormat="0" applyFont="0" applyAlignment="0" applyProtection="0"/>
    <xf numFmtId="0" fontId="62" fillId="56" borderId="467" applyNumberFormat="0" applyAlignment="0" applyProtection="0"/>
    <xf numFmtId="4" fontId="32" fillId="34" borderId="494">
      <alignment horizontal="right" vertical="center"/>
    </xf>
    <xf numFmtId="4" fontId="32" fillId="34" borderId="472">
      <alignment horizontal="right" vertical="center"/>
    </xf>
    <xf numFmtId="4" fontId="32" fillId="34" borderId="471">
      <alignment horizontal="right" vertical="center"/>
    </xf>
    <xf numFmtId="0" fontId="58" fillId="43" borderId="468" applyNumberFormat="0" applyAlignment="0" applyProtection="0"/>
    <xf numFmtId="0" fontId="34" fillId="34" borderId="474">
      <alignment horizontal="left" vertical="center" wrapText="1" indent="2"/>
    </xf>
    <xf numFmtId="0" fontId="1" fillId="0" borderId="0" applyNumberFormat="0" applyFill="0" applyBorder="0" applyAlignment="0" applyProtection="0"/>
    <xf numFmtId="0" fontId="45" fillId="56" borderId="468" applyNumberFormat="0" applyAlignment="0" applyProtection="0"/>
    <xf numFmtId="4" fontId="34" fillId="0" borderId="494" applyFill="0" applyBorder="0" applyProtection="0">
      <alignment horizontal="right" vertical="center"/>
    </xf>
    <xf numFmtId="0" fontId="26" fillId="29" borderId="0" applyNumberFormat="0" applyBorder="0" applyAlignment="0" applyProtection="0"/>
    <xf numFmtId="0" fontId="32" fillId="34" borderId="471">
      <alignment horizontal="right" vertical="center"/>
    </xf>
    <xf numFmtId="0" fontId="12" fillId="28" borderId="0" applyNumberFormat="0" applyBorder="0" applyAlignment="0" applyProtection="0"/>
    <xf numFmtId="0" fontId="40" fillId="59" borderId="470" applyNumberFormat="0" applyFont="0" applyAlignment="0" applyProtection="0"/>
    <xf numFmtId="4" fontId="32" fillId="34" borderId="471">
      <alignment horizontal="right" vertical="center"/>
    </xf>
    <xf numFmtId="4" fontId="32" fillId="34" borderId="496">
      <alignment horizontal="right" vertical="center"/>
    </xf>
    <xf numFmtId="49" fontId="34" fillId="0" borderId="471" applyNumberFormat="0" applyFont="0" applyFill="0" applyBorder="0" applyProtection="0">
      <alignment horizontal="left" vertical="center" indent="2"/>
    </xf>
    <xf numFmtId="0" fontId="34" fillId="34" borderId="474">
      <alignment horizontal="left" vertical="center" wrapText="1" indent="2"/>
    </xf>
    <xf numFmtId="0" fontId="40" fillId="59" borderId="470" applyNumberFormat="0" applyFont="0" applyAlignment="0" applyProtection="0"/>
    <xf numFmtId="0" fontId="26" fillId="23" borderId="0" applyNumberFormat="0" applyBorder="0" applyAlignment="0" applyProtection="0"/>
    <xf numFmtId="0" fontId="26" fillId="20" borderId="0" applyNumberFormat="0" applyBorder="0" applyAlignment="0" applyProtection="0"/>
    <xf numFmtId="0" fontId="26" fillId="26" borderId="0" applyNumberFormat="0" applyBorder="0" applyAlignment="0" applyProtection="0"/>
    <xf numFmtId="0" fontId="34" fillId="34" borderId="474">
      <alignment horizontal="left" vertical="center" wrapText="1" indent="2"/>
    </xf>
    <xf numFmtId="0" fontId="12" fillId="28" borderId="0" applyNumberFormat="0" applyBorder="0" applyAlignment="0" applyProtection="0"/>
    <xf numFmtId="0" fontId="34" fillId="0" borderId="474">
      <alignment horizontal="left" vertical="center" wrapText="1" indent="2"/>
    </xf>
    <xf numFmtId="0" fontId="58" fillId="43" borderId="476" applyNumberFormat="0" applyAlignment="0" applyProtection="0"/>
    <xf numFmtId="0" fontId="2" fillId="0" borderId="15" applyNumberFormat="0" applyFill="0" applyAlignment="0" applyProtection="0"/>
    <xf numFmtId="4" fontId="32" fillId="34" borderId="471">
      <alignment horizontal="right" vertical="center"/>
    </xf>
    <xf numFmtId="0" fontId="26" fillId="30" borderId="0" applyNumberFormat="0" applyBorder="0" applyAlignment="0" applyProtection="0"/>
    <xf numFmtId="0" fontId="65" fillId="0" borderId="469" applyNumberFormat="0" applyFill="0" applyAlignment="0" applyProtection="0"/>
    <xf numFmtId="0" fontId="65" fillId="0" borderId="469" applyNumberFormat="0" applyFill="0" applyAlignment="0" applyProtection="0"/>
    <xf numFmtId="0" fontId="34" fillId="0" borderId="474">
      <alignment horizontal="left" vertical="center" wrapText="1" indent="2"/>
    </xf>
    <xf numFmtId="0" fontId="12" fillId="16" borderId="0" applyNumberFormat="0" applyBorder="0" applyAlignment="0" applyProtection="0"/>
    <xf numFmtId="0" fontId="36" fillId="32" borderId="471">
      <alignment horizontal="right" vertical="center"/>
    </xf>
    <xf numFmtId="0" fontId="30" fillId="0" borderId="0" applyNumberFormat="0" applyFill="0" applyBorder="0" applyAlignment="0" applyProtection="0"/>
    <xf numFmtId="0" fontId="32" fillId="32" borderId="471">
      <alignment horizontal="right" vertical="center"/>
    </xf>
    <xf numFmtId="0" fontId="34" fillId="0" borderId="497">
      <alignment horizontal="left" vertical="center" wrapText="1" indent="2"/>
    </xf>
    <xf numFmtId="4" fontId="32" fillId="32" borderId="479">
      <alignment horizontal="right" vertical="center"/>
    </xf>
    <xf numFmtId="0" fontId="49" fillId="43" borderId="468" applyNumberFormat="0" applyAlignment="0" applyProtection="0"/>
    <xf numFmtId="0" fontId="32" fillId="34" borderId="472">
      <alignment horizontal="right" vertical="center"/>
    </xf>
    <xf numFmtId="0" fontId="26" fillId="21" borderId="0" applyNumberFormat="0" applyBorder="0" applyAlignment="0" applyProtection="0"/>
    <xf numFmtId="0" fontId="40" fillId="59" borderId="470" applyNumberFormat="0" applyFont="0" applyAlignment="0" applyProtection="0"/>
    <xf numFmtId="0" fontId="34" fillId="34" borderId="474">
      <alignment horizontal="left" vertical="center" wrapText="1" indent="2"/>
    </xf>
    <xf numFmtId="4" fontId="32" fillId="34" borderId="481">
      <alignment horizontal="right" vertical="center"/>
    </xf>
    <xf numFmtId="0" fontId="32" fillId="34" borderId="472">
      <alignment horizontal="right" vertical="center"/>
    </xf>
    <xf numFmtId="0" fontId="40" fillId="59" borderId="470" applyNumberFormat="0" applyFont="0" applyAlignment="0" applyProtection="0"/>
    <xf numFmtId="0" fontId="65" fillId="0" borderId="492" applyNumberFormat="0" applyFill="0" applyAlignment="0" applyProtection="0"/>
    <xf numFmtId="0" fontId="36" fillId="32" borderId="471">
      <alignment horizontal="right" vertical="center"/>
    </xf>
    <xf numFmtId="0" fontId="49" fillId="43" borderId="468" applyNumberFormat="0" applyAlignment="0" applyProtection="0"/>
    <xf numFmtId="0" fontId="26" fillId="18" borderId="0" applyNumberFormat="0" applyBorder="0" applyAlignment="0" applyProtection="0"/>
    <xf numFmtId="0" fontId="28" fillId="13" borderId="14" applyNumberFormat="0" applyAlignment="0" applyProtection="0"/>
    <xf numFmtId="0" fontId="45" fillId="56" borderId="468" applyNumberFormat="0" applyAlignment="0" applyProtection="0"/>
    <xf numFmtId="0" fontId="62" fillId="56" borderId="498" applyNumberFormat="0" applyAlignment="0" applyProtection="0"/>
    <xf numFmtId="0" fontId="12" fillId="19" borderId="0" applyNumberFormat="0" applyBorder="0" applyAlignment="0" applyProtection="0"/>
    <xf numFmtId="0" fontId="40" fillId="59" borderId="470" applyNumberFormat="0" applyFont="0" applyAlignment="0" applyProtection="0"/>
    <xf numFmtId="0" fontId="32" fillId="34" borderId="471">
      <alignment horizontal="right" vertical="center"/>
    </xf>
    <xf numFmtId="0" fontId="32" fillId="32" borderId="471">
      <alignment horizontal="right" vertical="center"/>
    </xf>
    <xf numFmtId="0" fontId="36" fillId="32" borderId="479">
      <alignment horizontal="right" vertical="center"/>
    </xf>
    <xf numFmtId="0" fontId="40" fillId="59" borderId="470" applyNumberFormat="0" applyFont="0" applyAlignment="0" applyProtection="0"/>
    <xf numFmtId="0" fontId="12" fillId="31" borderId="0" applyNumberFormat="0" applyBorder="0" applyAlignment="0" applyProtection="0"/>
    <xf numFmtId="0" fontId="28" fillId="13" borderId="14" applyNumberFormat="0" applyAlignment="0" applyProtection="0"/>
    <xf numFmtId="4" fontId="32" fillId="34" borderId="472">
      <alignment horizontal="right" vertical="center"/>
    </xf>
    <xf numFmtId="0" fontId="12" fillId="19" borderId="0" applyNumberFormat="0" applyBorder="0" applyAlignment="0" applyProtection="0"/>
    <xf numFmtId="4" fontId="32" fillId="34" borderId="494">
      <alignment horizontal="right" vertical="center"/>
    </xf>
    <xf numFmtId="0" fontId="62" fillId="56" borderId="467" applyNumberFormat="0" applyAlignment="0" applyProtection="0"/>
    <xf numFmtId="4" fontId="34" fillId="0" borderId="471" applyFill="0" applyBorder="0" applyProtection="0">
      <alignment horizontal="right" vertical="center"/>
    </xf>
    <xf numFmtId="0" fontId="2" fillId="0" borderId="15" applyNumberFormat="0" applyFill="0" applyAlignment="0" applyProtection="0"/>
    <xf numFmtId="173" fontId="34" fillId="60" borderId="494" applyNumberFormat="0" applyFont="0" applyBorder="0" applyAlignment="0" applyProtection="0">
      <alignment horizontal="right" vertical="center"/>
    </xf>
    <xf numFmtId="4" fontId="34" fillId="0" borderId="479" applyFill="0" applyBorder="0" applyProtection="0">
      <alignment horizontal="right" vertical="center"/>
    </xf>
    <xf numFmtId="0" fontId="26" fillId="30" borderId="0" applyNumberFormat="0" applyBorder="0" applyAlignment="0" applyProtection="0"/>
    <xf numFmtId="0" fontId="43" fillId="56" borderId="475" applyNumberFormat="0" applyAlignment="0" applyProtection="0"/>
    <xf numFmtId="4" fontId="32" fillId="34" borderId="472">
      <alignment horizontal="right" vertical="center"/>
    </xf>
    <xf numFmtId="4" fontId="34" fillId="0" borderId="471" applyFill="0" applyBorder="0" applyProtection="0">
      <alignment horizontal="right" vertical="center"/>
    </xf>
    <xf numFmtId="0" fontId="43" fillId="56" borderId="467" applyNumberFormat="0" applyAlignment="0" applyProtection="0"/>
    <xf numFmtId="0" fontId="26" fillId="26" borderId="0" applyNumberFormat="0" applyBorder="0" applyAlignment="0" applyProtection="0"/>
    <xf numFmtId="49" fontId="34" fillId="0" borderId="471" applyNumberFormat="0" applyFont="0" applyFill="0" applyBorder="0" applyProtection="0">
      <alignment horizontal="left" vertical="center" indent="2"/>
    </xf>
    <xf numFmtId="0" fontId="34" fillId="0" borderId="497">
      <alignment horizontal="left" vertical="center" wrapText="1" indent="2"/>
    </xf>
    <xf numFmtId="0" fontId="12" fillId="25" borderId="0" applyNumberFormat="0" applyBorder="0" applyAlignment="0" applyProtection="0"/>
    <xf numFmtId="0" fontId="34" fillId="33" borderId="494"/>
    <xf numFmtId="4" fontId="32" fillId="34" borderId="496">
      <alignment horizontal="right" vertical="center"/>
    </xf>
    <xf numFmtId="0" fontId="58" fillId="43" borderId="468" applyNumberFormat="0" applyAlignment="0" applyProtection="0"/>
    <xf numFmtId="49" fontId="33" fillId="0" borderId="494" applyNumberFormat="0" applyFill="0" applyBorder="0" applyProtection="0">
      <alignment horizontal="left" vertical="center"/>
    </xf>
    <xf numFmtId="49" fontId="34" fillId="0" borderId="472" applyNumberFormat="0" applyFont="0" applyFill="0" applyBorder="0" applyProtection="0">
      <alignment horizontal="left" vertical="center" indent="5"/>
    </xf>
    <xf numFmtId="0" fontId="34" fillId="32" borderId="472">
      <alignment horizontal="left" vertical="center"/>
    </xf>
    <xf numFmtId="0" fontId="62" fillId="56" borderId="467" applyNumberFormat="0" applyAlignment="0" applyProtection="0"/>
    <xf numFmtId="0" fontId="34" fillId="0" borderId="494">
      <alignment horizontal="right" vertical="center"/>
    </xf>
    <xf numFmtId="0" fontId="65" fillId="0" borderId="492" applyNumberFormat="0" applyFill="0" applyAlignment="0" applyProtection="0"/>
    <xf numFmtId="4" fontId="34" fillId="33" borderId="484"/>
    <xf numFmtId="0" fontId="32" fillId="34" borderId="473">
      <alignment horizontal="right" vertical="center"/>
    </xf>
    <xf numFmtId="4" fontId="34" fillId="33" borderId="471"/>
    <xf numFmtId="0" fontId="12" fillId="16" borderId="0" applyNumberFormat="0" applyBorder="0" applyAlignment="0" applyProtection="0"/>
    <xf numFmtId="0" fontId="65" fillId="0" borderId="469" applyNumberFormat="0" applyFill="0" applyAlignment="0" applyProtection="0"/>
    <xf numFmtId="0" fontId="1" fillId="0" borderId="0" applyNumberFormat="0" applyFill="0" applyBorder="0" applyAlignment="0" applyProtection="0"/>
    <xf numFmtId="0" fontId="34" fillId="33" borderId="494"/>
    <xf numFmtId="0" fontId="45" fillId="56" borderId="468" applyNumberFormat="0" applyAlignment="0" applyProtection="0"/>
    <xf numFmtId="4" fontId="32" fillId="34" borderId="494">
      <alignment horizontal="right" vertical="center"/>
    </xf>
    <xf numFmtId="4" fontId="32" fillId="34" borderId="479">
      <alignment horizontal="right" vertical="center"/>
    </xf>
    <xf numFmtId="0" fontId="26" fillId="21" borderId="0" applyNumberFormat="0" applyBorder="0" applyAlignment="0" applyProtection="0"/>
    <xf numFmtId="0" fontId="26" fillId="24" borderId="0" applyNumberFormat="0" applyBorder="0" applyAlignment="0" applyProtection="0"/>
    <xf numFmtId="0" fontId="32" fillId="34" borderId="471">
      <alignment horizontal="right" vertical="center"/>
    </xf>
    <xf numFmtId="0" fontId="46" fillId="56" borderId="468" applyNumberFormat="0" applyAlignment="0" applyProtection="0"/>
    <xf numFmtId="0" fontId="65" fillId="0" borderId="469" applyNumberFormat="0" applyFill="0" applyAlignment="0" applyProtection="0"/>
    <xf numFmtId="0" fontId="50" fillId="0" borderId="492" applyNumberFormat="0" applyFill="0" applyAlignment="0" applyProtection="0"/>
    <xf numFmtId="4" fontId="32" fillId="34" borderId="495">
      <alignment horizontal="right" vertical="center"/>
    </xf>
    <xf numFmtId="0" fontId="29" fillId="13" borderId="13" applyNumberFormat="0" applyAlignment="0" applyProtection="0"/>
    <xf numFmtId="0" fontId="32" fillId="34" borderId="471">
      <alignment horizontal="right" vertical="center"/>
    </xf>
    <xf numFmtId="0" fontId="36" fillId="32" borderId="494">
      <alignment horizontal="right" vertical="center"/>
    </xf>
    <xf numFmtId="0" fontId="40" fillId="59" borderId="470" applyNumberFormat="0" applyFont="0" applyAlignment="0" applyProtection="0"/>
    <xf numFmtId="0" fontId="46" fillId="56" borderId="468" applyNumberFormat="0" applyAlignment="0" applyProtection="0"/>
    <xf numFmtId="4" fontId="34" fillId="0" borderId="471" applyFill="0" applyBorder="0" applyProtection="0">
      <alignment horizontal="right" vertical="center"/>
    </xf>
    <xf numFmtId="0" fontId="5" fillId="59" borderId="493" applyNumberFormat="0" applyFont="0" applyAlignment="0" applyProtection="0"/>
    <xf numFmtId="49" fontId="34" fillId="0" borderId="471" applyNumberFormat="0" applyFont="0" applyFill="0" applyBorder="0" applyProtection="0">
      <alignment horizontal="left" vertical="center" indent="2"/>
    </xf>
    <xf numFmtId="0" fontId="58" fillId="43" borderId="468" applyNumberFormat="0" applyAlignment="0" applyProtection="0"/>
    <xf numFmtId="0" fontId="50" fillId="0" borderId="469" applyNumberFormat="0" applyFill="0" applyAlignment="0" applyProtection="0"/>
    <xf numFmtId="0" fontId="34" fillId="33" borderId="494"/>
    <xf numFmtId="0" fontId="28" fillId="13" borderId="14" applyNumberFormat="0" applyAlignment="0" applyProtection="0"/>
    <xf numFmtId="173" fontId="34" fillId="60" borderId="479" applyNumberFormat="0" applyFont="0" applyBorder="0" applyAlignment="0" applyProtection="0">
      <alignment horizontal="right" vertical="center"/>
    </xf>
    <xf numFmtId="0" fontId="49" fillId="43" borderId="491" applyNumberFormat="0" applyAlignment="0" applyProtection="0"/>
    <xf numFmtId="4" fontId="34" fillId="0" borderId="462" applyFill="0" applyBorder="0" applyProtection="0">
      <alignment horizontal="right" vertical="center"/>
    </xf>
    <xf numFmtId="0" fontId="32" fillId="34" borderId="473">
      <alignment horizontal="right" vertical="center"/>
    </xf>
    <xf numFmtId="0" fontId="62" fillId="56" borderId="475" applyNumberFormat="0" applyAlignment="0" applyProtection="0"/>
    <xf numFmtId="0" fontId="5" fillId="59" borderId="493" applyNumberFormat="0" applyFont="0" applyAlignment="0" applyProtection="0"/>
    <xf numFmtId="0" fontId="50" fillId="0" borderId="492" applyNumberFormat="0" applyFill="0" applyAlignment="0" applyProtection="0"/>
    <xf numFmtId="0" fontId="50" fillId="0" borderId="477" applyNumberFormat="0" applyFill="0" applyAlignment="0" applyProtection="0"/>
    <xf numFmtId="4" fontId="32" fillId="32" borderId="494">
      <alignment horizontal="right" vertical="center"/>
    </xf>
    <xf numFmtId="0" fontId="45" fillId="56" borderId="468" applyNumberFormat="0" applyAlignment="0" applyProtection="0"/>
    <xf numFmtId="0" fontId="28" fillId="13" borderId="14" applyNumberFormat="0" applyAlignment="0" applyProtection="0"/>
    <xf numFmtId="0" fontId="34" fillId="0" borderId="484" applyNumberFormat="0" applyFill="0" applyAlignment="0" applyProtection="0"/>
    <xf numFmtId="4" fontId="32" fillId="32" borderId="471">
      <alignment horizontal="right" vertical="center"/>
    </xf>
    <xf numFmtId="0" fontId="32" fillId="34" borderId="473">
      <alignment horizontal="right" vertical="center"/>
    </xf>
    <xf numFmtId="0" fontId="58" fillId="43" borderId="491" applyNumberFormat="0" applyAlignment="0" applyProtection="0"/>
    <xf numFmtId="0" fontId="26" fillId="23" borderId="0" applyNumberFormat="0" applyBorder="0" applyAlignment="0" applyProtection="0"/>
    <xf numFmtId="0" fontId="32" fillId="34" borderId="494">
      <alignment horizontal="right" vertical="center"/>
    </xf>
    <xf numFmtId="0" fontId="32" fillId="34" borderId="479">
      <alignment horizontal="right" vertical="center"/>
    </xf>
    <xf numFmtId="0" fontId="50" fillId="0" borderId="492" applyNumberFormat="0" applyFill="0" applyAlignment="0" applyProtection="0"/>
    <xf numFmtId="4" fontId="32" fillId="34" borderId="494">
      <alignment horizontal="right" vertical="center"/>
    </xf>
    <xf numFmtId="0" fontId="50" fillId="0" borderId="492" applyNumberFormat="0" applyFill="0" applyAlignment="0" applyProtection="0"/>
    <xf numFmtId="0" fontId="26" fillId="15" borderId="0" applyNumberFormat="0" applyBorder="0" applyAlignment="0" applyProtection="0"/>
    <xf numFmtId="0" fontId="34" fillId="0" borderId="471">
      <alignment horizontal="right" vertical="center"/>
    </xf>
    <xf numFmtId="0" fontId="34" fillId="0" borderId="471" applyNumberFormat="0" applyFill="0" applyAlignment="0" applyProtection="0"/>
    <xf numFmtId="0" fontId="65" fillId="0" borderId="469" applyNumberFormat="0" applyFill="0" applyAlignment="0" applyProtection="0"/>
    <xf numFmtId="4" fontId="34" fillId="0" borderId="471" applyFill="0" applyBorder="0" applyProtection="0">
      <alignment horizontal="right" vertical="center"/>
    </xf>
    <xf numFmtId="0" fontId="45" fillId="56" borderId="468" applyNumberFormat="0" applyAlignment="0" applyProtection="0"/>
    <xf numFmtId="4" fontId="34" fillId="33" borderId="471"/>
    <xf numFmtId="0" fontId="65" fillId="0" borderId="469" applyNumberFormat="0" applyFill="0" applyAlignment="0" applyProtection="0"/>
    <xf numFmtId="4" fontId="36" fillId="32" borderId="479">
      <alignment horizontal="right" vertical="center"/>
    </xf>
    <xf numFmtId="49" fontId="34" fillId="0" borderId="471" applyNumberFormat="0" applyFont="0" applyFill="0" applyBorder="0" applyProtection="0">
      <alignment horizontal="left" vertical="center" indent="2"/>
    </xf>
    <xf numFmtId="0" fontId="34" fillId="33" borderId="494"/>
    <xf numFmtId="4" fontId="34" fillId="33" borderId="479"/>
    <xf numFmtId="0" fontId="45" fillId="56" borderId="468" applyNumberFormat="0" applyAlignment="0" applyProtection="0"/>
    <xf numFmtId="4" fontId="32" fillId="34" borderId="496">
      <alignment horizontal="right" vertical="center"/>
    </xf>
    <xf numFmtId="0" fontId="34" fillId="0" borderId="474">
      <alignment horizontal="left" vertical="center" wrapText="1" indent="2"/>
    </xf>
    <xf numFmtId="0" fontId="62" fillId="56" borderId="467" applyNumberFormat="0" applyAlignment="0" applyProtection="0"/>
    <xf numFmtId="0" fontId="32" fillId="34" borderId="473">
      <alignment horizontal="right" vertical="center"/>
    </xf>
    <xf numFmtId="0" fontId="49" fillId="43" borderId="468" applyNumberFormat="0" applyAlignment="0" applyProtection="0"/>
    <xf numFmtId="0" fontId="32" fillId="34" borderId="473">
      <alignment horizontal="right" vertical="center"/>
    </xf>
    <xf numFmtId="4" fontId="32" fillId="34" borderId="471">
      <alignment horizontal="right" vertical="center"/>
    </xf>
    <xf numFmtId="0" fontId="32" fillId="34" borderId="471">
      <alignment horizontal="right" vertical="center"/>
    </xf>
    <xf numFmtId="0" fontId="43" fillId="56" borderId="467" applyNumberFormat="0" applyAlignment="0" applyProtection="0"/>
    <xf numFmtId="0" fontId="45" fillId="56" borderId="468" applyNumberFormat="0" applyAlignment="0" applyProtection="0"/>
    <xf numFmtId="0" fontId="50" fillId="0" borderId="469" applyNumberFormat="0" applyFill="0" applyAlignment="0" applyProtection="0"/>
    <xf numFmtId="0" fontId="34" fillId="33" borderId="471"/>
    <xf numFmtId="4" fontId="34" fillId="33" borderId="471"/>
    <xf numFmtId="4" fontId="32" fillId="34" borderId="471">
      <alignment horizontal="right" vertical="center"/>
    </xf>
    <xf numFmtId="0" fontId="36" fillId="32" borderId="471">
      <alignment horizontal="right" vertical="center"/>
    </xf>
    <xf numFmtId="0" fontId="49" fillId="43" borderId="468" applyNumberFormat="0" applyAlignment="0" applyProtection="0"/>
    <xf numFmtId="0" fontId="46" fillId="56" borderId="468" applyNumberFormat="0" applyAlignment="0" applyProtection="0"/>
    <xf numFmtId="4" fontId="34" fillId="0" borderId="471">
      <alignment horizontal="right" vertical="center"/>
    </xf>
    <xf numFmtId="0" fontId="34" fillId="34" borderId="474">
      <alignment horizontal="left" vertical="center" wrapText="1" indent="2"/>
    </xf>
    <xf numFmtId="0" fontId="34" fillId="0" borderId="474">
      <alignment horizontal="left" vertical="center" wrapText="1" indent="2"/>
    </xf>
    <xf numFmtId="0" fontId="62" fillId="56" borderId="467" applyNumberFormat="0" applyAlignment="0" applyProtection="0"/>
    <xf numFmtId="0" fontId="58" fillId="43" borderId="468" applyNumberFormat="0" applyAlignment="0" applyProtection="0"/>
    <xf numFmtId="0" fontId="45" fillId="56" borderId="468" applyNumberFormat="0" applyAlignment="0" applyProtection="0"/>
    <xf numFmtId="0" fontId="43" fillId="56" borderId="467" applyNumberFormat="0" applyAlignment="0" applyProtection="0"/>
    <xf numFmtId="0" fontId="32" fillId="34" borderId="473">
      <alignment horizontal="right" vertical="center"/>
    </xf>
    <xf numFmtId="0" fontId="36" fillId="32" borderId="471">
      <alignment horizontal="right" vertical="center"/>
    </xf>
    <xf numFmtId="4" fontId="32" fillId="32" borderId="471">
      <alignment horizontal="right" vertical="center"/>
    </xf>
    <xf numFmtId="4" fontId="32" fillId="34" borderId="471">
      <alignment horizontal="right" vertical="center"/>
    </xf>
    <xf numFmtId="49" fontId="34" fillId="0" borderId="472" applyNumberFormat="0" applyFont="0" applyFill="0" applyBorder="0" applyProtection="0">
      <alignment horizontal="left" vertical="center" indent="5"/>
    </xf>
    <xf numFmtId="4" fontId="34" fillId="0" borderId="471" applyFill="0" applyBorder="0" applyProtection="0">
      <alignment horizontal="right" vertical="center"/>
    </xf>
    <xf numFmtId="4" fontId="32" fillId="32" borderId="471">
      <alignment horizontal="right" vertical="center"/>
    </xf>
    <xf numFmtId="0" fontId="58" fillId="43" borderId="468" applyNumberFormat="0" applyAlignment="0" applyProtection="0"/>
    <xf numFmtId="0" fontId="49" fillId="43" borderId="468" applyNumberFormat="0" applyAlignment="0" applyProtection="0"/>
    <xf numFmtId="0" fontId="45" fillId="56" borderId="468" applyNumberFormat="0" applyAlignment="0" applyProtection="0"/>
    <xf numFmtId="0" fontId="34" fillId="34" borderId="474">
      <alignment horizontal="left" vertical="center" wrapText="1" indent="2"/>
    </xf>
    <xf numFmtId="0" fontId="34" fillId="0" borderId="474">
      <alignment horizontal="left" vertical="center" wrapText="1" indent="2"/>
    </xf>
    <xf numFmtId="0" fontId="34" fillId="34" borderId="474">
      <alignment horizontal="left" vertical="center" wrapText="1" indent="2"/>
    </xf>
    <xf numFmtId="0" fontId="12" fillId="16" borderId="0" applyNumberFormat="0" applyBorder="0" applyAlignment="0" applyProtection="0"/>
    <xf numFmtId="0" fontId="32" fillId="34" borderId="496">
      <alignment horizontal="right" vertical="center"/>
    </xf>
    <xf numFmtId="0" fontId="34" fillId="0" borderId="494">
      <alignment horizontal="right" vertical="center"/>
    </xf>
    <xf numFmtId="0" fontId="34" fillId="34" borderId="482">
      <alignment horizontal="left" vertical="center" wrapText="1" indent="2"/>
    </xf>
    <xf numFmtId="0" fontId="34" fillId="0" borderId="482">
      <alignment horizontal="left" vertical="center" wrapText="1" indent="2"/>
    </xf>
    <xf numFmtId="0" fontId="34" fillId="0" borderId="494" applyNumberFormat="0" applyFill="0" applyAlignment="0" applyProtection="0"/>
    <xf numFmtId="0" fontId="34" fillId="34" borderId="497">
      <alignment horizontal="left" vertical="center" wrapText="1" indent="2"/>
    </xf>
    <xf numFmtId="0" fontId="2" fillId="0" borderId="15" applyNumberFormat="0" applyFill="0" applyAlignment="0" applyProtection="0"/>
    <xf numFmtId="0" fontId="40" fillId="59" borderId="483" applyNumberFormat="0" applyFont="0" applyAlignment="0" applyProtection="0"/>
    <xf numFmtId="4" fontId="34" fillId="0" borderId="494" applyFill="0" applyBorder="0" applyProtection="0">
      <alignment horizontal="right" vertical="center"/>
    </xf>
    <xf numFmtId="0" fontId="5" fillId="59" borderId="483" applyNumberFormat="0" applyFont="0" applyAlignment="0" applyProtection="0"/>
    <xf numFmtId="0" fontId="43" fillId="56" borderId="498" applyNumberFormat="0" applyAlignment="0" applyProtection="0"/>
    <xf numFmtId="4" fontId="32" fillId="34" borderId="494">
      <alignment horizontal="right" vertical="center"/>
    </xf>
    <xf numFmtId="4" fontId="36" fillId="32" borderId="494">
      <alignment horizontal="right" vertical="center"/>
    </xf>
    <xf numFmtId="0" fontId="65" fillId="0" borderId="492" applyNumberFormat="0" applyFill="0" applyAlignment="0" applyProtection="0"/>
    <xf numFmtId="4" fontId="36" fillId="32" borderId="494">
      <alignment horizontal="right" vertical="center"/>
    </xf>
    <xf numFmtId="0" fontId="34" fillId="34" borderId="497">
      <alignment horizontal="left" vertical="center" wrapText="1" indent="2"/>
    </xf>
    <xf numFmtId="0" fontId="34" fillId="0" borderId="494">
      <alignment horizontal="right" vertical="center"/>
    </xf>
    <xf numFmtId="0" fontId="26" fillId="18" borderId="0" applyNumberFormat="0" applyBorder="0" applyAlignment="0" applyProtection="0"/>
    <xf numFmtId="0" fontId="46" fillId="56" borderId="491" applyNumberFormat="0" applyAlignment="0" applyProtection="0"/>
    <xf numFmtId="0" fontId="26" fillId="26" borderId="0" applyNumberFormat="0" applyBorder="0" applyAlignment="0" applyProtection="0"/>
    <xf numFmtId="0" fontId="40" fillId="59" borderId="493" applyNumberFormat="0" applyFont="0" applyAlignment="0" applyProtection="0"/>
    <xf numFmtId="49" fontId="33" fillId="0" borderId="494" applyNumberFormat="0" applyFill="0" applyBorder="0" applyProtection="0">
      <alignment horizontal="left" vertical="center"/>
    </xf>
    <xf numFmtId="0" fontId="40" fillId="59" borderId="493" applyNumberFormat="0" applyFont="0" applyAlignment="0" applyProtection="0"/>
    <xf numFmtId="0" fontId="46" fillId="56" borderId="491" applyNumberFormat="0" applyAlignment="0" applyProtection="0"/>
    <xf numFmtId="0" fontId="58" fillId="43" borderId="491" applyNumberFormat="0" applyAlignment="0" applyProtection="0"/>
    <xf numFmtId="173" fontId="34" fillId="60" borderId="494" applyNumberFormat="0" applyFont="0" applyBorder="0" applyAlignment="0" applyProtection="0">
      <alignment horizontal="right" vertical="center"/>
    </xf>
    <xf numFmtId="0" fontId="65" fillId="0" borderId="492" applyNumberFormat="0" applyFill="0" applyAlignment="0" applyProtection="0"/>
    <xf numFmtId="0" fontId="62" fillId="56" borderId="498" applyNumberFormat="0" applyAlignment="0" applyProtection="0"/>
    <xf numFmtId="0" fontId="26" fillId="21" borderId="0" applyNumberFormat="0" applyBorder="0" applyAlignment="0" applyProtection="0"/>
    <xf numFmtId="0" fontId="28" fillId="13" borderId="14" applyNumberFormat="0" applyAlignment="0" applyProtection="0"/>
    <xf numFmtId="0" fontId="46" fillId="56" borderId="491" applyNumberFormat="0" applyAlignment="0" applyProtection="0"/>
    <xf numFmtId="173" fontId="34" fillId="60" borderId="494" applyNumberFormat="0" applyFont="0" applyBorder="0" applyAlignment="0" applyProtection="0">
      <alignment horizontal="right" vertical="center"/>
    </xf>
    <xf numFmtId="0" fontId="32" fillId="34" borderId="495">
      <alignment horizontal="right" vertical="center"/>
    </xf>
    <xf numFmtId="0" fontId="34" fillId="0" borderId="494" applyNumberFormat="0" applyFill="0" applyAlignment="0" applyProtection="0"/>
    <xf numFmtId="0" fontId="58" fillId="43" borderId="491" applyNumberFormat="0" applyAlignment="0" applyProtection="0"/>
    <xf numFmtId="0" fontId="12" fillId="28" borderId="0" applyNumberFormat="0" applyBorder="0" applyAlignment="0" applyProtection="0"/>
    <xf numFmtId="0" fontId="26" fillId="26" borderId="0" applyNumberFormat="0" applyBorder="0" applyAlignment="0" applyProtection="0"/>
    <xf numFmtId="0" fontId="26" fillId="23" borderId="0" applyNumberFormat="0" applyBorder="0" applyAlignment="0" applyProtection="0"/>
    <xf numFmtId="0" fontId="26" fillId="21" borderId="0" applyNumberFormat="0" applyBorder="0" applyAlignment="0" applyProtection="0"/>
    <xf numFmtId="0" fontId="26" fillId="15" borderId="0" applyNumberFormat="0" applyBorder="0" applyAlignment="0" applyProtection="0"/>
    <xf numFmtId="0" fontId="34" fillId="0" borderId="497">
      <alignment horizontal="left" vertical="center" wrapText="1" indent="2"/>
    </xf>
    <xf numFmtId="4" fontId="32" fillId="34" borderId="485">
      <alignment horizontal="right" vertical="center"/>
    </xf>
    <xf numFmtId="4" fontId="32" fillId="34" borderId="484">
      <alignment horizontal="right" vertical="center"/>
    </xf>
    <xf numFmtId="0" fontId="34" fillId="32" borderId="495">
      <alignment horizontal="left" vertical="center"/>
    </xf>
    <xf numFmtId="4" fontId="32" fillId="34" borderId="479">
      <alignment horizontal="right" vertical="center"/>
    </xf>
    <xf numFmtId="0" fontId="34" fillId="33" borderId="479"/>
    <xf numFmtId="0" fontId="45" fillId="56" borderId="476" applyNumberFormat="0" applyAlignment="0" applyProtection="0"/>
    <xf numFmtId="0" fontId="32" fillId="32" borderId="479">
      <alignment horizontal="right" vertical="center"/>
    </xf>
    <xf numFmtId="0" fontId="34" fillId="0" borderId="479">
      <alignment horizontal="right" vertical="center"/>
    </xf>
    <xf numFmtId="0" fontId="65" fillId="0" borderId="477" applyNumberFormat="0" applyFill="0" applyAlignment="0" applyProtection="0"/>
    <xf numFmtId="0" fontId="34" fillId="32" borderId="480">
      <alignment horizontal="left" vertical="center"/>
    </xf>
    <xf numFmtId="0" fontId="58" fillId="43" borderId="476" applyNumberFormat="0" applyAlignment="0" applyProtection="0"/>
    <xf numFmtId="173" fontId="34" fillId="60" borderId="479" applyNumberFormat="0" applyFont="0" applyBorder="0" applyAlignment="0" applyProtection="0">
      <alignment horizontal="right" vertical="center"/>
    </xf>
    <xf numFmtId="0" fontId="40" fillId="59" borderId="478" applyNumberFormat="0" applyFont="0" applyAlignment="0" applyProtection="0"/>
    <xf numFmtId="0" fontId="34" fillId="0" borderId="482">
      <alignment horizontal="left" vertical="center" wrapText="1" indent="2"/>
    </xf>
    <xf numFmtId="4" fontId="34" fillId="33" borderId="479"/>
    <xf numFmtId="49" fontId="33" fillId="0" borderId="479" applyNumberFormat="0" applyFill="0" applyBorder="0" applyProtection="0">
      <alignment horizontal="left" vertical="center"/>
    </xf>
    <xf numFmtId="0" fontId="34" fillId="0" borderId="479">
      <alignment horizontal="right" vertical="center"/>
    </xf>
    <xf numFmtId="4" fontId="32" fillId="34" borderId="481">
      <alignment horizontal="right" vertical="center"/>
    </xf>
    <xf numFmtId="4" fontId="32" fillId="34" borderId="479">
      <alignment horizontal="right" vertical="center"/>
    </xf>
    <xf numFmtId="4" fontId="32" fillId="34" borderId="479">
      <alignment horizontal="right" vertical="center"/>
    </xf>
    <xf numFmtId="0" fontId="36" fillId="32" borderId="479">
      <alignment horizontal="right" vertical="center"/>
    </xf>
    <xf numFmtId="0" fontId="32" fillId="32" borderId="479">
      <alignment horizontal="right" vertical="center"/>
    </xf>
    <xf numFmtId="49" fontId="34" fillId="0" borderId="479" applyNumberFormat="0" applyFont="0" applyFill="0" applyBorder="0" applyProtection="0">
      <alignment horizontal="left" vertical="center" indent="2"/>
    </xf>
    <xf numFmtId="0" fontId="58" fillId="43" borderId="476" applyNumberFormat="0" applyAlignment="0" applyProtection="0"/>
    <xf numFmtId="0" fontId="43" fillId="56" borderId="475" applyNumberFormat="0" applyAlignment="0" applyProtection="0"/>
    <xf numFmtId="49" fontId="34" fillId="0" borderId="479" applyNumberFormat="0" applyFont="0" applyFill="0" applyBorder="0" applyProtection="0">
      <alignment horizontal="left" vertical="center" indent="2"/>
    </xf>
    <xf numFmtId="0" fontId="49" fillId="43" borderId="476" applyNumberFormat="0" applyAlignment="0" applyProtection="0"/>
    <xf numFmtId="4" fontId="34" fillId="0" borderId="479" applyFill="0" applyBorder="0" applyProtection="0">
      <alignment horizontal="right" vertical="center"/>
    </xf>
    <xf numFmtId="0" fontId="46" fillId="56" borderId="476" applyNumberFormat="0" applyAlignment="0" applyProtection="0"/>
    <xf numFmtId="0" fontId="65" fillId="0" borderId="477" applyNumberFormat="0" applyFill="0" applyAlignment="0" applyProtection="0"/>
    <xf numFmtId="0" fontId="62" fillId="56" borderId="475" applyNumberFormat="0" applyAlignment="0" applyProtection="0"/>
    <xf numFmtId="0" fontId="34" fillId="0" borderId="479" applyNumberFormat="0" applyFill="0" applyAlignment="0" applyProtection="0"/>
    <xf numFmtId="4" fontId="34" fillId="0" borderId="479">
      <alignment horizontal="right" vertical="center"/>
    </xf>
    <xf numFmtId="0" fontId="34" fillId="0" borderId="479">
      <alignment horizontal="right" vertical="center"/>
    </xf>
    <xf numFmtId="0" fontId="58" fillId="43" borderId="476" applyNumberFormat="0" applyAlignment="0" applyProtection="0"/>
    <xf numFmtId="0" fontId="43" fillId="56" borderId="475" applyNumberFormat="0" applyAlignment="0" applyProtection="0"/>
    <xf numFmtId="0" fontId="45" fillId="56" borderId="476" applyNumberFormat="0" applyAlignment="0" applyProtection="0"/>
    <xf numFmtId="0" fontId="34" fillId="34" borderId="482">
      <alignment horizontal="left" vertical="center" wrapText="1" indent="2"/>
    </xf>
    <xf numFmtId="0" fontId="46" fillId="56" borderId="476" applyNumberFormat="0" applyAlignment="0" applyProtection="0"/>
    <xf numFmtId="0" fontId="46" fillId="56" borderId="476" applyNumberFormat="0" applyAlignment="0" applyProtection="0"/>
    <xf numFmtId="4" fontId="32" fillId="34" borderId="480">
      <alignment horizontal="right" vertical="center"/>
    </xf>
    <xf numFmtId="0" fontId="32" fillId="34" borderId="480">
      <alignment horizontal="right" vertical="center"/>
    </xf>
    <xf numFmtId="0" fontId="32" fillId="34" borderId="479">
      <alignment horizontal="right" vertical="center"/>
    </xf>
    <xf numFmtId="4" fontId="36" fillId="32" borderId="479">
      <alignment horizontal="right" vertical="center"/>
    </xf>
    <xf numFmtId="0" fontId="49" fillId="43" borderId="476" applyNumberFormat="0" applyAlignment="0" applyProtection="0"/>
    <xf numFmtId="0" fontId="50" fillId="0" borderId="477" applyNumberFormat="0" applyFill="0" applyAlignment="0" applyProtection="0"/>
    <xf numFmtId="0" fontId="65" fillId="0" borderId="477" applyNumberFormat="0" applyFill="0" applyAlignment="0" applyProtection="0"/>
    <xf numFmtId="0" fontId="40" fillId="59" borderId="478" applyNumberFormat="0" applyFont="0" applyAlignment="0" applyProtection="0"/>
    <xf numFmtId="0" fontId="58" fillId="43" borderId="476" applyNumberFormat="0" applyAlignment="0" applyProtection="0"/>
    <xf numFmtId="49" fontId="33" fillId="0" borderId="479" applyNumberFormat="0" applyFill="0" applyBorder="0" applyProtection="0">
      <alignment horizontal="left" vertical="center"/>
    </xf>
    <xf numFmtId="0" fontId="34" fillId="34" borderId="482">
      <alignment horizontal="left" vertical="center" wrapText="1" indent="2"/>
    </xf>
    <xf numFmtId="0" fontId="46" fillId="56" borderId="476" applyNumberFormat="0" applyAlignment="0" applyProtection="0"/>
    <xf numFmtId="0" fontId="34" fillId="0" borderId="482">
      <alignment horizontal="left" vertical="center" wrapText="1" indent="2"/>
    </xf>
    <xf numFmtId="0" fontId="40" fillId="59" borderId="478" applyNumberFormat="0" applyFont="0" applyAlignment="0" applyProtection="0"/>
    <xf numFmtId="0" fontId="5" fillId="59" borderId="478" applyNumberFormat="0" applyFont="0" applyAlignment="0" applyProtection="0"/>
    <xf numFmtId="0" fontId="62" fillId="56" borderId="475" applyNumberFormat="0" applyAlignment="0" applyProtection="0"/>
    <xf numFmtId="0" fontId="65" fillId="0" borderId="477" applyNumberFormat="0" applyFill="0" applyAlignment="0" applyProtection="0"/>
    <xf numFmtId="4" fontId="34" fillId="33" borderId="479"/>
    <xf numFmtId="0" fontId="32" fillId="34" borderId="479">
      <alignment horizontal="right" vertical="center"/>
    </xf>
    <xf numFmtId="0" fontId="65" fillId="0" borderId="477" applyNumberFormat="0" applyFill="0" applyAlignment="0" applyProtection="0"/>
    <xf numFmtId="4" fontId="32" fillId="34" borderId="481">
      <alignment horizontal="right" vertical="center"/>
    </xf>
    <xf numFmtId="0" fontId="45" fillId="56" borderId="476" applyNumberFormat="0" applyAlignment="0" applyProtection="0"/>
    <xf numFmtId="0" fontId="32" fillId="34" borderId="480">
      <alignment horizontal="right" vertical="center"/>
    </xf>
    <xf numFmtId="0" fontId="46" fillId="56" borderId="476" applyNumberFormat="0" applyAlignment="0" applyProtection="0"/>
    <xf numFmtId="0" fontId="50" fillId="0" borderId="477" applyNumberFormat="0" applyFill="0" applyAlignment="0" applyProtection="0"/>
    <xf numFmtId="0" fontId="40" fillId="59" borderId="478" applyNumberFormat="0" applyFont="0" applyAlignment="0" applyProtection="0"/>
    <xf numFmtId="4" fontId="32" fillId="34" borderId="480">
      <alignment horizontal="right" vertical="center"/>
    </xf>
    <xf numFmtId="0" fontId="34" fillId="34" borderId="482">
      <alignment horizontal="left" vertical="center" wrapText="1" indent="2"/>
    </xf>
    <xf numFmtId="0" fontId="34" fillId="33" borderId="479"/>
    <xf numFmtId="173" fontId="34" fillId="60" borderId="479" applyNumberFormat="0" applyFont="0" applyBorder="0" applyAlignment="0" applyProtection="0">
      <alignment horizontal="right" vertical="center"/>
    </xf>
    <xf numFmtId="0" fontId="34" fillId="0" borderId="479" applyNumberFormat="0" applyFill="0" applyAlignment="0" applyProtection="0"/>
    <xf numFmtId="4" fontId="34" fillId="0" borderId="479" applyFill="0" applyBorder="0" applyProtection="0">
      <alignment horizontal="right" vertical="center"/>
    </xf>
    <xf numFmtId="4" fontId="32" fillId="32" borderId="479">
      <alignment horizontal="right" vertical="center"/>
    </xf>
    <xf numFmtId="0" fontId="50" fillId="0" borderId="477" applyNumberFormat="0" applyFill="0" applyAlignment="0" applyProtection="0"/>
    <xf numFmtId="49" fontId="33" fillId="0" borderId="479" applyNumberFormat="0" applyFill="0" applyBorder="0" applyProtection="0">
      <alignment horizontal="left" vertical="center"/>
    </xf>
    <xf numFmtId="49" fontId="34" fillId="0" borderId="480" applyNumberFormat="0" applyFont="0" applyFill="0" applyBorder="0" applyProtection="0">
      <alignment horizontal="left" vertical="center" indent="5"/>
    </xf>
    <xf numFmtId="0" fontId="34" fillId="32" borderId="480">
      <alignment horizontal="left" vertical="center"/>
    </xf>
    <xf numFmtId="0" fontId="46" fillId="56" borderId="476" applyNumberFormat="0" applyAlignment="0" applyProtection="0"/>
    <xf numFmtId="4" fontId="32" fillId="34" borderId="481">
      <alignment horizontal="right" vertical="center"/>
    </xf>
    <xf numFmtId="0" fontId="58" fillId="43" borderId="476" applyNumberFormat="0" applyAlignment="0" applyProtection="0"/>
    <xf numFmtId="0" fontId="58" fillId="43" borderId="476" applyNumberFormat="0" applyAlignment="0" applyProtection="0"/>
    <xf numFmtId="0" fontId="40" fillId="59" borderId="478" applyNumberFormat="0" applyFont="0" applyAlignment="0" applyProtection="0"/>
    <xf numFmtId="0" fontId="62" fillId="56" borderId="475" applyNumberFormat="0" applyAlignment="0" applyProtection="0"/>
    <xf numFmtId="0" fontId="65" fillId="0" borderId="477" applyNumberFormat="0" applyFill="0" applyAlignment="0" applyProtection="0"/>
    <xf numFmtId="0" fontId="32" fillId="34" borderId="479">
      <alignment horizontal="right" vertical="center"/>
    </xf>
    <xf numFmtId="0" fontId="5" fillId="59" borderId="478" applyNumberFormat="0" applyFont="0" applyAlignment="0" applyProtection="0"/>
    <xf numFmtId="4" fontId="34" fillId="0" borderId="479">
      <alignment horizontal="right" vertical="center"/>
    </xf>
    <xf numFmtId="0" fontId="65" fillId="0" borderId="477" applyNumberFormat="0" applyFill="0" applyAlignment="0" applyProtection="0"/>
    <xf numFmtId="0" fontId="32" fillId="34" borderId="479">
      <alignment horizontal="right" vertical="center"/>
    </xf>
    <xf numFmtId="0" fontId="32" fillId="34" borderId="479">
      <alignment horizontal="right" vertical="center"/>
    </xf>
    <xf numFmtId="4" fontId="36" fillId="32" borderId="479">
      <alignment horizontal="right" vertical="center"/>
    </xf>
    <xf numFmtId="0" fontId="32" fillId="32" borderId="479">
      <alignment horizontal="right" vertical="center"/>
    </xf>
    <xf numFmtId="4" fontId="32" fillId="32" borderId="479">
      <alignment horizontal="right" vertical="center"/>
    </xf>
    <xf numFmtId="0" fontId="36" fillId="32" borderId="479">
      <alignment horizontal="right" vertical="center"/>
    </xf>
    <xf numFmtId="4" fontId="36" fillId="32" borderId="479">
      <alignment horizontal="right" vertical="center"/>
    </xf>
    <xf numFmtId="0" fontId="32" fillId="34" borderId="479">
      <alignment horizontal="right" vertical="center"/>
    </xf>
    <xf numFmtId="4" fontId="32" fillId="34" borderId="479">
      <alignment horizontal="right" vertical="center"/>
    </xf>
    <xf numFmtId="0" fontId="32" fillId="34" borderId="479">
      <alignment horizontal="right" vertical="center"/>
    </xf>
    <xf numFmtId="4" fontId="32" fillId="34" borderId="479">
      <alignment horizontal="right" vertical="center"/>
    </xf>
    <xf numFmtId="0" fontId="32" fillId="34" borderId="480">
      <alignment horizontal="right" vertical="center"/>
    </xf>
    <xf numFmtId="4" fontId="32" fillId="34" borderId="480">
      <alignment horizontal="right" vertical="center"/>
    </xf>
    <xf numFmtId="0" fontId="32" fillId="34" borderId="481">
      <alignment horizontal="right" vertical="center"/>
    </xf>
    <xf numFmtId="4" fontId="32" fillId="34" borderId="481">
      <alignment horizontal="right" vertical="center"/>
    </xf>
    <xf numFmtId="0" fontId="46" fillId="56" borderId="476" applyNumberFormat="0" applyAlignment="0" applyProtection="0"/>
    <xf numFmtId="0" fontId="34" fillId="34" borderId="482">
      <alignment horizontal="left" vertical="center" wrapText="1" indent="2"/>
    </xf>
    <xf numFmtId="0" fontId="34" fillId="0" borderId="482">
      <alignment horizontal="left" vertical="center" wrapText="1" indent="2"/>
    </xf>
    <xf numFmtId="0" fontId="34" fillId="32" borderId="480">
      <alignment horizontal="left" vertical="center"/>
    </xf>
    <xf numFmtId="0" fontId="58" fillId="43" borderId="476" applyNumberFormat="0" applyAlignment="0" applyProtection="0"/>
    <xf numFmtId="0" fontId="34" fillId="0" borderId="479">
      <alignment horizontal="right" vertical="center"/>
    </xf>
    <xf numFmtId="4" fontId="34" fillId="0" borderId="479">
      <alignment horizontal="right" vertical="center"/>
    </xf>
    <xf numFmtId="0" fontId="34" fillId="0" borderId="479" applyNumberFormat="0" applyFill="0" applyAlignment="0" applyProtection="0"/>
    <xf numFmtId="0" fontId="62" fillId="56" borderId="475" applyNumberFormat="0" applyAlignment="0" applyProtection="0"/>
    <xf numFmtId="173" fontId="34" fillId="60" borderId="479" applyNumberFormat="0" applyFont="0" applyBorder="0" applyAlignment="0" applyProtection="0">
      <alignment horizontal="right" vertical="center"/>
    </xf>
    <xf numFmtId="0" fontId="34" fillId="33" borderId="479"/>
    <xf numFmtId="4" fontId="34" fillId="33" borderId="479"/>
    <xf numFmtId="0" fontId="65" fillId="0" borderId="477" applyNumberFormat="0" applyFill="0" applyAlignment="0" applyProtection="0"/>
    <xf numFmtId="0" fontId="5" fillId="59" borderId="478" applyNumberFormat="0" applyFont="0" applyAlignment="0" applyProtection="0"/>
    <xf numFmtId="0" fontId="40" fillId="59" borderId="478" applyNumberFormat="0" applyFont="0" applyAlignment="0" applyProtection="0"/>
    <xf numFmtId="0" fontId="34" fillId="0" borderId="479" applyNumberFormat="0" applyFill="0" applyAlignment="0" applyProtection="0"/>
    <xf numFmtId="0" fontId="50" fillId="0" borderId="477" applyNumberFormat="0" applyFill="0" applyAlignment="0" applyProtection="0"/>
    <xf numFmtId="0" fontId="65" fillId="0" borderId="477" applyNumberFormat="0" applyFill="0" applyAlignment="0" applyProtection="0"/>
    <xf numFmtId="0" fontId="49" fillId="43" borderId="476" applyNumberFormat="0" applyAlignment="0" applyProtection="0"/>
    <xf numFmtId="0" fontId="46" fillId="56" borderId="476" applyNumberFormat="0" applyAlignment="0" applyProtection="0"/>
    <xf numFmtId="4" fontId="36" fillId="32" borderId="479">
      <alignment horizontal="right" vertical="center"/>
    </xf>
    <xf numFmtId="0" fontId="32" fillId="32" borderId="479">
      <alignment horizontal="right" vertical="center"/>
    </xf>
    <xf numFmtId="173" fontId="34" fillId="60" borderId="479" applyNumberFormat="0" applyFont="0" applyBorder="0" applyAlignment="0" applyProtection="0">
      <alignment horizontal="right" vertical="center"/>
    </xf>
    <xf numFmtId="0" fontId="50" fillId="0" borderId="477" applyNumberFormat="0" applyFill="0" applyAlignment="0" applyProtection="0"/>
    <xf numFmtId="49" fontId="34" fillId="0" borderId="479" applyNumberFormat="0" applyFont="0" applyFill="0" applyBorder="0" applyProtection="0">
      <alignment horizontal="left" vertical="center" indent="2"/>
    </xf>
    <xf numFmtId="49" fontId="34" fillId="0" borderId="480" applyNumberFormat="0" applyFont="0" applyFill="0" applyBorder="0" applyProtection="0">
      <alignment horizontal="left" vertical="center" indent="5"/>
    </xf>
    <xf numFmtId="49" fontId="34" fillId="0" borderId="479" applyNumberFormat="0" applyFont="0" applyFill="0" applyBorder="0" applyProtection="0">
      <alignment horizontal="left" vertical="center" indent="2"/>
    </xf>
    <xf numFmtId="4" fontId="34" fillId="0" borderId="479" applyFill="0" applyBorder="0" applyProtection="0">
      <alignment horizontal="right" vertical="center"/>
    </xf>
    <xf numFmtId="49" fontId="33" fillId="0" borderId="479" applyNumberFormat="0" applyFill="0" applyBorder="0" applyProtection="0">
      <alignment horizontal="left" vertical="center"/>
    </xf>
    <xf numFmtId="0" fontId="34" fillId="0" borderId="482">
      <alignment horizontal="left" vertical="center" wrapText="1" indent="2"/>
    </xf>
    <xf numFmtId="0" fontId="62" fillId="56" borderId="475" applyNumberFormat="0" applyAlignment="0" applyProtection="0"/>
    <xf numFmtId="0" fontId="32" fillId="34" borderId="481">
      <alignment horizontal="right" vertical="center"/>
    </xf>
    <xf numFmtId="0" fontId="49" fillId="43" borderId="476" applyNumberFormat="0" applyAlignment="0" applyProtection="0"/>
    <xf numFmtId="0" fontId="32" fillId="34" borderId="481">
      <alignment horizontal="right" vertical="center"/>
    </xf>
    <xf numFmtId="4" fontId="32" fillId="34" borderId="479">
      <alignment horizontal="right" vertical="center"/>
    </xf>
    <xf numFmtId="0" fontId="32" fillId="34" borderId="479">
      <alignment horizontal="right" vertical="center"/>
    </xf>
    <xf numFmtId="0" fontId="43" fillId="56" borderId="475" applyNumberFormat="0" applyAlignment="0" applyProtection="0"/>
    <xf numFmtId="0" fontId="45" fillId="56" borderId="476" applyNumberFormat="0" applyAlignment="0" applyProtection="0"/>
    <xf numFmtId="0" fontId="50" fillId="0" borderId="477" applyNumberFormat="0" applyFill="0" applyAlignment="0" applyProtection="0"/>
    <xf numFmtId="0" fontId="34" fillId="33" borderId="479"/>
    <xf numFmtId="4" fontId="34" fillId="33" borderId="479"/>
    <xf numFmtId="4" fontId="32" fillId="34" borderId="479">
      <alignment horizontal="right" vertical="center"/>
    </xf>
    <xf numFmtId="0" fontId="36" fillId="32" borderId="479">
      <alignment horizontal="right" vertical="center"/>
    </xf>
    <xf numFmtId="0" fontId="49" fillId="43" borderId="476" applyNumberFormat="0" applyAlignment="0" applyProtection="0"/>
    <xf numFmtId="0" fontId="46" fillId="56" borderId="476" applyNumberFormat="0" applyAlignment="0" applyProtection="0"/>
    <xf numFmtId="4" fontId="34" fillId="0" borderId="479">
      <alignment horizontal="right" vertical="center"/>
    </xf>
    <xf numFmtId="0" fontId="34" fillId="34" borderId="482">
      <alignment horizontal="left" vertical="center" wrapText="1" indent="2"/>
    </xf>
    <xf numFmtId="0" fontId="34" fillId="0" borderId="482">
      <alignment horizontal="left" vertical="center" wrapText="1" indent="2"/>
    </xf>
    <xf numFmtId="0" fontId="62" fillId="56" borderId="475" applyNumberFormat="0" applyAlignment="0" applyProtection="0"/>
    <xf numFmtId="0" fontId="58" fillId="43" borderId="476" applyNumberFormat="0" applyAlignment="0" applyProtection="0"/>
    <xf numFmtId="0" fontId="45" fillId="56" borderId="476" applyNumberFormat="0" applyAlignment="0" applyProtection="0"/>
    <xf numFmtId="0" fontId="43" fillId="56" borderId="475" applyNumberFormat="0" applyAlignment="0" applyProtection="0"/>
    <xf numFmtId="0" fontId="32" fillId="34" borderId="481">
      <alignment horizontal="right" vertical="center"/>
    </xf>
    <xf numFmtId="0" fontId="36" fillId="32" borderId="479">
      <alignment horizontal="right" vertical="center"/>
    </xf>
    <xf numFmtId="4" fontId="32" fillId="32" borderId="479">
      <alignment horizontal="right" vertical="center"/>
    </xf>
    <xf numFmtId="4" fontId="32" fillId="34" borderId="479">
      <alignment horizontal="right" vertical="center"/>
    </xf>
    <xf numFmtId="49" fontId="34" fillId="0" borderId="480" applyNumberFormat="0" applyFont="0" applyFill="0" applyBorder="0" applyProtection="0">
      <alignment horizontal="left" vertical="center" indent="5"/>
    </xf>
    <xf numFmtId="4" fontId="34" fillId="0" borderId="479" applyFill="0" applyBorder="0" applyProtection="0">
      <alignment horizontal="right" vertical="center"/>
    </xf>
    <xf numFmtId="4" fontId="32" fillId="32" borderId="479">
      <alignment horizontal="right" vertical="center"/>
    </xf>
    <xf numFmtId="4" fontId="34" fillId="0" borderId="494" applyFill="0" applyBorder="0" applyProtection="0">
      <alignment horizontal="right" vertical="center"/>
    </xf>
    <xf numFmtId="0" fontId="58" fillId="43" borderId="476" applyNumberFormat="0" applyAlignment="0" applyProtection="0"/>
    <xf numFmtId="0" fontId="49" fillId="43" borderId="476" applyNumberFormat="0" applyAlignment="0" applyProtection="0"/>
    <xf numFmtId="0" fontId="45" fillId="56" borderId="476" applyNumberFormat="0" applyAlignment="0" applyProtection="0"/>
    <xf numFmtId="0" fontId="34" fillId="34" borderId="482">
      <alignment horizontal="left" vertical="center" wrapText="1" indent="2"/>
    </xf>
    <xf numFmtId="0" fontId="34" fillId="0" borderId="482">
      <alignment horizontal="left" vertical="center" wrapText="1" indent="2"/>
    </xf>
    <xf numFmtId="0" fontId="34" fillId="34" borderId="482">
      <alignment horizontal="left" vertical="center" wrapText="1" indent="2"/>
    </xf>
    <xf numFmtId="0" fontId="34" fillId="0" borderId="482">
      <alignment horizontal="left" vertical="center" wrapText="1" indent="2"/>
    </xf>
    <xf numFmtId="0" fontId="43" fillId="56" borderId="475" applyNumberFormat="0" applyAlignment="0" applyProtection="0"/>
    <xf numFmtId="0" fontId="45" fillId="56" borderId="476" applyNumberFormat="0" applyAlignment="0" applyProtection="0"/>
    <xf numFmtId="0" fontId="46" fillId="56" borderId="476" applyNumberFormat="0" applyAlignment="0" applyProtection="0"/>
    <xf numFmtId="0" fontId="49" fillId="43" borderId="476" applyNumberFormat="0" applyAlignment="0" applyProtection="0"/>
    <xf numFmtId="0" fontId="50" fillId="0" borderId="477" applyNumberFormat="0" applyFill="0" applyAlignment="0" applyProtection="0"/>
    <xf numFmtId="0" fontId="58" fillId="43" borderId="476" applyNumberFormat="0" applyAlignment="0" applyProtection="0"/>
    <xf numFmtId="0" fontId="40" fillId="59" borderId="478" applyNumberFormat="0" applyFont="0" applyAlignment="0" applyProtection="0"/>
    <xf numFmtId="0" fontId="5" fillId="59" borderId="478" applyNumberFormat="0" applyFont="0" applyAlignment="0" applyProtection="0"/>
    <xf numFmtId="0" fontId="62" fillId="56" borderId="475" applyNumberFormat="0" applyAlignment="0" applyProtection="0"/>
    <xf numFmtId="0" fontId="65" fillId="0" borderId="477" applyNumberFormat="0" applyFill="0" applyAlignment="0" applyProtection="0"/>
    <xf numFmtId="0" fontId="46" fillId="56" borderId="476" applyNumberFormat="0" applyAlignment="0" applyProtection="0"/>
    <xf numFmtId="0" fontId="58" fillId="43" borderId="476" applyNumberFormat="0" applyAlignment="0" applyProtection="0"/>
    <xf numFmtId="0" fontId="40" fillId="59" borderId="478" applyNumberFormat="0" applyFont="0" applyAlignment="0" applyProtection="0"/>
    <xf numFmtId="0" fontId="62" fillId="56" borderId="475" applyNumberFormat="0" applyAlignment="0" applyProtection="0"/>
    <xf numFmtId="0" fontId="65" fillId="0" borderId="477" applyNumberFormat="0" applyFill="0" applyAlignment="0" applyProtection="0"/>
    <xf numFmtId="0" fontId="26" fillId="17" borderId="0" applyNumberFormat="0" applyBorder="0" applyAlignment="0" applyProtection="0"/>
    <xf numFmtId="0" fontId="46" fillId="56" borderId="476" applyNumberFormat="0" applyAlignment="0" applyProtection="0"/>
    <xf numFmtId="0" fontId="32" fillId="34" borderId="485">
      <alignment horizontal="right" vertical="center"/>
    </xf>
    <xf numFmtId="4" fontId="36" fillId="32" borderId="484">
      <alignment horizontal="right" vertical="center"/>
    </xf>
    <xf numFmtId="0" fontId="58" fillId="43" borderId="476" applyNumberFormat="0" applyAlignment="0" applyProtection="0"/>
    <xf numFmtId="0" fontId="62" fillId="56" borderId="475" applyNumberFormat="0" applyAlignment="0" applyProtection="0"/>
    <xf numFmtId="0" fontId="65" fillId="0" borderId="477" applyNumberFormat="0" applyFill="0" applyAlignment="0" applyProtection="0"/>
    <xf numFmtId="0" fontId="32" fillId="34" borderId="494">
      <alignment horizontal="right" vertical="center"/>
    </xf>
    <xf numFmtId="0" fontId="43" fillId="56" borderId="475" applyNumberFormat="0" applyAlignment="0" applyProtection="0"/>
    <xf numFmtId="0" fontId="45" fillId="56" borderId="476" applyNumberFormat="0" applyAlignment="0" applyProtection="0"/>
    <xf numFmtId="0" fontId="50" fillId="0" borderId="477" applyNumberFormat="0" applyFill="0" applyAlignment="0" applyProtection="0"/>
    <xf numFmtId="49" fontId="34" fillId="0" borderId="479" applyNumberFormat="0" applyFont="0" applyFill="0" applyBorder="0" applyProtection="0">
      <alignment horizontal="left" vertical="center" indent="2"/>
    </xf>
    <xf numFmtId="0" fontId="32" fillId="32" borderId="479">
      <alignment horizontal="right" vertical="center"/>
    </xf>
    <xf numFmtId="4" fontId="32" fillId="32" borderId="479">
      <alignment horizontal="right" vertical="center"/>
    </xf>
    <xf numFmtId="0" fontId="36" fillId="32" borderId="479">
      <alignment horizontal="right" vertical="center"/>
    </xf>
    <xf numFmtId="4" fontId="36" fillId="32" borderId="479">
      <alignment horizontal="right" vertical="center"/>
    </xf>
    <xf numFmtId="0" fontId="32" fillId="34" borderId="479">
      <alignment horizontal="right" vertical="center"/>
    </xf>
    <xf numFmtId="4" fontId="32" fillId="34" borderId="479">
      <alignment horizontal="right" vertical="center"/>
    </xf>
    <xf numFmtId="0" fontId="32" fillId="34" borderId="479">
      <alignment horizontal="right" vertical="center"/>
    </xf>
    <xf numFmtId="4" fontId="32" fillId="34" borderId="479">
      <alignment horizontal="right" vertical="center"/>
    </xf>
    <xf numFmtId="0" fontId="49" fillId="43" borderId="476" applyNumberFormat="0" applyAlignment="0" applyProtection="0"/>
    <xf numFmtId="0" fontId="34" fillId="0" borderId="479">
      <alignment horizontal="right" vertical="center"/>
    </xf>
    <xf numFmtId="4" fontId="34" fillId="0" borderId="479">
      <alignment horizontal="right" vertical="center"/>
    </xf>
    <xf numFmtId="4" fontId="34" fillId="0" borderId="479" applyFill="0" applyBorder="0" applyProtection="0">
      <alignment horizontal="right" vertical="center"/>
    </xf>
    <xf numFmtId="49" fontId="33" fillId="0" borderId="479" applyNumberFormat="0" applyFill="0" applyBorder="0" applyProtection="0">
      <alignment horizontal="left" vertical="center"/>
    </xf>
    <xf numFmtId="0" fontId="34" fillId="0" borderId="479" applyNumberFormat="0" applyFill="0" applyAlignment="0" applyProtection="0"/>
    <xf numFmtId="173" fontId="34" fillId="60" borderId="479" applyNumberFormat="0" applyFont="0" applyBorder="0" applyAlignment="0" applyProtection="0">
      <alignment horizontal="right" vertical="center"/>
    </xf>
    <xf numFmtId="0" fontId="34" fillId="33" borderId="479"/>
    <xf numFmtId="4" fontId="34" fillId="33" borderId="479"/>
    <xf numFmtId="4" fontId="32" fillId="34" borderId="479">
      <alignment horizontal="right" vertical="center"/>
    </xf>
    <xf numFmtId="0" fontId="34" fillId="33" borderId="479"/>
    <xf numFmtId="0" fontId="45" fillId="56" borderId="476" applyNumberFormat="0" applyAlignment="0" applyProtection="0"/>
    <xf numFmtId="0" fontId="32" fillId="32" borderId="479">
      <alignment horizontal="right" vertical="center"/>
    </xf>
    <xf numFmtId="0" fontId="34" fillId="0" borderId="479">
      <alignment horizontal="right" vertical="center"/>
    </xf>
    <xf numFmtId="0" fontId="65" fillId="0" borderId="477" applyNumberFormat="0" applyFill="0" applyAlignment="0" applyProtection="0"/>
    <xf numFmtId="0" fontId="34" fillId="32" borderId="480">
      <alignment horizontal="left" vertical="center"/>
    </xf>
    <xf numFmtId="0" fontId="58" fillId="43" borderId="476" applyNumberFormat="0" applyAlignment="0" applyProtection="0"/>
    <xf numFmtId="173" fontId="34" fillId="60" borderId="479" applyNumberFormat="0" applyFont="0" applyBorder="0" applyAlignment="0" applyProtection="0">
      <alignment horizontal="right" vertical="center"/>
    </xf>
    <xf numFmtId="0" fontId="40" fillId="59" borderId="478" applyNumberFormat="0" applyFont="0" applyAlignment="0" applyProtection="0"/>
    <xf numFmtId="0" fontId="34" fillId="0" borderId="482">
      <alignment horizontal="left" vertical="center" wrapText="1" indent="2"/>
    </xf>
    <xf numFmtId="4" fontId="34" fillId="33" borderId="479"/>
    <xf numFmtId="49" fontId="33" fillId="0" borderId="479" applyNumberFormat="0" applyFill="0" applyBorder="0" applyProtection="0">
      <alignment horizontal="left" vertical="center"/>
    </xf>
    <xf numFmtId="0" fontId="34" fillId="0" borderId="479">
      <alignment horizontal="right" vertical="center"/>
    </xf>
    <xf numFmtId="4" fontId="32" fillId="34" borderId="481">
      <alignment horizontal="right" vertical="center"/>
    </xf>
    <xf numFmtId="4" fontId="32" fillId="34" borderId="479">
      <alignment horizontal="right" vertical="center"/>
    </xf>
    <xf numFmtId="4" fontId="32" fillId="34" borderId="479">
      <alignment horizontal="right" vertical="center"/>
    </xf>
    <xf numFmtId="0" fontId="36" fillId="32" borderId="479">
      <alignment horizontal="right" vertical="center"/>
    </xf>
    <xf numFmtId="0" fontId="32" fillId="32" borderId="479">
      <alignment horizontal="right" vertical="center"/>
    </xf>
    <xf numFmtId="49" fontId="34" fillId="0" borderId="479" applyNumberFormat="0" applyFont="0" applyFill="0" applyBorder="0" applyProtection="0">
      <alignment horizontal="left" vertical="center" indent="2"/>
    </xf>
    <xf numFmtId="0" fontId="58" fillId="43" borderId="476" applyNumberFormat="0" applyAlignment="0" applyProtection="0"/>
    <xf numFmtId="0" fontId="43" fillId="56" borderId="475" applyNumberFormat="0" applyAlignment="0" applyProtection="0"/>
    <xf numFmtId="49" fontId="34" fillId="0" borderId="479" applyNumberFormat="0" applyFont="0" applyFill="0" applyBorder="0" applyProtection="0">
      <alignment horizontal="left" vertical="center" indent="2"/>
    </xf>
    <xf numFmtId="0" fontId="49" fillId="43" borderId="476" applyNumberFormat="0" applyAlignment="0" applyProtection="0"/>
    <xf numFmtId="4" fontId="34" fillId="0" borderId="479" applyFill="0" applyBorder="0" applyProtection="0">
      <alignment horizontal="right" vertical="center"/>
    </xf>
    <xf numFmtId="0" fontId="46" fillId="56" borderId="476" applyNumberFormat="0" applyAlignment="0" applyProtection="0"/>
    <xf numFmtId="0" fontId="65" fillId="0" borderId="477" applyNumberFormat="0" applyFill="0" applyAlignment="0" applyProtection="0"/>
    <xf numFmtId="0" fontId="62" fillId="56" borderId="475" applyNumberFormat="0" applyAlignment="0" applyProtection="0"/>
    <xf numFmtId="0" fontId="34" fillId="0" borderId="479" applyNumberFormat="0" applyFill="0" applyAlignment="0" applyProtection="0"/>
    <xf numFmtId="4" fontId="34" fillId="0" borderId="479">
      <alignment horizontal="right" vertical="center"/>
    </xf>
    <xf numFmtId="0" fontId="34" fillId="0" borderId="479">
      <alignment horizontal="right" vertical="center"/>
    </xf>
    <xf numFmtId="0" fontId="58" fillId="43" borderId="476" applyNumberFormat="0" applyAlignment="0" applyProtection="0"/>
    <xf numFmtId="0" fontId="43" fillId="56" borderId="475" applyNumberFormat="0" applyAlignment="0" applyProtection="0"/>
    <xf numFmtId="0" fontId="45" fillId="56" borderId="476" applyNumberFormat="0" applyAlignment="0" applyProtection="0"/>
    <xf numFmtId="0" fontId="34" fillId="34" borderId="482">
      <alignment horizontal="left" vertical="center" wrapText="1" indent="2"/>
    </xf>
    <xf numFmtId="0" fontId="46" fillId="56" borderId="476" applyNumberFormat="0" applyAlignment="0" applyProtection="0"/>
    <xf numFmtId="0" fontId="46" fillId="56" borderId="476" applyNumberFormat="0" applyAlignment="0" applyProtection="0"/>
    <xf numFmtId="4" fontId="32" fillId="34" borderId="480">
      <alignment horizontal="right" vertical="center"/>
    </xf>
    <xf numFmtId="0" fontId="32" fillId="34" borderId="480">
      <alignment horizontal="right" vertical="center"/>
    </xf>
    <xf numFmtId="0" fontId="32" fillId="34" borderId="479">
      <alignment horizontal="right" vertical="center"/>
    </xf>
    <xf numFmtId="4" fontId="36" fillId="32" borderId="479">
      <alignment horizontal="right" vertical="center"/>
    </xf>
    <xf numFmtId="0" fontId="49" fillId="43" borderId="476" applyNumberFormat="0" applyAlignment="0" applyProtection="0"/>
    <xf numFmtId="0" fontId="50" fillId="0" borderId="477" applyNumberFormat="0" applyFill="0" applyAlignment="0" applyProtection="0"/>
    <xf numFmtId="0" fontId="65" fillId="0" borderId="477" applyNumberFormat="0" applyFill="0" applyAlignment="0" applyProtection="0"/>
    <xf numFmtId="0" fontId="40" fillId="59" borderId="478" applyNumberFormat="0" applyFont="0" applyAlignment="0" applyProtection="0"/>
    <xf numFmtId="0" fontId="58" fillId="43" borderId="476" applyNumberFormat="0" applyAlignment="0" applyProtection="0"/>
    <xf numFmtId="49" fontId="33" fillId="0" borderId="479" applyNumberFormat="0" applyFill="0" applyBorder="0" applyProtection="0">
      <alignment horizontal="left" vertical="center"/>
    </xf>
    <xf numFmtId="0" fontId="34" fillId="34" borderId="482">
      <alignment horizontal="left" vertical="center" wrapText="1" indent="2"/>
    </xf>
    <xf numFmtId="0" fontId="46" fillId="56" borderId="476" applyNumberFormat="0" applyAlignment="0" applyProtection="0"/>
    <xf numFmtId="0" fontId="34" fillId="0" borderId="482">
      <alignment horizontal="left" vertical="center" wrapText="1" indent="2"/>
    </xf>
    <xf numFmtId="0" fontId="40" fillId="59" borderId="478" applyNumberFormat="0" applyFont="0" applyAlignment="0" applyProtection="0"/>
    <xf numFmtId="0" fontId="5" fillId="59" borderId="478" applyNumberFormat="0" applyFont="0" applyAlignment="0" applyProtection="0"/>
    <xf numFmtId="0" fontId="62" fillId="56" borderId="475" applyNumberFormat="0" applyAlignment="0" applyProtection="0"/>
    <xf numFmtId="0" fontId="65" fillId="0" borderId="477" applyNumberFormat="0" applyFill="0" applyAlignment="0" applyProtection="0"/>
    <xf numFmtId="4" fontId="34" fillId="33" borderId="479"/>
    <xf numFmtId="0" fontId="32" fillId="34" borderId="479">
      <alignment horizontal="right" vertical="center"/>
    </xf>
    <xf numFmtId="0" fontId="65" fillId="0" borderId="477" applyNumberFormat="0" applyFill="0" applyAlignment="0" applyProtection="0"/>
    <xf numFmtId="4" fontId="32" fillId="34" borderId="481">
      <alignment horizontal="right" vertical="center"/>
    </xf>
    <xf numFmtId="0" fontId="45" fillId="56" borderId="476" applyNumberFormat="0" applyAlignment="0" applyProtection="0"/>
    <xf numFmtId="0" fontId="32" fillId="34" borderId="480">
      <alignment horizontal="right" vertical="center"/>
    </xf>
    <xf numFmtId="0" fontId="46" fillId="56" borderId="476" applyNumberFormat="0" applyAlignment="0" applyProtection="0"/>
    <xf numFmtId="0" fontId="50" fillId="0" borderId="477" applyNumberFormat="0" applyFill="0" applyAlignment="0" applyProtection="0"/>
    <xf numFmtId="0" fontId="40" fillId="59" borderId="478" applyNumberFormat="0" applyFont="0" applyAlignment="0" applyProtection="0"/>
    <xf numFmtId="4" fontId="32" fillId="34" borderId="480">
      <alignment horizontal="right" vertical="center"/>
    </xf>
    <xf numFmtId="0" fontId="34" fillId="34" borderId="482">
      <alignment horizontal="left" vertical="center" wrapText="1" indent="2"/>
    </xf>
    <xf numFmtId="0" fontId="34" fillId="33" borderId="479"/>
    <xf numFmtId="173" fontId="34" fillId="60" borderId="479" applyNumberFormat="0" applyFont="0" applyBorder="0" applyAlignment="0" applyProtection="0">
      <alignment horizontal="right" vertical="center"/>
    </xf>
    <xf numFmtId="0" fontId="34" fillId="0" borderId="479" applyNumberFormat="0" applyFill="0" applyAlignment="0" applyProtection="0"/>
    <xf numFmtId="4" fontId="34" fillId="0" borderId="479" applyFill="0" applyBorder="0" applyProtection="0">
      <alignment horizontal="right" vertical="center"/>
    </xf>
    <xf numFmtId="4" fontId="32" fillId="32" borderId="479">
      <alignment horizontal="right" vertical="center"/>
    </xf>
    <xf numFmtId="0" fontId="50" fillId="0" borderId="477" applyNumberFormat="0" applyFill="0" applyAlignment="0" applyProtection="0"/>
    <xf numFmtId="49" fontId="33" fillId="0" borderId="479" applyNumberFormat="0" applyFill="0" applyBorder="0" applyProtection="0">
      <alignment horizontal="left" vertical="center"/>
    </xf>
    <xf numFmtId="49" fontId="34" fillId="0" borderId="480" applyNumberFormat="0" applyFont="0" applyFill="0" applyBorder="0" applyProtection="0">
      <alignment horizontal="left" vertical="center" indent="5"/>
    </xf>
    <xf numFmtId="0" fontId="34" fillId="32" borderId="480">
      <alignment horizontal="left" vertical="center"/>
    </xf>
    <xf numFmtId="0" fontId="46" fillId="56" borderId="476" applyNumberFormat="0" applyAlignment="0" applyProtection="0"/>
    <xf numFmtId="4" fontId="32" fillId="34" borderId="481">
      <alignment horizontal="right" vertical="center"/>
    </xf>
    <xf numFmtId="0" fontId="58" fillId="43" borderId="476" applyNumberFormat="0" applyAlignment="0" applyProtection="0"/>
    <xf numFmtId="0" fontId="58" fillId="43" borderId="476" applyNumberFormat="0" applyAlignment="0" applyProtection="0"/>
    <xf numFmtId="0" fontId="40" fillId="59" borderId="478" applyNumberFormat="0" applyFont="0" applyAlignment="0" applyProtection="0"/>
    <xf numFmtId="0" fontId="62" fillId="56" borderId="475" applyNumberFormat="0" applyAlignment="0" applyProtection="0"/>
    <xf numFmtId="0" fontId="65" fillId="0" borderId="477" applyNumberFormat="0" applyFill="0" applyAlignment="0" applyProtection="0"/>
    <xf numFmtId="0" fontId="32" fillId="34" borderId="479">
      <alignment horizontal="right" vertical="center"/>
    </xf>
    <xf numFmtId="0" fontId="5" fillId="59" borderId="478" applyNumberFormat="0" applyFont="0" applyAlignment="0" applyProtection="0"/>
    <xf numFmtId="4" fontId="34" fillId="0" borderId="479">
      <alignment horizontal="right" vertical="center"/>
    </xf>
    <xf numFmtId="0" fontId="65" fillId="0" borderId="477" applyNumberFormat="0" applyFill="0" applyAlignment="0" applyProtection="0"/>
    <xf numFmtId="0" fontId="32" fillId="34" borderId="479">
      <alignment horizontal="right" vertical="center"/>
    </xf>
    <xf numFmtId="0" fontId="32" fillId="34" borderId="479">
      <alignment horizontal="right" vertical="center"/>
    </xf>
    <xf numFmtId="4" fontId="36" fillId="32" borderId="479">
      <alignment horizontal="right" vertical="center"/>
    </xf>
    <xf numFmtId="0" fontId="32" fillId="32" borderId="479">
      <alignment horizontal="right" vertical="center"/>
    </xf>
    <xf numFmtId="4" fontId="32" fillId="32" borderId="479">
      <alignment horizontal="right" vertical="center"/>
    </xf>
    <xf numFmtId="0" fontId="36" fillId="32" borderId="479">
      <alignment horizontal="right" vertical="center"/>
    </xf>
    <xf numFmtId="4" fontId="36" fillId="32" borderId="479">
      <alignment horizontal="right" vertical="center"/>
    </xf>
    <xf numFmtId="0" fontId="32" fillId="34" borderId="479">
      <alignment horizontal="right" vertical="center"/>
    </xf>
    <xf numFmtId="4" fontId="32" fillId="34" borderId="479">
      <alignment horizontal="right" vertical="center"/>
    </xf>
    <xf numFmtId="0" fontId="32" fillId="34" borderId="479">
      <alignment horizontal="right" vertical="center"/>
    </xf>
    <xf numFmtId="4" fontId="32" fillId="34" borderId="479">
      <alignment horizontal="right" vertical="center"/>
    </xf>
    <xf numFmtId="0" fontId="32" fillId="34" borderId="480">
      <alignment horizontal="right" vertical="center"/>
    </xf>
    <xf numFmtId="4" fontId="32" fillId="34" borderId="480">
      <alignment horizontal="right" vertical="center"/>
    </xf>
    <xf numFmtId="0" fontId="32" fillId="34" borderId="481">
      <alignment horizontal="right" vertical="center"/>
    </xf>
    <xf numFmtId="4" fontId="32" fillId="34" borderId="481">
      <alignment horizontal="right" vertical="center"/>
    </xf>
    <xf numFmtId="0" fontId="46" fillId="56" borderId="476" applyNumberFormat="0" applyAlignment="0" applyProtection="0"/>
    <xf numFmtId="0" fontId="34" fillId="34" borderId="482">
      <alignment horizontal="left" vertical="center" wrapText="1" indent="2"/>
    </xf>
    <xf numFmtId="0" fontId="34" fillId="0" borderId="482">
      <alignment horizontal="left" vertical="center" wrapText="1" indent="2"/>
    </xf>
    <xf numFmtId="0" fontId="34" fillId="32" borderId="480">
      <alignment horizontal="left" vertical="center"/>
    </xf>
    <xf numFmtId="0" fontId="58" fillId="43" borderId="476" applyNumberFormat="0" applyAlignment="0" applyProtection="0"/>
    <xf numFmtId="0" fontId="34" fillId="0" borderId="479">
      <alignment horizontal="right" vertical="center"/>
    </xf>
    <xf numFmtId="4" fontId="34" fillId="0" borderId="479">
      <alignment horizontal="right" vertical="center"/>
    </xf>
    <xf numFmtId="0" fontId="34" fillId="0" borderId="479" applyNumberFormat="0" applyFill="0" applyAlignment="0" applyProtection="0"/>
    <xf numFmtId="0" fontId="62" fillId="56" borderId="475" applyNumberFormat="0" applyAlignment="0" applyProtection="0"/>
    <xf numFmtId="173" fontId="34" fillId="60" borderId="479" applyNumberFormat="0" applyFont="0" applyBorder="0" applyAlignment="0" applyProtection="0">
      <alignment horizontal="right" vertical="center"/>
    </xf>
    <xf numFmtId="0" fontId="34" fillId="33" borderId="479"/>
    <xf numFmtId="4" fontId="34" fillId="33" borderId="479"/>
    <xf numFmtId="0" fontId="65" fillId="0" borderId="477" applyNumberFormat="0" applyFill="0" applyAlignment="0" applyProtection="0"/>
    <xf numFmtId="0" fontId="5" fillId="59" borderId="478" applyNumberFormat="0" applyFont="0" applyAlignment="0" applyProtection="0"/>
    <xf numFmtId="0" fontId="40" fillId="59" borderId="478" applyNumberFormat="0" applyFont="0" applyAlignment="0" applyProtection="0"/>
    <xf numFmtId="0" fontId="34" fillId="0" borderId="479" applyNumberFormat="0" applyFill="0" applyAlignment="0" applyProtection="0"/>
    <xf numFmtId="0" fontId="50" fillId="0" borderId="477" applyNumberFormat="0" applyFill="0" applyAlignment="0" applyProtection="0"/>
    <xf numFmtId="0" fontId="65" fillId="0" borderId="477" applyNumberFormat="0" applyFill="0" applyAlignment="0" applyProtection="0"/>
    <xf numFmtId="0" fontId="49" fillId="43" borderId="476" applyNumberFormat="0" applyAlignment="0" applyProtection="0"/>
    <xf numFmtId="0" fontId="46" fillId="56" borderId="476" applyNumberFormat="0" applyAlignment="0" applyProtection="0"/>
    <xf numFmtId="4" fontId="36" fillId="32" borderId="479">
      <alignment horizontal="right" vertical="center"/>
    </xf>
    <xf numFmtId="0" fontId="32" fillId="32" borderId="479">
      <alignment horizontal="right" vertical="center"/>
    </xf>
    <xf numFmtId="173" fontId="34" fillId="60" borderId="479" applyNumberFormat="0" applyFont="0" applyBorder="0" applyAlignment="0" applyProtection="0">
      <alignment horizontal="right" vertical="center"/>
    </xf>
    <xf numFmtId="0" fontId="50" fillId="0" borderId="477" applyNumberFormat="0" applyFill="0" applyAlignment="0" applyProtection="0"/>
    <xf numFmtId="49" fontId="34" fillId="0" borderId="479" applyNumberFormat="0" applyFont="0" applyFill="0" applyBorder="0" applyProtection="0">
      <alignment horizontal="left" vertical="center" indent="2"/>
    </xf>
    <xf numFmtId="49" fontId="34" fillId="0" borderId="480" applyNumberFormat="0" applyFont="0" applyFill="0" applyBorder="0" applyProtection="0">
      <alignment horizontal="left" vertical="center" indent="5"/>
    </xf>
    <xf numFmtId="49" fontId="34" fillId="0" borderId="479" applyNumberFormat="0" applyFont="0" applyFill="0" applyBorder="0" applyProtection="0">
      <alignment horizontal="left" vertical="center" indent="2"/>
    </xf>
    <xf numFmtId="4" fontId="34" fillId="0" borderId="479" applyFill="0" applyBorder="0" applyProtection="0">
      <alignment horizontal="right" vertical="center"/>
    </xf>
    <xf numFmtId="49" fontId="33" fillId="0" borderId="479" applyNumberFormat="0" applyFill="0" applyBorder="0" applyProtection="0">
      <alignment horizontal="left" vertical="center"/>
    </xf>
    <xf numFmtId="0" fontId="34" fillId="0" borderId="482">
      <alignment horizontal="left" vertical="center" wrapText="1" indent="2"/>
    </xf>
    <xf numFmtId="0" fontId="62" fillId="56" borderId="475" applyNumberFormat="0" applyAlignment="0" applyProtection="0"/>
    <xf numFmtId="0" fontId="32" fillId="34" borderId="481">
      <alignment horizontal="right" vertical="center"/>
    </xf>
    <xf numFmtId="0" fontId="49" fillId="43" borderId="476" applyNumberFormat="0" applyAlignment="0" applyProtection="0"/>
    <xf numFmtId="0" fontId="32" fillId="34" borderId="481">
      <alignment horizontal="right" vertical="center"/>
    </xf>
    <xf numFmtId="4" fontId="32" fillId="34" borderId="479">
      <alignment horizontal="right" vertical="center"/>
    </xf>
    <xf numFmtId="0" fontId="32" fillId="34" borderId="479">
      <alignment horizontal="right" vertical="center"/>
    </xf>
    <xf numFmtId="0" fontId="43" fillId="56" borderId="475" applyNumberFormat="0" applyAlignment="0" applyProtection="0"/>
    <xf numFmtId="0" fontId="45" fillId="56" borderId="476" applyNumberFormat="0" applyAlignment="0" applyProtection="0"/>
    <xf numFmtId="0" fontId="50" fillId="0" borderId="477" applyNumberFormat="0" applyFill="0" applyAlignment="0" applyProtection="0"/>
    <xf numFmtId="0" fontId="34" fillId="33" borderId="479"/>
    <xf numFmtId="4" fontId="34" fillId="33" borderId="479"/>
    <xf numFmtId="4" fontId="32" fillId="34" borderId="479">
      <alignment horizontal="right" vertical="center"/>
    </xf>
    <xf numFmtId="0" fontId="36" fillId="32" borderId="479">
      <alignment horizontal="right" vertical="center"/>
    </xf>
    <xf numFmtId="0" fontId="49" fillId="43" borderId="476" applyNumberFormat="0" applyAlignment="0" applyProtection="0"/>
    <xf numFmtId="0" fontId="46" fillId="56" borderId="476" applyNumberFormat="0" applyAlignment="0" applyProtection="0"/>
    <xf numFmtId="4" fontId="34" fillId="0" borderId="479">
      <alignment horizontal="right" vertical="center"/>
    </xf>
    <xf numFmtId="0" fontId="34" fillId="34" borderId="482">
      <alignment horizontal="left" vertical="center" wrapText="1" indent="2"/>
    </xf>
    <xf numFmtId="0" fontId="34" fillId="0" borderId="482">
      <alignment horizontal="left" vertical="center" wrapText="1" indent="2"/>
    </xf>
    <xf numFmtId="0" fontId="62" fillId="56" borderId="475" applyNumberFormat="0" applyAlignment="0" applyProtection="0"/>
    <xf numFmtId="0" fontId="58" fillId="43" borderId="476" applyNumberFormat="0" applyAlignment="0" applyProtection="0"/>
    <xf numFmtId="0" fontId="45" fillId="56" borderId="476" applyNumberFormat="0" applyAlignment="0" applyProtection="0"/>
    <xf numFmtId="0" fontId="43" fillId="56" borderId="475" applyNumberFormat="0" applyAlignment="0" applyProtection="0"/>
    <xf numFmtId="0" fontId="32" fillId="34" borderId="481">
      <alignment horizontal="right" vertical="center"/>
    </xf>
    <xf numFmtId="0" fontId="36" fillId="32" borderId="479">
      <alignment horizontal="right" vertical="center"/>
    </xf>
    <xf numFmtId="4" fontId="32" fillId="32" borderId="479">
      <alignment horizontal="right" vertical="center"/>
    </xf>
    <xf numFmtId="4" fontId="32" fillId="34" borderId="479">
      <alignment horizontal="right" vertical="center"/>
    </xf>
    <xf numFmtId="49" fontId="34" fillId="0" borderId="480" applyNumberFormat="0" applyFont="0" applyFill="0" applyBorder="0" applyProtection="0">
      <alignment horizontal="left" vertical="center" indent="5"/>
    </xf>
    <xf numFmtId="4" fontId="34" fillId="0" borderId="479" applyFill="0" applyBorder="0" applyProtection="0">
      <alignment horizontal="right" vertical="center"/>
    </xf>
    <xf numFmtId="4" fontId="32" fillId="32" borderId="479">
      <alignment horizontal="right" vertical="center"/>
    </xf>
    <xf numFmtId="0" fontId="58" fillId="43" borderId="476" applyNumberFormat="0" applyAlignment="0" applyProtection="0"/>
    <xf numFmtId="0" fontId="49" fillId="43" borderId="476" applyNumberFormat="0" applyAlignment="0" applyProtection="0"/>
    <xf numFmtId="0" fontId="45" fillId="56" borderId="476" applyNumberFormat="0" applyAlignment="0" applyProtection="0"/>
    <xf numFmtId="0" fontId="34" fillId="34" borderId="482">
      <alignment horizontal="left" vertical="center" wrapText="1" indent="2"/>
    </xf>
    <xf numFmtId="0" fontId="34" fillId="0" borderId="482">
      <alignment horizontal="left" vertical="center" wrapText="1" indent="2"/>
    </xf>
    <xf numFmtId="0" fontId="34" fillId="34" borderId="482">
      <alignment horizontal="left" vertical="center" wrapText="1" indent="2"/>
    </xf>
    <xf numFmtId="0" fontId="32" fillId="34" borderId="484">
      <alignment horizontal="right" vertical="center"/>
    </xf>
    <xf numFmtId="0" fontId="26" fillId="15" borderId="0" applyNumberFormat="0" applyBorder="0" applyAlignment="0" applyProtection="0"/>
    <xf numFmtId="49" fontId="33" fillId="0" borderId="494" applyNumberFormat="0" applyFill="0" applyBorder="0" applyProtection="0">
      <alignment horizontal="left" vertical="center"/>
    </xf>
    <xf numFmtId="173" fontId="34" fillId="60" borderId="494" applyNumberFormat="0" applyFont="0" applyBorder="0" applyAlignment="0" applyProtection="0">
      <alignment horizontal="right" vertical="center"/>
    </xf>
    <xf numFmtId="0" fontId="45" fillId="56" borderId="491" applyNumberFormat="0" applyAlignment="0" applyProtection="0"/>
    <xf numFmtId="0" fontId="34" fillId="33" borderId="494"/>
    <xf numFmtId="0" fontId="43" fillId="56" borderId="498" applyNumberFormat="0" applyAlignment="0" applyProtection="0"/>
    <xf numFmtId="0" fontId="46" fillId="56" borderId="491" applyNumberFormat="0" applyAlignment="0" applyProtection="0"/>
    <xf numFmtId="0" fontId="34" fillId="0" borderId="494">
      <alignment horizontal="right" vertical="center"/>
    </xf>
    <xf numFmtId="0" fontId="65" fillId="0" borderId="492" applyNumberFormat="0" applyFill="0" applyAlignment="0" applyProtection="0"/>
    <xf numFmtId="4" fontId="32" fillId="34" borderId="495">
      <alignment horizontal="right" vertical="center"/>
    </xf>
    <xf numFmtId="49" fontId="33" fillId="0" borderId="494" applyNumberFormat="0" applyFill="0" applyBorder="0" applyProtection="0">
      <alignment horizontal="left" vertical="center"/>
    </xf>
    <xf numFmtId="0" fontId="46" fillId="56" borderId="491" applyNumberFormat="0" applyAlignment="0" applyProtection="0"/>
    <xf numFmtId="49" fontId="34" fillId="0" borderId="494" applyNumberFormat="0" applyFont="0" applyFill="0" applyBorder="0" applyProtection="0">
      <alignment horizontal="left" vertical="center" indent="2"/>
    </xf>
    <xf numFmtId="0" fontId="32" fillId="32" borderId="494">
      <alignment horizontal="right" vertical="center"/>
    </xf>
    <xf numFmtId="4" fontId="34" fillId="0" borderId="494">
      <alignment horizontal="right" vertical="center"/>
    </xf>
    <xf numFmtId="0" fontId="62" fillId="56" borderId="498" applyNumberFormat="0" applyAlignment="0" applyProtection="0"/>
    <xf numFmtId="0" fontId="58" fillId="43" borderId="491" applyNumberFormat="0" applyAlignment="0" applyProtection="0"/>
    <xf numFmtId="0" fontId="50" fillId="0" borderId="492" applyNumberFormat="0" applyFill="0" applyAlignment="0" applyProtection="0"/>
    <xf numFmtId="0" fontId="40" fillId="59" borderId="493" applyNumberFormat="0" applyFont="0" applyAlignment="0" applyProtection="0"/>
    <xf numFmtId="0" fontId="46" fillId="56" borderId="491" applyNumberFormat="0" applyAlignment="0" applyProtection="0"/>
    <xf numFmtId="0" fontId="45" fillId="56" borderId="491" applyNumberFormat="0" applyAlignment="0" applyProtection="0"/>
    <xf numFmtId="0" fontId="65" fillId="0" borderId="492" applyNumberFormat="0" applyFill="0" applyAlignment="0" applyProtection="0"/>
    <xf numFmtId="0" fontId="32" fillId="32" borderId="494">
      <alignment horizontal="right" vertical="center"/>
    </xf>
    <xf numFmtId="0" fontId="32" fillId="34" borderId="494">
      <alignment horizontal="right" vertical="center"/>
    </xf>
    <xf numFmtId="0" fontId="32" fillId="34" borderId="495">
      <alignment horizontal="right" vertical="center"/>
    </xf>
    <xf numFmtId="0" fontId="26" fillId="21" borderId="0" applyNumberFormat="0" applyBorder="0" applyAlignment="0" applyProtection="0"/>
    <xf numFmtId="0" fontId="36" fillId="32" borderId="494">
      <alignment horizontal="right" vertical="center"/>
    </xf>
    <xf numFmtId="0" fontId="45" fillId="56" borderId="491" applyNumberFormat="0" applyAlignment="0" applyProtection="0"/>
    <xf numFmtId="0" fontId="32" fillId="34" borderId="496">
      <alignment horizontal="right" vertical="center"/>
    </xf>
    <xf numFmtId="0" fontId="34" fillId="0" borderId="497">
      <alignment horizontal="left" vertical="center" wrapText="1" indent="2"/>
    </xf>
    <xf numFmtId="0" fontId="32" fillId="34" borderId="494">
      <alignment horizontal="right" vertical="center"/>
    </xf>
    <xf numFmtId="4" fontId="32" fillId="34" borderId="494">
      <alignment horizontal="right" vertical="center"/>
    </xf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12" fillId="28" borderId="0" applyNumberFormat="0" applyBorder="0" applyAlignment="0" applyProtection="0"/>
    <xf numFmtId="0" fontId="26" fillId="24" borderId="0" applyNumberFormat="0" applyBorder="0" applyAlignment="0" applyProtection="0"/>
    <xf numFmtId="0" fontId="12" fillId="25" borderId="0" applyNumberFormat="0" applyBorder="0" applyAlignment="0" applyProtection="0"/>
    <xf numFmtId="0" fontId="46" fillId="56" borderId="491" applyNumberFormat="0" applyAlignment="0" applyProtection="0"/>
    <xf numFmtId="0" fontId="26" fillId="29" borderId="0" applyNumberFormat="0" applyBorder="0" applyAlignment="0" applyProtection="0"/>
    <xf numFmtId="4" fontId="32" fillId="34" borderId="494">
      <alignment horizontal="right" vertical="center"/>
    </xf>
    <xf numFmtId="0" fontId="49" fillId="43" borderId="491" applyNumberFormat="0" applyAlignment="0" applyProtection="0"/>
    <xf numFmtId="4" fontId="32" fillId="34" borderId="484">
      <alignment horizontal="right" vertical="center"/>
    </xf>
    <xf numFmtId="0" fontId="34" fillId="33" borderId="484"/>
    <xf numFmtId="0" fontId="45" fillId="56" borderId="489" applyNumberFormat="0" applyAlignment="0" applyProtection="0"/>
    <xf numFmtId="0" fontId="32" fillId="32" borderId="484">
      <alignment horizontal="right" vertical="center"/>
    </xf>
    <xf numFmtId="0" fontId="34" fillId="0" borderId="484">
      <alignment horizontal="right" vertical="center"/>
    </xf>
    <xf numFmtId="0" fontId="65" fillId="0" borderId="490" applyNumberFormat="0" applyFill="0" applyAlignment="0" applyProtection="0"/>
    <xf numFmtId="0" fontId="34" fillId="32" borderId="485">
      <alignment horizontal="left" vertical="center"/>
    </xf>
    <xf numFmtId="0" fontId="58" fillId="43" borderId="489" applyNumberFormat="0" applyAlignment="0" applyProtection="0"/>
    <xf numFmtId="173" fontId="34" fillId="60" borderId="484" applyNumberFormat="0" applyFont="0" applyBorder="0" applyAlignment="0" applyProtection="0">
      <alignment horizontal="right" vertical="center"/>
    </xf>
    <xf numFmtId="0" fontId="40" fillId="59" borderId="483" applyNumberFormat="0" applyFont="0" applyAlignment="0" applyProtection="0"/>
    <xf numFmtId="0" fontId="34" fillId="0" borderId="487">
      <alignment horizontal="left" vertical="center" wrapText="1" indent="2"/>
    </xf>
    <xf numFmtId="4" fontId="34" fillId="33" borderId="484"/>
    <xf numFmtId="49" fontId="33" fillId="0" borderId="484" applyNumberFormat="0" applyFill="0" applyBorder="0" applyProtection="0">
      <alignment horizontal="left" vertical="center"/>
    </xf>
    <xf numFmtId="0" fontId="34" fillId="0" borderId="484">
      <alignment horizontal="right" vertical="center"/>
    </xf>
    <xf numFmtId="4" fontId="32" fillId="34" borderId="486">
      <alignment horizontal="right" vertical="center"/>
    </xf>
    <xf numFmtId="4" fontId="32" fillId="34" borderId="484">
      <alignment horizontal="right" vertical="center"/>
    </xf>
    <xf numFmtId="4" fontId="32" fillId="34" borderId="484">
      <alignment horizontal="right" vertical="center"/>
    </xf>
    <xf numFmtId="0" fontId="36" fillId="32" borderId="484">
      <alignment horizontal="right" vertical="center"/>
    </xf>
    <xf numFmtId="0" fontId="32" fillId="32" borderId="484">
      <alignment horizontal="right" vertical="center"/>
    </xf>
    <xf numFmtId="49" fontId="34" fillId="0" borderId="484" applyNumberFormat="0" applyFont="0" applyFill="0" applyBorder="0" applyProtection="0">
      <alignment horizontal="left" vertical="center" indent="2"/>
    </xf>
    <xf numFmtId="0" fontId="58" fillId="43" borderId="489" applyNumberFormat="0" applyAlignment="0" applyProtection="0"/>
    <xf numFmtId="0" fontId="43" fillId="56" borderId="488" applyNumberFormat="0" applyAlignment="0" applyProtection="0"/>
    <xf numFmtId="49" fontId="34" fillId="0" borderId="484" applyNumberFormat="0" applyFont="0" applyFill="0" applyBorder="0" applyProtection="0">
      <alignment horizontal="left" vertical="center" indent="2"/>
    </xf>
    <xf numFmtId="0" fontId="49" fillId="43" borderId="489" applyNumberFormat="0" applyAlignment="0" applyProtection="0"/>
    <xf numFmtId="4" fontId="34" fillId="0" borderId="484" applyFill="0" applyBorder="0" applyProtection="0">
      <alignment horizontal="right" vertical="center"/>
    </xf>
    <xf numFmtId="0" fontId="46" fillId="56" borderId="489" applyNumberFormat="0" applyAlignment="0" applyProtection="0"/>
    <xf numFmtId="0" fontId="65" fillId="0" borderId="490" applyNumberFormat="0" applyFill="0" applyAlignment="0" applyProtection="0"/>
    <xf numFmtId="0" fontId="62" fillId="56" borderId="488" applyNumberFormat="0" applyAlignment="0" applyProtection="0"/>
    <xf numFmtId="0" fontId="34" fillId="0" borderId="484" applyNumberFormat="0" applyFill="0" applyAlignment="0" applyProtection="0"/>
    <xf numFmtId="4" fontId="34" fillId="0" borderId="484">
      <alignment horizontal="right" vertical="center"/>
    </xf>
    <xf numFmtId="0" fontId="34" fillId="0" borderId="484">
      <alignment horizontal="right" vertical="center"/>
    </xf>
    <xf numFmtId="0" fontId="58" fillId="43" borderId="489" applyNumberFormat="0" applyAlignment="0" applyProtection="0"/>
    <xf numFmtId="0" fontId="43" fillId="56" borderId="488" applyNumberFormat="0" applyAlignment="0" applyProtection="0"/>
    <xf numFmtId="0" fontId="45" fillId="56" borderId="489" applyNumberFormat="0" applyAlignment="0" applyProtection="0"/>
    <xf numFmtId="0" fontId="34" fillId="34" borderId="487">
      <alignment horizontal="left" vertical="center" wrapText="1" indent="2"/>
    </xf>
    <xf numFmtId="0" fontId="46" fillId="56" borderId="489" applyNumberFormat="0" applyAlignment="0" applyProtection="0"/>
    <xf numFmtId="0" fontId="46" fillId="56" borderId="489" applyNumberFormat="0" applyAlignment="0" applyProtection="0"/>
    <xf numFmtId="4" fontId="32" fillId="34" borderId="485">
      <alignment horizontal="right" vertical="center"/>
    </xf>
    <xf numFmtId="0" fontId="32" fillId="34" borderId="485">
      <alignment horizontal="right" vertical="center"/>
    </xf>
    <xf numFmtId="0" fontId="32" fillId="34" borderId="484">
      <alignment horizontal="right" vertical="center"/>
    </xf>
    <xf numFmtId="4" fontId="36" fillId="32" borderId="484">
      <alignment horizontal="right" vertical="center"/>
    </xf>
    <xf numFmtId="0" fontId="49" fillId="43" borderId="489" applyNumberFormat="0" applyAlignment="0" applyProtection="0"/>
    <xf numFmtId="0" fontId="50" fillId="0" borderId="490" applyNumberFormat="0" applyFill="0" applyAlignment="0" applyProtection="0"/>
    <xf numFmtId="0" fontId="65" fillId="0" borderId="490" applyNumberFormat="0" applyFill="0" applyAlignment="0" applyProtection="0"/>
    <xf numFmtId="0" fontId="40" fillId="59" borderId="483" applyNumberFormat="0" applyFont="0" applyAlignment="0" applyProtection="0"/>
    <xf numFmtId="0" fontId="58" fillId="43" borderId="489" applyNumberFormat="0" applyAlignment="0" applyProtection="0"/>
    <xf numFmtId="49" fontId="33" fillId="0" borderId="484" applyNumberFormat="0" applyFill="0" applyBorder="0" applyProtection="0">
      <alignment horizontal="left" vertical="center"/>
    </xf>
    <xf numFmtId="0" fontId="34" fillId="34" borderId="487">
      <alignment horizontal="left" vertical="center" wrapText="1" indent="2"/>
    </xf>
    <xf numFmtId="0" fontId="46" fillId="56" borderId="489" applyNumberFormat="0" applyAlignment="0" applyProtection="0"/>
    <xf numFmtId="0" fontId="34" fillId="0" borderId="487">
      <alignment horizontal="left" vertical="center" wrapText="1" indent="2"/>
    </xf>
    <xf numFmtId="0" fontId="40" fillId="59" borderId="483" applyNumberFormat="0" applyFont="0" applyAlignment="0" applyProtection="0"/>
    <xf numFmtId="0" fontId="5" fillId="59" borderId="483" applyNumberFormat="0" applyFont="0" applyAlignment="0" applyProtection="0"/>
    <xf numFmtId="0" fontId="62" fillId="56" borderId="488" applyNumberFormat="0" applyAlignment="0" applyProtection="0"/>
    <xf numFmtId="0" fontId="65" fillId="0" borderId="490" applyNumberFormat="0" applyFill="0" applyAlignment="0" applyProtection="0"/>
    <xf numFmtId="4" fontId="34" fillId="33" borderId="484"/>
    <xf numFmtId="0" fontId="32" fillId="34" borderId="484">
      <alignment horizontal="right" vertical="center"/>
    </xf>
    <xf numFmtId="0" fontId="65" fillId="0" borderId="490" applyNumberFormat="0" applyFill="0" applyAlignment="0" applyProtection="0"/>
    <xf numFmtId="4" fontId="32" fillId="34" borderId="486">
      <alignment horizontal="right" vertical="center"/>
    </xf>
    <xf numFmtId="0" fontId="45" fillId="56" borderId="489" applyNumberFormat="0" applyAlignment="0" applyProtection="0"/>
    <xf numFmtId="0" fontId="32" fillId="34" borderId="485">
      <alignment horizontal="right" vertical="center"/>
    </xf>
    <xf numFmtId="0" fontId="46" fillId="56" borderId="489" applyNumberFormat="0" applyAlignment="0" applyProtection="0"/>
    <xf numFmtId="0" fontId="50" fillId="0" borderId="490" applyNumberFormat="0" applyFill="0" applyAlignment="0" applyProtection="0"/>
    <xf numFmtId="0" fontId="40" fillId="59" borderId="483" applyNumberFormat="0" applyFont="0" applyAlignment="0" applyProtection="0"/>
    <xf numFmtId="4" fontId="32" fillId="34" borderId="485">
      <alignment horizontal="right" vertical="center"/>
    </xf>
    <xf numFmtId="0" fontId="34" fillId="34" borderId="487">
      <alignment horizontal="left" vertical="center" wrapText="1" indent="2"/>
    </xf>
    <xf numFmtId="0" fontId="34" fillId="33" borderId="484"/>
    <xf numFmtId="173" fontId="34" fillId="60" borderId="484" applyNumberFormat="0" applyFont="0" applyBorder="0" applyAlignment="0" applyProtection="0">
      <alignment horizontal="right" vertical="center"/>
    </xf>
    <xf numFmtId="0" fontId="34" fillId="0" borderId="484" applyNumberFormat="0" applyFill="0" applyAlignment="0" applyProtection="0"/>
    <xf numFmtId="4" fontId="34" fillId="0" borderId="484" applyFill="0" applyBorder="0" applyProtection="0">
      <alignment horizontal="right" vertical="center"/>
    </xf>
    <xf numFmtId="4" fontId="32" fillId="32" borderId="484">
      <alignment horizontal="right" vertical="center"/>
    </xf>
    <xf numFmtId="0" fontId="50" fillId="0" borderId="490" applyNumberFormat="0" applyFill="0" applyAlignment="0" applyProtection="0"/>
    <xf numFmtId="49" fontId="33" fillId="0" borderId="484" applyNumberFormat="0" applyFill="0" applyBorder="0" applyProtection="0">
      <alignment horizontal="left" vertical="center"/>
    </xf>
    <xf numFmtId="49" fontId="34" fillId="0" borderId="485" applyNumberFormat="0" applyFont="0" applyFill="0" applyBorder="0" applyProtection="0">
      <alignment horizontal="left" vertical="center" indent="5"/>
    </xf>
    <xf numFmtId="0" fontId="34" fillId="32" borderId="485">
      <alignment horizontal="left" vertical="center"/>
    </xf>
    <xf numFmtId="0" fontId="46" fillId="56" borderId="489" applyNumberFormat="0" applyAlignment="0" applyProtection="0"/>
    <xf numFmtId="4" fontId="32" fillId="34" borderId="486">
      <alignment horizontal="right" vertical="center"/>
    </xf>
    <xf numFmtId="0" fontId="58" fillId="43" borderId="489" applyNumberFormat="0" applyAlignment="0" applyProtection="0"/>
    <xf numFmtId="0" fontId="58" fillId="43" borderId="489" applyNumberFormat="0" applyAlignment="0" applyProtection="0"/>
    <xf numFmtId="0" fontId="40" fillId="59" borderId="483" applyNumberFormat="0" applyFont="0" applyAlignment="0" applyProtection="0"/>
    <xf numFmtId="0" fontId="62" fillId="56" borderId="488" applyNumberFormat="0" applyAlignment="0" applyProtection="0"/>
    <xf numFmtId="0" fontId="65" fillId="0" borderId="490" applyNumberFormat="0" applyFill="0" applyAlignment="0" applyProtection="0"/>
    <xf numFmtId="0" fontId="32" fillId="34" borderId="484">
      <alignment horizontal="right" vertical="center"/>
    </xf>
    <xf numFmtId="0" fontId="5" fillId="59" borderId="483" applyNumberFormat="0" applyFont="0" applyAlignment="0" applyProtection="0"/>
    <xf numFmtId="4" fontId="34" fillId="0" borderId="484">
      <alignment horizontal="right" vertical="center"/>
    </xf>
    <xf numFmtId="0" fontId="65" fillId="0" borderId="490" applyNumberFormat="0" applyFill="0" applyAlignment="0" applyProtection="0"/>
    <xf numFmtId="0" fontId="32" fillId="34" borderId="484">
      <alignment horizontal="right" vertical="center"/>
    </xf>
    <xf numFmtId="0" fontId="32" fillId="34" borderId="484">
      <alignment horizontal="right" vertical="center"/>
    </xf>
    <xf numFmtId="4" fontId="36" fillId="32" borderId="484">
      <alignment horizontal="right" vertical="center"/>
    </xf>
    <xf numFmtId="0" fontId="32" fillId="32" borderId="484">
      <alignment horizontal="right" vertical="center"/>
    </xf>
    <xf numFmtId="4" fontId="32" fillId="32" borderId="484">
      <alignment horizontal="right" vertical="center"/>
    </xf>
    <xf numFmtId="0" fontId="36" fillId="32" borderId="484">
      <alignment horizontal="right" vertical="center"/>
    </xf>
    <xf numFmtId="4" fontId="36" fillId="32" borderId="484">
      <alignment horizontal="right" vertical="center"/>
    </xf>
    <xf numFmtId="0" fontId="32" fillId="34" borderId="484">
      <alignment horizontal="right" vertical="center"/>
    </xf>
    <xf numFmtId="4" fontId="32" fillId="34" borderId="484">
      <alignment horizontal="right" vertical="center"/>
    </xf>
    <xf numFmtId="0" fontId="32" fillId="34" borderId="484">
      <alignment horizontal="right" vertical="center"/>
    </xf>
    <xf numFmtId="4" fontId="32" fillId="34" borderId="484">
      <alignment horizontal="right" vertical="center"/>
    </xf>
    <xf numFmtId="0" fontId="32" fillId="34" borderId="485">
      <alignment horizontal="right" vertical="center"/>
    </xf>
    <xf numFmtId="4" fontId="32" fillId="34" borderId="485">
      <alignment horizontal="right" vertical="center"/>
    </xf>
    <xf numFmtId="0" fontId="32" fillId="34" borderId="486">
      <alignment horizontal="right" vertical="center"/>
    </xf>
    <xf numFmtId="4" fontId="32" fillId="34" borderId="486">
      <alignment horizontal="right" vertical="center"/>
    </xf>
    <xf numFmtId="0" fontId="46" fillId="56" borderId="489" applyNumberFormat="0" applyAlignment="0" applyProtection="0"/>
    <xf numFmtId="0" fontId="34" fillId="34" borderId="487">
      <alignment horizontal="left" vertical="center" wrapText="1" indent="2"/>
    </xf>
    <xf numFmtId="0" fontId="34" fillId="0" borderId="487">
      <alignment horizontal="left" vertical="center" wrapText="1" indent="2"/>
    </xf>
    <xf numFmtId="0" fontId="34" fillId="32" borderId="485">
      <alignment horizontal="left" vertical="center"/>
    </xf>
    <xf numFmtId="0" fontId="58" fillId="43" borderId="489" applyNumberFormat="0" applyAlignment="0" applyProtection="0"/>
    <xf numFmtId="0" fontId="34" fillId="0" borderId="484">
      <alignment horizontal="right" vertical="center"/>
    </xf>
    <xf numFmtId="4" fontId="34" fillId="0" borderId="484">
      <alignment horizontal="right" vertical="center"/>
    </xf>
    <xf numFmtId="0" fontId="34" fillId="0" borderId="484" applyNumberFormat="0" applyFill="0" applyAlignment="0" applyProtection="0"/>
    <xf numFmtId="0" fontId="62" fillId="56" borderId="488" applyNumberFormat="0" applyAlignment="0" applyProtection="0"/>
    <xf numFmtId="173" fontId="34" fillId="60" borderId="484" applyNumberFormat="0" applyFont="0" applyBorder="0" applyAlignment="0" applyProtection="0">
      <alignment horizontal="right" vertical="center"/>
    </xf>
    <xf numFmtId="0" fontId="34" fillId="33" borderId="484"/>
    <xf numFmtId="4" fontId="34" fillId="33" borderId="484"/>
    <xf numFmtId="0" fontId="65" fillId="0" borderId="490" applyNumberFormat="0" applyFill="0" applyAlignment="0" applyProtection="0"/>
    <xf numFmtId="0" fontId="5" fillId="59" borderId="483" applyNumberFormat="0" applyFont="0" applyAlignment="0" applyProtection="0"/>
    <xf numFmtId="0" fontId="40" fillId="59" borderId="483" applyNumberFormat="0" applyFont="0" applyAlignment="0" applyProtection="0"/>
    <xf numFmtId="0" fontId="34" fillId="0" borderId="484" applyNumberFormat="0" applyFill="0" applyAlignment="0" applyProtection="0"/>
    <xf numFmtId="0" fontId="50" fillId="0" borderId="490" applyNumberFormat="0" applyFill="0" applyAlignment="0" applyProtection="0"/>
    <xf numFmtId="0" fontId="65" fillId="0" borderId="490" applyNumberFormat="0" applyFill="0" applyAlignment="0" applyProtection="0"/>
    <xf numFmtId="0" fontId="49" fillId="43" borderId="489" applyNumberFormat="0" applyAlignment="0" applyProtection="0"/>
    <xf numFmtId="0" fontId="46" fillId="56" borderId="489" applyNumberFormat="0" applyAlignment="0" applyProtection="0"/>
    <xf numFmtId="4" fontId="36" fillId="32" borderId="484">
      <alignment horizontal="right" vertical="center"/>
    </xf>
    <xf numFmtId="0" fontId="32" fillId="32" borderId="484">
      <alignment horizontal="right" vertical="center"/>
    </xf>
    <xf numFmtId="173" fontId="34" fillId="60" borderId="484" applyNumberFormat="0" applyFont="0" applyBorder="0" applyAlignment="0" applyProtection="0">
      <alignment horizontal="right" vertical="center"/>
    </xf>
    <xf numFmtId="0" fontId="50" fillId="0" borderId="490" applyNumberFormat="0" applyFill="0" applyAlignment="0" applyProtection="0"/>
    <xf numFmtId="49" fontId="34" fillId="0" borderId="484" applyNumberFormat="0" applyFont="0" applyFill="0" applyBorder="0" applyProtection="0">
      <alignment horizontal="left" vertical="center" indent="2"/>
    </xf>
    <xf numFmtId="49" fontId="34" fillId="0" borderId="485" applyNumberFormat="0" applyFont="0" applyFill="0" applyBorder="0" applyProtection="0">
      <alignment horizontal="left" vertical="center" indent="5"/>
    </xf>
    <xf numFmtId="49" fontId="34" fillId="0" borderId="484" applyNumberFormat="0" applyFont="0" applyFill="0" applyBorder="0" applyProtection="0">
      <alignment horizontal="left" vertical="center" indent="2"/>
    </xf>
    <xf numFmtId="4" fontId="34" fillId="0" borderId="484" applyFill="0" applyBorder="0" applyProtection="0">
      <alignment horizontal="right" vertical="center"/>
    </xf>
    <xf numFmtId="49" fontId="33" fillId="0" borderId="484" applyNumberFormat="0" applyFill="0" applyBorder="0" applyProtection="0">
      <alignment horizontal="left" vertical="center"/>
    </xf>
    <xf numFmtId="0" fontId="34" fillId="0" borderId="487">
      <alignment horizontal="left" vertical="center" wrapText="1" indent="2"/>
    </xf>
    <xf numFmtId="0" fontId="62" fillId="56" borderId="488" applyNumberFormat="0" applyAlignment="0" applyProtection="0"/>
    <xf numFmtId="0" fontId="32" fillId="34" borderId="486">
      <alignment horizontal="right" vertical="center"/>
    </xf>
    <xf numFmtId="0" fontId="49" fillId="43" borderId="489" applyNumberFormat="0" applyAlignment="0" applyProtection="0"/>
    <xf numFmtId="0" fontId="32" fillId="34" borderId="486">
      <alignment horizontal="right" vertical="center"/>
    </xf>
    <xf numFmtId="4" fontId="32" fillId="34" borderId="484">
      <alignment horizontal="right" vertical="center"/>
    </xf>
    <xf numFmtId="0" fontId="32" fillId="34" borderId="484">
      <alignment horizontal="right" vertical="center"/>
    </xf>
    <xf numFmtId="0" fontId="43" fillId="56" borderId="488" applyNumberFormat="0" applyAlignment="0" applyProtection="0"/>
    <xf numFmtId="0" fontId="45" fillId="56" borderId="489" applyNumberFormat="0" applyAlignment="0" applyProtection="0"/>
    <xf numFmtId="0" fontId="50" fillId="0" borderId="490" applyNumberFormat="0" applyFill="0" applyAlignment="0" applyProtection="0"/>
    <xf numFmtId="0" fontId="34" fillId="33" borderId="484"/>
    <xf numFmtId="4" fontId="34" fillId="33" borderId="484"/>
    <xf numFmtId="4" fontId="32" fillId="34" borderId="484">
      <alignment horizontal="right" vertical="center"/>
    </xf>
    <xf numFmtId="0" fontId="36" fillId="32" borderId="484">
      <alignment horizontal="right" vertical="center"/>
    </xf>
    <xf numFmtId="0" fontId="49" fillId="43" borderId="489" applyNumberFormat="0" applyAlignment="0" applyProtection="0"/>
    <xf numFmtId="0" fontId="46" fillId="56" borderId="489" applyNumberFormat="0" applyAlignment="0" applyProtection="0"/>
    <xf numFmtId="4" fontId="34" fillId="0" borderId="484">
      <alignment horizontal="right" vertical="center"/>
    </xf>
    <xf numFmtId="0" fontId="34" fillId="34" borderId="487">
      <alignment horizontal="left" vertical="center" wrapText="1" indent="2"/>
    </xf>
    <xf numFmtId="0" fontId="34" fillId="0" borderId="487">
      <alignment horizontal="left" vertical="center" wrapText="1" indent="2"/>
    </xf>
    <xf numFmtId="0" fontId="62" fillId="56" borderId="488" applyNumberFormat="0" applyAlignment="0" applyProtection="0"/>
    <xf numFmtId="0" fontId="58" fillId="43" borderId="489" applyNumberFormat="0" applyAlignment="0" applyProtection="0"/>
    <xf numFmtId="0" fontId="45" fillId="56" borderId="489" applyNumberFormat="0" applyAlignment="0" applyProtection="0"/>
    <xf numFmtId="0" fontId="43" fillId="56" borderId="488" applyNumberFormat="0" applyAlignment="0" applyProtection="0"/>
    <xf numFmtId="0" fontId="32" fillId="34" borderId="486">
      <alignment horizontal="right" vertical="center"/>
    </xf>
    <xf numFmtId="0" fontId="36" fillId="32" borderId="484">
      <alignment horizontal="right" vertical="center"/>
    </xf>
    <xf numFmtId="4" fontId="32" fillId="32" borderId="484">
      <alignment horizontal="right" vertical="center"/>
    </xf>
    <xf numFmtId="4" fontId="32" fillId="34" borderId="484">
      <alignment horizontal="right" vertical="center"/>
    </xf>
    <xf numFmtId="49" fontId="34" fillId="0" borderId="485" applyNumberFormat="0" applyFont="0" applyFill="0" applyBorder="0" applyProtection="0">
      <alignment horizontal="left" vertical="center" indent="5"/>
    </xf>
    <xf numFmtId="4" fontId="34" fillId="0" borderId="484" applyFill="0" applyBorder="0" applyProtection="0">
      <alignment horizontal="right" vertical="center"/>
    </xf>
    <xf numFmtId="4" fontId="32" fillId="32" borderId="484">
      <alignment horizontal="right" vertical="center"/>
    </xf>
    <xf numFmtId="4" fontId="32" fillId="34" borderId="494">
      <alignment horizontal="right" vertical="center"/>
    </xf>
    <xf numFmtId="0" fontId="58" fillId="43" borderId="489" applyNumberFormat="0" applyAlignment="0" applyProtection="0"/>
    <xf numFmtId="0" fontId="49" fillId="43" borderId="489" applyNumberFormat="0" applyAlignment="0" applyProtection="0"/>
    <xf numFmtId="0" fontId="45" fillId="56" borderId="489" applyNumberFormat="0" applyAlignment="0" applyProtection="0"/>
    <xf numFmtId="0" fontId="34" fillId="34" borderId="487">
      <alignment horizontal="left" vertical="center" wrapText="1" indent="2"/>
    </xf>
    <xf numFmtId="0" fontId="34" fillId="0" borderId="487">
      <alignment horizontal="left" vertical="center" wrapText="1" indent="2"/>
    </xf>
    <xf numFmtId="0" fontId="34" fillId="34" borderId="487">
      <alignment horizontal="left" vertical="center" wrapText="1" indent="2"/>
    </xf>
    <xf numFmtId="0" fontId="34" fillId="0" borderId="487">
      <alignment horizontal="left" vertical="center" wrapText="1" indent="2"/>
    </xf>
    <xf numFmtId="0" fontId="43" fillId="56" borderId="488" applyNumberFormat="0" applyAlignment="0" applyProtection="0"/>
    <xf numFmtId="0" fontId="45" fillId="56" borderId="489" applyNumberFormat="0" applyAlignment="0" applyProtection="0"/>
    <xf numFmtId="0" fontId="46" fillId="56" borderId="489" applyNumberFormat="0" applyAlignment="0" applyProtection="0"/>
    <xf numFmtId="0" fontId="49" fillId="43" borderId="489" applyNumberFormat="0" applyAlignment="0" applyProtection="0"/>
    <xf numFmtId="0" fontId="50" fillId="0" borderId="490" applyNumberFormat="0" applyFill="0" applyAlignment="0" applyProtection="0"/>
    <xf numFmtId="0" fontId="58" fillId="43" borderId="489" applyNumberFormat="0" applyAlignment="0" applyProtection="0"/>
    <xf numFmtId="0" fontId="40" fillId="59" borderId="483" applyNumberFormat="0" applyFont="0" applyAlignment="0" applyProtection="0"/>
    <xf numFmtId="0" fontId="5" fillId="59" borderId="483" applyNumberFormat="0" applyFont="0" applyAlignment="0" applyProtection="0"/>
    <xf numFmtId="0" fontId="62" fillId="56" borderId="488" applyNumberFormat="0" applyAlignment="0" applyProtection="0"/>
    <xf numFmtId="0" fontId="65" fillId="0" borderId="490" applyNumberFormat="0" applyFill="0" applyAlignment="0" applyProtection="0"/>
    <xf numFmtId="0" fontId="46" fillId="56" borderId="489" applyNumberFormat="0" applyAlignment="0" applyProtection="0"/>
    <xf numFmtId="0" fontId="58" fillId="43" borderId="489" applyNumberFormat="0" applyAlignment="0" applyProtection="0"/>
    <xf numFmtId="0" fontId="40" fillId="59" borderId="483" applyNumberFormat="0" applyFont="0" applyAlignment="0" applyProtection="0"/>
    <xf numFmtId="0" fontId="62" fillId="56" borderId="488" applyNumberFormat="0" applyAlignment="0" applyProtection="0"/>
    <xf numFmtId="0" fontId="65" fillId="0" borderId="490" applyNumberFormat="0" applyFill="0" applyAlignment="0" applyProtection="0"/>
    <xf numFmtId="0" fontId="34" fillId="33" borderId="494"/>
    <xf numFmtId="0" fontId="46" fillId="56" borderId="489" applyNumberFormat="0" applyAlignment="0" applyProtection="0"/>
    <xf numFmtId="0" fontId="50" fillId="0" borderId="492" applyNumberFormat="0" applyFill="0" applyAlignment="0" applyProtection="0"/>
    <xf numFmtId="0" fontId="50" fillId="0" borderId="492" applyNumberFormat="0" applyFill="0" applyAlignment="0" applyProtection="0"/>
    <xf numFmtId="0" fontId="58" fillId="43" borderId="489" applyNumberFormat="0" applyAlignment="0" applyProtection="0"/>
    <xf numFmtId="0" fontId="62" fillId="56" borderId="488" applyNumberFormat="0" applyAlignment="0" applyProtection="0"/>
    <xf numFmtId="0" fontId="65" fillId="0" borderId="490" applyNumberFormat="0" applyFill="0" applyAlignment="0" applyProtection="0"/>
    <xf numFmtId="0" fontId="49" fillId="43" borderId="491" applyNumberFormat="0" applyAlignment="0" applyProtection="0"/>
    <xf numFmtId="0" fontId="43" fillId="56" borderId="488" applyNumberFormat="0" applyAlignment="0" applyProtection="0"/>
    <xf numFmtId="0" fontId="45" fillId="56" borderId="489" applyNumberFormat="0" applyAlignment="0" applyProtection="0"/>
    <xf numFmtId="0" fontId="50" fillId="0" borderId="490" applyNumberFormat="0" applyFill="0" applyAlignment="0" applyProtection="0"/>
    <xf numFmtId="49" fontId="34" fillId="0" borderId="484" applyNumberFormat="0" applyFont="0" applyFill="0" applyBorder="0" applyProtection="0">
      <alignment horizontal="left" vertical="center" indent="2"/>
    </xf>
    <xf numFmtId="0" fontId="32" fillId="32" borderId="484">
      <alignment horizontal="right" vertical="center"/>
    </xf>
    <xf numFmtId="4" fontId="32" fillId="32" borderId="484">
      <alignment horizontal="right" vertical="center"/>
    </xf>
    <xf numFmtId="0" fontId="36" fillId="32" borderId="484">
      <alignment horizontal="right" vertical="center"/>
    </xf>
    <xf numFmtId="4" fontId="36" fillId="32" borderId="484">
      <alignment horizontal="right" vertical="center"/>
    </xf>
    <xf numFmtId="0" fontId="32" fillId="34" borderId="484">
      <alignment horizontal="right" vertical="center"/>
    </xf>
    <xf numFmtId="4" fontId="32" fillId="34" borderId="484">
      <alignment horizontal="right" vertical="center"/>
    </xf>
    <xf numFmtId="0" fontId="32" fillId="34" borderId="484">
      <alignment horizontal="right" vertical="center"/>
    </xf>
    <xf numFmtId="4" fontId="32" fillId="34" borderId="484">
      <alignment horizontal="right" vertical="center"/>
    </xf>
    <xf numFmtId="0" fontId="49" fillId="43" borderId="489" applyNumberFormat="0" applyAlignment="0" applyProtection="0"/>
    <xf numFmtId="0" fontId="34" fillId="0" borderId="484">
      <alignment horizontal="right" vertical="center"/>
    </xf>
    <xf numFmtId="4" fontId="34" fillId="0" borderId="484">
      <alignment horizontal="right" vertical="center"/>
    </xf>
    <xf numFmtId="4" fontId="34" fillId="0" borderId="484" applyFill="0" applyBorder="0" applyProtection="0">
      <alignment horizontal="right" vertical="center"/>
    </xf>
    <xf numFmtId="49" fontId="33" fillId="0" borderId="484" applyNumberFormat="0" applyFill="0" applyBorder="0" applyProtection="0">
      <alignment horizontal="left" vertical="center"/>
    </xf>
    <xf numFmtId="0" fontId="34" fillId="0" borderId="484" applyNumberFormat="0" applyFill="0" applyAlignment="0" applyProtection="0"/>
    <xf numFmtId="173" fontId="34" fillId="60" borderId="484" applyNumberFormat="0" applyFont="0" applyBorder="0" applyAlignment="0" applyProtection="0">
      <alignment horizontal="right" vertical="center"/>
    </xf>
    <xf numFmtId="0" fontId="34" fillId="33" borderId="484"/>
    <xf numFmtId="4" fontId="34" fillId="33" borderId="484"/>
    <xf numFmtId="4" fontId="32" fillId="34" borderId="484">
      <alignment horizontal="right" vertical="center"/>
    </xf>
    <xf numFmtId="0" fontId="34" fillId="33" borderId="484"/>
    <xf numFmtId="0" fontId="45" fillId="56" borderId="489" applyNumberFormat="0" applyAlignment="0" applyProtection="0"/>
    <xf numFmtId="0" fontId="32" fillId="32" borderId="484">
      <alignment horizontal="right" vertical="center"/>
    </xf>
    <xf numFmtId="0" fontId="34" fillId="0" borderId="484">
      <alignment horizontal="right" vertical="center"/>
    </xf>
    <xf numFmtId="0" fontId="65" fillId="0" borderId="490" applyNumberFormat="0" applyFill="0" applyAlignment="0" applyProtection="0"/>
    <xf numFmtId="0" fontId="34" fillId="32" borderId="485">
      <alignment horizontal="left" vertical="center"/>
    </xf>
    <xf numFmtId="0" fontId="58" fillId="43" borderId="489" applyNumberFormat="0" applyAlignment="0" applyProtection="0"/>
    <xf numFmtId="173" fontId="34" fillId="60" borderId="484" applyNumberFormat="0" applyFont="0" applyBorder="0" applyAlignment="0" applyProtection="0">
      <alignment horizontal="right" vertical="center"/>
    </xf>
    <xf numFmtId="0" fontId="40" fillId="59" borderId="483" applyNumberFormat="0" applyFont="0" applyAlignment="0" applyProtection="0"/>
    <xf numFmtId="0" fontId="34" fillId="0" borderId="487">
      <alignment horizontal="left" vertical="center" wrapText="1" indent="2"/>
    </xf>
    <xf numFmtId="4" fontId="34" fillId="33" borderId="484"/>
    <xf numFmtId="49" fontId="33" fillId="0" borderId="484" applyNumberFormat="0" applyFill="0" applyBorder="0" applyProtection="0">
      <alignment horizontal="left" vertical="center"/>
    </xf>
    <xf numFmtId="0" fontId="34" fillId="0" borderId="484">
      <alignment horizontal="right" vertical="center"/>
    </xf>
    <xf numFmtId="4" fontId="32" fillId="34" borderId="486">
      <alignment horizontal="right" vertical="center"/>
    </xf>
    <xf numFmtId="4" fontId="32" fillId="34" borderId="484">
      <alignment horizontal="right" vertical="center"/>
    </xf>
    <xf numFmtId="4" fontId="32" fillId="34" borderId="484">
      <alignment horizontal="right" vertical="center"/>
    </xf>
    <xf numFmtId="0" fontId="36" fillId="32" borderId="484">
      <alignment horizontal="right" vertical="center"/>
    </xf>
    <xf numFmtId="0" fontId="32" fillId="32" borderId="484">
      <alignment horizontal="right" vertical="center"/>
    </xf>
    <xf numFmtId="49" fontId="34" fillId="0" borderId="484" applyNumberFormat="0" applyFont="0" applyFill="0" applyBorder="0" applyProtection="0">
      <alignment horizontal="left" vertical="center" indent="2"/>
    </xf>
    <xf numFmtId="0" fontId="58" fillId="43" borderId="489" applyNumberFormat="0" applyAlignment="0" applyProtection="0"/>
    <xf numFmtId="0" fontId="43" fillId="56" borderId="488" applyNumberFormat="0" applyAlignment="0" applyProtection="0"/>
    <xf numFmtId="49" fontId="34" fillId="0" borderId="484" applyNumberFormat="0" applyFont="0" applyFill="0" applyBorder="0" applyProtection="0">
      <alignment horizontal="left" vertical="center" indent="2"/>
    </xf>
    <xf numFmtId="0" fontId="49" fillId="43" borderId="489" applyNumberFormat="0" applyAlignment="0" applyProtection="0"/>
    <xf numFmtId="4" fontId="34" fillId="0" borderId="484" applyFill="0" applyBorder="0" applyProtection="0">
      <alignment horizontal="right" vertical="center"/>
    </xf>
    <xf numFmtId="0" fontId="46" fillId="56" borderId="489" applyNumberFormat="0" applyAlignment="0" applyProtection="0"/>
    <xf numFmtId="0" fontId="65" fillId="0" borderId="490" applyNumberFormat="0" applyFill="0" applyAlignment="0" applyProtection="0"/>
    <xf numFmtId="0" fontId="62" fillId="56" borderId="488" applyNumberFormat="0" applyAlignment="0" applyProtection="0"/>
    <xf numFmtId="0" fontId="34" fillId="0" borderId="484" applyNumberFormat="0" applyFill="0" applyAlignment="0" applyProtection="0"/>
    <xf numFmtId="4" fontId="34" fillId="0" borderId="484">
      <alignment horizontal="right" vertical="center"/>
    </xf>
    <xf numFmtId="0" fontId="34" fillId="0" borderId="484">
      <alignment horizontal="right" vertical="center"/>
    </xf>
    <xf numFmtId="0" fontId="58" fillId="43" borderId="489" applyNumberFormat="0" applyAlignment="0" applyProtection="0"/>
    <xf numFmtId="0" fontId="43" fillId="56" borderId="488" applyNumberFormat="0" applyAlignment="0" applyProtection="0"/>
    <xf numFmtId="0" fontId="45" fillId="56" borderId="489" applyNumberFormat="0" applyAlignment="0" applyProtection="0"/>
    <xf numFmtId="0" fontId="34" fillId="34" borderId="487">
      <alignment horizontal="left" vertical="center" wrapText="1" indent="2"/>
    </xf>
    <xf numFmtId="0" fontId="46" fillId="56" borderId="489" applyNumberFormat="0" applyAlignment="0" applyProtection="0"/>
    <xf numFmtId="0" fontId="46" fillId="56" borderId="489" applyNumberFormat="0" applyAlignment="0" applyProtection="0"/>
    <xf numFmtId="4" fontId="32" fillId="34" borderId="485">
      <alignment horizontal="right" vertical="center"/>
    </xf>
    <xf numFmtId="0" fontId="32" fillId="34" borderId="485">
      <alignment horizontal="right" vertical="center"/>
    </xf>
    <xf numFmtId="0" fontId="32" fillId="34" borderId="484">
      <alignment horizontal="right" vertical="center"/>
    </xf>
    <xf numFmtId="4" fontId="36" fillId="32" borderId="484">
      <alignment horizontal="right" vertical="center"/>
    </xf>
    <xf numFmtId="0" fontId="49" fillId="43" borderId="489" applyNumberFormat="0" applyAlignment="0" applyProtection="0"/>
    <xf numFmtId="0" fontId="50" fillId="0" borderId="490" applyNumberFormat="0" applyFill="0" applyAlignment="0" applyProtection="0"/>
    <xf numFmtId="0" fontId="65" fillId="0" borderId="490" applyNumberFormat="0" applyFill="0" applyAlignment="0" applyProtection="0"/>
    <xf numFmtId="0" fontId="40" fillId="59" borderId="483" applyNumberFormat="0" applyFont="0" applyAlignment="0" applyProtection="0"/>
    <xf numFmtId="0" fontId="58" fillId="43" borderId="489" applyNumberFormat="0" applyAlignment="0" applyProtection="0"/>
    <xf numFmtId="49" fontId="33" fillId="0" borderId="484" applyNumberFormat="0" applyFill="0" applyBorder="0" applyProtection="0">
      <alignment horizontal="left" vertical="center"/>
    </xf>
    <xf numFmtId="0" fontId="34" fillId="34" borderId="487">
      <alignment horizontal="left" vertical="center" wrapText="1" indent="2"/>
    </xf>
    <xf numFmtId="0" fontId="46" fillId="56" borderId="489" applyNumberFormat="0" applyAlignment="0" applyProtection="0"/>
    <xf numFmtId="0" fontId="34" fillId="0" borderId="487">
      <alignment horizontal="left" vertical="center" wrapText="1" indent="2"/>
    </xf>
    <xf numFmtId="0" fontId="40" fillId="59" borderId="483" applyNumberFormat="0" applyFont="0" applyAlignment="0" applyProtection="0"/>
    <xf numFmtId="0" fontId="5" fillId="59" borderId="483" applyNumberFormat="0" applyFont="0" applyAlignment="0" applyProtection="0"/>
    <xf numFmtId="0" fontId="62" fillId="56" borderId="488" applyNumberFormat="0" applyAlignment="0" applyProtection="0"/>
    <xf numFmtId="0" fontId="65" fillId="0" borderId="490" applyNumberFormat="0" applyFill="0" applyAlignment="0" applyProtection="0"/>
    <xf numFmtId="4" fontId="34" fillId="33" borderId="484"/>
    <xf numFmtId="0" fontId="32" fillId="34" borderId="484">
      <alignment horizontal="right" vertical="center"/>
    </xf>
    <xf numFmtId="0" fontId="65" fillId="0" borderId="490" applyNumberFormat="0" applyFill="0" applyAlignment="0" applyProtection="0"/>
    <xf numFmtId="4" fontId="32" fillId="34" borderId="486">
      <alignment horizontal="right" vertical="center"/>
    </xf>
    <xf numFmtId="0" fontId="45" fillId="56" borderId="489" applyNumberFormat="0" applyAlignment="0" applyProtection="0"/>
    <xf numFmtId="0" fontId="32" fillId="34" borderId="485">
      <alignment horizontal="right" vertical="center"/>
    </xf>
    <xf numFmtId="0" fontId="46" fillId="56" borderId="489" applyNumberFormat="0" applyAlignment="0" applyProtection="0"/>
    <xf numFmtId="0" fontId="50" fillId="0" borderId="490" applyNumberFormat="0" applyFill="0" applyAlignment="0" applyProtection="0"/>
    <xf numFmtId="0" fontId="40" fillId="59" borderId="483" applyNumberFormat="0" applyFont="0" applyAlignment="0" applyProtection="0"/>
    <xf numFmtId="4" fontId="32" fillId="34" borderId="485">
      <alignment horizontal="right" vertical="center"/>
    </xf>
    <xf numFmtId="0" fontId="34" fillId="34" borderId="487">
      <alignment horizontal="left" vertical="center" wrapText="1" indent="2"/>
    </xf>
    <xf numFmtId="0" fontId="34" fillId="33" borderId="484"/>
    <xf numFmtId="173" fontId="34" fillId="60" borderId="484" applyNumberFormat="0" applyFont="0" applyBorder="0" applyAlignment="0" applyProtection="0">
      <alignment horizontal="right" vertical="center"/>
    </xf>
    <xf numFmtId="0" fontId="34" fillId="0" borderId="484" applyNumberFormat="0" applyFill="0" applyAlignment="0" applyProtection="0"/>
    <xf numFmtId="4" fontId="34" fillId="0" borderId="484" applyFill="0" applyBorder="0" applyProtection="0">
      <alignment horizontal="right" vertical="center"/>
    </xf>
    <xf numFmtId="4" fontId="32" fillId="32" borderId="484">
      <alignment horizontal="right" vertical="center"/>
    </xf>
    <xf numFmtId="0" fontId="50" fillId="0" borderId="490" applyNumberFormat="0" applyFill="0" applyAlignment="0" applyProtection="0"/>
    <xf numFmtId="49" fontId="33" fillId="0" borderId="484" applyNumberFormat="0" applyFill="0" applyBorder="0" applyProtection="0">
      <alignment horizontal="left" vertical="center"/>
    </xf>
    <xf numFmtId="49" fontId="34" fillId="0" borderId="485" applyNumberFormat="0" applyFont="0" applyFill="0" applyBorder="0" applyProtection="0">
      <alignment horizontal="left" vertical="center" indent="5"/>
    </xf>
    <xf numFmtId="0" fontId="34" fillId="32" borderId="485">
      <alignment horizontal="left" vertical="center"/>
    </xf>
    <xf numFmtId="0" fontId="46" fillId="56" borderId="489" applyNumberFormat="0" applyAlignment="0" applyProtection="0"/>
    <xf numFmtId="4" fontId="32" fillId="34" borderId="486">
      <alignment horizontal="right" vertical="center"/>
    </xf>
    <xf numFmtId="0" fontId="58" fillId="43" borderId="489" applyNumberFormat="0" applyAlignment="0" applyProtection="0"/>
    <xf numFmtId="0" fontId="58" fillId="43" borderId="489" applyNumberFormat="0" applyAlignment="0" applyProtection="0"/>
    <xf numFmtId="0" fontId="40" fillId="59" borderId="483" applyNumberFormat="0" applyFont="0" applyAlignment="0" applyProtection="0"/>
    <xf numFmtId="0" fontId="62" fillId="56" borderId="488" applyNumberFormat="0" applyAlignment="0" applyProtection="0"/>
    <xf numFmtId="0" fontId="65" fillId="0" borderId="490" applyNumberFormat="0" applyFill="0" applyAlignment="0" applyProtection="0"/>
    <xf numFmtId="0" fontId="32" fillId="34" borderId="484">
      <alignment horizontal="right" vertical="center"/>
    </xf>
    <xf numFmtId="0" fontId="5" fillId="59" borderId="483" applyNumberFormat="0" applyFont="0" applyAlignment="0" applyProtection="0"/>
    <xf numFmtId="4" fontId="34" fillId="0" borderId="484">
      <alignment horizontal="right" vertical="center"/>
    </xf>
    <xf numFmtId="0" fontId="65" fillId="0" borderId="490" applyNumberFormat="0" applyFill="0" applyAlignment="0" applyProtection="0"/>
    <xf numFmtId="0" fontId="32" fillId="34" borderId="484">
      <alignment horizontal="right" vertical="center"/>
    </xf>
    <xf numFmtId="0" fontId="32" fillId="34" borderId="484">
      <alignment horizontal="right" vertical="center"/>
    </xf>
    <xf numFmtId="4" fontId="36" fillId="32" borderId="484">
      <alignment horizontal="right" vertical="center"/>
    </xf>
    <xf numFmtId="0" fontId="32" fillId="32" borderId="484">
      <alignment horizontal="right" vertical="center"/>
    </xf>
    <xf numFmtId="4" fontId="32" fillId="32" borderId="484">
      <alignment horizontal="right" vertical="center"/>
    </xf>
    <xf numFmtId="0" fontId="36" fillId="32" borderId="484">
      <alignment horizontal="right" vertical="center"/>
    </xf>
    <xf numFmtId="4" fontId="36" fillId="32" borderId="484">
      <alignment horizontal="right" vertical="center"/>
    </xf>
    <xf numFmtId="0" fontId="32" fillId="34" borderId="484">
      <alignment horizontal="right" vertical="center"/>
    </xf>
    <xf numFmtId="4" fontId="32" fillId="34" borderId="484">
      <alignment horizontal="right" vertical="center"/>
    </xf>
    <xf numFmtId="0" fontId="32" fillId="34" borderId="484">
      <alignment horizontal="right" vertical="center"/>
    </xf>
    <xf numFmtId="4" fontId="32" fillId="34" borderId="484">
      <alignment horizontal="right" vertical="center"/>
    </xf>
    <xf numFmtId="0" fontId="32" fillId="34" borderId="485">
      <alignment horizontal="right" vertical="center"/>
    </xf>
    <xf numFmtId="4" fontId="32" fillId="34" borderId="485">
      <alignment horizontal="right" vertical="center"/>
    </xf>
    <xf numFmtId="0" fontId="32" fillId="34" borderId="486">
      <alignment horizontal="right" vertical="center"/>
    </xf>
    <xf numFmtId="4" fontId="32" fillId="34" borderId="486">
      <alignment horizontal="right" vertical="center"/>
    </xf>
    <xf numFmtId="0" fontId="46" fillId="56" borderId="489" applyNumberFormat="0" applyAlignment="0" applyProtection="0"/>
    <xf numFmtId="0" fontId="34" fillId="34" borderId="487">
      <alignment horizontal="left" vertical="center" wrapText="1" indent="2"/>
    </xf>
    <xf numFmtId="0" fontId="34" fillId="0" borderId="487">
      <alignment horizontal="left" vertical="center" wrapText="1" indent="2"/>
    </xf>
    <xf numFmtId="0" fontId="34" fillId="32" borderId="485">
      <alignment horizontal="left" vertical="center"/>
    </xf>
    <xf numFmtId="0" fontId="58" fillId="43" borderId="489" applyNumberFormat="0" applyAlignment="0" applyProtection="0"/>
    <xf numFmtId="0" fontId="34" fillId="0" borderId="484">
      <alignment horizontal="right" vertical="center"/>
    </xf>
    <xf numFmtId="4" fontId="34" fillId="0" borderId="484">
      <alignment horizontal="right" vertical="center"/>
    </xf>
    <xf numFmtId="0" fontId="34" fillId="0" borderId="484" applyNumberFormat="0" applyFill="0" applyAlignment="0" applyProtection="0"/>
    <xf numFmtId="0" fontId="62" fillId="56" borderId="488" applyNumberFormat="0" applyAlignment="0" applyProtection="0"/>
    <xf numFmtId="173" fontId="34" fillId="60" borderId="484" applyNumberFormat="0" applyFont="0" applyBorder="0" applyAlignment="0" applyProtection="0">
      <alignment horizontal="right" vertical="center"/>
    </xf>
    <xf numFmtId="0" fontId="34" fillId="33" borderId="484"/>
    <xf numFmtId="4" fontId="34" fillId="33" borderId="484"/>
    <xf numFmtId="0" fontId="65" fillId="0" borderId="490" applyNumberFormat="0" applyFill="0" applyAlignment="0" applyProtection="0"/>
    <xf numFmtId="0" fontId="5" fillId="59" borderId="483" applyNumberFormat="0" applyFont="0" applyAlignment="0" applyProtection="0"/>
    <xf numFmtId="0" fontId="40" fillId="59" borderId="483" applyNumberFormat="0" applyFont="0" applyAlignment="0" applyProtection="0"/>
    <xf numFmtId="0" fontId="34" fillId="0" borderId="484" applyNumberFormat="0" applyFill="0" applyAlignment="0" applyProtection="0"/>
    <xf numFmtId="0" fontId="50" fillId="0" borderId="490" applyNumberFormat="0" applyFill="0" applyAlignment="0" applyProtection="0"/>
    <xf numFmtId="0" fontId="65" fillId="0" borderId="490" applyNumberFormat="0" applyFill="0" applyAlignment="0" applyProtection="0"/>
    <xf numFmtId="0" fontId="49" fillId="43" borderId="489" applyNumberFormat="0" applyAlignment="0" applyProtection="0"/>
    <xf numFmtId="0" fontId="46" fillId="56" borderId="489" applyNumberFormat="0" applyAlignment="0" applyProtection="0"/>
    <xf numFmtId="4" fontId="36" fillId="32" borderId="484">
      <alignment horizontal="right" vertical="center"/>
    </xf>
    <xf numFmtId="0" fontId="32" fillId="32" borderId="484">
      <alignment horizontal="right" vertical="center"/>
    </xf>
    <xf numFmtId="173" fontId="34" fillId="60" borderId="484" applyNumberFormat="0" applyFont="0" applyBorder="0" applyAlignment="0" applyProtection="0">
      <alignment horizontal="right" vertical="center"/>
    </xf>
    <xf numFmtId="0" fontId="50" fillId="0" borderId="490" applyNumberFormat="0" applyFill="0" applyAlignment="0" applyProtection="0"/>
    <xf numFmtId="49" fontId="34" fillId="0" borderId="484" applyNumberFormat="0" applyFont="0" applyFill="0" applyBorder="0" applyProtection="0">
      <alignment horizontal="left" vertical="center" indent="2"/>
    </xf>
    <xf numFmtId="49" fontId="34" fillId="0" borderId="485" applyNumberFormat="0" applyFont="0" applyFill="0" applyBorder="0" applyProtection="0">
      <alignment horizontal="left" vertical="center" indent="5"/>
    </xf>
    <xf numFmtId="49" fontId="34" fillId="0" borderId="484" applyNumberFormat="0" applyFont="0" applyFill="0" applyBorder="0" applyProtection="0">
      <alignment horizontal="left" vertical="center" indent="2"/>
    </xf>
    <xf numFmtId="4" fontId="34" fillId="0" borderId="484" applyFill="0" applyBorder="0" applyProtection="0">
      <alignment horizontal="right" vertical="center"/>
    </xf>
    <xf numFmtId="49" fontId="33" fillId="0" borderId="484" applyNumberFormat="0" applyFill="0" applyBorder="0" applyProtection="0">
      <alignment horizontal="left" vertical="center"/>
    </xf>
    <xf numFmtId="0" fontId="34" fillId="0" borderId="487">
      <alignment horizontal="left" vertical="center" wrapText="1" indent="2"/>
    </xf>
    <xf numFmtId="0" fontId="62" fillId="56" borderId="488" applyNumberFormat="0" applyAlignment="0" applyProtection="0"/>
    <xf numFmtId="0" fontId="32" fillId="34" borderId="486">
      <alignment horizontal="right" vertical="center"/>
    </xf>
    <xf numFmtId="0" fontId="49" fillId="43" borderId="489" applyNumberFormat="0" applyAlignment="0" applyProtection="0"/>
    <xf numFmtId="0" fontId="32" fillId="34" borderId="486">
      <alignment horizontal="right" vertical="center"/>
    </xf>
    <xf numFmtId="4" fontId="32" fillId="34" borderId="484">
      <alignment horizontal="right" vertical="center"/>
    </xf>
    <xf numFmtId="0" fontId="32" fillId="34" borderId="484">
      <alignment horizontal="right" vertical="center"/>
    </xf>
    <xf numFmtId="0" fontId="43" fillId="56" borderId="488" applyNumberFormat="0" applyAlignment="0" applyProtection="0"/>
    <xf numFmtId="0" fontId="45" fillId="56" borderId="489" applyNumberFormat="0" applyAlignment="0" applyProtection="0"/>
    <xf numFmtId="0" fontId="50" fillId="0" borderId="490" applyNumberFormat="0" applyFill="0" applyAlignment="0" applyProtection="0"/>
    <xf numFmtId="0" fontId="34" fillId="33" borderId="484"/>
    <xf numFmtId="4" fontId="34" fillId="33" borderId="484"/>
    <xf numFmtId="4" fontId="32" fillId="34" borderId="484">
      <alignment horizontal="right" vertical="center"/>
    </xf>
    <xf numFmtId="0" fontId="36" fillId="32" borderId="484">
      <alignment horizontal="right" vertical="center"/>
    </xf>
    <xf numFmtId="0" fontId="49" fillId="43" borderId="489" applyNumberFormat="0" applyAlignment="0" applyProtection="0"/>
    <xf numFmtId="0" fontId="46" fillId="56" borderId="489" applyNumberFormat="0" applyAlignment="0" applyProtection="0"/>
    <xf numFmtId="4" fontId="34" fillId="0" borderId="484">
      <alignment horizontal="right" vertical="center"/>
    </xf>
    <xf numFmtId="0" fontId="34" fillId="34" borderId="487">
      <alignment horizontal="left" vertical="center" wrapText="1" indent="2"/>
    </xf>
    <xf numFmtId="0" fontId="34" fillId="0" borderId="487">
      <alignment horizontal="left" vertical="center" wrapText="1" indent="2"/>
    </xf>
    <xf numFmtId="0" fontId="62" fillId="56" borderId="488" applyNumberFormat="0" applyAlignment="0" applyProtection="0"/>
    <xf numFmtId="0" fontId="58" fillId="43" borderId="489" applyNumberFormat="0" applyAlignment="0" applyProtection="0"/>
    <xf numFmtId="0" fontId="45" fillId="56" borderId="489" applyNumberFormat="0" applyAlignment="0" applyProtection="0"/>
    <xf numFmtId="0" fontId="43" fillId="56" borderId="488" applyNumberFormat="0" applyAlignment="0" applyProtection="0"/>
    <xf numFmtId="0" fontId="32" fillId="34" borderId="486">
      <alignment horizontal="right" vertical="center"/>
    </xf>
    <xf numFmtId="0" fontId="36" fillId="32" borderId="484">
      <alignment horizontal="right" vertical="center"/>
    </xf>
    <xf numFmtId="4" fontId="32" fillId="32" borderId="484">
      <alignment horizontal="right" vertical="center"/>
    </xf>
    <xf numFmtId="4" fontId="32" fillId="34" borderId="484">
      <alignment horizontal="right" vertical="center"/>
    </xf>
    <xf numFmtId="49" fontId="34" fillId="0" borderId="485" applyNumberFormat="0" applyFont="0" applyFill="0" applyBorder="0" applyProtection="0">
      <alignment horizontal="left" vertical="center" indent="5"/>
    </xf>
    <xf numFmtId="4" fontId="34" fillId="0" borderId="484" applyFill="0" applyBorder="0" applyProtection="0">
      <alignment horizontal="right" vertical="center"/>
    </xf>
    <xf numFmtId="4" fontId="32" fillId="32" borderId="484">
      <alignment horizontal="right" vertical="center"/>
    </xf>
    <xf numFmtId="0" fontId="58" fillId="43" borderId="489" applyNumberFormat="0" applyAlignment="0" applyProtection="0"/>
    <xf numFmtId="0" fontId="49" fillId="43" borderId="489" applyNumberFormat="0" applyAlignment="0" applyProtection="0"/>
    <xf numFmtId="0" fontId="45" fillId="56" borderId="489" applyNumberFormat="0" applyAlignment="0" applyProtection="0"/>
    <xf numFmtId="0" fontId="34" fillId="34" borderId="487">
      <alignment horizontal="left" vertical="center" wrapText="1" indent="2"/>
    </xf>
    <xf numFmtId="0" fontId="34" fillId="0" borderId="487">
      <alignment horizontal="left" vertical="center" wrapText="1" indent="2"/>
    </xf>
    <xf numFmtId="0" fontId="34" fillId="34" borderId="487">
      <alignment horizontal="left" vertical="center" wrapText="1" indent="2"/>
    </xf>
    <xf numFmtId="0" fontId="32" fillId="34" borderId="494">
      <alignment horizontal="right" vertical="center"/>
    </xf>
    <xf numFmtId="0" fontId="58" fillId="43" borderId="491" applyNumberFormat="0" applyAlignment="0" applyProtection="0"/>
    <xf numFmtId="0" fontId="12" fillId="19" borderId="0" applyNumberFormat="0" applyBorder="0" applyAlignment="0" applyProtection="0"/>
    <xf numFmtId="0" fontId="40" fillId="59" borderId="493" applyNumberFormat="0" applyFont="0" applyAlignment="0" applyProtection="0"/>
    <xf numFmtId="0" fontId="26" fillId="18" borderId="0" applyNumberFormat="0" applyBorder="0" applyAlignment="0" applyProtection="0"/>
    <xf numFmtId="0" fontId="26" fillId="14" borderId="0" applyNumberFormat="0" applyBorder="0" applyAlignment="0" applyProtection="0"/>
    <xf numFmtId="0" fontId="5" fillId="59" borderId="493" applyNumberFormat="0" applyFont="0" applyAlignment="0" applyProtection="0"/>
    <xf numFmtId="0" fontId="26" fillId="20" borderId="0" applyNumberFormat="0" applyBorder="0" applyAlignment="0" applyProtection="0"/>
    <xf numFmtId="0" fontId="12" fillId="22" borderId="0" applyNumberFormat="0" applyBorder="0" applyAlignment="0" applyProtection="0"/>
    <xf numFmtId="0" fontId="26" fillId="14" borderId="0" applyNumberFormat="0" applyBorder="0" applyAlignment="0" applyProtection="0"/>
    <xf numFmtId="0" fontId="45" fillId="56" borderId="491" applyNumberFormat="0" applyAlignment="0" applyProtection="0"/>
    <xf numFmtId="0" fontId="50" fillId="0" borderId="492" applyNumberFormat="0" applyFill="0" applyAlignment="0" applyProtection="0"/>
    <xf numFmtId="4" fontId="34" fillId="0" borderId="494" applyFill="0" applyBorder="0" applyProtection="0">
      <alignment horizontal="right" vertical="center"/>
    </xf>
    <xf numFmtId="0" fontId="26" fillId="21" borderId="0" applyNumberFormat="0" applyBorder="0" applyAlignment="0" applyProtection="0"/>
    <xf numFmtId="0" fontId="2" fillId="0" borderId="15" applyNumberFormat="0" applyFill="0" applyAlignment="0" applyProtection="0"/>
    <xf numFmtId="4" fontId="32" fillId="34" borderId="494">
      <alignment horizontal="right" vertical="center"/>
    </xf>
    <xf numFmtId="0" fontId="34" fillId="0" borderId="497">
      <alignment horizontal="left" vertical="center" wrapText="1" indent="2"/>
    </xf>
    <xf numFmtId="0" fontId="5" fillId="59" borderId="493" applyNumberFormat="0" applyFont="0" applyAlignment="0" applyProtection="0"/>
    <xf numFmtId="4" fontId="32" fillId="34" borderId="494">
      <alignment horizontal="right" vertical="center"/>
    </xf>
    <xf numFmtId="4" fontId="36" fillId="32" borderId="494">
      <alignment horizontal="right" vertical="center"/>
    </xf>
    <xf numFmtId="0" fontId="40" fillId="59" borderId="493" applyNumberFormat="0" applyFont="0" applyAlignment="0" applyProtection="0"/>
    <xf numFmtId="0" fontId="65" fillId="0" borderId="492" applyNumberFormat="0" applyFill="0" applyAlignment="0" applyProtection="0"/>
    <xf numFmtId="4" fontId="32" fillId="34" borderId="494">
      <alignment horizontal="right" vertical="center"/>
    </xf>
    <xf numFmtId="0" fontId="65" fillId="0" borderId="492" applyNumberFormat="0" applyFill="0" applyAlignment="0" applyProtection="0"/>
    <xf numFmtId="0" fontId="26" fillId="30" borderId="0" applyNumberFormat="0" applyBorder="0" applyAlignment="0" applyProtection="0"/>
    <xf numFmtId="0" fontId="65" fillId="0" borderId="492" applyNumberFormat="0" applyFill="0" applyAlignment="0" applyProtection="0"/>
    <xf numFmtId="4" fontId="34" fillId="0" borderId="494">
      <alignment horizontal="right" vertical="center"/>
    </xf>
    <xf numFmtId="0" fontId="58" fillId="43" borderId="491" applyNumberFormat="0" applyAlignment="0" applyProtection="0"/>
    <xf numFmtId="0" fontId="34" fillId="34" borderId="497">
      <alignment horizontal="left" vertical="center" wrapText="1" indent="2"/>
    </xf>
    <xf numFmtId="0" fontId="5" fillId="59" borderId="493" applyNumberFormat="0" applyFont="0" applyAlignment="0" applyProtection="0"/>
    <xf numFmtId="0" fontId="58" fillId="43" borderId="491" applyNumberFormat="0" applyAlignment="0" applyProtection="0"/>
    <xf numFmtId="49" fontId="34" fillId="0" borderId="495" applyNumberFormat="0" applyFont="0" applyFill="0" applyBorder="0" applyProtection="0">
      <alignment horizontal="left" vertical="center" indent="5"/>
    </xf>
    <xf numFmtId="0" fontId="28" fillId="13" borderId="14" applyNumberFormat="0" applyAlignment="0" applyProtection="0"/>
    <xf numFmtId="0" fontId="43" fillId="56" borderId="498" applyNumberFormat="0" applyAlignment="0" applyProtection="0"/>
    <xf numFmtId="0" fontId="26" fillId="21" borderId="0" applyNumberFormat="0" applyBorder="0" applyAlignment="0" applyProtection="0"/>
    <xf numFmtId="4" fontId="32" fillId="34" borderId="494">
      <alignment horizontal="right" vertical="center"/>
    </xf>
    <xf numFmtId="0" fontId="32" fillId="32" borderId="494">
      <alignment horizontal="right" vertical="center"/>
    </xf>
    <xf numFmtId="4" fontId="36" fillId="32" borderId="494">
      <alignment horizontal="right" vertical="center"/>
    </xf>
    <xf numFmtId="0" fontId="34" fillId="0" borderId="497">
      <alignment horizontal="left" vertical="center" wrapText="1" indent="2"/>
    </xf>
    <xf numFmtId="0" fontId="34" fillId="0" borderId="497">
      <alignment horizontal="left" vertical="center" wrapText="1" indent="2"/>
    </xf>
    <xf numFmtId="4" fontId="34" fillId="33" borderId="494"/>
    <xf numFmtId="0" fontId="30" fillId="0" borderId="0" applyNumberFormat="0" applyFill="0" applyBorder="0" applyAlignment="0" applyProtection="0"/>
    <xf numFmtId="0" fontId="2" fillId="0" borderId="15" applyNumberFormat="0" applyFill="0" applyAlignment="0" applyProtection="0"/>
    <xf numFmtId="4" fontId="34" fillId="33" borderId="494"/>
    <xf numFmtId="0" fontId="28" fillId="13" borderId="14" applyNumberFormat="0" applyAlignment="0" applyProtection="0"/>
    <xf numFmtId="0" fontId="40" fillId="59" borderId="493" applyNumberFormat="0" applyFont="0" applyAlignment="0" applyProtection="0"/>
    <xf numFmtId="49" fontId="33" fillId="0" borderId="494" applyNumberFormat="0" applyFill="0" applyBorder="0" applyProtection="0">
      <alignment horizontal="left" vertical="center"/>
    </xf>
    <xf numFmtId="0" fontId="36" fillId="32" borderId="494">
      <alignment horizontal="right" vertical="center"/>
    </xf>
    <xf numFmtId="0" fontId="12" fillId="31" borderId="0" applyNumberFormat="0" applyBorder="0" applyAlignment="0" applyProtection="0"/>
    <xf numFmtId="0" fontId="26" fillId="14" borderId="0" applyNumberFormat="0" applyBorder="0" applyAlignment="0" applyProtection="0"/>
    <xf numFmtId="4" fontId="34" fillId="0" borderId="494" applyFill="0" applyBorder="0" applyProtection="0">
      <alignment horizontal="right" vertical="center"/>
    </xf>
    <xf numFmtId="0" fontId="50" fillId="0" borderId="492" applyNumberFormat="0" applyFill="0" applyAlignment="0" applyProtection="0"/>
    <xf numFmtId="0" fontId="32" fillId="34" borderId="496">
      <alignment horizontal="right" vertical="center"/>
    </xf>
    <xf numFmtId="4" fontId="32" fillId="32" borderId="494">
      <alignment horizontal="right" vertical="center"/>
    </xf>
    <xf numFmtId="0" fontId="34" fillId="0" borderId="494" applyNumberFormat="0" applyFill="0" applyAlignment="0" applyProtection="0"/>
    <xf numFmtId="0" fontId="58" fillId="43" borderId="491" applyNumberFormat="0" applyAlignment="0" applyProtection="0"/>
    <xf numFmtId="0" fontId="45" fillId="56" borderId="491" applyNumberFormat="0" applyAlignment="0" applyProtection="0"/>
    <xf numFmtId="0" fontId="49" fillId="43" borderId="491" applyNumberFormat="0" applyAlignment="0" applyProtection="0"/>
    <xf numFmtId="4" fontId="34" fillId="0" borderId="494" applyFill="0" applyBorder="0" applyProtection="0">
      <alignment horizontal="right" vertical="center"/>
    </xf>
    <xf numFmtId="0" fontId="50" fillId="0" borderId="492" applyNumberFormat="0" applyFill="0" applyAlignment="0" applyProtection="0"/>
    <xf numFmtId="4" fontId="34" fillId="0" borderId="494">
      <alignment horizontal="right" vertical="center"/>
    </xf>
    <xf numFmtId="0" fontId="34" fillId="0" borderId="494" applyNumberFormat="0" applyFill="0" applyAlignment="0" applyProtection="0"/>
    <xf numFmtId="0" fontId="65" fillId="0" borderId="492" applyNumberFormat="0" applyFill="0" applyAlignment="0" applyProtection="0"/>
    <xf numFmtId="0" fontId="32" fillId="34" borderId="494">
      <alignment horizontal="right" vertical="center"/>
    </xf>
    <xf numFmtId="0" fontId="46" fillId="56" borderId="491" applyNumberFormat="0" applyAlignment="0" applyProtection="0"/>
    <xf numFmtId="0" fontId="26" fillId="23" borderId="0" applyNumberFormat="0" applyBorder="0" applyAlignment="0" applyProtection="0"/>
    <xf numFmtId="0" fontId="46" fillId="56" borderId="491" applyNumberFormat="0" applyAlignment="0" applyProtection="0"/>
    <xf numFmtId="0" fontId="45" fillId="56" borderId="491" applyNumberFormat="0" applyAlignment="0" applyProtection="0"/>
    <xf numFmtId="0" fontId="49" fillId="43" borderId="491" applyNumberFormat="0" applyAlignment="0" applyProtection="0"/>
    <xf numFmtId="0" fontId="1" fillId="0" borderId="0" applyNumberFormat="0" applyFill="0" applyBorder="0" applyAlignment="0" applyProtection="0"/>
    <xf numFmtId="0" fontId="32" fillId="32" borderId="494">
      <alignment horizontal="right" vertical="center"/>
    </xf>
    <xf numFmtId="0" fontId="62" fillId="56" borderId="498" applyNumberFormat="0" applyAlignment="0" applyProtection="0"/>
    <xf numFmtId="0" fontId="34" fillId="0" borderId="494">
      <alignment horizontal="right" vertical="center"/>
    </xf>
    <xf numFmtId="0" fontId="50" fillId="0" borderId="492" applyNumberFormat="0" applyFill="0" applyAlignment="0" applyProtection="0"/>
    <xf numFmtId="0" fontId="65" fillId="0" borderId="492" applyNumberFormat="0" applyFill="0" applyAlignment="0" applyProtection="0"/>
    <xf numFmtId="0" fontId="40" fillId="59" borderId="493" applyNumberFormat="0" applyFont="0" applyAlignment="0" applyProtection="0"/>
    <xf numFmtId="0" fontId="26" fillId="29" borderId="0" applyNumberFormat="0" applyBorder="0" applyAlignment="0" applyProtection="0"/>
    <xf numFmtId="0" fontId="40" fillId="59" borderId="493" applyNumberFormat="0" applyFont="0" applyAlignment="0" applyProtection="0"/>
    <xf numFmtId="4" fontId="34" fillId="0" borderId="494">
      <alignment horizontal="right" vertical="center"/>
    </xf>
    <xf numFmtId="0" fontId="36" fillId="32" borderId="494">
      <alignment horizontal="right" vertical="center"/>
    </xf>
    <xf numFmtId="0" fontId="34" fillId="34" borderId="497">
      <alignment horizontal="left" vertical="center" wrapText="1" indent="2"/>
    </xf>
    <xf numFmtId="0" fontId="34" fillId="34" borderId="497">
      <alignment horizontal="left" vertical="center" wrapText="1" indent="2"/>
    </xf>
    <xf numFmtId="0" fontId="40" fillId="59" borderId="493" applyNumberFormat="0" applyFont="0" applyAlignment="0" applyProtection="0"/>
    <xf numFmtId="0" fontId="29" fillId="13" borderId="13" applyNumberFormat="0" applyAlignment="0" applyProtection="0"/>
    <xf numFmtId="0" fontId="43" fillId="56" borderId="498" applyNumberFormat="0" applyAlignment="0" applyProtection="0"/>
    <xf numFmtId="173" fontId="34" fillId="60" borderId="494" applyNumberFormat="0" applyFont="0" applyBorder="0" applyAlignment="0" applyProtection="0">
      <alignment horizontal="right" vertical="center"/>
    </xf>
    <xf numFmtId="49" fontId="34" fillId="0" borderId="495" applyNumberFormat="0" applyFont="0" applyFill="0" applyBorder="0" applyProtection="0">
      <alignment horizontal="left" vertical="center" indent="5"/>
    </xf>
    <xf numFmtId="0" fontId="26" fillId="27" borderId="0" applyNumberFormat="0" applyBorder="0" applyAlignment="0" applyProtection="0"/>
    <xf numFmtId="0" fontId="62" fillId="56" borderId="498" applyNumberFormat="0" applyAlignment="0" applyProtection="0"/>
    <xf numFmtId="0" fontId="5" fillId="59" borderId="493" applyNumberFormat="0" applyFont="0" applyAlignment="0" applyProtection="0"/>
    <xf numFmtId="0" fontId="58" fillId="43" borderId="491" applyNumberFormat="0" applyAlignment="0" applyProtection="0"/>
    <xf numFmtId="0" fontId="62" fillId="56" borderId="498" applyNumberFormat="0" applyAlignment="0" applyProtection="0"/>
    <xf numFmtId="0" fontId="32" fillId="32" borderId="494">
      <alignment horizontal="right" vertical="center"/>
    </xf>
    <xf numFmtId="4" fontId="32" fillId="34" borderId="494">
      <alignment horizontal="right" vertical="center"/>
    </xf>
    <xf numFmtId="0" fontId="58" fillId="43" borderId="491" applyNumberFormat="0" applyAlignment="0" applyProtection="0"/>
    <xf numFmtId="0" fontId="65" fillId="0" borderId="492" applyNumberFormat="0" applyFill="0" applyAlignment="0" applyProtection="0"/>
    <xf numFmtId="0" fontId="26" fillId="27" borderId="0" applyNumberFormat="0" applyBorder="0" applyAlignment="0" applyProtection="0"/>
    <xf numFmtId="0" fontId="1" fillId="0" borderId="0" applyNumberFormat="0" applyFill="0" applyBorder="0" applyAlignment="0" applyProtection="0"/>
    <xf numFmtId="0" fontId="46" fillId="56" borderId="491" applyNumberFormat="0" applyAlignment="0" applyProtection="0"/>
    <xf numFmtId="0" fontId="26" fillId="24" borderId="0" applyNumberFormat="0" applyBorder="0" applyAlignment="0" applyProtection="0"/>
    <xf numFmtId="0" fontId="34" fillId="0" borderId="497">
      <alignment horizontal="left" vertical="center" wrapText="1" indent="2"/>
    </xf>
    <xf numFmtId="0" fontId="49" fillId="43" borderId="491" applyNumberFormat="0" applyAlignment="0" applyProtection="0"/>
    <xf numFmtId="4" fontId="32" fillId="34" borderId="496">
      <alignment horizontal="right" vertical="center"/>
    </xf>
    <xf numFmtId="0" fontId="26" fillId="18" borderId="0" applyNumberFormat="0" applyBorder="0" applyAlignment="0" applyProtection="0"/>
    <xf numFmtId="0" fontId="29" fillId="13" borderId="13" applyNumberFormat="0" applyAlignment="0" applyProtection="0"/>
    <xf numFmtId="0" fontId="34" fillId="32" borderId="495">
      <alignment horizontal="left" vertical="center"/>
    </xf>
    <xf numFmtId="0" fontId="12" fillId="28" borderId="0" applyNumberFormat="0" applyBorder="0" applyAlignment="0" applyProtection="0"/>
    <xf numFmtId="0" fontId="46" fillId="56" borderId="491" applyNumberFormat="0" applyAlignment="0" applyProtection="0"/>
    <xf numFmtId="173" fontId="34" fillId="60" borderId="494" applyNumberFormat="0" applyFont="0" applyBorder="0" applyAlignment="0" applyProtection="0">
      <alignment horizontal="right" vertical="center"/>
    </xf>
    <xf numFmtId="0" fontId="46" fillId="56" borderId="491" applyNumberFormat="0" applyAlignment="0" applyProtection="0"/>
    <xf numFmtId="0" fontId="32" fillId="34" borderId="494">
      <alignment horizontal="right" vertical="center"/>
    </xf>
    <xf numFmtId="0" fontId="34" fillId="0" borderId="494">
      <alignment horizontal="right" vertical="center"/>
    </xf>
    <xf numFmtId="0" fontId="26" fillId="20" borderId="0" applyNumberFormat="0" applyBorder="0" applyAlignment="0" applyProtection="0"/>
    <xf numFmtId="0" fontId="34" fillId="34" borderId="497">
      <alignment horizontal="left" vertical="center" wrapText="1" indent="2"/>
    </xf>
    <xf numFmtId="4" fontId="34" fillId="33" borderId="494"/>
    <xf numFmtId="0" fontId="46" fillId="56" borderId="491" applyNumberFormat="0" applyAlignment="0" applyProtection="0"/>
    <xf numFmtId="0" fontId="46" fillId="56" borderId="491" applyNumberFormat="0" applyAlignment="0" applyProtection="0"/>
    <xf numFmtId="0" fontId="32" fillId="34" borderId="495">
      <alignment horizontal="right" vertical="center"/>
    </xf>
    <xf numFmtId="0" fontId="49" fillId="43" borderId="491" applyNumberFormat="0" applyAlignment="0" applyProtection="0"/>
    <xf numFmtId="0" fontId="34" fillId="33" borderId="494"/>
    <xf numFmtId="0" fontId="40" fillId="59" borderId="493" applyNumberFormat="0" applyFont="0" applyAlignment="0" applyProtection="0"/>
    <xf numFmtId="0" fontId="46" fillId="56" borderId="491" applyNumberFormat="0" applyAlignment="0" applyProtection="0"/>
    <xf numFmtId="49" fontId="34" fillId="0" borderId="494" applyNumberFormat="0" applyFont="0" applyFill="0" applyBorder="0" applyProtection="0">
      <alignment horizontal="left" vertical="center" indent="2"/>
    </xf>
    <xf numFmtId="0" fontId="49" fillId="43" borderId="491" applyNumberFormat="0" applyAlignment="0" applyProtection="0"/>
    <xf numFmtId="0" fontId="58" fillId="43" borderId="491" applyNumberFormat="0" applyAlignment="0" applyProtection="0"/>
    <xf numFmtId="0" fontId="34" fillId="0" borderId="497">
      <alignment horizontal="left" vertical="center" wrapText="1" indent="2"/>
    </xf>
    <xf numFmtId="4" fontId="34" fillId="33" borderId="494"/>
    <xf numFmtId="0" fontId="12" fillId="16" borderId="0" applyNumberFormat="0" applyBorder="0" applyAlignment="0" applyProtection="0"/>
    <xf numFmtId="0" fontId="58" fillId="43" borderId="491" applyNumberFormat="0" applyAlignment="0" applyProtection="0"/>
    <xf numFmtId="0" fontId="26" fillId="15" borderId="0" applyNumberFormat="0" applyBorder="0" applyAlignment="0" applyProtection="0"/>
    <xf numFmtId="0" fontId="26" fillId="24" borderId="0" applyNumberFormat="0" applyBorder="0" applyAlignment="0" applyProtection="0"/>
    <xf numFmtId="0" fontId="43" fillId="56" borderId="498" applyNumberFormat="0" applyAlignment="0" applyProtection="0"/>
    <xf numFmtId="0" fontId="49" fillId="43" borderId="491" applyNumberFormat="0" applyAlignment="0" applyProtection="0"/>
    <xf numFmtId="4" fontId="34" fillId="0" borderId="494">
      <alignment horizontal="right" vertical="center"/>
    </xf>
    <xf numFmtId="0" fontId="34" fillId="0" borderId="497">
      <alignment horizontal="left" vertical="center" wrapText="1" indent="2"/>
    </xf>
    <xf numFmtId="0" fontId="26" fillId="20" borderId="0" applyNumberFormat="0" applyBorder="0" applyAlignment="0" applyProtection="0"/>
    <xf numFmtId="0" fontId="30" fillId="0" borderId="0" applyNumberFormat="0" applyFill="0" applyBorder="0" applyAlignment="0" applyProtection="0"/>
    <xf numFmtId="0" fontId="32" fillId="34" borderId="494">
      <alignment horizontal="right" vertical="center"/>
    </xf>
    <xf numFmtId="0" fontId="34" fillId="34" borderId="497">
      <alignment horizontal="left" vertical="center" wrapText="1" indent="2"/>
    </xf>
    <xf numFmtId="0" fontId="40" fillId="59" borderId="493" applyNumberFormat="0" applyFont="0" applyAlignment="0" applyProtection="0"/>
    <xf numFmtId="4" fontId="34" fillId="33" borderId="494"/>
    <xf numFmtId="0" fontId="46" fillId="56" borderId="491" applyNumberFormat="0" applyAlignment="0" applyProtection="0"/>
    <xf numFmtId="0" fontId="26" fillId="30" borderId="0" applyNumberFormat="0" applyBorder="0" applyAlignment="0" applyProtection="0"/>
    <xf numFmtId="0" fontId="50" fillId="0" borderId="492" applyNumberFormat="0" applyFill="0" applyAlignment="0" applyProtection="0"/>
    <xf numFmtId="4" fontId="34" fillId="33" borderId="494"/>
    <xf numFmtId="4" fontId="32" fillId="34" borderId="494">
      <alignment horizontal="right" vertical="center"/>
    </xf>
    <xf numFmtId="0" fontId="32" fillId="34" borderId="494">
      <alignment horizontal="right" vertical="center"/>
    </xf>
    <xf numFmtId="0" fontId="12" fillId="28" borderId="0" applyNumberFormat="0" applyBorder="0" applyAlignment="0" applyProtection="0"/>
    <xf numFmtId="0" fontId="62" fillId="56" borderId="498" applyNumberFormat="0" applyAlignment="0" applyProtection="0"/>
    <xf numFmtId="0" fontId="34" fillId="0" borderId="494" applyNumberFormat="0" applyFill="0" applyAlignment="0" applyProtection="0"/>
    <xf numFmtId="49" fontId="34" fillId="0" borderId="494" applyNumberFormat="0" applyFont="0" applyFill="0" applyBorder="0" applyProtection="0">
      <alignment horizontal="left" vertical="center" indent="2"/>
    </xf>
    <xf numFmtId="0" fontId="45" fillId="56" borderId="491" applyNumberFormat="0" applyAlignment="0" applyProtection="0"/>
    <xf numFmtId="0" fontId="65" fillId="0" borderId="492" applyNumberFormat="0" applyFill="0" applyAlignment="0" applyProtection="0"/>
    <xf numFmtId="0" fontId="34" fillId="32" borderId="495">
      <alignment horizontal="left" vertical="center"/>
    </xf>
    <xf numFmtId="49" fontId="34" fillId="0" borderId="494" applyNumberFormat="0" applyFont="0" applyFill="0" applyBorder="0" applyProtection="0">
      <alignment horizontal="left" vertical="center" indent="2"/>
    </xf>
    <xf numFmtId="0" fontId="65" fillId="0" borderId="492" applyNumberFormat="0" applyFill="0" applyAlignment="0" applyProtection="0"/>
    <xf numFmtId="0" fontId="58" fillId="43" borderId="491" applyNumberFormat="0" applyAlignment="0" applyProtection="0"/>
    <xf numFmtId="4" fontId="32" fillId="32" borderId="494">
      <alignment horizontal="right" vertical="center"/>
    </xf>
    <xf numFmtId="4" fontId="36" fillId="32" borderId="494">
      <alignment horizontal="right" vertical="center"/>
    </xf>
    <xf numFmtId="0" fontId="32" fillId="34" borderId="494">
      <alignment horizontal="right" vertical="center"/>
    </xf>
    <xf numFmtId="0" fontId="34" fillId="34" borderId="497">
      <alignment horizontal="left" vertical="center" wrapText="1" indent="2"/>
    </xf>
    <xf numFmtId="0" fontId="40" fillId="59" borderId="493" applyNumberFormat="0" applyFont="0" applyAlignment="0" applyProtection="0"/>
    <xf numFmtId="0" fontId="34" fillId="33" borderId="494"/>
    <xf numFmtId="0" fontId="26" fillId="26" borderId="0" applyNumberFormat="0" applyBorder="0" applyAlignment="0" applyProtection="0"/>
    <xf numFmtId="0" fontId="12" fillId="25" borderId="0" applyNumberFormat="0" applyBorder="0" applyAlignment="0" applyProtection="0"/>
    <xf numFmtId="0" fontId="34" fillId="0" borderId="497">
      <alignment horizontal="left" vertical="center" wrapText="1" indent="2"/>
    </xf>
    <xf numFmtId="0" fontId="58" fillId="43" borderId="491" applyNumberFormat="0" applyAlignment="0" applyProtection="0"/>
    <xf numFmtId="4" fontId="34" fillId="33" borderId="494"/>
    <xf numFmtId="4" fontId="32" fillId="32" borderId="494">
      <alignment horizontal="right" vertical="center"/>
    </xf>
    <xf numFmtId="0" fontId="26" fillId="30" borderId="0" applyNumberFormat="0" applyBorder="0" applyAlignment="0" applyProtection="0"/>
    <xf numFmtId="49" fontId="34" fillId="0" borderId="495" applyNumberFormat="0" applyFont="0" applyFill="0" applyBorder="0" applyProtection="0">
      <alignment horizontal="left" vertical="center" indent="5"/>
    </xf>
    <xf numFmtId="173" fontId="34" fillId="60" borderId="494" applyNumberFormat="0" applyFont="0" applyBorder="0" applyAlignment="0" applyProtection="0">
      <alignment horizontal="right" vertical="center"/>
    </xf>
    <xf numFmtId="0" fontId="62" fillId="56" borderId="498" applyNumberFormat="0" applyAlignment="0" applyProtection="0"/>
    <xf numFmtId="0" fontId="32" fillId="32" borderId="494">
      <alignment horizontal="right" vertical="center"/>
    </xf>
    <xf numFmtId="49" fontId="33" fillId="0" borderId="494" applyNumberFormat="0" applyFill="0" applyBorder="0" applyProtection="0">
      <alignment horizontal="left" vertical="center"/>
    </xf>
    <xf numFmtId="0" fontId="34" fillId="32" borderId="495">
      <alignment horizontal="left" vertical="center"/>
    </xf>
    <xf numFmtId="0" fontId="43" fillId="56" borderId="498" applyNumberFormat="0" applyAlignment="0" applyProtection="0"/>
    <xf numFmtId="4" fontId="32" fillId="32" borderId="494">
      <alignment horizontal="right" vertical="center"/>
    </xf>
    <xf numFmtId="0" fontId="46" fillId="56" borderId="491" applyNumberFormat="0" applyAlignment="0" applyProtection="0"/>
    <xf numFmtId="49" fontId="34" fillId="0" borderId="494" applyNumberFormat="0" applyFont="0" applyFill="0" applyBorder="0" applyProtection="0">
      <alignment horizontal="left" vertical="center" indent="2"/>
    </xf>
    <xf numFmtId="0" fontId="45" fillId="56" borderId="491" applyNumberFormat="0" applyAlignment="0" applyProtection="0"/>
    <xf numFmtId="0" fontId="34" fillId="0" borderId="494">
      <alignment horizontal="right" vertical="center"/>
    </xf>
    <xf numFmtId="0" fontId="40" fillId="59" borderId="493" applyNumberFormat="0" applyFont="0" applyAlignment="0" applyProtection="0"/>
    <xf numFmtId="0" fontId="62" fillId="56" borderId="498" applyNumberFormat="0" applyAlignment="0" applyProtection="0"/>
    <xf numFmtId="4" fontId="36" fillId="32" borderId="494">
      <alignment horizontal="right" vertical="center"/>
    </xf>
    <xf numFmtId="0" fontId="46" fillId="56" borderId="491" applyNumberFormat="0" applyAlignment="0" applyProtection="0"/>
    <xf numFmtId="0" fontId="26" fillId="27" borderId="0" applyNumberFormat="0" applyBorder="0" applyAlignment="0" applyProtection="0"/>
    <xf numFmtId="0" fontId="12" fillId="25" borderId="0" applyNumberFormat="0" applyBorder="0" applyAlignment="0" applyProtection="0"/>
    <xf numFmtId="4" fontId="32" fillId="34" borderId="496">
      <alignment horizontal="right" vertical="center"/>
    </xf>
    <xf numFmtId="0" fontId="12" fillId="22" borderId="0" applyNumberFormat="0" applyBorder="0" applyAlignment="0" applyProtection="0"/>
    <xf numFmtId="0" fontId="26" fillId="23" borderId="0" applyNumberFormat="0" applyBorder="0" applyAlignment="0" applyProtection="0"/>
    <xf numFmtId="0" fontId="36" fillId="32" borderId="494">
      <alignment horizontal="right" vertical="center"/>
    </xf>
    <xf numFmtId="0" fontId="58" fillId="43" borderId="491" applyNumberFormat="0" applyAlignment="0" applyProtection="0"/>
    <xf numFmtId="0" fontId="49" fillId="43" borderId="491" applyNumberFormat="0" applyAlignment="0" applyProtection="0"/>
    <xf numFmtId="0" fontId="12" fillId="19" borderId="0" applyNumberFormat="0" applyBorder="0" applyAlignment="0" applyProtection="0"/>
    <xf numFmtId="0" fontId="34" fillId="0" borderId="494" applyNumberFormat="0" applyFill="0" applyAlignment="0" applyProtection="0"/>
    <xf numFmtId="0" fontId="62" fillId="56" borderId="498" applyNumberFormat="0" applyAlignment="0" applyProtection="0"/>
    <xf numFmtId="0" fontId="5" fillId="59" borderId="493" applyNumberFormat="0" applyFont="0" applyAlignment="0" applyProtection="0"/>
    <xf numFmtId="0" fontId="29" fillId="13" borderId="13" applyNumberFormat="0" applyAlignment="0" applyProtection="0"/>
    <xf numFmtId="0" fontId="12" fillId="25" borderId="0" applyNumberFormat="0" applyBorder="0" applyAlignment="0" applyProtection="0"/>
    <xf numFmtId="0" fontId="58" fillId="43" borderId="491" applyNumberFormat="0" applyAlignment="0" applyProtection="0"/>
    <xf numFmtId="0" fontId="5" fillId="59" borderId="493" applyNumberFormat="0" applyFont="0" applyAlignment="0" applyProtection="0"/>
    <xf numFmtId="4" fontId="32" fillId="34" borderId="494">
      <alignment horizontal="right" vertical="center"/>
    </xf>
    <xf numFmtId="0" fontId="45" fillId="56" borderId="491" applyNumberFormat="0" applyAlignment="0" applyProtection="0"/>
    <xf numFmtId="4" fontId="32" fillId="34" borderId="495">
      <alignment horizontal="right" vertical="center"/>
    </xf>
    <xf numFmtId="0" fontId="65" fillId="0" borderId="492" applyNumberFormat="0" applyFill="0" applyAlignment="0" applyProtection="0"/>
    <xf numFmtId="0" fontId="28" fillId="13" borderId="14" applyNumberFormat="0" applyAlignment="0" applyProtection="0"/>
    <xf numFmtId="0" fontId="32" fillId="34" borderId="494">
      <alignment horizontal="right" vertical="center"/>
    </xf>
    <xf numFmtId="0" fontId="65" fillId="0" borderId="492" applyNumberFormat="0" applyFill="0" applyAlignment="0" applyProtection="0"/>
    <xf numFmtId="0" fontId="58" fillId="43" borderId="491" applyNumberFormat="0" applyAlignment="0" applyProtection="0"/>
    <xf numFmtId="49" fontId="34" fillId="0" borderId="494" applyNumberFormat="0" applyFont="0" applyFill="0" applyBorder="0" applyProtection="0">
      <alignment horizontal="left" vertical="center" indent="2"/>
    </xf>
    <xf numFmtId="0" fontId="26" fillId="29" borderId="0" applyNumberFormat="0" applyBorder="0" applyAlignment="0" applyProtection="0"/>
    <xf numFmtId="0" fontId="65" fillId="0" borderId="492" applyNumberFormat="0" applyFill="0" applyAlignment="0" applyProtection="0"/>
    <xf numFmtId="0" fontId="40" fillId="59" borderId="493" applyNumberFormat="0" applyFont="0" applyAlignment="0" applyProtection="0"/>
    <xf numFmtId="4" fontId="32" fillId="34" borderId="496">
      <alignment horizontal="right" vertical="center"/>
    </xf>
    <xf numFmtId="0" fontId="40" fillId="59" borderId="493" applyNumberFormat="0" applyFont="0" applyAlignment="0" applyProtection="0"/>
    <xf numFmtId="0" fontId="45" fillId="56" borderId="491" applyNumberFormat="0" applyAlignment="0" applyProtection="0"/>
    <xf numFmtId="0" fontId="32" fillId="34" borderId="496">
      <alignment horizontal="right" vertical="center"/>
    </xf>
    <xf numFmtId="4" fontId="32" fillId="34" borderId="496">
      <alignment horizontal="right" vertical="center"/>
    </xf>
    <xf numFmtId="0" fontId="34" fillId="0" borderId="494">
      <alignment horizontal="right" vertical="center"/>
    </xf>
    <xf numFmtId="0" fontId="26" fillId="23" borderId="0" applyNumberFormat="0" applyBorder="0" applyAlignment="0" applyProtection="0"/>
    <xf numFmtId="0" fontId="28" fillId="13" borderId="14" applyNumberFormat="0" applyAlignment="0" applyProtection="0"/>
    <xf numFmtId="4" fontId="34" fillId="0" borderId="494" applyFill="0" applyBorder="0" applyProtection="0">
      <alignment horizontal="right" vertical="center"/>
    </xf>
    <xf numFmtId="0" fontId="26" fillId="23" borderId="0" applyNumberFormat="0" applyBorder="0" applyAlignment="0" applyProtection="0"/>
    <xf numFmtId="0" fontId="43" fillId="56" borderId="498" applyNumberFormat="0" applyAlignment="0" applyProtection="0"/>
    <xf numFmtId="0" fontId="32" fillId="34" borderId="496">
      <alignment horizontal="right" vertical="center"/>
    </xf>
    <xf numFmtId="0" fontId="36" fillId="32" borderId="494">
      <alignment horizontal="right" vertical="center"/>
    </xf>
    <xf numFmtId="4" fontId="32" fillId="32" borderId="494">
      <alignment horizontal="right" vertical="center"/>
    </xf>
    <xf numFmtId="4" fontId="32" fillId="34" borderId="494">
      <alignment horizontal="right" vertical="center"/>
    </xf>
    <xf numFmtId="49" fontId="34" fillId="0" borderId="495" applyNumberFormat="0" applyFont="0" applyFill="0" applyBorder="0" applyProtection="0">
      <alignment horizontal="left" vertical="center" indent="5"/>
    </xf>
    <xf numFmtId="4" fontId="34" fillId="0" borderId="494" applyFill="0" applyBorder="0" applyProtection="0">
      <alignment horizontal="right" vertical="center"/>
    </xf>
    <xf numFmtId="4" fontId="32" fillId="32" borderId="494">
      <alignment horizontal="right" vertical="center"/>
    </xf>
    <xf numFmtId="0" fontId="58" fillId="43" borderId="491" applyNumberFormat="0" applyAlignment="0" applyProtection="0"/>
    <xf numFmtId="0" fontId="49" fillId="43" borderId="491" applyNumberFormat="0" applyAlignment="0" applyProtection="0"/>
    <xf numFmtId="0" fontId="45" fillId="56" borderId="491" applyNumberFormat="0" applyAlignment="0" applyProtection="0"/>
    <xf numFmtId="0" fontId="34" fillId="34" borderId="497">
      <alignment horizontal="left" vertical="center" wrapText="1" indent="2"/>
    </xf>
    <xf numFmtId="0" fontId="34" fillId="0" borderId="497">
      <alignment horizontal="left" vertical="center" wrapText="1" indent="2"/>
    </xf>
    <xf numFmtId="0" fontId="34" fillId="34" borderId="497">
      <alignment horizontal="left" vertical="center" wrapText="1" indent="2"/>
    </xf>
    <xf numFmtId="0" fontId="34" fillId="0" borderId="497">
      <alignment horizontal="left" vertical="center" wrapText="1" indent="2"/>
    </xf>
    <xf numFmtId="0" fontId="29" fillId="13" borderId="13" applyNumberFormat="0" applyAlignment="0" applyProtection="0"/>
    <xf numFmtId="0" fontId="26" fillId="15" borderId="0" applyNumberFormat="0" applyBorder="0" applyAlignment="0" applyProtection="0"/>
    <xf numFmtId="0" fontId="26" fillId="30" borderId="0" applyNumberFormat="0" applyBorder="0" applyAlignment="0" applyProtection="0"/>
    <xf numFmtId="0" fontId="12" fillId="19" borderId="0" applyNumberFormat="0" applyBorder="0" applyAlignment="0" applyProtection="0"/>
    <xf numFmtId="0" fontId="26" fillId="27" borderId="0" applyNumberFormat="0" applyBorder="0" applyAlignment="0" applyProtection="0"/>
    <xf numFmtId="0" fontId="26" fillId="18" borderId="0" applyNumberFormat="0" applyBorder="0" applyAlignment="0" applyProtection="0"/>
    <xf numFmtId="0" fontId="26" fillId="21" borderId="0" applyNumberFormat="0" applyBorder="0" applyAlignment="0" applyProtection="0"/>
    <xf numFmtId="0" fontId="2" fillId="0" borderId="15" applyNumberFormat="0" applyFill="0" applyAlignment="0" applyProtection="0"/>
    <xf numFmtId="0" fontId="26" fillId="24" borderId="0" applyNumberFormat="0" applyBorder="0" applyAlignment="0" applyProtection="0"/>
    <xf numFmtId="0" fontId="12" fillId="28" borderId="0" applyNumberFormat="0" applyBorder="0" applyAlignment="0" applyProtection="0"/>
    <xf numFmtId="0" fontId="26" fillId="17" borderId="0" applyNumberFormat="0" applyBorder="0" applyAlignment="0" applyProtection="0"/>
    <xf numFmtId="0" fontId="26" fillId="14" borderId="0" applyNumberFormat="0" applyBorder="0" applyAlignment="0" applyProtection="0"/>
    <xf numFmtId="0" fontId="26" fillId="21" borderId="0" applyNumberFormat="0" applyBorder="0" applyAlignment="0" applyProtection="0"/>
    <xf numFmtId="0" fontId="26" fillId="26" borderId="0" applyNumberFormat="0" applyBorder="0" applyAlignment="0" applyProtection="0"/>
    <xf numFmtId="0" fontId="30" fillId="0" borderId="0" applyNumberFormat="0" applyFill="0" applyBorder="0" applyAlignment="0" applyProtection="0"/>
    <xf numFmtId="0" fontId="12" fillId="31" borderId="0" applyNumberFormat="0" applyBorder="0" applyAlignment="0" applyProtection="0"/>
    <xf numFmtId="0" fontId="12" fillId="28" borderId="0" applyNumberFormat="0" applyBorder="0" applyAlignment="0" applyProtection="0"/>
    <xf numFmtId="0" fontId="26" fillId="29" borderId="0" applyNumberFormat="0" applyBorder="0" applyAlignment="0" applyProtection="0"/>
    <xf numFmtId="0" fontId="26" fillId="20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1" fillId="0" borderId="0" applyNumberFormat="0" applyFill="0" applyBorder="0" applyAlignment="0" applyProtection="0"/>
    <xf numFmtId="0" fontId="29" fillId="13" borderId="13" applyNumberFormat="0" applyAlignment="0" applyProtection="0"/>
    <xf numFmtId="0" fontId="26" fillId="24" borderId="0" applyNumberFormat="0" applyBorder="0" applyAlignment="0" applyProtection="0"/>
    <xf numFmtId="0" fontId="12" fillId="28" borderId="0" applyNumberFormat="0" applyBorder="0" applyAlignment="0" applyProtection="0"/>
    <xf numFmtId="0" fontId="26" fillId="24" borderId="0" applyNumberFormat="0" applyBorder="0" applyAlignment="0" applyProtection="0"/>
    <xf numFmtId="0" fontId="12" fillId="28" borderId="0" applyNumberFormat="0" applyBorder="0" applyAlignment="0" applyProtection="0"/>
    <xf numFmtId="0" fontId="26" fillId="17" borderId="0" applyNumberFormat="0" applyBorder="0" applyAlignment="0" applyProtection="0"/>
    <xf numFmtId="0" fontId="12" fillId="25" borderId="0" applyNumberFormat="0" applyBorder="0" applyAlignment="0" applyProtection="0"/>
    <xf numFmtId="0" fontId="26" fillId="24" borderId="0" applyNumberFormat="0" applyBorder="0" applyAlignment="0" applyProtection="0"/>
    <xf numFmtId="0" fontId="26" fillId="20" borderId="0" applyNumberFormat="0" applyBorder="0" applyAlignment="0" applyProtection="0"/>
    <xf numFmtId="0" fontId="30" fillId="0" borderId="0" applyNumberFormat="0" applyFill="0" applyBorder="0" applyAlignment="0" applyProtection="0"/>
    <xf numFmtId="0" fontId="2" fillId="0" borderId="15" applyNumberFormat="0" applyFill="0" applyAlignment="0" applyProtection="0"/>
    <xf numFmtId="0" fontId="26" fillId="21" borderId="0" applyNumberFormat="0" applyBorder="0" applyAlignment="0" applyProtection="0"/>
    <xf numFmtId="0" fontId="26" fillId="29" borderId="0" applyNumberFormat="0" applyBorder="0" applyAlignment="0" applyProtection="0"/>
    <xf numFmtId="0" fontId="12" fillId="31" borderId="0" applyNumberFormat="0" applyBorder="0" applyAlignment="0" applyProtection="0"/>
    <xf numFmtId="0" fontId="26" fillId="26" borderId="0" applyNumberFormat="0" applyBorder="0" applyAlignment="0" applyProtection="0"/>
    <xf numFmtId="0" fontId="12" fillId="25" borderId="0" applyNumberFormat="0" applyBorder="0" applyAlignment="0" applyProtection="0"/>
    <xf numFmtId="0" fontId="26" fillId="30" borderId="0" applyNumberFormat="0" applyBorder="0" applyAlignment="0" applyProtection="0"/>
    <xf numFmtId="0" fontId="12" fillId="22" borderId="0" applyNumberFormat="0" applyBorder="0" applyAlignment="0" applyProtection="0"/>
    <xf numFmtId="0" fontId="26" fillId="20" borderId="0" applyNumberFormat="0" applyBorder="0" applyAlignment="0" applyProtection="0"/>
    <xf numFmtId="0" fontId="12" fillId="19" borderId="0" applyNumberFormat="0" applyBorder="0" applyAlignment="0" applyProtection="0"/>
    <xf numFmtId="0" fontId="26" fillId="17" borderId="0" applyNumberFormat="0" applyBorder="0" applyAlignment="0" applyProtection="0"/>
    <xf numFmtId="0" fontId="12" fillId="22" borderId="0" applyNumberFormat="0" applyBorder="0" applyAlignment="0" applyProtection="0"/>
    <xf numFmtId="0" fontId="12" fillId="19" borderId="0" applyNumberFormat="0" applyBorder="0" applyAlignment="0" applyProtection="0"/>
    <xf numFmtId="0" fontId="28" fillId="13" borderId="14" applyNumberFormat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65" fillId="0" borderId="556" applyNumberFormat="0" applyFill="0" applyAlignment="0" applyProtection="0"/>
    <xf numFmtId="0" fontId="12" fillId="19" borderId="0" applyNumberFormat="0" applyBorder="0" applyAlignment="0" applyProtection="0"/>
    <xf numFmtId="0" fontId="34" fillId="0" borderId="519">
      <alignment horizontal="left" vertical="center" wrapText="1" indent="2"/>
    </xf>
    <xf numFmtId="0" fontId="50" fillId="0" borderId="522" applyNumberFormat="0" applyFill="0" applyAlignment="0" applyProtection="0"/>
    <xf numFmtId="0" fontId="50" fillId="0" borderId="522" applyNumberFormat="0" applyFill="0" applyAlignment="0" applyProtection="0"/>
    <xf numFmtId="0" fontId="45" fillId="56" borderId="521" applyNumberFormat="0" applyAlignment="0" applyProtection="0"/>
    <xf numFmtId="0" fontId="26" fillId="15" borderId="0" applyNumberFormat="0" applyBorder="0" applyAlignment="0" applyProtection="0"/>
    <xf numFmtId="0" fontId="65" fillId="0" borderId="522" applyNumberFormat="0" applyFill="0" applyAlignment="0" applyProtection="0"/>
    <xf numFmtId="0" fontId="40" fillId="59" borderId="515" applyNumberFormat="0" applyFont="0" applyAlignment="0" applyProtection="0"/>
    <xf numFmtId="0" fontId="65" fillId="0" borderId="522" applyNumberFormat="0" applyFill="0" applyAlignment="0" applyProtection="0"/>
    <xf numFmtId="0" fontId="43" fillId="56" borderId="547" applyNumberFormat="0" applyAlignment="0" applyProtection="0"/>
    <xf numFmtId="0" fontId="40" fillId="59" borderId="509" applyNumberFormat="0" applyFont="0" applyAlignment="0" applyProtection="0"/>
    <xf numFmtId="173" fontId="34" fillId="60" borderId="510" applyNumberFormat="0" applyFont="0" applyBorder="0" applyAlignment="0" applyProtection="0">
      <alignment horizontal="right" vertical="center"/>
    </xf>
    <xf numFmtId="0" fontId="50" fillId="0" borderId="549" applyNumberFormat="0" applyFill="0" applyAlignment="0" applyProtection="0"/>
    <xf numFmtId="173" fontId="34" fillId="60" borderId="516" applyNumberFormat="0" applyFont="0" applyBorder="0" applyAlignment="0" applyProtection="0">
      <alignment horizontal="right" vertical="center"/>
    </xf>
    <xf numFmtId="4" fontId="32" fillId="34" borderId="512">
      <alignment horizontal="right" vertical="center"/>
    </xf>
    <xf numFmtId="0" fontId="5" fillId="59" borderId="515" applyNumberFormat="0" applyFont="0" applyAlignment="0" applyProtection="0"/>
    <xf numFmtId="0" fontId="46" fillId="56" borderId="521" applyNumberFormat="0" applyAlignment="0" applyProtection="0"/>
    <xf numFmtId="0" fontId="32" fillId="32" borderId="526">
      <alignment horizontal="right" vertical="center"/>
    </xf>
    <xf numFmtId="0" fontId="58" fillId="43" borderId="523" applyNumberFormat="0" applyAlignment="0" applyProtection="0"/>
    <xf numFmtId="49" fontId="34" fillId="0" borderId="533" applyNumberFormat="0" applyFont="0" applyFill="0" applyBorder="0" applyProtection="0">
      <alignment horizontal="left" vertical="center" indent="5"/>
    </xf>
    <xf numFmtId="173" fontId="34" fillId="60" borderId="516" applyNumberFormat="0" applyFont="0" applyBorder="0" applyAlignment="0" applyProtection="0">
      <alignment horizontal="right" vertical="center"/>
    </xf>
    <xf numFmtId="4" fontId="34" fillId="0" borderId="510">
      <alignment horizontal="right" vertical="center"/>
    </xf>
    <xf numFmtId="0" fontId="34" fillId="33" borderId="510"/>
    <xf numFmtId="0" fontId="34" fillId="0" borderId="510">
      <alignment horizontal="right" vertical="center"/>
    </xf>
    <xf numFmtId="0" fontId="32" fillId="34" borderId="517">
      <alignment horizontal="right" vertical="center"/>
    </xf>
    <xf numFmtId="0" fontId="40" fillId="59" borderId="515" applyNumberFormat="0" applyFont="0" applyAlignment="0" applyProtection="0"/>
    <xf numFmtId="0" fontId="46" fillId="56" borderId="521" applyNumberFormat="0" applyAlignment="0" applyProtection="0"/>
    <xf numFmtId="0" fontId="34" fillId="33" borderId="516"/>
    <xf numFmtId="0" fontId="40" fillId="59" borderId="515" applyNumberFormat="0" applyFont="0" applyAlignment="0" applyProtection="0"/>
    <xf numFmtId="0" fontId="28" fillId="13" borderId="14" applyNumberFormat="0" applyAlignment="0" applyProtection="0"/>
    <xf numFmtId="0" fontId="34" fillId="0" borderId="551">
      <alignment horizontal="right" vertical="center"/>
    </xf>
    <xf numFmtId="0" fontId="34" fillId="0" borderId="551" applyNumberFormat="0" applyFill="0" applyAlignment="0" applyProtection="0"/>
    <xf numFmtId="0" fontId="65" fillId="0" borderId="524" applyNumberFormat="0" applyFill="0" applyAlignment="0" applyProtection="0"/>
    <xf numFmtId="0" fontId="32" fillId="34" borderId="518">
      <alignment horizontal="right" vertical="center"/>
    </xf>
    <xf numFmtId="4" fontId="32" fillId="34" borderId="516">
      <alignment horizontal="right" vertical="center"/>
    </xf>
    <xf numFmtId="4" fontId="32" fillId="34" borderId="510">
      <alignment horizontal="right" vertical="center"/>
    </xf>
    <xf numFmtId="0" fontId="29" fillId="13" borderId="13" applyNumberFormat="0" applyAlignment="0" applyProtection="0"/>
    <xf numFmtId="0" fontId="46" fillId="56" borderId="521" applyNumberFormat="0" applyAlignment="0" applyProtection="0"/>
    <xf numFmtId="0" fontId="58" fillId="43" borderId="540" applyNumberFormat="0" applyAlignment="0" applyProtection="0"/>
    <xf numFmtId="4" fontId="32" fillId="34" borderId="516">
      <alignment horizontal="right" vertical="center"/>
    </xf>
    <xf numFmtId="0" fontId="58" fillId="43" borderId="548" applyNumberFormat="0" applyAlignment="0" applyProtection="0"/>
    <xf numFmtId="4" fontId="32" fillId="34" borderId="552">
      <alignment horizontal="right" vertical="center"/>
    </xf>
    <xf numFmtId="0" fontId="32" fillId="34" borderId="551">
      <alignment horizontal="right" vertical="center"/>
    </xf>
    <xf numFmtId="0" fontId="28" fillId="13" borderId="14" applyNumberFormat="0" applyAlignment="0" applyProtection="0"/>
    <xf numFmtId="0" fontId="29" fillId="13" borderId="13" applyNumberFormat="0" applyAlignment="0" applyProtection="0"/>
    <xf numFmtId="4" fontId="32" fillId="34" borderId="516">
      <alignment horizontal="right" vertical="center"/>
    </xf>
    <xf numFmtId="4" fontId="36" fillId="32" borderId="551">
      <alignment horizontal="right" vertical="center"/>
    </xf>
    <xf numFmtId="0" fontId="1" fillId="0" borderId="0" applyNumberFormat="0" applyFill="0" applyBorder="0" applyAlignment="0" applyProtection="0"/>
    <xf numFmtId="173" fontId="34" fillId="60" borderId="516" applyNumberFormat="0" applyFont="0" applyBorder="0" applyAlignment="0" applyProtection="0">
      <alignment horizontal="right" vertical="center"/>
    </xf>
    <xf numFmtId="0" fontId="30" fillId="0" borderId="0" applyNumberFormat="0" applyFill="0" applyBorder="0" applyAlignment="0" applyProtection="0"/>
    <xf numFmtId="0" fontId="2" fillId="0" borderId="15" applyNumberFormat="0" applyFill="0" applyAlignment="0" applyProtection="0"/>
    <xf numFmtId="0" fontId="28" fillId="13" borderId="14" applyNumberFormat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12" fillId="16" borderId="0" applyNumberFormat="0" applyBorder="0" applyAlignment="0" applyProtection="0"/>
    <xf numFmtId="0" fontId="46" fillId="56" borderId="523" applyNumberFormat="0" applyAlignment="0" applyProtection="0"/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12" fillId="19" borderId="0" applyNumberFormat="0" applyBorder="0" applyAlignment="0" applyProtection="0"/>
    <xf numFmtId="0" fontId="32" fillId="34" borderId="516">
      <alignment horizontal="right" vertical="center"/>
    </xf>
    <xf numFmtId="0" fontId="26" fillId="20" borderId="0" applyNumberFormat="0" applyBorder="0" applyAlignment="0" applyProtection="0"/>
    <xf numFmtId="0" fontId="26" fillId="21" borderId="0" applyNumberFormat="0" applyBorder="0" applyAlignment="0" applyProtection="0"/>
    <xf numFmtId="0" fontId="12" fillId="22" borderId="0" applyNumberFormat="0" applyBorder="0" applyAlignment="0" applyProtection="0"/>
    <xf numFmtId="0" fontId="34" fillId="32" borderId="552">
      <alignment horizontal="left" vertical="center"/>
    </xf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12" fillId="25" borderId="0" applyNumberFormat="0" applyBorder="0" applyAlignment="0" applyProtection="0"/>
    <xf numFmtId="0" fontId="50" fillId="0" borderId="522" applyNumberFormat="0" applyFill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12" fillId="28" borderId="0" applyNumberFormat="0" applyBorder="0" applyAlignment="0" applyProtection="0"/>
    <xf numFmtId="4" fontId="32" fillId="32" borderId="516">
      <alignment horizontal="right" vertical="center"/>
    </xf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12" fillId="31" borderId="0" applyNumberFormat="0" applyBorder="0" applyAlignment="0" applyProtection="0"/>
    <xf numFmtId="0" fontId="34" fillId="0" borderId="494" applyNumberFormat="0" applyFill="0" applyAlignment="0" applyProtection="0"/>
    <xf numFmtId="0" fontId="32" fillId="34" borderId="494">
      <alignment horizontal="right" vertical="center"/>
    </xf>
    <xf numFmtId="0" fontId="32" fillId="34" borderId="494">
      <alignment horizontal="right" vertical="center"/>
    </xf>
    <xf numFmtId="0" fontId="26" fillId="15" borderId="0" applyNumberFormat="0" applyBorder="0" applyAlignment="0" applyProtection="0"/>
    <xf numFmtId="0" fontId="32" fillId="34" borderId="456">
      <alignment horizontal="right" vertical="center"/>
    </xf>
    <xf numFmtId="0" fontId="34" fillId="0" borderId="494">
      <alignment horizontal="right" vertical="center"/>
    </xf>
    <xf numFmtId="0" fontId="36" fillId="32" borderId="494">
      <alignment horizontal="right" vertical="center"/>
    </xf>
    <xf numFmtId="0" fontId="34" fillId="33" borderId="494"/>
    <xf numFmtId="0" fontId="32" fillId="32" borderId="494">
      <alignment horizontal="right" vertical="center"/>
    </xf>
    <xf numFmtId="0" fontId="46" fillId="56" borderId="507" applyNumberFormat="0" applyAlignment="0" applyProtection="0"/>
    <xf numFmtId="0" fontId="40" fillId="59" borderId="515" applyNumberFormat="0" applyFont="0" applyAlignment="0" applyProtection="0"/>
    <xf numFmtId="0" fontId="32" fillId="32" borderId="516">
      <alignment horizontal="right" vertical="center"/>
    </xf>
    <xf numFmtId="4" fontId="32" fillId="34" borderId="516">
      <alignment horizontal="right" vertical="center"/>
    </xf>
    <xf numFmtId="4" fontId="32" fillId="34" borderId="517">
      <alignment horizontal="right" vertical="center"/>
    </xf>
    <xf numFmtId="0" fontId="45" fillId="56" borderId="507" applyNumberFormat="0" applyAlignment="0" applyProtection="0"/>
    <xf numFmtId="0" fontId="32" fillId="34" borderId="516">
      <alignment horizontal="right" vertical="center"/>
    </xf>
    <xf numFmtId="4" fontId="34" fillId="33" borderId="516"/>
    <xf numFmtId="4" fontId="32" fillId="34" borderId="517">
      <alignment horizontal="right" vertical="center"/>
    </xf>
    <xf numFmtId="0" fontId="49" fillId="43" borderId="521" applyNumberFormat="0" applyAlignment="0" applyProtection="0"/>
    <xf numFmtId="4" fontId="32" fillId="34" borderId="551">
      <alignment horizontal="right" vertical="center"/>
    </xf>
    <xf numFmtId="0" fontId="28" fillId="13" borderId="14" applyNumberFormat="0" applyAlignment="0" applyProtection="0"/>
    <xf numFmtId="0" fontId="29" fillId="13" borderId="13" applyNumberFormat="0" applyAlignment="0" applyProtection="0"/>
    <xf numFmtId="49" fontId="33" fillId="0" borderId="510" applyNumberFormat="0" applyFill="0" applyBorder="0" applyProtection="0">
      <alignment horizontal="left" vertical="center"/>
    </xf>
    <xf numFmtId="0" fontId="26" fillId="30" borderId="0" applyNumberFormat="0" applyBorder="0" applyAlignment="0" applyProtection="0"/>
    <xf numFmtId="0" fontId="12" fillId="25" borderId="0" applyNumberFormat="0" applyBorder="0" applyAlignment="0" applyProtection="0"/>
    <xf numFmtId="0" fontId="43" fillId="56" borderId="520" applyNumberFormat="0" applyAlignment="0" applyProtection="0"/>
    <xf numFmtId="0" fontId="26" fillId="30" borderId="0" applyNumberFormat="0" applyBorder="0" applyAlignment="0" applyProtection="0"/>
    <xf numFmtId="49" fontId="34" fillId="0" borderId="516" applyNumberFormat="0" applyFont="0" applyFill="0" applyBorder="0" applyProtection="0">
      <alignment horizontal="left" vertical="center" indent="2"/>
    </xf>
    <xf numFmtId="4" fontId="34" fillId="0" borderId="516" applyFill="0" applyBorder="0" applyProtection="0">
      <alignment horizontal="right" vertical="center"/>
    </xf>
    <xf numFmtId="0" fontId="34" fillId="34" borderId="519">
      <alignment horizontal="left" vertical="center" wrapText="1" indent="2"/>
    </xf>
    <xf numFmtId="0" fontId="34" fillId="0" borderId="519">
      <alignment horizontal="left" vertical="center" wrapText="1" indent="2"/>
    </xf>
    <xf numFmtId="0" fontId="43" fillId="56" borderId="520" applyNumberFormat="0" applyAlignment="0" applyProtection="0"/>
    <xf numFmtId="0" fontId="46" fillId="56" borderId="540" applyNumberFormat="0" applyAlignment="0" applyProtection="0"/>
    <xf numFmtId="0" fontId="58" fillId="43" borderId="521" applyNumberFormat="0" applyAlignment="0" applyProtection="0"/>
    <xf numFmtId="0" fontId="1" fillId="0" borderId="0" applyNumberFormat="0" applyFill="0" applyBorder="0" applyAlignment="0" applyProtection="0"/>
    <xf numFmtId="0" fontId="26" fillId="27" borderId="0" applyNumberFormat="0" applyBorder="0" applyAlignment="0" applyProtection="0"/>
    <xf numFmtId="0" fontId="12" fillId="31" borderId="0" applyNumberFormat="0" applyBorder="0" applyAlignment="0" applyProtection="0"/>
    <xf numFmtId="4" fontId="32" fillId="34" borderId="532">
      <alignment horizontal="right" vertical="center"/>
    </xf>
    <xf numFmtId="0" fontId="58" fillId="43" borderId="521" applyNumberFormat="0" applyAlignment="0" applyProtection="0"/>
    <xf numFmtId="0" fontId="65" fillId="0" borderId="522" applyNumberFormat="0" applyFill="0" applyAlignment="0" applyProtection="0"/>
    <xf numFmtId="0" fontId="12" fillId="25" borderId="0" applyNumberFormat="0" applyBorder="0" applyAlignment="0" applyProtection="0"/>
    <xf numFmtId="0" fontId="45" fillId="56" borderId="523" applyNumberFormat="0" applyAlignment="0" applyProtection="0"/>
    <xf numFmtId="0" fontId="65" fillId="0" borderId="549" applyNumberFormat="0" applyFill="0" applyAlignment="0" applyProtection="0"/>
    <xf numFmtId="0" fontId="34" fillId="0" borderId="516" applyNumberFormat="0" applyFill="0" applyAlignment="0" applyProtection="0"/>
    <xf numFmtId="4" fontId="32" fillId="32" borderId="551">
      <alignment horizontal="right" vertical="center"/>
    </xf>
    <xf numFmtId="0" fontId="26" fillId="23" borderId="0" applyNumberFormat="0" applyBorder="0" applyAlignment="0" applyProtection="0"/>
    <xf numFmtId="0" fontId="58" fillId="43" borderId="507" applyNumberFormat="0" applyAlignment="0" applyProtection="0"/>
    <xf numFmtId="0" fontId="32" fillId="34" borderId="512">
      <alignment horizontal="right" vertical="center"/>
    </xf>
    <xf numFmtId="0" fontId="32" fillId="34" borderId="510">
      <alignment horizontal="right" vertical="center"/>
    </xf>
    <xf numFmtId="4" fontId="32" fillId="34" borderId="510">
      <alignment horizontal="right" vertical="center"/>
    </xf>
    <xf numFmtId="0" fontId="32" fillId="34" borderId="510">
      <alignment horizontal="right" vertical="center"/>
    </xf>
    <xf numFmtId="4" fontId="36" fillId="32" borderId="510">
      <alignment horizontal="right" vertical="center"/>
    </xf>
    <xf numFmtId="0" fontId="36" fillId="32" borderId="510">
      <alignment horizontal="right" vertical="center"/>
    </xf>
    <xf numFmtId="4" fontId="32" fillId="32" borderId="510">
      <alignment horizontal="right" vertical="center"/>
    </xf>
    <xf numFmtId="0" fontId="32" fillId="32" borderId="510">
      <alignment horizontal="right" vertical="center"/>
    </xf>
    <xf numFmtId="0" fontId="46" fillId="56" borderId="521" applyNumberFormat="0" applyAlignment="0" applyProtection="0"/>
    <xf numFmtId="0" fontId="46" fillId="56" borderId="500" applyNumberFormat="0" applyAlignment="0" applyProtection="0"/>
    <xf numFmtId="0" fontId="65" fillId="0" borderId="522" applyNumberFormat="0" applyFill="0" applyAlignment="0" applyProtection="0"/>
    <xf numFmtId="43" fontId="37" fillId="0" borderId="0" applyFont="0" applyFill="0" applyBorder="0" applyAlignment="0" applyProtection="0"/>
    <xf numFmtId="0" fontId="28" fillId="13" borderId="14" applyNumberFormat="0" applyAlignment="0" applyProtection="0"/>
    <xf numFmtId="43" fontId="37" fillId="0" borderId="0" applyFont="0" applyFill="0" applyBorder="0" applyAlignment="0" applyProtection="0"/>
    <xf numFmtId="0" fontId="32" fillId="34" borderId="553">
      <alignment horizontal="right" vertical="center"/>
    </xf>
    <xf numFmtId="0" fontId="65" fillId="0" borderId="508" applyNumberFormat="0" applyFill="0" applyAlignment="0" applyProtection="0"/>
    <xf numFmtId="0" fontId="12" fillId="16" borderId="0" applyNumberFormat="0" applyBorder="0" applyAlignment="0" applyProtection="0"/>
    <xf numFmtId="0" fontId="12" fillId="31" borderId="0" applyNumberFormat="0" applyBorder="0" applyAlignment="0" applyProtection="0"/>
    <xf numFmtId="4" fontId="34" fillId="0" borderId="551" applyFill="0" applyBorder="0" applyProtection="0">
      <alignment horizontal="right" vertical="center"/>
    </xf>
    <xf numFmtId="0" fontId="46" fillId="56" borderId="507" applyNumberFormat="0" applyAlignment="0" applyProtection="0"/>
    <xf numFmtId="0" fontId="45" fillId="56" borderId="548" applyNumberFormat="0" applyAlignment="0" applyProtection="0"/>
    <xf numFmtId="4" fontId="34" fillId="0" borderId="551" applyFill="0" applyBorder="0" applyProtection="0">
      <alignment horizontal="right" vertical="center"/>
    </xf>
    <xf numFmtId="4" fontId="32" fillId="34" borderId="516">
      <alignment horizontal="right" vertical="center"/>
    </xf>
    <xf numFmtId="0" fontId="58" fillId="43" borderId="500" applyNumberFormat="0" applyAlignment="0" applyProtection="0"/>
    <xf numFmtId="49" fontId="34" fillId="0" borderId="517" applyNumberFormat="0" applyFont="0" applyFill="0" applyBorder="0" applyProtection="0">
      <alignment horizontal="left" vertical="center" indent="5"/>
    </xf>
    <xf numFmtId="0" fontId="58" fillId="43" borderId="521" applyNumberFormat="0" applyAlignment="0" applyProtection="0"/>
    <xf numFmtId="0" fontId="32" fillId="34" borderId="551">
      <alignment horizontal="right" vertical="center"/>
    </xf>
    <xf numFmtId="4" fontId="34" fillId="0" borderId="551" applyFill="0" applyBorder="0" applyProtection="0">
      <alignment horizontal="right" vertical="center"/>
    </xf>
    <xf numFmtId="4" fontId="34" fillId="33" borderId="551"/>
    <xf numFmtId="0" fontId="65" fillId="0" borderId="549" applyNumberFormat="0" applyFill="0" applyAlignment="0" applyProtection="0"/>
    <xf numFmtId="173" fontId="34" fillId="60" borderId="551" applyNumberFormat="0" applyFont="0" applyBorder="0" applyAlignment="0" applyProtection="0">
      <alignment horizontal="right" vertical="center"/>
    </xf>
    <xf numFmtId="0" fontId="5" fillId="59" borderId="509" applyNumberFormat="0" applyFont="0" applyAlignment="0" applyProtection="0"/>
    <xf numFmtId="0" fontId="40" fillId="59" borderId="509" applyNumberFormat="0" applyFont="0" applyAlignment="0" applyProtection="0"/>
    <xf numFmtId="4" fontId="36" fillId="32" borderId="551">
      <alignment horizontal="right" vertical="center"/>
    </xf>
    <xf numFmtId="0" fontId="26" fillId="21" borderId="0" applyNumberFormat="0" applyBorder="0" applyAlignment="0" applyProtection="0"/>
    <xf numFmtId="4" fontId="32" fillId="34" borderId="553">
      <alignment horizontal="right" vertical="center"/>
    </xf>
    <xf numFmtId="4" fontId="34" fillId="0" borderId="494" applyFill="0" applyBorder="0" applyProtection="0">
      <alignment horizontal="right" vertical="center"/>
    </xf>
    <xf numFmtId="0" fontId="32" fillId="34" borderId="551">
      <alignment horizontal="right" vertical="center"/>
    </xf>
    <xf numFmtId="0" fontId="32" fillId="34" borderId="516">
      <alignment horizontal="right" vertical="center"/>
    </xf>
    <xf numFmtId="0" fontId="34" fillId="0" borderId="516">
      <alignment horizontal="right" vertical="center"/>
    </xf>
    <xf numFmtId="0" fontId="58" fillId="43" borderId="548" applyNumberFormat="0" applyAlignment="0" applyProtection="0"/>
    <xf numFmtId="0" fontId="32" fillId="34" borderId="551">
      <alignment horizontal="right" vertical="center"/>
    </xf>
    <xf numFmtId="0" fontId="40" fillId="59" borderId="502" applyNumberFormat="0" applyFont="0" applyAlignment="0" applyProtection="0"/>
    <xf numFmtId="0" fontId="5" fillId="59" borderId="502" applyNumberFormat="0" applyFont="0" applyAlignment="0" applyProtection="0"/>
    <xf numFmtId="0" fontId="62" fillId="56" borderId="499" applyNumberFormat="0" applyAlignment="0" applyProtection="0"/>
    <xf numFmtId="0" fontId="36" fillId="32" borderId="516">
      <alignment horizontal="right" vertical="center"/>
    </xf>
    <xf numFmtId="0" fontId="1" fillId="0" borderId="0" applyNumberFormat="0" applyFill="0" applyBorder="0" applyAlignment="0" applyProtection="0"/>
    <xf numFmtId="4" fontId="34" fillId="33" borderId="543"/>
    <xf numFmtId="0" fontId="32" fillId="32" borderId="516">
      <alignment horizontal="right" vertical="center"/>
    </xf>
    <xf numFmtId="4" fontId="32" fillId="34" borderId="560">
      <alignment horizontal="right" vertical="center"/>
    </xf>
    <xf numFmtId="0" fontId="32" fillId="34" borderId="516">
      <alignment horizontal="right" vertical="center"/>
    </xf>
    <xf numFmtId="0" fontId="65" fillId="0" borderId="501" applyNumberFormat="0" applyFill="0" applyAlignment="0" applyProtection="0"/>
    <xf numFmtId="0" fontId="65" fillId="0" borderId="549" applyNumberFormat="0" applyFill="0" applyAlignment="0" applyProtection="0"/>
    <xf numFmtId="49" fontId="34" fillId="0" borderId="559" applyNumberFormat="0" applyFont="0" applyFill="0" applyBorder="0" applyProtection="0">
      <alignment horizontal="left" vertical="center" indent="5"/>
    </xf>
    <xf numFmtId="0" fontId="34" fillId="33" borderId="516"/>
    <xf numFmtId="0" fontId="45" fillId="56" borderId="521" applyNumberFormat="0" applyAlignment="0" applyProtection="0"/>
    <xf numFmtId="0" fontId="46" fillId="56" borderId="521" applyNumberFormat="0" applyAlignment="0" applyProtection="0"/>
    <xf numFmtId="0" fontId="34" fillId="34" borderId="519">
      <alignment horizontal="left" vertical="center" wrapText="1" indent="2"/>
    </xf>
    <xf numFmtId="0" fontId="49" fillId="43" borderId="521" applyNumberFormat="0" applyAlignment="0" applyProtection="0"/>
    <xf numFmtId="0" fontId="46" fillId="56" borderId="548" applyNumberFormat="0" applyAlignment="0" applyProtection="0"/>
    <xf numFmtId="0" fontId="34" fillId="34" borderId="519">
      <alignment horizontal="left" vertical="center" wrapText="1" indent="2"/>
    </xf>
    <xf numFmtId="0" fontId="46" fillId="56" borderId="521" applyNumberFormat="0" applyAlignment="0" applyProtection="0"/>
    <xf numFmtId="0" fontId="32" fillId="34" borderId="558">
      <alignment horizontal="right" vertical="center"/>
    </xf>
    <xf numFmtId="49" fontId="34" fillId="0" borderId="516" applyNumberFormat="0" applyFont="0" applyFill="0" applyBorder="0" applyProtection="0">
      <alignment horizontal="left" vertical="center" indent="2"/>
    </xf>
    <xf numFmtId="0" fontId="32" fillId="34" borderId="526">
      <alignment horizontal="right" vertical="center"/>
    </xf>
    <xf numFmtId="0" fontId="58" fillId="43" borderId="521" applyNumberFormat="0" applyAlignment="0" applyProtection="0"/>
    <xf numFmtId="0" fontId="58" fillId="43" borderId="521" applyNumberFormat="0" applyAlignment="0" applyProtection="0"/>
    <xf numFmtId="0" fontId="58" fillId="43" borderId="540" applyNumberFormat="0" applyAlignment="0" applyProtection="0"/>
    <xf numFmtId="173" fontId="34" fillId="60" borderId="516" applyNumberFormat="0" applyFont="0" applyBorder="0" applyAlignment="0" applyProtection="0">
      <alignment horizontal="right" vertical="center"/>
    </xf>
    <xf numFmtId="4" fontId="34" fillId="33" borderId="516"/>
    <xf numFmtId="0" fontId="65" fillId="0" borderId="522" applyNumberFormat="0" applyFill="0" applyAlignment="0" applyProtection="0"/>
    <xf numFmtId="0" fontId="50" fillId="0" borderId="508" applyNumberFormat="0" applyFill="0" applyAlignment="0" applyProtection="0"/>
    <xf numFmtId="0" fontId="29" fillId="13" borderId="13" applyNumberFormat="0" applyAlignment="0" applyProtection="0"/>
    <xf numFmtId="0" fontId="40" fillId="59" borderId="515" applyNumberFormat="0" applyFont="0" applyAlignment="0" applyProtection="0"/>
    <xf numFmtId="0" fontId="49" fillId="43" borderId="521" applyNumberFormat="0" applyAlignment="0" applyProtection="0"/>
    <xf numFmtId="0" fontId="62" fillId="56" borderId="520" applyNumberFormat="0" applyAlignment="0" applyProtection="0"/>
    <xf numFmtId="0" fontId="5" fillId="59" borderId="525" applyNumberFormat="0" applyFont="0" applyAlignment="0" applyProtection="0"/>
    <xf numFmtId="49" fontId="34" fillId="0" borderId="532" applyNumberFormat="0" applyFont="0" applyFill="0" applyBorder="0" applyProtection="0">
      <alignment horizontal="left" vertical="center" indent="2"/>
    </xf>
    <xf numFmtId="4" fontId="34" fillId="0" borderId="510" applyFill="0" applyBorder="0" applyProtection="0">
      <alignment horizontal="right" vertical="center"/>
    </xf>
    <xf numFmtId="0" fontId="12" fillId="28" borderId="0" applyNumberFormat="0" applyBorder="0" applyAlignment="0" applyProtection="0"/>
    <xf numFmtId="0" fontId="32" fillId="32" borderId="516">
      <alignment horizontal="right" vertical="center"/>
    </xf>
    <xf numFmtId="0" fontId="34" fillId="33" borderId="551"/>
    <xf numFmtId="0" fontId="40" fillId="59" borderId="515" applyNumberFormat="0" applyFont="0" applyAlignment="0" applyProtection="0"/>
    <xf numFmtId="0" fontId="50" fillId="0" borderId="522" applyNumberFormat="0" applyFill="0" applyAlignment="0" applyProtection="0"/>
    <xf numFmtId="4" fontId="32" fillId="34" borderId="517">
      <alignment horizontal="right" vertical="center"/>
    </xf>
    <xf numFmtId="0" fontId="43" fillId="56" borderId="520" applyNumberFormat="0" applyAlignment="0" applyProtection="0"/>
    <xf numFmtId="0" fontId="65" fillId="0" borderId="549" applyNumberFormat="0" applyFill="0" applyAlignment="0" applyProtection="0"/>
    <xf numFmtId="0" fontId="65" fillId="0" borderId="549" applyNumberFormat="0" applyFill="0" applyAlignment="0" applyProtection="0"/>
    <xf numFmtId="0" fontId="2" fillId="0" borderId="15" applyNumberFormat="0" applyFill="0" applyAlignment="0" applyProtection="0"/>
    <xf numFmtId="49" fontId="33" fillId="0" borderId="526" applyNumberFormat="0" applyFill="0" applyBorder="0" applyProtection="0">
      <alignment horizontal="left" vertical="center"/>
    </xf>
    <xf numFmtId="0" fontId="46" fillId="56" borderId="521" applyNumberFormat="0" applyAlignment="0" applyProtection="0"/>
    <xf numFmtId="0" fontId="32" fillId="34" borderId="516">
      <alignment horizontal="right" vertical="center"/>
    </xf>
    <xf numFmtId="0" fontId="46" fillId="56" borderId="500" applyNumberFormat="0" applyAlignment="0" applyProtection="0"/>
    <xf numFmtId="4" fontId="32" fillId="34" borderId="518">
      <alignment horizontal="right" vertical="center"/>
    </xf>
    <xf numFmtId="4" fontId="32" fillId="34" borderId="516">
      <alignment horizontal="right" vertical="center"/>
    </xf>
    <xf numFmtId="0" fontId="45" fillId="56" borderId="548" applyNumberFormat="0" applyAlignment="0" applyProtection="0"/>
    <xf numFmtId="0" fontId="45" fillId="56" borderId="521" applyNumberFormat="0" applyAlignment="0" applyProtection="0"/>
    <xf numFmtId="0" fontId="58" fillId="43" borderId="500" applyNumberFormat="0" applyAlignment="0" applyProtection="0"/>
    <xf numFmtId="4" fontId="34" fillId="0" borderId="551">
      <alignment horizontal="right" vertical="center"/>
    </xf>
    <xf numFmtId="0" fontId="29" fillId="13" borderId="13" applyNumberFormat="0" applyAlignment="0" applyProtection="0"/>
    <xf numFmtId="0" fontId="40" fillId="59" borderId="502" applyNumberFormat="0" applyFont="0" applyAlignment="0" applyProtection="0"/>
    <xf numFmtId="0" fontId="62" fillId="56" borderId="499" applyNumberFormat="0" applyAlignment="0" applyProtection="0"/>
    <xf numFmtId="0" fontId="34" fillId="33" borderId="532"/>
    <xf numFmtId="0" fontId="65" fillId="0" borderId="501" applyNumberFormat="0" applyFill="0" applyAlignment="0" applyProtection="0"/>
    <xf numFmtId="4" fontId="34" fillId="0" borderId="516" applyFill="0" applyBorder="0" applyProtection="0">
      <alignment horizontal="right" vertical="center"/>
    </xf>
    <xf numFmtId="0" fontId="32" fillId="34" borderId="532">
      <alignment horizontal="right" vertical="center"/>
    </xf>
    <xf numFmtId="0" fontId="62" fillId="56" borderId="547" applyNumberFormat="0" applyAlignment="0" applyProtection="0"/>
    <xf numFmtId="173" fontId="34" fillId="60" borderId="558" applyNumberFormat="0" applyFont="0" applyBorder="0" applyAlignment="0" applyProtection="0">
      <alignment horizontal="right" vertical="center"/>
    </xf>
    <xf numFmtId="0" fontId="62" fillId="56" borderId="547" applyNumberFormat="0" applyAlignment="0" applyProtection="0"/>
    <xf numFmtId="0" fontId="26" fillId="29" borderId="0" applyNumberFormat="0" applyBorder="0" applyAlignment="0" applyProtection="0"/>
    <xf numFmtId="4" fontId="34" fillId="33" borderId="532"/>
    <xf numFmtId="0" fontId="29" fillId="13" borderId="13" applyNumberFormat="0" applyAlignment="0" applyProtection="0"/>
    <xf numFmtId="0" fontId="34" fillId="0" borderId="516">
      <alignment horizontal="right" vertical="center"/>
    </xf>
    <xf numFmtId="4" fontId="32" fillId="34" borderId="516">
      <alignment horizontal="right" vertical="center"/>
    </xf>
    <xf numFmtId="4" fontId="32" fillId="34" borderId="517">
      <alignment horizontal="right" vertical="center"/>
    </xf>
    <xf numFmtId="0" fontId="26" fillId="18" borderId="0" applyNumberFormat="0" applyBorder="0" applyAlignment="0" applyProtection="0"/>
    <xf numFmtId="49" fontId="34" fillId="0" borderId="511" applyNumberFormat="0" applyFont="0" applyFill="0" applyBorder="0" applyProtection="0">
      <alignment horizontal="left" vertical="center" indent="5"/>
    </xf>
    <xf numFmtId="0" fontId="26" fillId="21" borderId="0" applyNumberFormat="0" applyBorder="0" applyAlignment="0" applyProtection="0"/>
    <xf numFmtId="0" fontId="62" fillId="56" borderId="547" applyNumberFormat="0" applyAlignment="0" applyProtection="0"/>
    <xf numFmtId="0" fontId="34" fillId="34" borderId="554">
      <alignment horizontal="left" vertical="center" wrapText="1" indent="2"/>
    </xf>
    <xf numFmtId="0" fontId="12" fillId="25" borderId="0" applyNumberFormat="0" applyBorder="0" applyAlignment="0" applyProtection="0"/>
    <xf numFmtId="0" fontId="32" fillId="32" borderId="503">
      <alignment horizontal="right" vertical="center"/>
    </xf>
    <xf numFmtId="4" fontId="32" fillId="32" borderId="503">
      <alignment horizontal="right" vertical="center"/>
    </xf>
    <xf numFmtId="0" fontId="36" fillId="32" borderId="503">
      <alignment horizontal="right" vertical="center"/>
    </xf>
    <xf numFmtId="4" fontId="36" fillId="32" borderId="503">
      <alignment horizontal="right" vertical="center"/>
    </xf>
    <xf numFmtId="0" fontId="32" fillId="34" borderId="503">
      <alignment horizontal="right" vertical="center"/>
    </xf>
    <xf numFmtId="4" fontId="32" fillId="34" borderId="503">
      <alignment horizontal="right" vertical="center"/>
    </xf>
    <xf numFmtId="0" fontId="32" fillId="34" borderId="503">
      <alignment horizontal="right" vertical="center"/>
    </xf>
    <xf numFmtId="4" fontId="32" fillId="34" borderId="503">
      <alignment horizontal="right" vertical="center"/>
    </xf>
    <xf numFmtId="0" fontId="32" fillId="34" borderId="504">
      <alignment horizontal="right" vertical="center"/>
    </xf>
    <xf numFmtId="4" fontId="32" fillId="34" borderId="504">
      <alignment horizontal="right" vertical="center"/>
    </xf>
    <xf numFmtId="0" fontId="32" fillId="34" borderId="505">
      <alignment horizontal="right" vertical="center"/>
    </xf>
    <xf numFmtId="4" fontId="32" fillId="34" borderId="505">
      <alignment horizontal="right" vertical="center"/>
    </xf>
    <xf numFmtId="0" fontId="46" fillId="56" borderId="500" applyNumberFormat="0" applyAlignment="0" applyProtection="0"/>
    <xf numFmtId="0" fontId="34" fillId="34" borderId="506">
      <alignment horizontal="left" vertical="center" wrapText="1" indent="2"/>
    </xf>
    <xf numFmtId="0" fontId="34" fillId="0" borderId="506">
      <alignment horizontal="left" vertical="center" wrapText="1" indent="2"/>
    </xf>
    <xf numFmtId="0" fontId="34" fillId="32" borderId="504">
      <alignment horizontal="left" vertical="center"/>
    </xf>
    <xf numFmtId="0" fontId="12" fillId="19" borderId="0" applyNumberFormat="0" applyBorder="0" applyAlignment="0" applyProtection="0"/>
    <xf numFmtId="0" fontId="58" fillId="43" borderId="500" applyNumberFormat="0" applyAlignment="0" applyProtection="0"/>
    <xf numFmtId="0" fontId="34" fillId="0" borderId="503">
      <alignment horizontal="right" vertical="center"/>
    </xf>
    <xf numFmtId="4" fontId="34" fillId="0" borderId="503">
      <alignment horizontal="right" vertical="center"/>
    </xf>
    <xf numFmtId="4" fontId="34" fillId="0" borderId="516">
      <alignment horizontal="right" vertical="center"/>
    </xf>
    <xf numFmtId="0" fontId="34" fillId="0" borderId="503" applyNumberFormat="0" applyFill="0" applyAlignment="0" applyProtection="0"/>
    <xf numFmtId="0" fontId="62" fillId="56" borderId="499" applyNumberFormat="0" applyAlignment="0" applyProtection="0"/>
    <xf numFmtId="173" fontId="34" fillId="60" borderId="503" applyNumberFormat="0" applyFont="0" applyBorder="0" applyAlignment="0" applyProtection="0">
      <alignment horizontal="right" vertical="center"/>
    </xf>
    <xf numFmtId="0" fontId="34" fillId="33" borderId="503"/>
    <xf numFmtId="4" fontId="34" fillId="33" borderId="503"/>
    <xf numFmtId="0" fontId="65" fillId="0" borderId="501" applyNumberFormat="0" applyFill="0" applyAlignment="0" applyProtection="0"/>
    <xf numFmtId="4" fontId="36" fillId="32" borderId="516">
      <alignment horizontal="right" vertical="center"/>
    </xf>
    <xf numFmtId="0" fontId="34" fillId="34" borderId="529">
      <alignment horizontal="left" vertical="center" wrapText="1" indent="2"/>
    </xf>
    <xf numFmtId="49" fontId="34" fillId="0" borderId="527" applyNumberFormat="0" applyFont="0" applyFill="0" applyBorder="0" applyProtection="0">
      <alignment horizontal="left" vertical="center" indent="5"/>
    </xf>
    <xf numFmtId="0" fontId="43" fillId="56" borderId="520" applyNumberFormat="0" applyAlignment="0" applyProtection="0"/>
    <xf numFmtId="0" fontId="32" fillId="34" borderId="516">
      <alignment horizontal="right" vertical="center"/>
    </xf>
    <xf numFmtId="0" fontId="34" fillId="0" borderId="516">
      <alignment horizontal="right" vertical="center"/>
    </xf>
    <xf numFmtId="0" fontId="26" fillId="21" borderId="0" applyNumberFormat="0" applyBorder="0" applyAlignment="0" applyProtection="0"/>
    <xf numFmtId="0" fontId="5" fillId="59" borderId="515" applyNumberFormat="0" applyFont="0" applyAlignment="0" applyProtection="0"/>
    <xf numFmtId="0" fontId="32" fillId="34" borderId="516">
      <alignment horizontal="right" vertical="center"/>
    </xf>
    <xf numFmtId="0" fontId="49" fillId="43" borderId="521" applyNumberFormat="0" applyAlignment="0" applyProtection="0"/>
    <xf numFmtId="0" fontId="62" fillId="56" borderId="547" applyNumberFormat="0" applyAlignment="0" applyProtection="0"/>
    <xf numFmtId="49" fontId="34" fillId="0" borderId="526" applyNumberFormat="0" applyFont="0" applyFill="0" applyBorder="0" applyProtection="0">
      <alignment horizontal="left" vertical="center" indent="2"/>
    </xf>
    <xf numFmtId="0" fontId="2" fillId="0" borderId="15" applyNumberFormat="0" applyFill="0" applyAlignment="0" applyProtection="0"/>
    <xf numFmtId="0" fontId="34" fillId="0" borderId="519">
      <alignment horizontal="left" vertical="center" wrapText="1" indent="2"/>
    </xf>
    <xf numFmtId="4" fontId="32" fillId="34" borderId="551">
      <alignment horizontal="right" vertical="center"/>
    </xf>
    <xf numFmtId="4" fontId="32" fillId="34" borderId="543">
      <alignment horizontal="right" vertical="center"/>
    </xf>
    <xf numFmtId="0" fontId="1" fillId="0" borderId="0" applyNumberFormat="0" applyFill="0" applyBorder="0" applyAlignment="0" applyProtection="0"/>
    <xf numFmtId="0" fontId="32" fillId="34" borderId="516">
      <alignment horizontal="right" vertical="center"/>
    </xf>
    <xf numFmtId="0" fontId="65" fillId="0" borderId="522" applyNumberFormat="0" applyFill="0" applyAlignment="0" applyProtection="0"/>
    <xf numFmtId="0" fontId="26" fillId="15" borderId="0" applyNumberFormat="0" applyBorder="0" applyAlignment="0" applyProtection="0"/>
    <xf numFmtId="0" fontId="12" fillId="28" borderId="0" applyNumberFormat="0" applyBorder="0" applyAlignment="0" applyProtection="0"/>
    <xf numFmtId="0" fontId="32" fillId="34" borderId="518">
      <alignment horizontal="right" vertical="center"/>
    </xf>
    <xf numFmtId="0" fontId="26" fillId="20" borderId="0" applyNumberFormat="0" applyBorder="0" applyAlignment="0" applyProtection="0"/>
    <xf numFmtId="0" fontId="49" fillId="43" borderId="521" applyNumberFormat="0" applyAlignment="0" applyProtection="0"/>
    <xf numFmtId="0" fontId="62" fillId="56" borderId="547" applyNumberFormat="0" applyAlignment="0" applyProtection="0"/>
    <xf numFmtId="0" fontId="26" fillId="15" borderId="0" applyNumberFormat="0" applyBorder="0" applyAlignment="0" applyProtection="0"/>
    <xf numFmtId="0" fontId="1" fillId="0" borderId="0" applyNumberFormat="0" applyFill="0" applyBorder="0" applyAlignment="0" applyProtection="0"/>
    <xf numFmtId="4" fontId="36" fillId="32" borderId="551">
      <alignment horizontal="right" vertical="center"/>
    </xf>
    <xf numFmtId="4" fontId="34" fillId="0" borderId="551">
      <alignment horizontal="right" vertical="center"/>
    </xf>
    <xf numFmtId="0" fontId="65" fillId="0" borderId="522" applyNumberFormat="0" applyFill="0" applyAlignment="0" applyProtection="0"/>
    <xf numFmtId="0" fontId="26" fillId="29" borderId="0" applyNumberFormat="0" applyBorder="0" applyAlignment="0" applyProtection="0"/>
    <xf numFmtId="0" fontId="49" fillId="43" borderId="548" applyNumberFormat="0" applyAlignment="0" applyProtection="0"/>
    <xf numFmtId="0" fontId="1" fillId="0" borderId="0" applyNumberFormat="0" applyFill="0" applyBorder="0" applyAlignment="0" applyProtection="0"/>
    <xf numFmtId="4" fontId="32" fillId="34" borderId="526">
      <alignment horizontal="right" vertical="center"/>
    </xf>
    <xf numFmtId="0" fontId="32" fillId="34" borderId="518">
      <alignment horizontal="right" vertical="center"/>
    </xf>
    <xf numFmtId="0" fontId="32" fillId="32" borderId="516">
      <alignment horizontal="right" vertical="center"/>
    </xf>
    <xf numFmtId="0" fontId="43" fillId="56" borderId="520" applyNumberFormat="0" applyAlignment="0" applyProtection="0"/>
    <xf numFmtId="0" fontId="32" fillId="34" borderId="551">
      <alignment horizontal="right" vertical="center"/>
    </xf>
    <xf numFmtId="0" fontId="30" fillId="0" borderId="0" applyNumberFormat="0" applyFill="0" applyBorder="0" applyAlignment="0" applyProtection="0"/>
    <xf numFmtId="0" fontId="12" fillId="25" borderId="0" applyNumberFormat="0" applyBorder="0" applyAlignment="0" applyProtection="0"/>
    <xf numFmtId="0" fontId="26" fillId="30" borderId="0" applyNumberFormat="0" applyBorder="0" applyAlignment="0" applyProtection="0"/>
    <xf numFmtId="0" fontId="40" fillId="59" borderId="525" applyNumberFormat="0" applyFont="0" applyAlignment="0" applyProtection="0"/>
    <xf numFmtId="0" fontId="26" fillId="27" borderId="0" applyNumberFormat="0" applyBorder="0" applyAlignment="0" applyProtection="0"/>
    <xf numFmtId="0" fontId="26" fillId="17" borderId="0" applyNumberFormat="0" applyBorder="0" applyAlignment="0" applyProtection="0"/>
    <xf numFmtId="0" fontId="26" fillId="14" borderId="0" applyNumberFormat="0" applyBorder="0" applyAlignment="0" applyProtection="0"/>
    <xf numFmtId="4" fontId="34" fillId="33" borderId="516"/>
    <xf numFmtId="4" fontId="34" fillId="0" borderId="516">
      <alignment horizontal="right" vertical="center"/>
    </xf>
    <xf numFmtId="0" fontId="32" fillId="34" borderId="551">
      <alignment horizontal="right" vertical="center"/>
    </xf>
    <xf numFmtId="0" fontId="50" fillId="0" borderId="522" applyNumberFormat="0" applyFill="0" applyAlignment="0" applyProtection="0"/>
    <xf numFmtId="0" fontId="46" fillId="56" borderId="521" applyNumberFormat="0" applyAlignment="0" applyProtection="0"/>
    <xf numFmtId="0" fontId="1" fillId="0" borderId="0" applyNumberFormat="0" applyFill="0" applyBorder="0" applyAlignment="0" applyProtection="0"/>
    <xf numFmtId="49" fontId="34" fillId="0" borderId="503" applyNumberFormat="0" applyFont="0" applyFill="0" applyBorder="0" applyProtection="0">
      <alignment horizontal="left" vertical="center" indent="2"/>
    </xf>
    <xf numFmtId="49" fontId="34" fillId="0" borderId="504" applyNumberFormat="0" applyFont="0" applyFill="0" applyBorder="0" applyProtection="0">
      <alignment horizontal="left" vertical="center" indent="5"/>
    </xf>
    <xf numFmtId="0" fontId="26" fillId="23" borderId="0" applyNumberFormat="0" applyBorder="0" applyAlignment="0" applyProtection="0"/>
    <xf numFmtId="0" fontId="34" fillId="0" borderId="516">
      <alignment horizontal="right" vertical="center"/>
    </xf>
    <xf numFmtId="0" fontId="26" fillId="23" borderId="0" applyNumberFormat="0" applyBorder="0" applyAlignment="0" applyProtection="0"/>
    <xf numFmtId="0" fontId="26" fillId="14" borderId="0" applyNumberFormat="0" applyBorder="0" applyAlignment="0" applyProtection="0"/>
    <xf numFmtId="4" fontId="36" fillId="32" borderId="516">
      <alignment horizontal="right" vertical="center"/>
    </xf>
    <xf numFmtId="0" fontId="62" fillId="56" borderId="520" applyNumberFormat="0" applyAlignment="0" applyProtection="0"/>
    <xf numFmtId="4" fontId="32" fillId="34" borderId="516">
      <alignment horizontal="right" vertical="center"/>
    </xf>
    <xf numFmtId="0" fontId="65" fillId="0" borderId="522" applyNumberFormat="0" applyFill="0" applyAlignment="0" applyProtection="0"/>
    <xf numFmtId="4" fontId="34" fillId="0" borderId="503" applyFill="0" applyBorder="0" applyProtection="0">
      <alignment horizontal="right" vertical="center"/>
    </xf>
    <xf numFmtId="49" fontId="33" fillId="0" borderId="503" applyNumberFormat="0" applyFill="0" applyBorder="0" applyProtection="0">
      <alignment horizontal="left" vertical="center"/>
    </xf>
    <xf numFmtId="0" fontId="40" fillId="59" borderId="515" applyNumberFormat="0" applyFont="0" applyAlignment="0" applyProtection="0"/>
    <xf numFmtId="0" fontId="34" fillId="34" borderId="519">
      <alignment horizontal="left" vertical="center" wrapText="1" indent="2"/>
    </xf>
    <xf numFmtId="0" fontId="65" fillId="0" borderId="522" applyNumberFormat="0" applyFill="0" applyAlignment="0" applyProtection="0"/>
    <xf numFmtId="0" fontId="32" fillId="34" borderId="517">
      <alignment horizontal="right" vertical="center"/>
    </xf>
    <xf numFmtId="0" fontId="34" fillId="33" borderId="551"/>
    <xf numFmtId="0" fontId="32" fillId="34" borderId="518">
      <alignment horizontal="right" vertical="center"/>
    </xf>
    <xf numFmtId="4" fontId="34" fillId="33" borderId="551"/>
    <xf numFmtId="4" fontId="32" fillId="34" borderId="533">
      <alignment horizontal="right" vertical="center"/>
    </xf>
    <xf numFmtId="4" fontId="34" fillId="0" borderId="516">
      <alignment horizontal="right" vertical="center"/>
    </xf>
    <xf numFmtId="0" fontId="26" fillId="21" borderId="0" applyNumberFormat="0" applyBorder="0" applyAlignment="0" applyProtection="0"/>
    <xf numFmtId="0" fontId="32" fillId="34" borderId="543">
      <alignment horizontal="right" vertical="center"/>
    </xf>
    <xf numFmtId="4" fontId="36" fillId="32" borderId="516">
      <alignment horizontal="right" vertical="center"/>
    </xf>
    <xf numFmtId="0" fontId="34" fillId="0" borderId="526">
      <alignment horizontal="right" vertical="center"/>
    </xf>
    <xf numFmtId="0" fontId="49" fillId="43" borderId="523" applyNumberFormat="0" applyAlignment="0" applyProtection="0"/>
    <xf numFmtId="0" fontId="46" fillId="56" borderId="548" applyNumberFormat="0" applyAlignment="0" applyProtection="0"/>
    <xf numFmtId="0" fontId="29" fillId="13" borderId="13" applyNumberFormat="0" applyAlignment="0" applyProtection="0"/>
    <xf numFmtId="0" fontId="34" fillId="0" borderId="543" applyNumberFormat="0" applyFill="0" applyAlignment="0" applyProtection="0"/>
    <xf numFmtId="4" fontId="32" fillId="34" borderId="517">
      <alignment horizontal="right" vertical="center"/>
    </xf>
    <xf numFmtId="0" fontId="65" fillId="0" borderId="549" applyNumberFormat="0" applyFill="0" applyAlignment="0" applyProtection="0"/>
    <xf numFmtId="0" fontId="30" fillId="0" borderId="0" applyNumberFormat="0" applyFill="0" applyBorder="0" applyAlignment="0" applyProtection="0"/>
    <xf numFmtId="49" fontId="34" fillId="0" borderId="510" applyNumberFormat="0" applyFont="0" applyFill="0" applyBorder="0" applyProtection="0">
      <alignment horizontal="left" vertical="center" indent="2"/>
    </xf>
    <xf numFmtId="0" fontId="65" fillId="0" borderId="522" applyNumberFormat="0" applyFill="0" applyAlignment="0" applyProtection="0"/>
    <xf numFmtId="0" fontId="34" fillId="0" borderId="535">
      <alignment horizontal="left" vertical="center" wrapText="1" indent="2"/>
    </xf>
    <xf numFmtId="0" fontId="43" fillId="56" borderId="499" applyNumberFormat="0" applyAlignment="0" applyProtection="0"/>
    <xf numFmtId="0" fontId="45" fillId="56" borderId="500" applyNumberFormat="0" applyAlignment="0" applyProtection="0"/>
    <xf numFmtId="0" fontId="50" fillId="0" borderId="501" applyNumberFormat="0" applyFill="0" applyAlignment="0" applyProtection="0"/>
    <xf numFmtId="0" fontId="58" fillId="43" borderId="507" applyNumberFormat="0" applyAlignment="0" applyProtection="0"/>
    <xf numFmtId="0" fontId="32" fillId="34" borderId="516">
      <alignment horizontal="right" vertical="center"/>
    </xf>
    <xf numFmtId="0" fontId="65" fillId="0" borderId="524" applyNumberFormat="0" applyFill="0" applyAlignment="0" applyProtection="0"/>
    <xf numFmtId="0" fontId="34" fillId="34" borderId="519">
      <alignment horizontal="left" vertical="center" wrapText="1" indent="2"/>
    </xf>
    <xf numFmtId="4" fontId="34" fillId="33" borderId="516"/>
    <xf numFmtId="0" fontId="43" fillId="56" borderId="520" applyNumberFormat="0" applyAlignment="0" applyProtection="0"/>
    <xf numFmtId="0" fontId="12" fillId="28" borderId="0" applyNumberFormat="0" applyBorder="0" applyAlignment="0" applyProtection="0"/>
    <xf numFmtId="4" fontId="34" fillId="0" borderId="516">
      <alignment horizontal="right" vertical="center"/>
    </xf>
    <xf numFmtId="0" fontId="34" fillId="0" borderId="516" applyNumberFormat="0" applyFill="0" applyAlignment="0" applyProtection="0"/>
    <xf numFmtId="0" fontId="26" fillId="30" borderId="0" applyNumberFormat="0" applyBorder="0" applyAlignment="0" applyProtection="0"/>
    <xf numFmtId="4" fontId="34" fillId="33" borderId="510"/>
    <xf numFmtId="0" fontId="65" fillId="0" borderId="508" applyNumberFormat="0" applyFill="0" applyAlignment="0" applyProtection="0"/>
    <xf numFmtId="0" fontId="40" fillId="59" borderId="531" applyNumberFormat="0" applyFont="0" applyAlignment="0" applyProtection="0"/>
    <xf numFmtId="0" fontId="34" fillId="0" borderId="510" applyNumberFormat="0" applyFill="0" applyAlignment="0" applyProtection="0"/>
    <xf numFmtId="0" fontId="34" fillId="0" borderId="513">
      <alignment horizontal="left" vertical="center" wrapText="1" indent="2"/>
    </xf>
    <xf numFmtId="4" fontId="32" fillId="34" borderId="518">
      <alignment horizontal="right" vertical="center"/>
    </xf>
    <xf numFmtId="0" fontId="32" fillId="34" borderId="511">
      <alignment horizontal="right" vertical="center"/>
    </xf>
    <xf numFmtId="4" fontId="32" fillId="34" borderId="511">
      <alignment horizontal="right" vertical="center"/>
    </xf>
    <xf numFmtId="0" fontId="36" fillId="32" borderId="543">
      <alignment horizontal="right" vertical="center"/>
    </xf>
    <xf numFmtId="0" fontId="34" fillId="32" borderId="517">
      <alignment horizontal="left" vertical="center"/>
    </xf>
    <xf numFmtId="4" fontId="34" fillId="0" borderId="516">
      <alignment horizontal="right" vertical="center"/>
    </xf>
    <xf numFmtId="0" fontId="34" fillId="32" borderId="533">
      <alignment horizontal="left" vertical="center"/>
    </xf>
    <xf numFmtId="0" fontId="49" fillId="43" borderId="500" applyNumberFormat="0" applyAlignment="0" applyProtection="0"/>
    <xf numFmtId="0" fontId="32" fillId="32" borderId="558">
      <alignment horizontal="right" vertical="center"/>
    </xf>
    <xf numFmtId="0" fontId="26" fillId="17" borderId="0" applyNumberFormat="0" applyBorder="0" applyAlignment="0" applyProtection="0"/>
    <xf numFmtId="0" fontId="65" fillId="0" borderId="508" applyNumberFormat="0" applyFill="0" applyAlignment="0" applyProtection="0"/>
    <xf numFmtId="0" fontId="26" fillId="21" borderId="0" applyNumberFormat="0" applyBorder="0" applyAlignment="0" applyProtection="0"/>
    <xf numFmtId="4" fontId="34" fillId="0" borderId="526">
      <alignment horizontal="right" vertical="center"/>
    </xf>
    <xf numFmtId="0" fontId="58" fillId="43" borderId="548" applyNumberFormat="0" applyAlignment="0" applyProtection="0"/>
    <xf numFmtId="0" fontId="34" fillId="0" borderId="554">
      <alignment horizontal="left" vertical="center" wrapText="1" indent="2"/>
    </xf>
    <xf numFmtId="49" fontId="33" fillId="0" borderId="516" applyNumberFormat="0" applyFill="0" applyBorder="0" applyProtection="0">
      <alignment horizontal="left" vertical="center"/>
    </xf>
    <xf numFmtId="0" fontId="26" fillId="23" borderId="0" applyNumberFormat="0" applyBorder="0" applyAlignment="0" applyProtection="0"/>
    <xf numFmtId="0" fontId="65" fillId="0" borderId="522" applyNumberFormat="0" applyFill="0" applyAlignment="0" applyProtection="0"/>
    <xf numFmtId="0" fontId="28" fillId="13" borderId="14" applyNumberFormat="0" applyAlignment="0" applyProtection="0"/>
    <xf numFmtId="0" fontId="46" fillId="56" borderId="548" applyNumberFormat="0" applyAlignment="0" applyProtection="0"/>
    <xf numFmtId="0" fontId="32" fillId="34" borderId="544">
      <alignment horizontal="right" vertical="center"/>
    </xf>
    <xf numFmtId="0" fontId="32" fillId="34" borderId="517">
      <alignment horizontal="right" vertical="center"/>
    </xf>
    <xf numFmtId="49" fontId="34" fillId="0" borderId="543" applyNumberFormat="0" applyFont="0" applyFill="0" applyBorder="0" applyProtection="0">
      <alignment horizontal="left" vertical="center" indent="2"/>
    </xf>
    <xf numFmtId="0" fontId="58" fillId="43" borderId="548" applyNumberFormat="0" applyAlignment="0" applyProtection="0"/>
    <xf numFmtId="0" fontId="34" fillId="34" borderId="506">
      <alignment horizontal="left" vertical="center" wrapText="1" indent="2"/>
    </xf>
    <xf numFmtId="0" fontId="34" fillId="0" borderId="506">
      <alignment horizontal="left" vertical="center" wrapText="1" indent="2"/>
    </xf>
    <xf numFmtId="0" fontId="26" fillId="15" borderId="0" applyNumberFormat="0" applyBorder="0" applyAlignment="0" applyProtection="0"/>
    <xf numFmtId="0" fontId="62" fillId="56" borderId="520" applyNumberFormat="0" applyAlignment="0" applyProtection="0"/>
    <xf numFmtId="0" fontId="32" fillId="34" borderId="516">
      <alignment horizontal="right" vertical="center"/>
    </xf>
    <xf numFmtId="0" fontId="46" fillId="56" borderId="555" applyNumberFormat="0" applyAlignment="0" applyProtection="0"/>
    <xf numFmtId="0" fontId="26" fillId="14" borderId="0" applyNumberFormat="0" applyBorder="0" applyAlignment="0" applyProtection="0"/>
    <xf numFmtId="0" fontId="30" fillId="0" borderId="0" applyNumberFormat="0" applyFill="0" applyBorder="0" applyAlignment="0" applyProtection="0"/>
    <xf numFmtId="0" fontId="32" fillId="34" borderId="553">
      <alignment horizontal="right" vertical="center"/>
    </xf>
    <xf numFmtId="0" fontId="34" fillId="33" borderId="516"/>
    <xf numFmtId="4" fontId="36" fillId="32" borderId="516">
      <alignment horizontal="right" vertical="center"/>
    </xf>
    <xf numFmtId="0" fontId="49" fillId="43" borderId="548" applyNumberFormat="0" applyAlignment="0" applyProtection="0"/>
    <xf numFmtId="0" fontId="32" fillId="34" borderId="516">
      <alignment horizontal="right" vertical="center"/>
    </xf>
    <xf numFmtId="0" fontId="62" fillId="56" borderId="520" applyNumberFormat="0" applyAlignment="0" applyProtection="0"/>
    <xf numFmtId="0" fontId="58" fillId="43" borderId="507" applyNumberFormat="0" applyAlignment="0" applyProtection="0"/>
    <xf numFmtId="0" fontId="50" fillId="0" borderId="522" applyNumberFormat="0" applyFill="0" applyAlignment="0" applyProtection="0"/>
    <xf numFmtId="4" fontId="34" fillId="33" borderId="516"/>
    <xf numFmtId="0" fontId="34" fillId="34" borderId="519">
      <alignment horizontal="left" vertical="center" wrapText="1" indent="2"/>
    </xf>
    <xf numFmtId="0" fontId="46" fillId="56" borderId="507" applyNumberFormat="0" applyAlignment="0" applyProtection="0"/>
    <xf numFmtId="0" fontId="36" fillId="32" borderId="551">
      <alignment horizontal="right" vertical="center"/>
    </xf>
    <xf numFmtId="0" fontId="46" fillId="56" borderId="521" applyNumberFormat="0" applyAlignment="0" applyProtection="0"/>
    <xf numFmtId="4" fontId="32" fillId="34" borderId="551">
      <alignment horizontal="right" vertical="center"/>
    </xf>
    <xf numFmtId="0" fontId="2" fillId="0" borderId="15" applyNumberFormat="0" applyFill="0" applyAlignment="0" applyProtection="0"/>
    <xf numFmtId="0" fontId="34" fillId="32" borderId="517">
      <alignment horizontal="left" vertical="center"/>
    </xf>
    <xf numFmtId="0" fontId="5" fillId="59" borderId="515" applyNumberFormat="0" applyFont="0" applyAlignment="0" applyProtection="0"/>
    <xf numFmtId="0" fontId="34" fillId="33" borderId="516"/>
    <xf numFmtId="0" fontId="34" fillId="0" borderId="551">
      <alignment horizontal="right" vertical="center"/>
    </xf>
    <xf numFmtId="0" fontId="50" fillId="0" borderId="549" applyNumberFormat="0" applyFill="0" applyAlignment="0" applyProtection="0"/>
    <xf numFmtId="0" fontId="12" fillId="22" borderId="0" applyNumberFormat="0" applyBorder="0" applyAlignment="0" applyProtection="0"/>
    <xf numFmtId="0" fontId="32" fillId="34" borderId="517">
      <alignment horizontal="right" vertical="center"/>
    </xf>
    <xf numFmtId="0" fontId="46" fillId="56" borderId="521" applyNumberFormat="0" applyAlignment="0" applyProtection="0"/>
    <xf numFmtId="0" fontId="12" fillId="19" borderId="0" applyNumberFormat="0" applyBorder="0" applyAlignment="0" applyProtection="0"/>
    <xf numFmtId="0" fontId="43" fillId="56" borderId="539" applyNumberFormat="0" applyAlignment="0" applyProtection="0"/>
    <xf numFmtId="173" fontId="34" fillId="60" borderId="516" applyNumberFormat="0" applyFont="0" applyBorder="0" applyAlignment="0" applyProtection="0">
      <alignment horizontal="right" vertical="center"/>
    </xf>
    <xf numFmtId="0" fontId="32" fillId="34" borderId="516">
      <alignment horizontal="right" vertical="center"/>
    </xf>
    <xf numFmtId="0" fontId="26" fillId="15" borderId="0" applyNumberFormat="0" applyBorder="0" applyAlignment="0" applyProtection="0"/>
    <xf numFmtId="0" fontId="26" fillId="26" borderId="0" applyNumberFormat="0" applyBorder="0" applyAlignment="0" applyProtection="0"/>
    <xf numFmtId="0" fontId="26" fillId="17" borderId="0" applyNumberFormat="0" applyBorder="0" applyAlignment="0" applyProtection="0"/>
    <xf numFmtId="0" fontId="32" fillId="32" borderId="516">
      <alignment horizontal="right" vertical="center"/>
    </xf>
    <xf numFmtId="0" fontId="46" fillId="56" borderId="548" applyNumberFormat="0" applyAlignment="0" applyProtection="0"/>
    <xf numFmtId="0" fontId="34" fillId="0" borderId="554">
      <alignment horizontal="left" vertical="center" wrapText="1" indent="2"/>
    </xf>
    <xf numFmtId="0" fontId="58" fillId="43" borderId="521" applyNumberFormat="0" applyAlignment="0" applyProtection="0"/>
    <xf numFmtId="0" fontId="12" fillId="22" borderId="0" applyNumberFormat="0" applyBorder="0" applyAlignment="0" applyProtection="0"/>
    <xf numFmtId="4" fontId="32" fillId="34" borderId="516">
      <alignment horizontal="right" vertical="center"/>
    </xf>
    <xf numFmtId="0" fontId="12" fillId="31" borderId="0" applyNumberFormat="0" applyBorder="0" applyAlignment="0" applyProtection="0"/>
    <xf numFmtId="0" fontId="49" fillId="43" borderId="540" applyNumberFormat="0" applyAlignment="0" applyProtection="0"/>
    <xf numFmtId="0" fontId="26" fillId="29" borderId="0" applyNumberFormat="0" applyBorder="0" applyAlignment="0" applyProtection="0"/>
    <xf numFmtId="0" fontId="26" fillId="26" borderId="0" applyNumberFormat="0" applyBorder="0" applyAlignment="0" applyProtection="0"/>
    <xf numFmtId="0" fontId="26" fillId="24" borderId="0" applyNumberFormat="0" applyBorder="0" applyAlignment="0" applyProtection="0"/>
    <xf numFmtId="0" fontId="34" fillId="0" borderId="554">
      <alignment horizontal="left" vertical="center" wrapText="1" indent="2"/>
    </xf>
    <xf numFmtId="0" fontId="12" fillId="16" borderId="0" applyNumberFormat="0" applyBorder="0" applyAlignment="0" applyProtection="0"/>
    <xf numFmtId="0" fontId="26" fillId="18" borderId="0" applyNumberFormat="0" applyBorder="0" applyAlignment="0" applyProtection="0"/>
    <xf numFmtId="0" fontId="12" fillId="19" borderId="0" applyNumberFormat="0" applyBorder="0" applyAlignment="0" applyProtection="0"/>
    <xf numFmtId="0" fontId="36" fillId="32" borderId="551">
      <alignment horizontal="right" vertical="center"/>
    </xf>
    <xf numFmtId="0" fontId="2" fillId="0" borderId="15" applyNumberFormat="0" applyFill="0" applyAlignment="0" applyProtection="0"/>
    <xf numFmtId="0" fontId="32" fillId="34" borderId="551">
      <alignment horizontal="right" vertical="center"/>
    </xf>
    <xf numFmtId="0" fontId="36" fillId="32" borderId="516">
      <alignment horizontal="right" vertical="center"/>
    </xf>
    <xf numFmtId="0" fontId="26" fillId="29" borderId="0" applyNumberFormat="0" applyBorder="0" applyAlignment="0" applyProtection="0"/>
    <xf numFmtId="0" fontId="34" fillId="34" borderId="519">
      <alignment horizontal="left" vertical="center" wrapText="1" indent="2"/>
    </xf>
    <xf numFmtId="0" fontId="34" fillId="0" borderId="519">
      <alignment horizontal="left" vertical="center" wrapText="1" indent="2"/>
    </xf>
    <xf numFmtId="0" fontId="45" fillId="56" borderId="521" applyNumberFormat="0" applyAlignment="0" applyProtection="0"/>
    <xf numFmtId="4" fontId="32" fillId="34" borderId="503">
      <alignment horizontal="right" vertical="center"/>
    </xf>
    <xf numFmtId="0" fontId="34" fillId="33" borderId="503"/>
    <xf numFmtId="0" fontId="45" fillId="56" borderId="500" applyNumberFormat="0" applyAlignment="0" applyProtection="0"/>
    <xf numFmtId="0" fontId="32" fillId="32" borderId="503">
      <alignment horizontal="right" vertical="center"/>
    </xf>
    <xf numFmtId="0" fontId="34" fillId="0" borderId="503">
      <alignment horizontal="right" vertical="center"/>
    </xf>
    <xf numFmtId="0" fontId="65" fillId="0" borderId="501" applyNumberFormat="0" applyFill="0" applyAlignment="0" applyProtection="0"/>
    <xf numFmtId="0" fontId="34" fillId="32" borderId="504">
      <alignment horizontal="left" vertical="center"/>
    </xf>
    <xf numFmtId="0" fontId="58" fillId="43" borderId="500" applyNumberFormat="0" applyAlignment="0" applyProtection="0"/>
    <xf numFmtId="173" fontId="34" fillId="60" borderId="503" applyNumberFormat="0" applyFont="0" applyBorder="0" applyAlignment="0" applyProtection="0">
      <alignment horizontal="right" vertical="center"/>
    </xf>
    <xf numFmtId="0" fontId="40" fillId="59" borderId="502" applyNumberFormat="0" applyFont="0" applyAlignment="0" applyProtection="0"/>
    <xf numFmtId="0" fontId="34" fillId="0" borderId="506">
      <alignment horizontal="left" vertical="center" wrapText="1" indent="2"/>
    </xf>
    <xf numFmtId="4" fontId="34" fillId="33" borderId="503"/>
    <xf numFmtId="49" fontId="33" fillId="0" borderId="503" applyNumberFormat="0" applyFill="0" applyBorder="0" applyProtection="0">
      <alignment horizontal="left" vertical="center"/>
    </xf>
    <xf numFmtId="0" fontId="34" fillId="0" borderId="503">
      <alignment horizontal="right" vertical="center"/>
    </xf>
    <xf numFmtId="4" fontId="32" fillId="34" borderId="505">
      <alignment horizontal="right" vertical="center"/>
    </xf>
    <xf numFmtId="4" fontId="32" fillId="34" borderId="503">
      <alignment horizontal="right" vertical="center"/>
    </xf>
    <xf numFmtId="4" fontId="32" fillId="34" borderId="503">
      <alignment horizontal="right" vertical="center"/>
    </xf>
    <xf numFmtId="0" fontId="36" fillId="32" borderId="503">
      <alignment horizontal="right" vertical="center"/>
    </xf>
    <xf numFmtId="0" fontId="32" fillId="32" borderId="503">
      <alignment horizontal="right" vertical="center"/>
    </xf>
    <xf numFmtId="49" fontId="34" fillId="0" borderId="503" applyNumberFormat="0" applyFont="0" applyFill="0" applyBorder="0" applyProtection="0">
      <alignment horizontal="left" vertical="center" indent="2"/>
    </xf>
    <xf numFmtId="0" fontId="58" fillId="43" borderId="500" applyNumberFormat="0" applyAlignment="0" applyProtection="0"/>
    <xf numFmtId="0" fontId="43" fillId="56" borderId="499" applyNumberFormat="0" applyAlignment="0" applyProtection="0"/>
    <xf numFmtId="49" fontId="34" fillId="0" borderId="503" applyNumberFormat="0" applyFont="0" applyFill="0" applyBorder="0" applyProtection="0">
      <alignment horizontal="left" vertical="center" indent="2"/>
    </xf>
    <xf numFmtId="0" fontId="49" fillId="43" borderId="500" applyNumberFormat="0" applyAlignment="0" applyProtection="0"/>
    <xf numFmtId="4" fontId="34" fillId="0" borderId="503" applyFill="0" applyBorder="0" applyProtection="0">
      <alignment horizontal="right" vertical="center"/>
    </xf>
    <xf numFmtId="0" fontId="46" fillId="56" borderId="500" applyNumberFormat="0" applyAlignment="0" applyProtection="0"/>
    <xf numFmtId="0" fontId="65" fillId="0" borderId="501" applyNumberFormat="0" applyFill="0" applyAlignment="0" applyProtection="0"/>
    <xf numFmtId="0" fontId="62" fillId="56" borderId="499" applyNumberFormat="0" applyAlignment="0" applyProtection="0"/>
    <xf numFmtId="0" fontId="34" fillId="0" borderId="503" applyNumberFormat="0" applyFill="0" applyAlignment="0" applyProtection="0"/>
    <xf numFmtId="4" fontId="34" fillId="0" borderId="503">
      <alignment horizontal="right" vertical="center"/>
    </xf>
    <xf numFmtId="0" fontId="34" fillId="0" borderId="503">
      <alignment horizontal="right" vertical="center"/>
    </xf>
    <xf numFmtId="0" fontId="58" fillId="43" borderId="500" applyNumberFormat="0" applyAlignment="0" applyProtection="0"/>
    <xf numFmtId="0" fontId="43" fillId="56" borderId="499" applyNumberFormat="0" applyAlignment="0" applyProtection="0"/>
    <xf numFmtId="0" fontId="45" fillId="56" borderId="500" applyNumberFormat="0" applyAlignment="0" applyProtection="0"/>
    <xf numFmtId="0" fontId="34" fillId="34" borderId="506">
      <alignment horizontal="left" vertical="center" wrapText="1" indent="2"/>
    </xf>
    <xf numFmtId="0" fontId="46" fillId="56" borderId="500" applyNumberFormat="0" applyAlignment="0" applyProtection="0"/>
    <xf numFmtId="0" fontId="46" fillId="56" borderId="500" applyNumberFormat="0" applyAlignment="0" applyProtection="0"/>
    <xf numFmtId="4" fontId="32" fillId="34" borderId="504">
      <alignment horizontal="right" vertical="center"/>
    </xf>
    <xf numFmtId="0" fontId="32" fillId="34" borderId="504">
      <alignment horizontal="right" vertical="center"/>
    </xf>
    <xf numFmtId="0" fontId="32" fillId="34" borderId="503">
      <alignment horizontal="right" vertical="center"/>
    </xf>
    <xf numFmtId="4" fontId="36" fillId="32" borderId="503">
      <alignment horizontal="right" vertical="center"/>
    </xf>
    <xf numFmtId="0" fontId="49" fillId="43" borderId="500" applyNumberFormat="0" applyAlignment="0" applyProtection="0"/>
    <xf numFmtId="0" fontId="50" fillId="0" borderId="501" applyNumberFormat="0" applyFill="0" applyAlignment="0" applyProtection="0"/>
    <xf numFmtId="0" fontId="65" fillId="0" borderId="501" applyNumberFormat="0" applyFill="0" applyAlignment="0" applyProtection="0"/>
    <xf numFmtId="0" fontId="40" fillId="59" borderId="502" applyNumberFormat="0" applyFont="0" applyAlignment="0" applyProtection="0"/>
    <xf numFmtId="0" fontId="58" fillId="43" borderId="500" applyNumberFormat="0" applyAlignment="0" applyProtection="0"/>
    <xf numFmtId="49" fontId="33" fillId="0" borderId="503" applyNumberFormat="0" applyFill="0" applyBorder="0" applyProtection="0">
      <alignment horizontal="left" vertical="center"/>
    </xf>
    <xf numFmtId="0" fontId="34" fillId="34" borderId="506">
      <alignment horizontal="left" vertical="center" wrapText="1" indent="2"/>
    </xf>
    <xf numFmtId="0" fontId="46" fillId="56" borderId="500" applyNumberFormat="0" applyAlignment="0" applyProtection="0"/>
    <xf numFmtId="0" fontId="34" fillId="0" borderId="506">
      <alignment horizontal="left" vertical="center" wrapText="1" indent="2"/>
    </xf>
    <xf numFmtId="0" fontId="40" fillId="59" borderId="502" applyNumberFormat="0" applyFont="0" applyAlignment="0" applyProtection="0"/>
    <xf numFmtId="0" fontId="5" fillId="59" borderId="502" applyNumberFormat="0" applyFont="0" applyAlignment="0" applyProtection="0"/>
    <xf numFmtId="0" fontId="62" fillId="56" borderId="499" applyNumberFormat="0" applyAlignment="0" applyProtection="0"/>
    <xf numFmtId="0" fontId="65" fillId="0" borderId="501" applyNumberFormat="0" applyFill="0" applyAlignment="0" applyProtection="0"/>
    <xf numFmtId="4" fontId="34" fillId="33" borderId="503"/>
    <xf numFmtId="0" fontId="32" fillId="34" borderId="503">
      <alignment horizontal="right" vertical="center"/>
    </xf>
    <xf numFmtId="0" fontId="65" fillId="0" borderId="501" applyNumberFormat="0" applyFill="0" applyAlignment="0" applyProtection="0"/>
    <xf numFmtId="4" fontId="32" fillId="34" borderId="505">
      <alignment horizontal="right" vertical="center"/>
    </xf>
    <xf numFmtId="0" fontId="45" fillId="56" borderId="500" applyNumberFormat="0" applyAlignment="0" applyProtection="0"/>
    <xf numFmtId="0" fontId="32" fillId="34" borderId="504">
      <alignment horizontal="right" vertical="center"/>
    </xf>
    <xf numFmtId="0" fontId="46" fillId="56" borderId="500" applyNumberFormat="0" applyAlignment="0" applyProtection="0"/>
    <xf numFmtId="0" fontId="50" fillId="0" borderId="501" applyNumberFormat="0" applyFill="0" applyAlignment="0" applyProtection="0"/>
    <xf numFmtId="0" fontId="40" fillId="59" borderId="502" applyNumberFormat="0" applyFont="0" applyAlignment="0" applyProtection="0"/>
    <xf numFmtId="4" fontId="32" fillId="34" borderId="504">
      <alignment horizontal="right" vertical="center"/>
    </xf>
    <xf numFmtId="0" fontId="34" fillId="34" borderId="506">
      <alignment horizontal="left" vertical="center" wrapText="1" indent="2"/>
    </xf>
    <xf numFmtId="0" fontId="34" fillId="33" borderId="503"/>
    <xf numFmtId="173" fontId="34" fillId="60" borderId="503" applyNumberFormat="0" applyFont="0" applyBorder="0" applyAlignment="0" applyProtection="0">
      <alignment horizontal="right" vertical="center"/>
    </xf>
    <xf numFmtId="0" fontId="34" fillId="0" borderId="503" applyNumberFormat="0" applyFill="0" applyAlignment="0" applyProtection="0"/>
    <xf numFmtId="4" fontId="34" fillId="0" borderId="503" applyFill="0" applyBorder="0" applyProtection="0">
      <alignment horizontal="right" vertical="center"/>
    </xf>
    <xf numFmtId="4" fontId="32" fillId="32" borderId="503">
      <alignment horizontal="right" vertical="center"/>
    </xf>
    <xf numFmtId="0" fontId="50" fillId="0" borderId="501" applyNumberFormat="0" applyFill="0" applyAlignment="0" applyProtection="0"/>
    <xf numFmtId="49" fontId="33" fillId="0" borderId="503" applyNumberFormat="0" applyFill="0" applyBorder="0" applyProtection="0">
      <alignment horizontal="left" vertical="center"/>
    </xf>
    <xf numFmtId="49" fontId="34" fillId="0" borderId="504" applyNumberFormat="0" applyFont="0" applyFill="0" applyBorder="0" applyProtection="0">
      <alignment horizontal="left" vertical="center" indent="5"/>
    </xf>
    <xf numFmtId="0" fontId="34" fillId="32" borderId="504">
      <alignment horizontal="left" vertical="center"/>
    </xf>
    <xf numFmtId="0" fontId="46" fillId="56" borderId="500" applyNumberFormat="0" applyAlignment="0" applyProtection="0"/>
    <xf numFmtId="4" fontId="32" fillId="34" borderId="505">
      <alignment horizontal="right" vertical="center"/>
    </xf>
    <xf numFmtId="0" fontId="58" fillId="43" borderId="500" applyNumberFormat="0" applyAlignment="0" applyProtection="0"/>
    <xf numFmtId="0" fontId="58" fillId="43" borderId="500" applyNumberFormat="0" applyAlignment="0" applyProtection="0"/>
    <xf numFmtId="0" fontId="40" fillId="59" borderId="502" applyNumberFormat="0" applyFont="0" applyAlignment="0" applyProtection="0"/>
    <xf numFmtId="0" fontId="62" fillId="56" borderId="499" applyNumberFormat="0" applyAlignment="0" applyProtection="0"/>
    <xf numFmtId="0" fontId="65" fillId="0" borderId="501" applyNumberFormat="0" applyFill="0" applyAlignment="0" applyProtection="0"/>
    <xf numFmtId="0" fontId="32" fillId="34" borderId="503">
      <alignment horizontal="right" vertical="center"/>
    </xf>
    <xf numFmtId="0" fontId="5" fillId="59" borderId="502" applyNumberFormat="0" applyFont="0" applyAlignment="0" applyProtection="0"/>
    <xf numFmtId="4" fontId="34" fillId="0" borderId="503">
      <alignment horizontal="right" vertical="center"/>
    </xf>
    <xf numFmtId="0" fontId="65" fillId="0" borderId="501" applyNumberFormat="0" applyFill="0" applyAlignment="0" applyProtection="0"/>
    <xf numFmtId="0" fontId="32" fillId="34" borderId="503">
      <alignment horizontal="right" vertical="center"/>
    </xf>
    <xf numFmtId="0" fontId="32" fillId="34" borderId="503">
      <alignment horizontal="right" vertical="center"/>
    </xf>
    <xf numFmtId="4" fontId="36" fillId="32" borderId="503">
      <alignment horizontal="right" vertical="center"/>
    </xf>
    <xf numFmtId="0" fontId="32" fillId="32" borderId="503">
      <alignment horizontal="right" vertical="center"/>
    </xf>
    <xf numFmtId="4" fontId="32" fillId="32" borderId="503">
      <alignment horizontal="right" vertical="center"/>
    </xf>
    <xf numFmtId="0" fontId="36" fillId="32" borderId="503">
      <alignment horizontal="right" vertical="center"/>
    </xf>
    <xf numFmtId="4" fontId="36" fillId="32" borderId="503">
      <alignment horizontal="right" vertical="center"/>
    </xf>
    <xf numFmtId="0" fontId="32" fillId="34" borderId="503">
      <alignment horizontal="right" vertical="center"/>
    </xf>
    <xf numFmtId="4" fontId="32" fillId="34" borderId="503">
      <alignment horizontal="right" vertical="center"/>
    </xf>
    <xf numFmtId="0" fontId="32" fillId="34" borderId="503">
      <alignment horizontal="right" vertical="center"/>
    </xf>
    <xf numFmtId="4" fontId="32" fillId="34" borderId="503">
      <alignment horizontal="right" vertical="center"/>
    </xf>
    <xf numFmtId="0" fontId="32" fillId="34" borderId="504">
      <alignment horizontal="right" vertical="center"/>
    </xf>
    <xf numFmtId="4" fontId="32" fillId="34" borderId="504">
      <alignment horizontal="right" vertical="center"/>
    </xf>
    <xf numFmtId="0" fontId="32" fillId="34" borderId="505">
      <alignment horizontal="right" vertical="center"/>
    </xf>
    <xf numFmtId="4" fontId="32" fillId="34" borderId="505">
      <alignment horizontal="right" vertical="center"/>
    </xf>
    <xf numFmtId="0" fontId="46" fillId="56" borderId="500" applyNumberFormat="0" applyAlignment="0" applyProtection="0"/>
    <xf numFmtId="0" fontId="34" fillId="34" borderId="506">
      <alignment horizontal="left" vertical="center" wrapText="1" indent="2"/>
    </xf>
    <xf numFmtId="0" fontId="34" fillId="0" borderId="506">
      <alignment horizontal="left" vertical="center" wrapText="1" indent="2"/>
    </xf>
    <xf numFmtId="0" fontId="34" fillId="32" borderId="504">
      <alignment horizontal="left" vertical="center"/>
    </xf>
    <xf numFmtId="0" fontId="58" fillId="43" borderId="500" applyNumberFormat="0" applyAlignment="0" applyProtection="0"/>
    <xf numFmtId="0" fontId="34" fillId="0" borderId="503">
      <alignment horizontal="right" vertical="center"/>
    </xf>
    <xf numFmtId="4" fontId="34" fillId="0" borderId="503">
      <alignment horizontal="right" vertical="center"/>
    </xf>
    <xf numFmtId="0" fontId="34" fillId="0" borderId="503" applyNumberFormat="0" applyFill="0" applyAlignment="0" applyProtection="0"/>
    <xf numFmtId="0" fontId="62" fillId="56" borderId="499" applyNumberFormat="0" applyAlignment="0" applyProtection="0"/>
    <xf numFmtId="173" fontId="34" fillId="60" borderId="503" applyNumberFormat="0" applyFont="0" applyBorder="0" applyAlignment="0" applyProtection="0">
      <alignment horizontal="right" vertical="center"/>
    </xf>
    <xf numFmtId="0" fontId="34" fillId="33" borderId="503"/>
    <xf numFmtId="4" fontId="34" fillId="33" borderId="503"/>
    <xf numFmtId="0" fontId="65" fillId="0" borderId="501" applyNumberFormat="0" applyFill="0" applyAlignment="0" applyProtection="0"/>
    <xf numFmtId="0" fontId="5" fillId="59" borderId="502" applyNumberFormat="0" applyFont="0" applyAlignment="0" applyProtection="0"/>
    <xf numFmtId="0" fontId="40" fillId="59" borderId="502" applyNumberFormat="0" applyFont="0" applyAlignment="0" applyProtection="0"/>
    <xf numFmtId="0" fontId="34" fillId="0" borderId="503" applyNumberFormat="0" applyFill="0" applyAlignment="0" applyProtection="0"/>
    <xf numFmtId="0" fontId="50" fillId="0" borderId="501" applyNumberFormat="0" applyFill="0" applyAlignment="0" applyProtection="0"/>
    <xf numFmtId="0" fontId="65" fillId="0" borderId="501" applyNumberFormat="0" applyFill="0" applyAlignment="0" applyProtection="0"/>
    <xf numFmtId="0" fontId="49" fillId="43" borderId="500" applyNumberFormat="0" applyAlignment="0" applyProtection="0"/>
    <xf numFmtId="0" fontId="46" fillId="56" borderId="500" applyNumberFormat="0" applyAlignment="0" applyProtection="0"/>
    <xf numFmtId="4" fontId="36" fillId="32" borderId="503">
      <alignment horizontal="right" vertical="center"/>
    </xf>
    <xf numFmtId="0" fontId="32" fillId="32" borderId="503">
      <alignment horizontal="right" vertical="center"/>
    </xf>
    <xf numFmtId="173" fontId="34" fillId="60" borderId="503" applyNumberFormat="0" applyFont="0" applyBorder="0" applyAlignment="0" applyProtection="0">
      <alignment horizontal="right" vertical="center"/>
    </xf>
    <xf numFmtId="0" fontId="50" fillId="0" borderId="501" applyNumberFormat="0" applyFill="0" applyAlignment="0" applyProtection="0"/>
    <xf numFmtId="49" fontId="34" fillId="0" borderId="503" applyNumberFormat="0" applyFont="0" applyFill="0" applyBorder="0" applyProtection="0">
      <alignment horizontal="left" vertical="center" indent="2"/>
    </xf>
    <xf numFmtId="49" fontId="34" fillId="0" borderId="504" applyNumberFormat="0" applyFont="0" applyFill="0" applyBorder="0" applyProtection="0">
      <alignment horizontal="left" vertical="center" indent="5"/>
    </xf>
    <xf numFmtId="49" fontId="34" fillId="0" borderId="503" applyNumberFormat="0" applyFont="0" applyFill="0" applyBorder="0" applyProtection="0">
      <alignment horizontal="left" vertical="center" indent="2"/>
    </xf>
    <xf numFmtId="4" fontId="34" fillId="0" borderId="503" applyFill="0" applyBorder="0" applyProtection="0">
      <alignment horizontal="right" vertical="center"/>
    </xf>
    <xf numFmtId="49" fontId="33" fillId="0" borderId="503" applyNumberFormat="0" applyFill="0" applyBorder="0" applyProtection="0">
      <alignment horizontal="left" vertical="center"/>
    </xf>
    <xf numFmtId="0" fontId="34" fillId="0" borderId="506">
      <alignment horizontal="left" vertical="center" wrapText="1" indent="2"/>
    </xf>
    <xf numFmtId="0" fontId="62" fillId="56" borderId="499" applyNumberFormat="0" applyAlignment="0" applyProtection="0"/>
    <xf numFmtId="0" fontId="32" fillId="34" borderId="505">
      <alignment horizontal="right" vertical="center"/>
    </xf>
    <xf numFmtId="0" fontId="49" fillId="43" borderId="500" applyNumberFormat="0" applyAlignment="0" applyProtection="0"/>
    <xf numFmtId="0" fontId="32" fillId="34" borderId="505">
      <alignment horizontal="right" vertical="center"/>
    </xf>
    <xf numFmtId="4" fontId="32" fillId="34" borderId="503">
      <alignment horizontal="right" vertical="center"/>
    </xf>
    <xf numFmtId="0" fontId="32" fillId="34" borderId="503">
      <alignment horizontal="right" vertical="center"/>
    </xf>
    <xf numFmtId="0" fontId="43" fillId="56" borderId="499" applyNumberFormat="0" applyAlignment="0" applyProtection="0"/>
    <xf numFmtId="0" fontId="45" fillId="56" borderId="500" applyNumberFormat="0" applyAlignment="0" applyProtection="0"/>
    <xf numFmtId="0" fontId="50" fillId="0" borderId="501" applyNumberFormat="0" applyFill="0" applyAlignment="0" applyProtection="0"/>
    <xf numFmtId="0" fontId="34" fillId="33" borderId="503"/>
    <xf numFmtId="4" fontId="34" fillId="33" borderId="503"/>
    <xf numFmtId="4" fontId="32" fillId="34" borderId="503">
      <alignment horizontal="right" vertical="center"/>
    </xf>
    <xf numFmtId="0" fontId="36" fillId="32" borderId="503">
      <alignment horizontal="right" vertical="center"/>
    </xf>
    <xf numFmtId="0" fontId="49" fillId="43" borderId="500" applyNumberFormat="0" applyAlignment="0" applyProtection="0"/>
    <xf numFmtId="0" fontId="46" fillId="56" borderId="500" applyNumberFormat="0" applyAlignment="0" applyProtection="0"/>
    <xf numFmtId="4" fontId="34" fillId="0" borderId="503">
      <alignment horizontal="right" vertical="center"/>
    </xf>
    <xf numFmtId="0" fontId="34" fillId="34" borderId="506">
      <alignment horizontal="left" vertical="center" wrapText="1" indent="2"/>
    </xf>
    <xf numFmtId="0" fontId="34" fillId="0" borderId="506">
      <alignment horizontal="left" vertical="center" wrapText="1" indent="2"/>
    </xf>
    <xf numFmtId="0" fontId="62" fillId="56" borderId="499" applyNumberFormat="0" applyAlignment="0" applyProtection="0"/>
    <xf numFmtId="0" fontId="58" fillId="43" borderId="500" applyNumberFormat="0" applyAlignment="0" applyProtection="0"/>
    <xf numFmtId="0" fontId="45" fillId="56" borderId="500" applyNumberFormat="0" applyAlignment="0" applyProtection="0"/>
    <xf numFmtId="0" fontId="43" fillId="56" borderId="499" applyNumberFormat="0" applyAlignment="0" applyProtection="0"/>
    <xf numFmtId="0" fontId="32" fillId="34" borderId="505">
      <alignment horizontal="right" vertical="center"/>
    </xf>
    <xf numFmtId="0" fontId="36" fillId="32" borderId="503">
      <alignment horizontal="right" vertical="center"/>
    </xf>
    <xf numFmtId="4" fontId="32" fillId="32" borderId="503">
      <alignment horizontal="right" vertical="center"/>
    </xf>
    <xf numFmtId="4" fontId="32" fillId="34" borderId="503">
      <alignment horizontal="right" vertical="center"/>
    </xf>
    <xf numFmtId="49" fontId="34" fillId="0" borderId="504" applyNumberFormat="0" applyFont="0" applyFill="0" applyBorder="0" applyProtection="0">
      <alignment horizontal="left" vertical="center" indent="5"/>
    </xf>
    <xf numFmtId="4" fontId="34" fillId="0" borderId="503" applyFill="0" applyBorder="0" applyProtection="0">
      <alignment horizontal="right" vertical="center"/>
    </xf>
    <xf numFmtId="4" fontId="32" fillId="32" borderId="503">
      <alignment horizontal="right" vertical="center"/>
    </xf>
    <xf numFmtId="0" fontId="34" fillId="32" borderId="517">
      <alignment horizontal="left" vertical="center"/>
    </xf>
    <xf numFmtId="0" fontId="58" fillId="43" borderId="500" applyNumberFormat="0" applyAlignment="0" applyProtection="0"/>
    <xf numFmtId="0" fontId="49" fillId="43" borderId="500" applyNumberFormat="0" applyAlignment="0" applyProtection="0"/>
    <xf numFmtId="0" fontId="45" fillId="56" borderId="500" applyNumberFormat="0" applyAlignment="0" applyProtection="0"/>
    <xf numFmtId="0" fontId="34" fillId="34" borderId="506">
      <alignment horizontal="left" vertical="center" wrapText="1" indent="2"/>
    </xf>
    <xf numFmtId="0" fontId="34" fillId="0" borderId="506">
      <alignment horizontal="left" vertical="center" wrapText="1" indent="2"/>
    </xf>
    <xf numFmtId="0" fontId="34" fillId="34" borderId="506">
      <alignment horizontal="left" vertical="center" wrapText="1" indent="2"/>
    </xf>
    <xf numFmtId="0" fontId="34" fillId="0" borderId="506">
      <alignment horizontal="left" vertical="center" wrapText="1" indent="2"/>
    </xf>
    <xf numFmtId="0" fontId="43" fillId="56" borderId="499" applyNumberFormat="0" applyAlignment="0" applyProtection="0"/>
    <xf numFmtId="0" fontId="45" fillId="56" borderId="500" applyNumberFormat="0" applyAlignment="0" applyProtection="0"/>
    <xf numFmtId="0" fontId="46" fillId="56" borderId="500" applyNumberFormat="0" applyAlignment="0" applyProtection="0"/>
    <xf numFmtId="0" fontId="49" fillId="43" borderId="500" applyNumberFormat="0" applyAlignment="0" applyProtection="0"/>
    <xf numFmtId="0" fontId="50" fillId="0" borderId="501" applyNumberFormat="0" applyFill="0" applyAlignment="0" applyProtection="0"/>
    <xf numFmtId="0" fontId="58" fillId="43" borderId="500" applyNumberFormat="0" applyAlignment="0" applyProtection="0"/>
    <xf numFmtId="0" fontId="40" fillId="59" borderId="502" applyNumberFormat="0" applyFont="0" applyAlignment="0" applyProtection="0"/>
    <xf numFmtId="0" fontId="5" fillId="59" borderId="502" applyNumberFormat="0" applyFont="0" applyAlignment="0" applyProtection="0"/>
    <xf numFmtId="0" fontId="62" fillId="56" borderId="499" applyNumberFormat="0" applyAlignment="0" applyProtection="0"/>
    <xf numFmtId="0" fontId="65" fillId="0" borderId="501" applyNumberFormat="0" applyFill="0" applyAlignment="0" applyProtection="0"/>
    <xf numFmtId="0" fontId="46" fillId="56" borderId="500" applyNumberFormat="0" applyAlignment="0" applyProtection="0"/>
    <xf numFmtId="0" fontId="58" fillId="43" borderId="500" applyNumberFormat="0" applyAlignment="0" applyProtection="0"/>
    <xf numFmtId="0" fontId="40" fillId="59" borderId="502" applyNumberFormat="0" applyFont="0" applyAlignment="0" applyProtection="0"/>
    <xf numFmtId="0" fontId="62" fillId="56" borderId="499" applyNumberFormat="0" applyAlignment="0" applyProtection="0"/>
    <xf numFmtId="0" fontId="65" fillId="0" borderId="501" applyNumberFormat="0" applyFill="0" applyAlignment="0" applyProtection="0"/>
    <xf numFmtId="0" fontId="34" fillId="34" borderId="513">
      <alignment horizontal="left" vertical="center" wrapText="1" indent="2"/>
    </xf>
    <xf numFmtId="0" fontId="34" fillId="32" borderId="511">
      <alignment horizontal="left" vertical="center"/>
    </xf>
    <xf numFmtId="0" fontId="32" fillId="34" borderId="456">
      <alignment horizontal="right" vertical="center"/>
    </xf>
    <xf numFmtId="4" fontId="32" fillId="34" borderId="456">
      <alignment horizontal="right" vertical="center"/>
    </xf>
    <xf numFmtId="0" fontId="46" fillId="56" borderId="500" applyNumberFormat="0" applyAlignment="0" applyProtection="0"/>
    <xf numFmtId="4" fontId="34" fillId="33" borderId="516"/>
    <xf numFmtId="0" fontId="34" fillId="32" borderId="517">
      <alignment horizontal="left" vertical="center"/>
    </xf>
    <xf numFmtId="49" fontId="34" fillId="0" borderId="544" applyNumberFormat="0" applyFont="0" applyFill="0" applyBorder="0" applyProtection="0">
      <alignment horizontal="left" vertical="center" indent="5"/>
    </xf>
    <xf numFmtId="0" fontId="58" fillId="43" borderId="500" applyNumberFormat="0" applyAlignment="0" applyProtection="0"/>
    <xf numFmtId="0" fontId="62" fillId="56" borderId="499" applyNumberFormat="0" applyAlignment="0" applyProtection="0"/>
    <xf numFmtId="0" fontId="65" fillId="0" borderId="501" applyNumberFormat="0" applyFill="0" applyAlignment="0" applyProtection="0"/>
    <xf numFmtId="0" fontId="34" fillId="33" borderId="558"/>
    <xf numFmtId="0" fontId="43" fillId="56" borderId="499" applyNumberFormat="0" applyAlignment="0" applyProtection="0"/>
    <xf numFmtId="0" fontId="45" fillId="56" borderId="500" applyNumberFormat="0" applyAlignment="0" applyProtection="0"/>
    <xf numFmtId="0" fontId="50" fillId="0" borderId="501" applyNumberFormat="0" applyFill="0" applyAlignment="0" applyProtection="0"/>
    <xf numFmtId="49" fontId="34" fillId="0" borderId="503" applyNumberFormat="0" applyFont="0" applyFill="0" applyBorder="0" applyProtection="0">
      <alignment horizontal="left" vertical="center" indent="2"/>
    </xf>
    <xf numFmtId="0" fontId="32" fillId="32" borderId="503">
      <alignment horizontal="right" vertical="center"/>
    </xf>
    <xf numFmtId="4" fontId="32" fillId="32" borderId="503">
      <alignment horizontal="right" vertical="center"/>
    </xf>
    <xf numFmtId="0" fontId="36" fillId="32" borderId="503">
      <alignment horizontal="right" vertical="center"/>
    </xf>
    <xf numFmtId="4" fontId="36" fillId="32" borderId="503">
      <alignment horizontal="right" vertical="center"/>
    </xf>
    <xf numFmtId="0" fontId="32" fillId="34" borderId="503">
      <alignment horizontal="right" vertical="center"/>
    </xf>
    <xf numFmtId="4" fontId="32" fillId="34" borderId="503">
      <alignment horizontal="right" vertical="center"/>
    </xf>
    <xf numFmtId="0" fontId="32" fillId="34" borderId="503">
      <alignment horizontal="right" vertical="center"/>
    </xf>
    <xf numFmtId="4" fontId="32" fillId="34" borderId="503">
      <alignment horizontal="right" vertical="center"/>
    </xf>
    <xf numFmtId="0" fontId="49" fillId="43" borderId="500" applyNumberFormat="0" applyAlignment="0" applyProtection="0"/>
    <xf numFmtId="0" fontId="34" fillId="0" borderId="503">
      <alignment horizontal="right" vertical="center"/>
    </xf>
    <xf numFmtId="4" fontId="34" fillId="0" borderId="503">
      <alignment horizontal="right" vertical="center"/>
    </xf>
    <xf numFmtId="4" fontId="34" fillId="0" borderId="503" applyFill="0" applyBorder="0" applyProtection="0">
      <alignment horizontal="right" vertical="center"/>
    </xf>
    <xf numFmtId="49" fontId="33" fillId="0" borderId="503" applyNumberFormat="0" applyFill="0" applyBorder="0" applyProtection="0">
      <alignment horizontal="left" vertical="center"/>
    </xf>
    <xf numFmtId="0" fontId="34" fillId="0" borderId="503" applyNumberFormat="0" applyFill="0" applyAlignment="0" applyProtection="0"/>
    <xf numFmtId="173" fontId="34" fillId="60" borderId="503" applyNumberFormat="0" applyFont="0" applyBorder="0" applyAlignment="0" applyProtection="0">
      <alignment horizontal="right" vertical="center"/>
    </xf>
    <xf numFmtId="0" fontId="34" fillId="33" borderId="503"/>
    <xf numFmtId="4" fontId="34" fillId="33" borderId="503"/>
    <xf numFmtId="4" fontId="32" fillId="34" borderId="503">
      <alignment horizontal="right" vertical="center"/>
    </xf>
    <xf numFmtId="0" fontId="34" fillId="33" borderId="503"/>
    <xf numFmtId="0" fontId="45" fillId="56" borderId="500" applyNumberFormat="0" applyAlignment="0" applyProtection="0"/>
    <xf numFmtId="0" fontId="32" fillId="32" borderId="503">
      <alignment horizontal="right" vertical="center"/>
    </xf>
    <xf numFmtId="0" fontId="34" fillId="0" borderId="503">
      <alignment horizontal="right" vertical="center"/>
    </xf>
    <xf numFmtId="0" fontId="65" fillId="0" borderId="501" applyNumberFormat="0" applyFill="0" applyAlignment="0" applyProtection="0"/>
    <xf numFmtId="0" fontId="34" fillId="32" borderId="504">
      <alignment horizontal="left" vertical="center"/>
    </xf>
    <xf numFmtId="0" fontId="58" fillId="43" borderId="500" applyNumberFormat="0" applyAlignment="0" applyProtection="0"/>
    <xf numFmtId="173" fontId="34" fillId="60" borderId="503" applyNumberFormat="0" applyFont="0" applyBorder="0" applyAlignment="0" applyProtection="0">
      <alignment horizontal="right" vertical="center"/>
    </xf>
    <xf numFmtId="0" fontId="40" fillId="59" borderId="502" applyNumberFormat="0" applyFont="0" applyAlignment="0" applyProtection="0"/>
    <xf numFmtId="0" fontId="34" fillId="0" borderId="506">
      <alignment horizontal="left" vertical="center" wrapText="1" indent="2"/>
    </xf>
    <xf numFmtId="4" fontId="34" fillId="33" borderId="503"/>
    <xf numFmtId="49" fontId="33" fillId="0" borderId="503" applyNumberFormat="0" applyFill="0" applyBorder="0" applyProtection="0">
      <alignment horizontal="left" vertical="center"/>
    </xf>
    <xf numFmtId="0" fontId="34" fillId="0" borderId="503">
      <alignment horizontal="right" vertical="center"/>
    </xf>
    <xf numFmtId="4" fontId="32" fillId="34" borderId="505">
      <alignment horizontal="right" vertical="center"/>
    </xf>
    <xf numFmtId="4" fontId="32" fillId="34" borderId="503">
      <alignment horizontal="right" vertical="center"/>
    </xf>
    <xf numFmtId="4" fontId="32" fillId="34" borderId="503">
      <alignment horizontal="right" vertical="center"/>
    </xf>
    <xf numFmtId="0" fontId="36" fillId="32" borderId="503">
      <alignment horizontal="right" vertical="center"/>
    </xf>
    <xf numFmtId="0" fontId="32" fillId="32" borderId="503">
      <alignment horizontal="right" vertical="center"/>
    </xf>
    <xf numFmtId="49" fontId="34" fillId="0" borderId="503" applyNumberFormat="0" applyFont="0" applyFill="0" applyBorder="0" applyProtection="0">
      <alignment horizontal="left" vertical="center" indent="2"/>
    </xf>
    <xf numFmtId="0" fontId="58" fillId="43" borderId="500" applyNumberFormat="0" applyAlignment="0" applyProtection="0"/>
    <xf numFmtId="0" fontId="43" fillId="56" borderId="499" applyNumberFormat="0" applyAlignment="0" applyProtection="0"/>
    <xf numFmtId="49" fontId="34" fillId="0" borderId="503" applyNumberFormat="0" applyFont="0" applyFill="0" applyBorder="0" applyProtection="0">
      <alignment horizontal="left" vertical="center" indent="2"/>
    </xf>
    <xf numFmtId="0" fontId="49" fillId="43" borderId="500" applyNumberFormat="0" applyAlignment="0" applyProtection="0"/>
    <xf numFmtId="4" fontId="34" fillId="0" borderId="503" applyFill="0" applyBorder="0" applyProtection="0">
      <alignment horizontal="right" vertical="center"/>
    </xf>
    <xf numFmtId="0" fontId="46" fillId="56" borderId="500" applyNumberFormat="0" applyAlignment="0" applyProtection="0"/>
    <xf numFmtId="0" fontId="65" fillId="0" borderId="501" applyNumberFormat="0" applyFill="0" applyAlignment="0" applyProtection="0"/>
    <xf numFmtId="0" fontId="62" fillId="56" borderId="499" applyNumberFormat="0" applyAlignment="0" applyProtection="0"/>
    <xf numFmtId="0" fontId="34" fillId="0" borderId="503" applyNumberFormat="0" applyFill="0" applyAlignment="0" applyProtection="0"/>
    <xf numFmtId="4" fontId="34" fillId="0" borderId="503">
      <alignment horizontal="right" vertical="center"/>
    </xf>
    <xf numFmtId="0" fontId="34" fillId="0" borderId="503">
      <alignment horizontal="right" vertical="center"/>
    </xf>
    <xf numFmtId="0" fontId="58" fillId="43" borderId="500" applyNumberFormat="0" applyAlignment="0" applyProtection="0"/>
    <xf numFmtId="0" fontId="43" fillId="56" borderId="499" applyNumberFormat="0" applyAlignment="0" applyProtection="0"/>
    <xf numFmtId="0" fontId="45" fillId="56" borderId="500" applyNumberFormat="0" applyAlignment="0" applyProtection="0"/>
    <xf numFmtId="0" fontId="34" fillId="34" borderId="506">
      <alignment horizontal="left" vertical="center" wrapText="1" indent="2"/>
    </xf>
    <xf numFmtId="0" fontId="46" fillId="56" borderId="500" applyNumberFormat="0" applyAlignment="0" applyProtection="0"/>
    <xf numFmtId="0" fontId="46" fillId="56" borderId="500" applyNumberFormat="0" applyAlignment="0" applyProtection="0"/>
    <xf numFmtId="4" fontId="32" fillId="34" borderId="504">
      <alignment horizontal="right" vertical="center"/>
    </xf>
    <xf numFmtId="0" fontId="32" fillId="34" borderId="504">
      <alignment horizontal="right" vertical="center"/>
    </xf>
    <xf numFmtId="0" fontId="32" fillId="34" borderId="503">
      <alignment horizontal="right" vertical="center"/>
    </xf>
    <xf numFmtId="4" fontId="36" fillId="32" borderId="503">
      <alignment horizontal="right" vertical="center"/>
    </xf>
    <xf numFmtId="0" fontId="49" fillId="43" borderId="500" applyNumberFormat="0" applyAlignment="0" applyProtection="0"/>
    <xf numFmtId="0" fontId="50" fillId="0" borderId="501" applyNumberFormat="0" applyFill="0" applyAlignment="0" applyProtection="0"/>
    <xf numFmtId="0" fontId="65" fillId="0" borderId="501" applyNumberFormat="0" applyFill="0" applyAlignment="0" applyProtection="0"/>
    <xf numFmtId="0" fontId="40" fillId="59" borderId="502" applyNumberFormat="0" applyFont="0" applyAlignment="0" applyProtection="0"/>
    <xf numFmtId="0" fontId="58" fillId="43" borderId="500" applyNumberFormat="0" applyAlignment="0" applyProtection="0"/>
    <xf numFmtId="49" fontId="33" fillId="0" borderId="503" applyNumberFormat="0" applyFill="0" applyBorder="0" applyProtection="0">
      <alignment horizontal="left" vertical="center"/>
    </xf>
    <xf numFmtId="0" fontId="34" fillId="34" borderId="506">
      <alignment horizontal="left" vertical="center" wrapText="1" indent="2"/>
    </xf>
    <xf numFmtId="0" fontId="46" fillId="56" borderId="500" applyNumberFormat="0" applyAlignment="0" applyProtection="0"/>
    <xf numFmtId="0" fontId="34" fillId="0" borderId="506">
      <alignment horizontal="left" vertical="center" wrapText="1" indent="2"/>
    </xf>
    <xf numFmtId="0" fontId="40" fillId="59" borderId="502" applyNumberFormat="0" applyFont="0" applyAlignment="0" applyProtection="0"/>
    <xf numFmtId="0" fontId="5" fillId="59" borderId="502" applyNumberFormat="0" applyFont="0" applyAlignment="0" applyProtection="0"/>
    <xf numFmtId="0" fontId="62" fillId="56" borderId="499" applyNumberFormat="0" applyAlignment="0" applyProtection="0"/>
    <xf numFmtId="0" fontId="65" fillId="0" borderId="501" applyNumberFormat="0" applyFill="0" applyAlignment="0" applyProtection="0"/>
    <xf numFmtId="4" fontId="34" fillId="33" borderId="503"/>
    <xf numFmtId="0" fontId="32" fillId="34" borderId="503">
      <alignment horizontal="right" vertical="center"/>
    </xf>
    <xf numFmtId="0" fontId="65" fillId="0" borderId="501" applyNumberFormat="0" applyFill="0" applyAlignment="0" applyProtection="0"/>
    <xf numFmtId="4" fontId="32" fillId="34" borderId="505">
      <alignment horizontal="right" vertical="center"/>
    </xf>
    <xf numFmtId="0" fontId="45" fillId="56" borderId="500" applyNumberFormat="0" applyAlignment="0" applyProtection="0"/>
    <xf numFmtId="0" fontId="32" fillId="34" borderId="504">
      <alignment horizontal="right" vertical="center"/>
    </xf>
    <xf numFmtId="0" fontId="46" fillId="56" borderId="500" applyNumberFormat="0" applyAlignment="0" applyProtection="0"/>
    <xf numFmtId="0" fontId="50" fillId="0" borderId="501" applyNumberFormat="0" applyFill="0" applyAlignment="0" applyProtection="0"/>
    <xf numFmtId="0" fontId="40" fillId="59" borderId="502" applyNumberFormat="0" applyFont="0" applyAlignment="0" applyProtection="0"/>
    <xf numFmtId="4" fontId="32" fillId="34" borderId="504">
      <alignment horizontal="right" vertical="center"/>
    </xf>
    <xf numFmtId="0" fontId="34" fillId="34" borderId="506">
      <alignment horizontal="left" vertical="center" wrapText="1" indent="2"/>
    </xf>
    <xf numFmtId="0" fontId="34" fillId="33" borderId="503"/>
    <xf numFmtId="173" fontId="34" fillId="60" borderId="503" applyNumberFormat="0" applyFont="0" applyBorder="0" applyAlignment="0" applyProtection="0">
      <alignment horizontal="right" vertical="center"/>
    </xf>
    <xf numFmtId="0" fontId="34" fillId="0" borderId="503" applyNumberFormat="0" applyFill="0" applyAlignment="0" applyProtection="0"/>
    <xf numFmtId="4" fontId="34" fillId="0" borderId="503" applyFill="0" applyBorder="0" applyProtection="0">
      <alignment horizontal="right" vertical="center"/>
    </xf>
    <xf numFmtId="4" fontId="32" fillId="32" borderId="503">
      <alignment horizontal="right" vertical="center"/>
    </xf>
    <xf numFmtId="0" fontId="50" fillId="0" borderId="501" applyNumberFormat="0" applyFill="0" applyAlignment="0" applyProtection="0"/>
    <xf numFmtId="49" fontId="33" fillId="0" borderId="503" applyNumberFormat="0" applyFill="0" applyBorder="0" applyProtection="0">
      <alignment horizontal="left" vertical="center"/>
    </xf>
    <xf numFmtId="49" fontId="34" fillId="0" borderId="504" applyNumberFormat="0" applyFont="0" applyFill="0" applyBorder="0" applyProtection="0">
      <alignment horizontal="left" vertical="center" indent="5"/>
    </xf>
    <xf numFmtId="0" fontId="34" fillId="32" borderId="504">
      <alignment horizontal="left" vertical="center"/>
    </xf>
    <xf numFmtId="0" fontId="46" fillId="56" borderId="500" applyNumberFormat="0" applyAlignment="0" applyProtection="0"/>
    <xf numFmtId="4" fontId="32" fillId="34" borderId="505">
      <alignment horizontal="right" vertical="center"/>
    </xf>
    <xf numFmtId="0" fontId="58" fillId="43" borderId="500" applyNumberFormat="0" applyAlignment="0" applyProtection="0"/>
    <xf numFmtId="0" fontId="58" fillId="43" borderId="500" applyNumberFormat="0" applyAlignment="0" applyProtection="0"/>
    <xf numFmtId="0" fontId="40" fillId="59" borderId="502" applyNumberFormat="0" applyFont="0" applyAlignment="0" applyProtection="0"/>
    <xf numFmtId="0" fontId="62" fillId="56" borderId="499" applyNumberFormat="0" applyAlignment="0" applyProtection="0"/>
    <xf numFmtId="0" fontId="65" fillId="0" borderId="501" applyNumberFormat="0" applyFill="0" applyAlignment="0" applyProtection="0"/>
    <xf numFmtId="0" fontId="32" fillId="34" borderId="503">
      <alignment horizontal="right" vertical="center"/>
    </xf>
    <xf numFmtId="0" fontId="5" fillId="59" borderId="502" applyNumberFormat="0" applyFont="0" applyAlignment="0" applyProtection="0"/>
    <xf numFmtId="4" fontId="34" fillId="0" borderId="503">
      <alignment horizontal="right" vertical="center"/>
    </xf>
    <xf numFmtId="0" fontId="65" fillId="0" borderId="501" applyNumberFormat="0" applyFill="0" applyAlignment="0" applyProtection="0"/>
    <xf numFmtId="0" fontId="32" fillId="34" borderId="503">
      <alignment horizontal="right" vertical="center"/>
    </xf>
    <xf numFmtId="0" fontId="32" fillId="34" borderId="503">
      <alignment horizontal="right" vertical="center"/>
    </xf>
    <xf numFmtId="4" fontId="36" fillId="32" borderId="503">
      <alignment horizontal="right" vertical="center"/>
    </xf>
    <xf numFmtId="0" fontId="32" fillId="32" borderId="503">
      <alignment horizontal="right" vertical="center"/>
    </xf>
    <xf numFmtId="4" fontId="32" fillId="32" borderId="503">
      <alignment horizontal="right" vertical="center"/>
    </xf>
    <xf numFmtId="0" fontId="36" fillId="32" borderId="503">
      <alignment horizontal="right" vertical="center"/>
    </xf>
    <xf numFmtId="4" fontId="36" fillId="32" borderId="503">
      <alignment horizontal="right" vertical="center"/>
    </xf>
    <xf numFmtId="0" fontId="32" fillId="34" borderId="503">
      <alignment horizontal="right" vertical="center"/>
    </xf>
    <xf numFmtId="4" fontId="32" fillId="34" borderId="503">
      <alignment horizontal="right" vertical="center"/>
    </xf>
    <xf numFmtId="0" fontId="32" fillId="34" borderId="503">
      <alignment horizontal="right" vertical="center"/>
    </xf>
    <xf numFmtId="4" fontId="32" fillId="34" borderId="503">
      <alignment horizontal="right" vertical="center"/>
    </xf>
    <xf numFmtId="0" fontId="32" fillId="34" borderId="504">
      <alignment horizontal="right" vertical="center"/>
    </xf>
    <xf numFmtId="4" fontId="32" fillId="34" borderId="504">
      <alignment horizontal="right" vertical="center"/>
    </xf>
    <xf numFmtId="0" fontId="32" fillId="34" borderId="505">
      <alignment horizontal="right" vertical="center"/>
    </xf>
    <xf numFmtId="4" fontId="32" fillId="34" borderId="505">
      <alignment horizontal="right" vertical="center"/>
    </xf>
    <xf numFmtId="0" fontId="46" fillId="56" borderId="500" applyNumberFormat="0" applyAlignment="0" applyProtection="0"/>
    <xf numFmtId="0" fontId="34" fillId="34" borderId="506">
      <alignment horizontal="left" vertical="center" wrapText="1" indent="2"/>
    </xf>
    <xf numFmtId="0" fontId="34" fillId="0" borderId="506">
      <alignment horizontal="left" vertical="center" wrapText="1" indent="2"/>
    </xf>
    <xf numFmtId="0" fontId="34" fillId="32" borderId="504">
      <alignment horizontal="left" vertical="center"/>
    </xf>
    <xf numFmtId="0" fontId="58" fillId="43" borderId="500" applyNumberFormat="0" applyAlignment="0" applyProtection="0"/>
    <xf numFmtId="0" fontId="34" fillId="0" borderId="503">
      <alignment horizontal="right" vertical="center"/>
    </xf>
    <xf numFmtId="4" fontId="34" fillId="0" borderId="503">
      <alignment horizontal="right" vertical="center"/>
    </xf>
    <xf numFmtId="0" fontId="34" fillId="0" borderId="503" applyNumberFormat="0" applyFill="0" applyAlignment="0" applyProtection="0"/>
    <xf numFmtId="0" fontId="62" fillId="56" borderId="499" applyNumberFormat="0" applyAlignment="0" applyProtection="0"/>
    <xf numFmtId="173" fontId="34" fillId="60" borderId="503" applyNumberFormat="0" applyFont="0" applyBorder="0" applyAlignment="0" applyProtection="0">
      <alignment horizontal="right" vertical="center"/>
    </xf>
    <xf numFmtId="0" fontId="34" fillId="33" borderId="503"/>
    <xf numFmtId="4" fontId="34" fillId="33" borderId="503"/>
    <xf numFmtId="0" fontId="65" fillId="0" borderId="501" applyNumberFormat="0" applyFill="0" applyAlignment="0" applyProtection="0"/>
    <xf numFmtId="0" fontId="5" fillId="59" borderId="502" applyNumberFormat="0" applyFont="0" applyAlignment="0" applyProtection="0"/>
    <xf numFmtId="0" fontId="40" fillId="59" borderId="502" applyNumberFormat="0" applyFont="0" applyAlignment="0" applyProtection="0"/>
    <xf numFmtId="0" fontId="34" fillId="0" borderId="503" applyNumberFormat="0" applyFill="0" applyAlignment="0" applyProtection="0"/>
    <xf numFmtId="0" fontId="50" fillId="0" borderId="501" applyNumberFormat="0" applyFill="0" applyAlignment="0" applyProtection="0"/>
    <xf numFmtId="0" fontId="65" fillId="0" borderId="501" applyNumberFormat="0" applyFill="0" applyAlignment="0" applyProtection="0"/>
    <xf numFmtId="0" fontId="49" fillId="43" borderId="500" applyNumberFormat="0" applyAlignment="0" applyProtection="0"/>
    <xf numFmtId="0" fontId="46" fillId="56" borderId="500" applyNumberFormat="0" applyAlignment="0" applyProtection="0"/>
    <xf numFmtId="4" fontId="36" fillId="32" borderId="503">
      <alignment horizontal="right" vertical="center"/>
    </xf>
    <xf numFmtId="0" fontId="32" fillId="32" borderId="503">
      <alignment horizontal="right" vertical="center"/>
    </xf>
    <xf numFmtId="173" fontId="34" fillId="60" borderId="503" applyNumberFormat="0" applyFont="0" applyBorder="0" applyAlignment="0" applyProtection="0">
      <alignment horizontal="right" vertical="center"/>
    </xf>
    <xf numFmtId="0" fontId="50" fillId="0" borderId="501" applyNumberFormat="0" applyFill="0" applyAlignment="0" applyProtection="0"/>
    <xf numFmtId="49" fontId="34" fillId="0" borderId="503" applyNumberFormat="0" applyFont="0" applyFill="0" applyBorder="0" applyProtection="0">
      <alignment horizontal="left" vertical="center" indent="2"/>
    </xf>
    <xf numFmtId="49" fontId="34" fillId="0" borderId="504" applyNumberFormat="0" applyFont="0" applyFill="0" applyBorder="0" applyProtection="0">
      <alignment horizontal="left" vertical="center" indent="5"/>
    </xf>
    <xf numFmtId="49" fontId="34" fillId="0" borderId="503" applyNumberFormat="0" applyFont="0" applyFill="0" applyBorder="0" applyProtection="0">
      <alignment horizontal="left" vertical="center" indent="2"/>
    </xf>
    <xf numFmtId="4" fontId="34" fillId="0" borderId="503" applyFill="0" applyBorder="0" applyProtection="0">
      <alignment horizontal="right" vertical="center"/>
    </xf>
    <xf numFmtId="49" fontId="33" fillId="0" borderId="503" applyNumberFormat="0" applyFill="0" applyBorder="0" applyProtection="0">
      <alignment horizontal="left" vertical="center"/>
    </xf>
    <xf numFmtId="0" fontId="34" fillId="0" borderId="506">
      <alignment horizontal="left" vertical="center" wrapText="1" indent="2"/>
    </xf>
    <xf numFmtId="0" fontId="62" fillId="56" borderId="499" applyNumberFormat="0" applyAlignment="0" applyProtection="0"/>
    <xf numFmtId="0" fontId="32" fillId="34" borderId="505">
      <alignment horizontal="right" vertical="center"/>
    </xf>
    <xf numFmtId="0" fontId="49" fillId="43" borderId="500" applyNumberFormat="0" applyAlignment="0" applyProtection="0"/>
    <xf numFmtId="0" fontId="32" fillId="34" borderId="505">
      <alignment horizontal="right" vertical="center"/>
    </xf>
    <xf numFmtId="4" fontId="32" fillId="34" borderId="503">
      <alignment horizontal="right" vertical="center"/>
    </xf>
    <xf numFmtId="0" fontId="32" fillId="34" borderId="503">
      <alignment horizontal="right" vertical="center"/>
    </xf>
    <xf numFmtId="0" fontId="43" fillId="56" borderId="499" applyNumberFormat="0" applyAlignment="0" applyProtection="0"/>
    <xf numFmtId="0" fontId="45" fillId="56" borderId="500" applyNumberFormat="0" applyAlignment="0" applyProtection="0"/>
    <xf numFmtId="0" fontId="50" fillId="0" borderId="501" applyNumberFormat="0" applyFill="0" applyAlignment="0" applyProtection="0"/>
    <xf numFmtId="0" fontId="34" fillId="33" borderId="503"/>
    <xf numFmtId="4" fontId="34" fillId="33" borderId="503"/>
    <xf numFmtId="4" fontId="32" fillId="34" borderId="503">
      <alignment horizontal="right" vertical="center"/>
    </xf>
    <xf numFmtId="0" fontId="36" fillId="32" borderId="503">
      <alignment horizontal="right" vertical="center"/>
    </xf>
    <xf numFmtId="0" fontId="49" fillId="43" borderId="500" applyNumberFormat="0" applyAlignment="0" applyProtection="0"/>
    <xf numFmtId="0" fontId="46" fillId="56" borderId="500" applyNumberFormat="0" applyAlignment="0" applyProtection="0"/>
    <xf numFmtId="4" fontId="34" fillId="0" borderId="503">
      <alignment horizontal="right" vertical="center"/>
    </xf>
    <xf numFmtId="0" fontId="34" fillId="34" borderId="506">
      <alignment horizontal="left" vertical="center" wrapText="1" indent="2"/>
    </xf>
    <xf numFmtId="0" fontId="34" fillId="0" borderId="506">
      <alignment horizontal="left" vertical="center" wrapText="1" indent="2"/>
    </xf>
    <xf numFmtId="0" fontId="62" fillId="56" borderId="499" applyNumberFormat="0" applyAlignment="0" applyProtection="0"/>
    <xf numFmtId="0" fontId="58" fillId="43" borderId="500" applyNumberFormat="0" applyAlignment="0" applyProtection="0"/>
    <xf numFmtId="0" fontId="45" fillId="56" borderId="500" applyNumberFormat="0" applyAlignment="0" applyProtection="0"/>
    <xf numFmtId="0" fontId="43" fillId="56" borderId="499" applyNumberFormat="0" applyAlignment="0" applyProtection="0"/>
    <xf numFmtId="0" fontId="32" fillId="34" borderId="505">
      <alignment horizontal="right" vertical="center"/>
    </xf>
    <xf numFmtId="0" fontId="36" fillId="32" borderId="503">
      <alignment horizontal="right" vertical="center"/>
    </xf>
    <xf numFmtId="4" fontId="32" fillId="32" borderId="503">
      <alignment horizontal="right" vertical="center"/>
    </xf>
    <xf numFmtId="4" fontId="32" fillId="34" borderId="503">
      <alignment horizontal="right" vertical="center"/>
    </xf>
    <xf numFmtId="49" fontId="34" fillId="0" borderId="504" applyNumberFormat="0" applyFont="0" applyFill="0" applyBorder="0" applyProtection="0">
      <alignment horizontal="left" vertical="center" indent="5"/>
    </xf>
    <xf numFmtId="4" fontId="34" fillId="0" borderId="503" applyFill="0" applyBorder="0" applyProtection="0">
      <alignment horizontal="right" vertical="center"/>
    </xf>
    <xf numFmtId="4" fontId="32" fillId="32" borderId="503">
      <alignment horizontal="right" vertical="center"/>
    </xf>
    <xf numFmtId="0" fontId="58" fillId="43" borderId="500" applyNumberFormat="0" applyAlignment="0" applyProtection="0"/>
    <xf numFmtId="0" fontId="49" fillId="43" borderId="500" applyNumberFormat="0" applyAlignment="0" applyProtection="0"/>
    <xf numFmtId="0" fontId="45" fillId="56" borderId="500" applyNumberFormat="0" applyAlignment="0" applyProtection="0"/>
    <xf numFmtId="0" fontId="34" fillId="34" borderId="506">
      <alignment horizontal="left" vertical="center" wrapText="1" indent="2"/>
    </xf>
    <xf numFmtId="0" fontId="34" fillId="0" borderId="506">
      <alignment horizontal="left" vertical="center" wrapText="1" indent="2"/>
    </xf>
    <xf numFmtId="0" fontId="34" fillId="34" borderId="506">
      <alignment horizontal="left" vertical="center" wrapText="1" indent="2"/>
    </xf>
    <xf numFmtId="0" fontId="32" fillId="34" borderId="517">
      <alignment horizontal="right" vertical="center"/>
    </xf>
    <xf numFmtId="49" fontId="34" fillId="0" borderId="552" applyNumberFormat="0" applyFont="0" applyFill="0" applyBorder="0" applyProtection="0">
      <alignment horizontal="left" vertical="center" indent="5"/>
    </xf>
    <xf numFmtId="4" fontId="32" fillId="34" borderId="518">
      <alignment horizontal="right" vertical="center"/>
    </xf>
    <xf numFmtId="0" fontId="32" fillId="34" borderId="518">
      <alignment horizontal="right" vertical="center"/>
    </xf>
    <xf numFmtId="0" fontId="32" fillId="34" borderId="516">
      <alignment horizontal="right" vertical="center"/>
    </xf>
    <xf numFmtId="0" fontId="49" fillId="43" borderId="507" applyNumberFormat="0" applyAlignment="0" applyProtection="0"/>
    <xf numFmtId="0" fontId="45" fillId="56" borderId="521" applyNumberFormat="0" applyAlignment="0" applyProtection="0"/>
    <xf numFmtId="0" fontId="34" fillId="0" borderId="516">
      <alignment horizontal="right" vertical="center"/>
    </xf>
    <xf numFmtId="4" fontId="32" fillId="34" borderId="551">
      <alignment horizontal="right" vertical="center"/>
    </xf>
    <xf numFmtId="4" fontId="32" fillId="34" borderId="552">
      <alignment horizontal="right" vertical="center"/>
    </xf>
    <xf numFmtId="4" fontId="36" fillId="32" borderId="516">
      <alignment horizontal="right"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" fillId="0" borderId="15" applyNumberFormat="0" applyFill="0" applyAlignment="0" applyProtection="0"/>
    <xf numFmtId="4" fontId="36" fillId="32" borderId="526">
      <alignment horizontal="right" vertical="center"/>
    </xf>
    <xf numFmtId="0" fontId="28" fillId="13" borderId="14" applyNumberFormat="0" applyAlignment="0" applyProtection="0"/>
    <xf numFmtId="0" fontId="58" fillId="43" borderId="540" applyNumberFormat="0" applyAlignment="0" applyProtection="0"/>
    <xf numFmtId="0" fontId="36" fillId="32" borderId="516">
      <alignment horizontal="right" vertical="center"/>
    </xf>
    <xf numFmtId="0" fontId="58" fillId="43" borderId="521" applyNumberFormat="0" applyAlignment="0" applyProtection="0"/>
    <xf numFmtId="0" fontId="36" fillId="32" borderId="516">
      <alignment horizontal="right" vertical="center"/>
    </xf>
    <xf numFmtId="0" fontId="50" fillId="0" borderId="522" applyNumberFormat="0" applyFill="0" applyAlignment="0" applyProtection="0"/>
    <xf numFmtId="0" fontId="34" fillId="34" borderId="513">
      <alignment horizontal="left" vertical="center" wrapText="1" indent="2"/>
    </xf>
    <xf numFmtId="0" fontId="34" fillId="0" borderId="513">
      <alignment horizontal="left" vertical="center" wrapText="1" indent="2"/>
    </xf>
    <xf numFmtId="4" fontId="36" fillId="32" borderId="516">
      <alignment horizontal="right" vertical="center"/>
    </xf>
    <xf numFmtId="49" fontId="34" fillId="0" borderId="516" applyNumberFormat="0" applyFont="0" applyFill="0" applyBorder="0" applyProtection="0">
      <alignment horizontal="left" vertical="center" indent="2"/>
    </xf>
    <xf numFmtId="0" fontId="28" fillId="13" borderId="14" applyNumberFormat="0" applyAlignment="0" applyProtection="0"/>
    <xf numFmtId="0" fontId="34" fillId="0" borderId="551">
      <alignment horizontal="right" vertical="center"/>
    </xf>
    <xf numFmtId="49" fontId="34" fillId="0" borderId="552" applyNumberFormat="0" applyFont="0" applyFill="0" applyBorder="0" applyProtection="0">
      <alignment horizontal="left" vertical="center" indent="5"/>
    </xf>
    <xf numFmtId="0" fontId="26" fillId="18" borderId="0" applyNumberFormat="0" applyBorder="0" applyAlignment="0" applyProtection="0"/>
    <xf numFmtId="0" fontId="12" fillId="16" borderId="0" applyNumberFormat="0" applyBorder="0" applyAlignment="0" applyProtection="0"/>
    <xf numFmtId="0" fontId="26" fillId="21" borderId="0" applyNumberFormat="0" applyBorder="0" applyAlignment="0" applyProtection="0"/>
    <xf numFmtId="0" fontId="40" fillId="59" borderId="542" applyNumberFormat="0" applyFont="0" applyAlignment="0" applyProtection="0"/>
    <xf numFmtId="4" fontId="34" fillId="33" borderId="551"/>
    <xf numFmtId="0" fontId="65" fillId="0" borderId="549" applyNumberFormat="0" applyFill="0" applyAlignment="0" applyProtection="0"/>
    <xf numFmtId="0" fontId="58" fillId="43" borderId="523" applyNumberFormat="0" applyAlignment="0" applyProtection="0"/>
    <xf numFmtId="4" fontId="34" fillId="0" borderId="551">
      <alignment horizontal="right" vertical="center"/>
    </xf>
    <xf numFmtId="0" fontId="26" fillId="24" borderId="0" applyNumberFormat="0" applyBorder="0" applyAlignment="0" applyProtection="0"/>
    <xf numFmtId="4" fontId="32" fillId="34" borderId="553">
      <alignment horizontal="right" vertical="center"/>
    </xf>
    <xf numFmtId="0" fontId="32" fillId="34" borderId="553">
      <alignment horizontal="right" vertical="center"/>
    </xf>
    <xf numFmtId="0" fontId="32" fillId="34" borderId="551">
      <alignment horizontal="right" vertical="center"/>
    </xf>
    <xf numFmtId="0" fontId="32" fillId="34" borderId="517">
      <alignment horizontal="right" vertical="center"/>
    </xf>
    <xf numFmtId="0" fontId="26" fillId="30" borderId="0" applyNumberFormat="0" applyBorder="0" applyAlignment="0" applyProtection="0"/>
    <xf numFmtId="0" fontId="50" fillId="0" borderId="549" applyNumberFormat="0" applyFill="0" applyAlignment="0" applyProtection="0"/>
    <xf numFmtId="0" fontId="32" fillId="32" borderId="551">
      <alignment horizontal="right" vertical="center"/>
    </xf>
    <xf numFmtId="0" fontId="34" fillId="32" borderId="527">
      <alignment horizontal="left" vertical="center"/>
    </xf>
    <xf numFmtId="0" fontId="26" fillId="17" borderId="0" applyNumberFormat="0" applyBorder="0" applyAlignment="0" applyProtection="0"/>
    <xf numFmtId="4" fontId="32" fillId="34" borderId="518">
      <alignment horizontal="right" vertical="center"/>
    </xf>
    <xf numFmtId="0" fontId="45" fillId="56" borderId="521" applyNumberFormat="0" applyAlignment="0" applyProtection="0"/>
    <xf numFmtId="0" fontId="46" fillId="56" borderId="521" applyNumberFormat="0" applyAlignment="0" applyProtection="0"/>
    <xf numFmtId="0" fontId="62" fillId="56" borderId="547" applyNumberFormat="0" applyAlignment="0" applyProtection="0"/>
    <xf numFmtId="0" fontId="34" fillId="33" borderId="516"/>
    <xf numFmtId="4" fontId="32" fillId="32" borderId="516">
      <alignment horizontal="right" vertical="center"/>
    </xf>
    <xf numFmtId="0" fontId="45" fillId="56" borderId="521" applyNumberFormat="0" applyAlignment="0" applyProtection="0"/>
    <xf numFmtId="49" fontId="34" fillId="0" borderId="516" applyNumberFormat="0" applyFont="0" applyFill="0" applyBorder="0" applyProtection="0">
      <alignment horizontal="left" vertical="center" indent="2"/>
    </xf>
    <xf numFmtId="4" fontId="32" fillId="34" borderId="518">
      <alignment horizontal="right" vertical="center"/>
    </xf>
    <xf numFmtId="49" fontId="34" fillId="0" borderId="516" applyNumberFormat="0" applyFont="0" applyFill="0" applyBorder="0" applyProtection="0">
      <alignment horizontal="left" vertical="center" indent="2"/>
    </xf>
    <xf numFmtId="49" fontId="33" fillId="0" borderId="516" applyNumberFormat="0" applyFill="0" applyBorder="0" applyProtection="0">
      <alignment horizontal="left" vertical="center"/>
    </xf>
    <xf numFmtId="4" fontId="36" fillId="32" borderId="516">
      <alignment horizontal="right" vertical="center"/>
    </xf>
    <xf numFmtId="4" fontId="32" fillId="34" borderId="517">
      <alignment horizontal="right" vertical="center"/>
    </xf>
    <xf numFmtId="0" fontId="40" fillId="59" borderId="515" applyNumberFormat="0" applyFont="0" applyAlignment="0" applyProtection="0"/>
    <xf numFmtId="4" fontId="32" fillId="34" borderId="518">
      <alignment horizontal="right" vertical="center"/>
    </xf>
    <xf numFmtId="0" fontId="62" fillId="56" borderId="520" applyNumberFormat="0" applyAlignment="0" applyProtection="0"/>
    <xf numFmtId="0" fontId="58" fillId="43" borderId="521" applyNumberFormat="0" applyAlignment="0" applyProtection="0"/>
    <xf numFmtId="0" fontId="5" fillId="59" borderId="515" applyNumberFormat="0" applyFont="0" applyAlignment="0" applyProtection="0"/>
    <xf numFmtId="0" fontId="32" fillId="34" borderId="516">
      <alignment horizontal="right" vertical="center"/>
    </xf>
    <xf numFmtId="0" fontId="36" fillId="32" borderId="516">
      <alignment horizontal="right" vertical="center"/>
    </xf>
    <xf numFmtId="0" fontId="26" fillId="20" borderId="0" applyNumberFormat="0" applyBorder="0" applyAlignment="0" applyProtection="0"/>
    <xf numFmtId="0" fontId="5" fillId="59" borderId="515" applyNumberFormat="0" applyFont="0" applyAlignment="0" applyProtection="0"/>
    <xf numFmtId="0" fontId="34" fillId="34" borderId="546">
      <alignment horizontal="left" vertical="center" wrapText="1" indent="2"/>
    </xf>
    <xf numFmtId="49" fontId="34" fillId="0" borderId="517" applyNumberFormat="0" applyFont="0" applyFill="0" applyBorder="0" applyProtection="0">
      <alignment horizontal="left" vertical="center" indent="5"/>
    </xf>
    <xf numFmtId="0" fontId="50" fillId="0" borderId="522" applyNumberFormat="0" applyFill="0" applyAlignment="0" applyProtection="0"/>
    <xf numFmtId="0" fontId="34" fillId="0" borderId="519">
      <alignment horizontal="left" vertical="center" wrapText="1" indent="2"/>
    </xf>
    <xf numFmtId="0" fontId="49" fillId="43" borderId="521" applyNumberFormat="0" applyAlignment="0" applyProtection="0"/>
    <xf numFmtId="173" fontId="34" fillId="60" borderId="543" applyNumberFormat="0" applyFont="0" applyBorder="0" applyAlignment="0" applyProtection="0">
      <alignment horizontal="right" vertical="center"/>
    </xf>
    <xf numFmtId="0" fontId="34" fillId="33" borderId="516"/>
    <xf numFmtId="4" fontId="34" fillId="0" borderId="516">
      <alignment horizontal="right" vertical="center"/>
    </xf>
    <xf numFmtId="0" fontId="26" fillId="26" borderId="0" applyNumberFormat="0" applyBorder="0" applyAlignment="0" applyProtection="0"/>
    <xf numFmtId="0" fontId="26" fillId="29" borderId="0" applyNumberFormat="0" applyBorder="0" applyAlignment="0" applyProtection="0"/>
    <xf numFmtId="0" fontId="26" fillId="27" borderId="0" applyNumberFormat="0" applyBorder="0" applyAlignment="0" applyProtection="0"/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12" fillId="22" borderId="0" applyNumberFormat="0" applyBorder="0" applyAlignment="0" applyProtection="0"/>
    <xf numFmtId="0" fontId="12" fillId="16" borderId="0" applyNumberFormat="0" applyBorder="0" applyAlignment="0" applyProtection="0"/>
    <xf numFmtId="0" fontId="65" fillId="0" borderId="522" applyNumberFormat="0" applyFill="0" applyAlignment="0" applyProtection="0"/>
    <xf numFmtId="0" fontId="46" fillId="56" borderId="521" applyNumberFormat="0" applyAlignment="0" applyProtection="0"/>
    <xf numFmtId="0" fontId="32" fillId="34" borderId="518">
      <alignment horizontal="right" vertical="center"/>
    </xf>
    <xf numFmtId="4" fontId="32" fillId="34" borderId="527">
      <alignment horizontal="right" vertical="center"/>
    </xf>
    <xf numFmtId="49" fontId="34" fillId="0" borderId="516" applyNumberFormat="0" applyFont="0" applyFill="0" applyBorder="0" applyProtection="0">
      <alignment horizontal="left" vertical="center" indent="2"/>
    </xf>
    <xf numFmtId="4" fontId="32" fillId="34" borderId="510">
      <alignment horizontal="right" vertical="center"/>
    </xf>
    <xf numFmtId="0" fontId="34" fillId="33" borderId="510"/>
    <xf numFmtId="0" fontId="45" fillId="56" borderId="507" applyNumberFormat="0" applyAlignment="0" applyProtection="0"/>
    <xf numFmtId="0" fontId="32" fillId="32" borderId="510">
      <alignment horizontal="right" vertical="center"/>
    </xf>
    <xf numFmtId="0" fontId="34" fillId="0" borderId="510">
      <alignment horizontal="right" vertical="center"/>
    </xf>
    <xf numFmtId="0" fontId="65" fillId="0" borderId="508" applyNumberFormat="0" applyFill="0" applyAlignment="0" applyProtection="0"/>
    <xf numFmtId="0" fontId="34" fillId="32" borderId="511">
      <alignment horizontal="left" vertical="center"/>
    </xf>
    <xf numFmtId="0" fontId="58" fillId="43" borderId="507" applyNumberFormat="0" applyAlignment="0" applyProtection="0"/>
    <xf numFmtId="173" fontId="34" fillId="60" borderId="510" applyNumberFormat="0" applyFont="0" applyBorder="0" applyAlignment="0" applyProtection="0">
      <alignment horizontal="right" vertical="center"/>
    </xf>
    <xf numFmtId="0" fontId="40" fillId="59" borderId="509" applyNumberFormat="0" applyFont="0" applyAlignment="0" applyProtection="0"/>
    <xf numFmtId="0" fontId="34" fillId="0" borderId="513">
      <alignment horizontal="left" vertical="center" wrapText="1" indent="2"/>
    </xf>
    <xf numFmtId="4" fontId="34" fillId="33" borderId="510"/>
    <xf numFmtId="49" fontId="33" fillId="0" borderId="510" applyNumberFormat="0" applyFill="0" applyBorder="0" applyProtection="0">
      <alignment horizontal="left" vertical="center"/>
    </xf>
    <xf numFmtId="0" fontId="34" fillId="0" borderId="510">
      <alignment horizontal="right" vertical="center"/>
    </xf>
    <xf numFmtId="4" fontId="32" fillId="34" borderId="512">
      <alignment horizontal="right" vertical="center"/>
    </xf>
    <xf numFmtId="4" fontId="32" fillId="34" borderId="510">
      <alignment horizontal="right" vertical="center"/>
    </xf>
    <xf numFmtId="4" fontId="32" fillId="34" borderId="510">
      <alignment horizontal="right" vertical="center"/>
    </xf>
    <xf numFmtId="0" fontId="36" fillId="32" borderId="510">
      <alignment horizontal="right" vertical="center"/>
    </xf>
    <xf numFmtId="0" fontId="32" fillId="32" borderId="510">
      <alignment horizontal="right" vertical="center"/>
    </xf>
    <xf numFmtId="49" fontId="34" fillId="0" borderId="510" applyNumberFormat="0" applyFont="0" applyFill="0" applyBorder="0" applyProtection="0">
      <alignment horizontal="left" vertical="center" indent="2"/>
    </xf>
    <xf numFmtId="0" fontId="58" fillId="43" borderId="507" applyNumberFormat="0" applyAlignment="0" applyProtection="0"/>
    <xf numFmtId="0" fontId="43" fillId="56" borderId="514" applyNumberFormat="0" applyAlignment="0" applyProtection="0"/>
    <xf numFmtId="49" fontId="34" fillId="0" borderId="510" applyNumberFormat="0" applyFont="0" applyFill="0" applyBorder="0" applyProtection="0">
      <alignment horizontal="left" vertical="center" indent="2"/>
    </xf>
    <xf numFmtId="0" fontId="49" fillId="43" borderId="507" applyNumberFormat="0" applyAlignment="0" applyProtection="0"/>
    <xf numFmtId="4" fontId="34" fillId="0" borderId="510" applyFill="0" applyBorder="0" applyProtection="0">
      <alignment horizontal="right" vertical="center"/>
    </xf>
    <xf numFmtId="0" fontId="46" fillId="56" borderId="507" applyNumberFormat="0" applyAlignment="0" applyProtection="0"/>
    <xf numFmtId="0" fontId="65" fillId="0" borderId="508" applyNumberFormat="0" applyFill="0" applyAlignment="0" applyProtection="0"/>
    <xf numFmtId="0" fontId="62" fillId="56" borderId="514" applyNumberFormat="0" applyAlignment="0" applyProtection="0"/>
    <xf numFmtId="0" fontId="34" fillId="0" borderId="510" applyNumberFormat="0" applyFill="0" applyAlignment="0" applyProtection="0"/>
    <xf numFmtId="4" fontId="34" fillId="0" borderId="510">
      <alignment horizontal="right" vertical="center"/>
    </xf>
    <xf numFmtId="0" fontId="34" fillId="0" borderId="510">
      <alignment horizontal="right" vertical="center"/>
    </xf>
    <xf numFmtId="0" fontId="58" fillId="43" borderId="507" applyNumberFormat="0" applyAlignment="0" applyProtection="0"/>
    <xf numFmtId="0" fontId="43" fillId="56" borderId="514" applyNumberFormat="0" applyAlignment="0" applyProtection="0"/>
    <xf numFmtId="0" fontId="45" fillId="56" borderId="507" applyNumberFormat="0" applyAlignment="0" applyProtection="0"/>
    <xf numFmtId="0" fontId="34" fillId="34" borderId="513">
      <alignment horizontal="left" vertical="center" wrapText="1" indent="2"/>
    </xf>
    <xf numFmtId="0" fontId="46" fillId="56" borderId="507" applyNumberFormat="0" applyAlignment="0" applyProtection="0"/>
    <xf numFmtId="0" fontId="46" fillId="56" borderId="507" applyNumberFormat="0" applyAlignment="0" applyProtection="0"/>
    <xf numFmtId="4" fontId="32" fillId="34" borderId="511">
      <alignment horizontal="right" vertical="center"/>
    </xf>
    <xf numFmtId="0" fontId="32" fillId="34" borderId="511">
      <alignment horizontal="right" vertical="center"/>
    </xf>
    <xf numFmtId="0" fontId="32" fillId="34" borderId="510">
      <alignment horizontal="right" vertical="center"/>
    </xf>
    <xf numFmtId="4" fontId="36" fillId="32" borderId="510">
      <alignment horizontal="right" vertical="center"/>
    </xf>
    <xf numFmtId="0" fontId="49" fillId="43" borderId="507" applyNumberFormat="0" applyAlignment="0" applyProtection="0"/>
    <xf numFmtId="0" fontId="50" fillId="0" borderId="508" applyNumberFormat="0" applyFill="0" applyAlignment="0" applyProtection="0"/>
    <xf numFmtId="0" fontId="65" fillId="0" borderId="508" applyNumberFormat="0" applyFill="0" applyAlignment="0" applyProtection="0"/>
    <xf numFmtId="0" fontId="40" fillId="59" borderId="509" applyNumberFormat="0" applyFont="0" applyAlignment="0" applyProtection="0"/>
    <xf numFmtId="0" fontId="58" fillId="43" borderId="507" applyNumberFormat="0" applyAlignment="0" applyProtection="0"/>
    <xf numFmtId="49" fontId="33" fillId="0" borderId="510" applyNumberFormat="0" applyFill="0" applyBorder="0" applyProtection="0">
      <alignment horizontal="left" vertical="center"/>
    </xf>
    <xf numFmtId="0" fontId="34" fillId="34" borderId="513">
      <alignment horizontal="left" vertical="center" wrapText="1" indent="2"/>
    </xf>
    <xf numFmtId="0" fontId="46" fillId="56" borderId="507" applyNumberFormat="0" applyAlignment="0" applyProtection="0"/>
    <xf numFmtId="0" fontId="34" fillId="0" borderId="513">
      <alignment horizontal="left" vertical="center" wrapText="1" indent="2"/>
    </xf>
    <xf numFmtId="0" fontId="40" fillId="59" borderId="509" applyNumberFormat="0" applyFont="0" applyAlignment="0" applyProtection="0"/>
    <xf numFmtId="0" fontId="5" fillId="59" borderId="509" applyNumberFormat="0" applyFont="0" applyAlignment="0" applyProtection="0"/>
    <xf numFmtId="0" fontId="62" fillId="56" borderId="514" applyNumberFormat="0" applyAlignment="0" applyProtection="0"/>
    <xf numFmtId="0" fontId="65" fillId="0" borderId="508" applyNumberFormat="0" applyFill="0" applyAlignment="0" applyProtection="0"/>
    <xf numFmtId="4" fontId="34" fillId="33" borderId="510"/>
    <xf numFmtId="0" fontId="32" fillId="34" borderId="510">
      <alignment horizontal="right" vertical="center"/>
    </xf>
    <xf numFmtId="0" fontId="65" fillId="0" borderId="508" applyNumberFormat="0" applyFill="0" applyAlignment="0" applyProtection="0"/>
    <xf numFmtId="4" fontId="32" fillId="34" borderId="512">
      <alignment horizontal="right" vertical="center"/>
    </xf>
    <xf numFmtId="0" fontId="45" fillId="56" borderId="507" applyNumberFormat="0" applyAlignment="0" applyProtection="0"/>
    <xf numFmtId="0" fontId="32" fillId="34" borderId="511">
      <alignment horizontal="right" vertical="center"/>
    </xf>
    <xf numFmtId="0" fontId="46" fillId="56" borderId="507" applyNumberFormat="0" applyAlignment="0" applyProtection="0"/>
    <xf numFmtId="0" fontId="50" fillId="0" borderId="508" applyNumberFormat="0" applyFill="0" applyAlignment="0" applyProtection="0"/>
    <xf numFmtId="0" fontId="40" fillId="59" borderId="509" applyNumberFormat="0" applyFont="0" applyAlignment="0" applyProtection="0"/>
    <xf numFmtId="4" fontId="32" fillId="34" borderId="511">
      <alignment horizontal="right" vertical="center"/>
    </xf>
    <xf numFmtId="0" fontId="34" fillId="34" borderId="513">
      <alignment horizontal="left" vertical="center" wrapText="1" indent="2"/>
    </xf>
    <xf numFmtId="0" fontId="34" fillId="33" borderId="510"/>
    <xf numFmtId="173" fontId="34" fillId="60" borderId="510" applyNumberFormat="0" applyFont="0" applyBorder="0" applyAlignment="0" applyProtection="0">
      <alignment horizontal="right" vertical="center"/>
    </xf>
    <xf numFmtId="0" fontId="34" fillId="0" borderId="510" applyNumberFormat="0" applyFill="0" applyAlignment="0" applyProtection="0"/>
    <xf numFmtId="4" fontId="34" fillId="0" borderId="510" applyFill="0" applyBorder="0" applyProtection="0">
      <alignment horizontal="right" vertical="center"/>
    </xf>
    <xf numFmtId="4" fontId="32" fillId="32" borderId="510">
      <alignment horizontal="right" vertical="center"/>
    </xf>
    <xf numFmtId="0" fontId="50" fillId="0" borderId="508" applyNumberFormat="0" applyFill="0" applyAlignment="0" applyProtection="0"/>
    <xf numFmtId="49" fontId="33" fillId="0" borderId="510" applyNumberFormat="0" applyFill="0" applyBorder="0" applyProtection="0">
      <alignment horizontal="left" vertical="center"/>
    </xf>
    <xf numFmtId="49" fontId="34" fillId="0" borderId="511" applyNumberFormat="0" applyFont="0" applyFill="0" applyBorder="0" applyProtection="0">
      <alignment horizontal="left" vertical="center" indent="5"/>
    </xf>
    <xf numFmtId="0" fontId="34" fillId="32" borderId="511">
      <alignment horizontal="left" vertical="center"/>
    </xf>
    <xf numFmtId="0" fontId="46" fillId="56" borderId="507" applyNumberFormat="0" applyAlignment="0" applyProtection="0"/>
    <xf numFmtId="4" fontId="32" fillId="34" borderId="512">
      <alignment horizontal="right" vertical="center"/>
    </xf>
    <xf numFmtId="0" fontId="58" fillId="43" borderId="507" applyNumberFormat="0" applyAlignment="0" applyProtection="0"/>
    <xf numFmtId="0" fontId="58" fillId="43" borderId="507" applyNumberFormat="0" applyAlignment="0" applyProtection="0"/>
    <xf numFmtId="0" fontId="40" fillId="59" borderId="509" applyNumberFormat="0" applyFont="0" applyAlignment="0" applyProtection="0"/>
    <xf numFmtId="0" fontId="62" fillId="56" borderId="514" applyNumberFormat="0" applyAlignment="0" applyProtection="0"/>
    <xf numFmtId="0" fontId="65" fillId="0" borderId="508" applyNumberFormat="0" applyFill="0" applyAlignment="0" applyProtection="0"/>
    <xf numFmtId="0" fontId="32" fillId="34" borderId="510">
      <alignment horizontal="right" vertical="center"/>
    </xf>
    <xf numFmtId="0" fontId="5" fillId="59" borderId="509" applyNumberFormat="0" applyFont="0" applyAlignment="0" applyProtection="0"/>
    <xf numFmtId="4" fontId="34" fillId="0" borderId="510">
      <alignment horizontal="right" vertical="center"/>
    </xf>
    <xf numFmtId="0" fontId="65" fillId="0" borderId="508" applyNumberFormat="0" applyFill="0" applyAlignment="0" applyProtection="0"/>
    <xf numFmtId="0" fontId="32" fillId="34" borderId="510">
      <alignment horizontal="right" vertical="center"/>
    </xf>
    <xf numFmtId="0" fontId="32" fillId="34" borderId="510">
      <alignment horizontal="right" vertical="center"/>
    </xf>
    <xf numFmtId="4" fontId="36" fillId="32" borderId="510">
      <alignment horizontal="right" vertical="center"/>
    </xf>
    <xf numFmtId="0" fontId="32" fillId="32" borderId="510">
      <alignment horizontal="right" vertical="center"/>
    </xf>
    <xf numFmtId="4" fontId="32" fillId="32" borderId="510">
      <alignment horizontal="right" vertical="center"/>
    </xf>
    <xf numFmtId="0" fontId="36" fillId="32" borderId="510">
      <alignment horizontal="right" vertical="center"/>
    </xf>
    <xf numFmtId="4" fontId="36" fillId="32" borderId="510">
      <alignment horizontal="right" vertical="center"/>
    </xf>
    <xf numFmtId="0" fontId="32" fillId="34" borderId="510">
      <alignment horizontal="right" vertical="center"/>
    </xf>
    <xf numFmtId="4" fontId="32" fillId="34" borderId="510">
      <alignment horizontal="right" vertical="center"/>
    </xf>
    <xf numFmtId="0" fontId="32" fillId="34" borderId="510">
      <alignment horizontal="right" vertical="center"/>
    </xf>
    <xf numFmtId="4" fontId="32" fillId="34" borderId="510">
      <alignment horizontal="right" vertical="center"/>
    </xf>
    <xf numFmtId="0" fontId="32" fillId="34" borderId="511">
      <alignment horizontal="right" vertical="center"/>
    </xf>
    <xf numFmtId="4" fontId="32" fillId="34" borderId="511">
      <alignment horizontal="right" vertical="center"/>
    </xf>
    <xf numFmtId="0" fontId="32" fillId="34" borderId="512">
      <alignment horizontal="right" vertical="center"/>
    </xf>
    <xf numFmtId="4" fontId="32" fillId="34" borderId="512">
      <alignment horizontal="right" vertical="center"/>
    </xf>
    <xf numFmtId="0" fontId="46" fillId="56" borderId="507" applyNumberFormat="0" applyAlignment="0" applyProtection="0"/>
    <xf numFmtId="0" fontId="34" fillId="34" borderId="513">
      <alignment horizontal="left" vertical="center" wrapText="1" indent="2"/>
    </xf>
    <xf numFmtId="0" fontId="34" fillId="0" borderId="513">
      <alignment horizontal="left" vertical="center" wrapText="1" indent="2"/>
    </xf>
    <xf numFmtId="0" fontId="34" fillId="32" borderId="511">
      <alignment horizontal="left" vertical="center"/>
    </xf>
    <xf numFmtId="0" fontId="58" fillId="43" borderId="507" applyNumberFormat="0" applyAlignment="0" applyProtection="0"/>
    <xf numFmtId="0" fontId="34" fillId="0" borderId="510">
      <alignment horizontal="right" vertical="center"/>
    </xf>
    <xf numFmtId="4" fontId="34" fillId="0" borderId="510">
      <alignment horizontal="right" vertical="center"/>
    </xf>
    <xf numFmtId="0" fontId="34" fillId="0" borderId="510" applyNumberFormat="0" applyFill="0" applyAlignment="0" applyProtection="0"/>
    <xf numFmtId="0" fontId="62" fillId="56" borderId="514" applyNumberFormat="0" applyAlignment="0" applyProtection="0"/>
    <xf numFmtId="173" fontId="34" fillId="60" borderId="510" applyNumberFormat="0" applyFont="0" applyBorder="0" applyAlignment="0" applyProtection="0">
      <alignment horizontal="right" vertical="center"/>
    </xf>
    <xf numFmtId="0" fontId="34" fillId="33" borderId="510"/>
    <xf numFmtId="4" fontId="34" fillId="33" borderId="510"/>
    <xf numFmtId="0" fontId="65" fillId="0" borderId="508" applyNumberFormat="0" applyFill="0" applyAlignment="0" applyProtection="0"/>
    <xf numFmtId="0" fontId="5" fillId="59" borderId="509" applyNumberFormat="0" applyFont="0" applyAlignment="0" applyProtection="0"/>
    <xf numFmtId="0" fontId="40" fillId="59" borderId="509" applyNumberFormat="0" applyFont="0" applyAlignment="0" applyProtection="0"/>
    <xf numFmtId="0" fontId="34" fillId="0" borderId="510" applyNumberFormat="0" applyFill="0" applyAlignment="0" applyProtection="0"/>
    <xf numFmtId="0" fontId="50" fillId="0" borderId="508" applyNumberFormat="0" applyFill="0" applyAlignment="0" applyProtection="0"/>
    <xf numFmtId="0" fontId="65" fillId="0" borderId="508" applyNumberFormat="0" applyFill="0" applyAlignment="0" applyProtection="0"/>
    <xf numFmtId="0" fontId="49" fillId="43" borderId="507" applyNumberFormat="0" applyAlignment="0" applyProtection="0"/>
    <xf numFmtId="0" fontId="46" fillId="56" borderId="507" applyNumberFormat="0" applyAlignment="0" applyProtection="0"/>
    <xf numFmtId="4" fontId="36" fillId="32" borderId="510">
      <alignment horizontal="right" vertical="center"/>
    </xf>
    <xf numFmtId="0" fontId="32" fillId="32" borderId="510">
      <alignment horizontal="right" vertical="center"/>
    </xf>
    <xf numFmtId="173" fontId="34" fillId="60" borderId="510" applyNumberFormat="0" applyFont="0" applyBorder="0" applyAlignment="0" applyProtection="0">
      <alignment horizontal="right" vertical="center"/>
    </xf>
    <xf numFmtId="0" fontId="50" fillId="0" borderId="508" applyNumberFormat="0" applyFill="0" applyAlignment="0" applyProtection="0"/>
    <xf numFmtId="49" fontId="34" fillId="0" borderId="510" applyNumberFormat="0" applyFont="0" applyFill="0" applyBorder="0" applyProtection="0">
      <alignment horizontal="left" vertical="center" indent="2"/>
    </xf>
    <xf numFmtId="49" fontId="34" fillId="0" borderId="511" applyNumberFormat="0" applyFont="0" applyFill="0" applyBorder="0" applyProtection="0">
      <alignment horizontal="left" vertical="center" indent="5"/>
    </xf>
    <xf numFmtId="49" fontId="34" fillId="0" borderId="510" applyNumberFormat="0" applyFont="0" applyFill="0" applyBorder="0" applyProtection="0">
      <alignment horizontal="left" vertical="center" indent="2"/>
    </xf>
    <xf numFmtId="4" fontId="34" fillId="0" borderId="510" applyFill="0" applyBorder="0" applyProtection="0">
      <alignment horizontal="right" vertical="center"/>
    </xf>
    <xf numFmtId="49" fontId="33" fillId="0" borderId="510" applyNumberFormat="0" applyFill="0" applyBorder="0" applyProtection="0">
      <alignment horizontal="left" vertical="center"/>
    </xf>
    <xf numFmtId="0" fontId="34" fillId="0" borderId="513">
      <alignment horizontal="left" vertical="center" wrapText="1" indent="2"/>
    </xf>
    <xf numFmtId="0" fontId="62" fillId="56" borderId="514" applyNumberFormat="0" applyAlignment="0" applyProtection="0"/>
    <xf numFmtId="0" fontId="32" fillId="34" borderId="512">
      <alignment horizontal="right" vertical="center"/>
    </xf>
    <xf numFmtId="0" fontId="49" fillId="43" borderId="507" applyNumberFormat="0" applyAlignment="0" applyProtection="0"/>
    <xf numFmtId="0" fontId="32" fillId="34" borderId="512">
      <alignment horizontal="right" vertical="center"/>
    </xf>
    <xf numFmtId="4" fontId="32" fillId="34" borderId="510">
      <alignment horizontal="right" vertical="center"/>
    </xf>
    <xf numFmtId="0" fontId="32" fillId="34" borderId="510">
      <alignment horizontal="right" vertical="center"/>
    </xf>
    <xf numFmtId="0" fontId="43" fillId="56" borderId="514" applyNumberFormat="0" applyAlignment="0" applyProtection="0"/>
    <xf numFmtId="0" fontId="45" fillId="56" borderId="507" applyNumberFormat="0" applyAlignment="0" applyProtection="0"/>
    <xf numFmtId="0" fontId="50" fillId="0" borderId="508" applyNumberFormat="0" applyFill="0" applyAlignment="0" applyProtection="0"/>
    <xf numFmtId="0" fontId="34" fillId="33" borderId="510"/>
    <xf numFmtId="4" fontId="34" fillId="33" borderId="510"/>
    <xf numFmtId="4" fontId="32" fillId="34" borderId="510">
      <alignment horizontal="right" vertical="center"/>
    </xf>
    <xf numFmtId="0" fontId="36" fillId="32" borderId="510">
      <alignment horizontal="right" vertical="center"/>
    </xf>
    <xf numFmtId="0" fontId="49" fillId="43" borderId="507" applyNumberFormat="0" applyAlignment="0" applyProtection="0"/>
    <xf numFmtId="0" fontId="46" fillId="56" borderId="507" applyNumberFormat="0" applyAlignment="0" applyProtection="0"/>
    <xf numFmtId="4" fontId="34" fillId="0" borderId="510">
      <alignment horizontal="right" vertical="center"/>
    </xf>
    <xf numFmtId="0" fontId="34" fillId="34" borderId="513">
      <alignment horizontal="left" vertical="center" wrapText="1" indent="2"/>
    </xf>
    <xf numFmtId="0" fontId="34" fillId="0" borderId="513">
      <alignment horizontal="left" vertical="center" wrapText="1" indent="2"/>
    </xf>
    <xf numFmtId="0" fontId="62" fillId="56" borderId="514" applyNumberFormat="0" applyAlignment="0" applyProtection="0"/>
    <xf numFmtId="0" fontId="58" fillId="43" borderId="507" applyNumberFormat="0" applyAlignment="0" applyProtection="0"/>
    <xf numFmtId="0" fontId="45" fillId="56" borderId="507" applyNumberFormat="0" applyAlignment="0" applyProtection="0"/>
    <xf numFmtId="0" fontId="43" fillId="56" borderId="514" applyNumberFormat="0" applyAlignment="0" applyProtection="0"/>
    <xf numFmtId="0" fontId="32" fillId="34" borderId="512">
      <alignment horizontal="right" vertical="center"/>
    </xf>
    <xf numFmtId="0" fontId="36" fillId="32" borderId="510">
      <alignment horizontal="right" vertical="center"/>
    </xf>
    <xf numFmtId="4" fontId="32" fillId="32" borderId="510">
      <alignment horizontal="right" vertical="center"/>
    </xf>
    <xf numFmtId="4" fontId="32" fillId="34" borderId="510">
      <alignment horizontal="right" vertical="center"/>
    </xf>
    <xf numFmtId="49" fontId="34" fillId="0" borderId="511" applyNumberFormat="0" applyFont="0" applyFill="0" applyBorder="0" applyProtection="0">
      <alignment horizontal="left" vertical="center" indent="5"/>
    </xf>
    <xf numFmtId="4" fontId="34" fillId="0" borderId="510" applyFill="0" applyBorder="0" applyProtection="0">
      <alignment horizontal="right" vertical="center"/>
    </xf>
    <xf numFmtId="4" fontId="32" fillId="32" borderId="510">
      <alignment horizontal="right" vertical="center"/>
    </xf>
    <xf numFmtId="49" fontId="33" fillId="0" borderId="516" applyNumberFormat="0" applyFill="0" applyBorder="0" applyProtection="0">
      <alignment horizontal="left" vertical="center"/>
    </xf>
    <xf numFmtId="0" fontId="58" fillId="43" borderId="507" applyNumberFormat="0" applyAlignment="0" applyProtection="0"/>
    <xf numFmtId="0" fontId="49" fillId="43" borderId="507" applyNumberFormat="0" applyAlignment="0" applyProtection="0"/>
    <xf numFmtId="0" fontId="45" fillId="56" borderId="507" applyNumberFormat="0" applyAlignment="0" applyProtection="0"/>
    <xf numFmtId="0" fontId="34" fillId="34" borderId="513">
      <alignment horizontal="left" vertical="center" wrapText="1" indent="2"/>
    </xf>
    <xf numFmtId="0" fontId="34" fillId="0" borderId="513">
      <alignment horizontal="left" vertical="center" wrapText="1" indent="2"/>
    </xf>
    <xf numFmtId="0" fontId="34" fillId="34" borderId="513">
      <alignment horizontal="left" vertical="center" wrapText="1" indent="2"/>
    </xf>
    <xf numFmtId="0" fontId="34" fillId="0" borderId="513">
      <alignment horizontal="left" vertical="center" wrapText="1" indent="2"/>
    </xf>
    <xf numFmtId="0" fontId="43" fillId="56" borderId="514" applyNumberFormat="0" applyAlignment="0" applyProtection="0"/>
    <xf numFmtId="0" fontId="45" fillId="56" borderId="507" applyNumberFormat="0" applyAlignment="0" applyProtection="0"/>
    <xf numFmtId="0" fontId="46" fillId="56" borderId="507" applyNumberFormat="0" applyAlignment="0" applyProtection="0"/>
    <xf numFmtId="0" fontId="49" fillId="43" borderId="507" applyNumberFormat="0" applyAlignment="0" applyProtection="0"/>
    <xf numFmtId="0" fontId="50" fillId="0" borderId="508" applyNumberFormat="0" applyFill="0" applyAlignment="0" applyProtection="0"/>
    <xf numFmtId="0" fontId="58" fillId="43" borderId="507" applyNumberFormat="0" applyAlignment="0" applyProtection="0"/>
    <xf numFmtId="0" fontId="40" fillId="59" borderId="509" applyNumberFormat="0" applyFont="0" applyAlignment="0" applyProtection="0"/>
    <xf numFmtId="0" fontId="5" fillId="59" borderId="509" applyNumberFormat="0" applyFont="0" applyAlignment="0" applyProtection="0"/>
    <xf numFmtId="0" fontId="62" fillId="56" borderId="514" applyNumberFormat="0" applyAlignment="0" applyProtection="0"/>
    <xf numFmtId="0" fontId="65" fillId="0" borderId="508" applyNumberFormat="0" applyFill="0" applyAlignment="0" applyProtection="0"/>
    <xf numFmtId="0" fontId="46" fillId="56" borderId="507" applyNumberFormat="0" applyAlignment="0" applyProtection="0"/>
    <xf numFmtId="0" fontId="58" fillId="43" borderId="507" applyNumberFormat="0" applyAlignment="0" applyProtection="0"/>
    <xf numFmtId="0" fontId="40" fillId="59" borderId="509" applyNumberFormat="0" applyFont="0" applyAlignment="0" applyProtection="0"/>
    <xf numFmtId="0" fontId="62" fillId="56" borderId="514" applyNumberFormat="0" applyAlignment="0" applyProtection="0"/>
    <xf numFmtId="0" fontId="65" fillId="0" borderId="508" applyNumberFormat="0" applyFill="0" applyAlignment="0" applyProtection="0"/>
    <xf numFmtId="0" fontId="34" fillId="0" borderId="516" applyNumberFormat="0" applyFill="0" applyAlignment="0" applyProtection="0"/>
    <xf numFmtId="4" fontId="32" fillId="34" borderId="518">
      <alignment horizontal="right" vertical="center"/>
    </xf>
    <xf numFmtId="0" fontId="62" fillId="56" borderId="539" applyNumberFormat="0" applyAlignment="0" applyProtection="0"/>
    <xf numFmtId="0" fontId="46" fillId="56" borderId="507" applyNumberFormat="0" applyAlignment="0" applyProtection="0"/>
    <xf numFmtId="4" fontId="36" fillId="32" borderId="516">
      <alignment horizontal="right" vertical="center"/>
    </xf>
    <xf numFmtId="4" fontId="32" fillId="34" borderId="516">
      <alignment horizontal="right" vertical="center"/>
    </xf>
    <xf numFmtId="4" fontId="32" fillId="34" borderId="518">
      <alignment horizontal="right" vertical="center"/>
    </xf>
    <xf numFmtId="0" fontId="58" fillId="43" borderId="507" applyNumberFormat="0" applyAlignment="0" applyProtection="0"/>
    <xf numFmtId="0" fontId="62" fillId="56" borderId="514" applyNumberFormat="0" applyAlignment="0" applyProtection="0"/>
    <xf numFmtId="0" fontId="65" fillId="0" borderId="508" applyNumberFormat="0" applyFill="0" applyAlignment="0" applyProtection="0"/>
    <xf numFmtId="0" fontId="43" fillId="56" borderId="547" applyNumberFormat="0" applyAlignment="0" applyProtection="0"/>
    <xf numFmtId="0" fontId="43" fillId="56" borderId="514" applyNumberFormat="0" applyAlignment="0" applyProtection="0"/>
    <xf numFmtId="0" fontId="45" fillId="56" borderId="507" applyNumberFormat="0" applyAlignment="0" applyProtection="0"/>
    <xf numFmtId="0" fontId="50" fillId="0" borderId="508" applyNumberFormat="0" applyFill="0" applyAlignment="0" applyProtection="0"/>
    <xf numFmtId="49" fontId="34" fillId="0" borderId="510" applyNumberFormat="0" applyFont="0" applyFill="0" applyBorder="0" applyProtection="0">
      <alignment horizontal="left" vertical="center" indent="2"/>
    </xf>
    <xf numFmtId="0" fontId="32" fillId="32" borderId="510">
      <alignment horizontal="right" vertical="center"/>
    </xf>
    <xf numFmtId="4" fontId="32" fillId="32" borderId="510">
      <alignment horizontal="right" vertical="center"/>
    </xf>
    <xf numFmtId="0" fontId="36" fillId="32" borderId="510">
      <alignment horizontal="right" vertical="center"/>
    </xf>
    <xf numFmtId="4" fontId="36" fillId="32" borderId="510">
      <alignment horizontal="right" vertical="center"/>
    </xf>
    <xf numFmtId="0" fontId="32" fillId="34" borderId="510">
      <alignment horizontal="right" vertical="center"/>
    </xf>
    <xf numFmtId="4" fontId="32" fillId="34" borderId="510">
      <alignment horizontal="right" vertical="center"/>
    </xf>
    <xf numFmtId="0" fontId="32" fillId="34" borderId="510">
      <alignment horizontal="right" vertical="center"/>
    </xf>
    <xf numFmtId="4" fontId="32" fillId="34" borderId="510">
      <alignment horizontal="right" vertical="center"/>
    </xf>
    <xf numFmtId="0" fontId="49" fillId="43" borderId="507" applyNumberFormat="0" applyAlignment="0" applyProtection="0"/>
    <xf numFmtId="0" fontId="34" fillId="0" borderId="510">
      <alignment horizontal="right" vertical="center"/>
    </xf>
    <xf numFmtId="4" fontId="34" fillId="0" borderId="510">
      <alignment horizontal="right" vertical="center"/>
    </xf>
    <xf numFmtId="4" fontId="34" fillId="0" borderId="510" applyFill="0" applyBorder="0" applyProtection="0">
      <alignment horizontal="right" vertical="center"/>
    </xf>
    <xf numFmtId="49" fontId="33" fillId="0" borderId="510" applyNumberFormat="0" applyFill="0" applyBorder="0" applyProtection="0">
      <alignment horizontal="left" vertical="center"/>
    </xf>
    <xf numFmtId="0" fontId="34" fillId="0" borderId="510" applyNumberFormat="0" applyFill="0" applyAlignment="0" applyProtection="0"/>
    <xf numFmtId="173" fontId="34" fillId="60" borderId="510" applyNumberFormat="0" applyFont="0" applyBorder="0" applyAlignment="0" applyProtection="0">
      <alignment horizontal="right" vertical="center"/>
    </xf>
    <xf numFmtId="0" fontId="34" fillId="33" borderId="510"/>
    <xf numFmtId="4" fontId="34" fillId="33" borderId="510"/>
    <xf numFmtId="4" fontId="32" fillId="34" borderId="510">
      <alignment horizontal="right" vertical="center"/>
    </xf>
    <xf numFmtId="0" fontId="34" fillId="33" borderId="510"/>
    <xf numFmtId="0" fontId="45" fillId="56" borderId="507" applyNumberFormat="0" applyAlignment="0" applyProtection="0"/>
    <xf numFmtId="0" fontId="32" fillId="32" borderId="510">
      <alignment horizontal="right" vertical="center"/>
    </xf>
    <xf numFmtId="0" fontId="34" fillId="0" borderId="510">
      <alignment horizontal="right" vertical="center"/>
    </xf>
    <xf numFmtId="0" fontId="65" fillId="0" borderId="508" applyNumberFormat="0" applyFill="0" applyAlignment="0" applyProtection="0"/>
    <xf numFmtId="0" fontId="34" fillId="32" borderId="511">
      <alignment horizontal="left" vertical="center"/>
    </xf>
    <xf numFmtId="0" fontId="58" fillId="43" borderId="507" applyNumberFormat="0" applyAlignment="0" applyProtection="0"/>
    <xf numFmtId="173" fontId="34" fillId="60" borderId="510" applyNumberFormat="0" applyFont="0" applyBorder="0" applyAlignment="0" applyProtection="0">
      <alignment horizontal="right" vertical="center"/>
    </xf>
    <xf numFmtId="0" fontId="40" fillId="59" borderId="509" applyNumberFormat="0" applyFont="0" applyAlignment="0" applyProtection="0"/>
    <xf numFmtId="0" fontId="34" fillId="0" borderId="513">
      <alignment horizontal="left" vertical="center" wrapText="1" indent="2"/>
    </xf>
    <xf numFmtId="4" fontId="34" fillId="33" borderId="510"/>
    <xf numFmtId="49" fontId="33" fillId="0" borderId="510" applyNumberFormat="0" applyFill="0" applyBorder="0" applyProtection="0">
      <alignment horizontal="left" vertical="center"/>
    </xf>
    <xf numFmtId="0" fontId="34" fillId="0" borderId="510">
      <alignment horizontal="right" vertical="center"/>
    </xf>
    <xf numFmtId="4" fontId="32" fillId="34" borderId="512">
      <alignment horizontal="right" vertical="center"/>
    </xf>
    <xf numFmtId="4" fontId="32" fillId="34" borderId="510">
      <alignment horizontal="right" vertical="center"/>
    </xf>
    <xf numFmtId="4" fontId="32" fillId="34" borderId="510">
      <alignment horizontal="right" vertical="center"/>
    </xf>
    <xf numFmtId="0" fontId="36" fillId="32" borderId="510">
      <alignment horizontal="right" vertical="center"/>
    </xf>
    <xf numFmtId="0" fontId="32" fillId="32" borderId="510">
      <alignment horizontal="right" vertical="center"/>
    </xf>
    <xf numFmtId="49" fontId="34" fillId="0" borderId="510" applyNumberFormat="0" applyFont="0" applyFill="0" applyBorder="0" applyProtection="0">
      <alignment horizontal="left" vertical="center" indent="2"/>
    </xf>
    <xf numFmtId="0" fontId="58" fillId="43" borderId="507" applyNumberFormat="0" applyAlignment="0" applyProtection="0"/>
    <xf numFmtId="0" fontId="43" fillId="56" borderId="514" applyNumberFormat="0" applyAlignment="0" applyProtection="0"/>
    <xf numFmtId="49" fontId="34" fillId="0" borderId="510" applyNumberFormat="0" applyFont="0" applyFill="0" applyBorder="0" applyProtection="0">
      <alignment horizontal="left" vertical="center" indent="2"/>
    </xf>
    <xf numFmtId="0" fontId="49" fillId="43" borderId="507" applyNumberFormat="0" applyAlignment="0" applyProtection="0"/>
    <xf numFmtId="4" fontId="34" fillId="0" borderId="510" applyFill="0" applyBorder="0" applyProtection="0">
      <alignment horizontal="right" vertical="center"/>
    </xf>
    <xf numFmtId="0" fontId="46" fillId="56" borderId="507" applyNumberFormat="0" applyAlignment="0" applyProtection="0"/>
    <xf numFmtId="0" fontId="65" fillId="0" borderId="508" applyNumberFormat="0" applyFill="0" applyAlignment="0" applyProtection="0"/>
    <xf numFmtId="0" fontId="62" fillId="56" borderId="514" applyNumberFormat="0" applyAlignment="0" applyProtection="0"/>
    <xf numFmtId="0" fontId="34" fillId="0" borderId="510" applyNumberFormat="0" applyFill="0" applyAlignment="0" applyProtection="0"/>
    <xf numFmtId="4" fontId="34" fillId="0" borderId="510">
      <alignment horizontal="right" vertical="center"/>
    </xf>
    <xf numFmtId="0" fontId="34" fillId="0" borderId="510">
      <alignment horizontal="right" vertical="center"/>
    </xf>
    <xf numFmtId="0" fontId="58" fillId="43" borderId="507" applyNumberFormat="0" applyAlignment="0" applyProtection="0"/>
    <xf numFmtId="0" fontId="43" fillId="56" borderId="514" applyNumberFormat="0" applyAlignment="0" applyProtection="0"/>
    <xf numFmtId="0" fontId="45" fillId="56" borderId="507" applyNumberFormat="0" applyAlignment="0" applyProtection="0"/>
    <xf numFmtId="0" fontId="34" fillId="34" borderId="513">
      <alignment horizontal="left" vertical="center" wrapText="1" indent="2"/>
    </xf>
    <xf numFmtId="0" fontId="46" fillId="56" borderId="507" applyNumberFormat="0" applyAlignment="0" applyProtection="0"/>
    <xf numFmtId="0" fontId="46" fillId="56" borderId="507" applyNumberFormat="0" applyAlignment="0" applyProtection="0"/>
    <xf numFmtId="4" fontId="32" fillId="34" borderId="511">
      <alignment horizontal="right" vertical="center"/>
    </xf>
    <xf numFmtId="0" fontId="32" fillId="34" borderId="511">
      <alignment horizontal="right" vertical="center"/>
    </xf>
    <xf numFmtId="0" fontId="32" fillId="34" borderId="510">
      <alignment horizontal="right" vertical="center"/>
    </xf>
    <xf numFmtId="4" fontId="36" fillId="32" borderId="510">
      <alignment horizontal="right" vertical="center"/>
    </xf>
    <xf numFmtId="0" fontId="49" fillId="43" borderId="507" applyNumberFormat="0" applyAlignment="0" applyProtection="0"/>
    <xf numFmtId="0" fontId="50" fillId="0" borderId="508" applyNumberFormat="0" applyFill="0" applyAlignment="0" applyProtection="0"/>
    <xf numFmtId="0" fontId="65" fillId="0" borderId="508" applyNumberFormat="0" applyFill="0" applyAlignment="0" applyProtection="0"/>
    <xf numFmtId="0" fontId="40" fillId="59" borderId="509" applyNumberFormat="0" applyFont="0" applyAlignment="0" applyProtection="0"/>
    <xf numFmtId="0" fontId="58" fillId="43" borderId="507" applyNumberFormat="0" applyAlignment="0" applyProtection="0"/>
    <xf numFmtId="49" fontId="33" fillId="0" borderId="510" applyNumberFormat="0" applyFill="0" applyBorder="0" applyProtection="0">
      <alignment horizontal="left" vertical="center"/>
    </xf>
    <xf numFmtId="0" fontId="34" fillId="34" borderId="513">
      <alignment horizontal="left" vertical="center" wrapText="1" indent="2"/>
    </xf>
    <xf numFmtId="0" fontId="46" fillId="56" borderId="507" applyNumberFormat="0" applyAlignment="0" applyProtection="0"/>
    <xf numFmtId="0" fontId="34" fillId="0" borderId="513">
      <alignment horizontal="left" vertical="center" wrapText="1" indent="2"/>
    </xf>
    <xf numFmtId="0" fontId="40" fillId="59" borderId="509" applyNumberFormat="0" applyFont="0" applyAlignment="0" applyProtection="0"/>
    <xf numFmtId="0" fontId="5" fillId="59" borderId="509" applyNumberFormat="0" applyFont="0" applyAlignment="0" applyProtection="0"/>
    <xf numFmtId="0" fontId="62" fillId="56" borderId="514" applyNumberFormat="0" applyAlignment="0" applyProtection="0"/>
    <xf numFmtId="0" fontId="65" fillId="0" borderId="508" applyNumberFormat="0" applyFill="0" applyAlignment="0" applyProtection="0"/>
    <xf numFmtId="4" fontId="34" fillId="33" borderId="510"/>
    <xf numFmtId="0" fontId="32" fillId="34" borderId="510">
      <alignment horizontal="right" vertical="center"/>
    </xf>
    <xf numFmtId="0" fontId="65" fillId="0" borderId="508" applyNumberFormat="0" applyFill="0" applyAlignment="0" applyProtection="0"/>
    <xf numFmtId="4" fontId="32" fillId="34" borderId="512">
      <alignment horizontal="right" vertical="center"/>
    </xf>
    <xf numFmtId="0" fontId="45" fillId="56" borderId="507" applyNumberFormat="0" applyAlignment="0" applyProtection="0"/>
    <xf numFmtId="0" fontId="32" fillId="34" borderId="511">
      <alignment horizontal="right" vertical="center"/>
    </xf>
    <xf numFmtId="0" fontId="46" fillId="56" borderId="507" applyNumberFormat="0" applyAlignment="0" applyProtection="0"/>
    <xf numFmtId="0" fontId="50" fillId="0" borderId="508" applyNumberFormat="0" applyFill="0" applyAlignment="0" applyProtection="0"/>
    <xf numFmtId="0" fontId="40" fillId="59" borderId="509" applyNumberFormat="0" applyFont="0" applyAlignment="0" applyProtection="0"/>
    <xf numFmtId="4" fontId="32" fillId="34" borderId="511">
      <alignment horizontal="right" vertical="center"/>
    </xf>
    <xf numFmtId="0" fontId="34" fillId="34" borderId="513">
      <alignment horizontal="left" vertical="center" wrapText="1" indent="2"/>
    </xf>
    <xf numFmtId="0" fontId="34" fillId="33" borderId="510"/>
    <xf numFmtId="173" fontId="34" fillId="60" borderId="510" applyNumberFormat="0" applyFont="0" applyBorder="0" applyAlignment="0" applyProtection="0">
      <alignment horizontal="right" vertical="center"/>
    </xf>
    <xf numFmtId="0" fontId="34" fillId="0" borderId="510" applyNumberFormat="0" applyFill="0" applyAlignment="0" applyProtection="0"/>
    <xf numFmtId="4" fontId="34" fillId="0" borderId="510" applyFill="0" applyBorder="0" applyProtection="0">
      <alignment horizontal="right" vertical="center"/>
    </xf>
    <xf numFmtId="4" fontId="32" fillId="32" borderId="510">
      <alignment horizontal="right" vertical="center"/>
    </xf>
    <xf numFmtId="0" fontId="50" fillId="0" borderId="508" applyNumberFormat="0" applyFill="0" applyAlignment="0" applyProtection="0"/>
    <xf numFmtId="49" fontId="33" fillId="0" borderId="510" applyNumberFormat="0" applyFill="0" applyBorder="0" applyProtection="0">
      <alignment horizontal="left" vertical="center"/>
    </xf>
    <xf numFmtId="49" fontId="34" fillId="0" borderId="511" applyNumberFormat="0" applyFont="0" applyFill="0" applyBorder="0" applyProtection="0">
      <alignment horizontal="left" vertical="center" indent="5"/>
    </xf>
    <xf numFmtId="0" fontId="34" fillId="32" borderId="511">
      <alignment horizontal="left" vertical="center"/>
    </xf>
    <xf numFmtId="0" fontId="46" fillId="56" borderId="507" applyNumberFormat="0" applyAlignment="0" applyProtection="0"/>
    <xf numFmtId="4" fontId="32" fillId="34" borderId="512">
      <alignment horizontal="right" vertical="center"/>
    </xf>
    <xf numFmtId="0" fontId="58" fillId="43" borderId="507" applyNumberFormat="0" applyAlignment="0" applyProtection="0"/>
    <xf numFmtId="0" fontId="58" fillId="43" borderId="507" applyNumberFormat="0" applyAlignment="0" applyProtection="0"/>
    <xf numFmtId="0" fontId="40" fillId="59" borderId="509" applyNumberFormat="0" applyFont="0" applyAlignment="0" applyProtection="0"/>
    <xf numFmtId="0" fontId="62" fillId="56" borderId="514" applyNumberFormat="0" applyAlignment="0" applyProtection="0"/>
    <xf numFmtId="0" fontId="65" fillId="0" borderId="508" applyNumberFormat="0" applyFill="0" applyAlignment="0" applyProtection="0"/>
    <xf numFmtId="0" fontId="32" fillId="34" borderId="510">
      <alignment horizontal="right" vertical="center"/>
    </xf>
    <xf numFmtId="0" fontId="5" fillId="59" borderId="509" applyNumberFormat="0" applyFont="0" applyAlignment="0" applyProtection="0"/>
    <xf numFmtId="4" fontId="34" fillId="0" borderId="510">
      <alignment horizontal="right" vertical="center"/>
    </xf>
    <xf numFmtId="0" fontId="65" fillId="0" borderId="508" applyNumberFormat="0" applyFill="0" applyAlignment="0" applyProtection="0"/>
    <xf numFmtId="0" fontId="32" fillId="34" borderId="510">
      <alignment horizontal="right" vertical="center"/>
    </xf>
    <xf numFmtId="0" fontId="32" fillId="34" borderId="510">
      <alignment horizontal="right" vertical="center"/>
    </xf>
    <xf numFmtId="4" fontId="36" fillId="32" borderId="510">
      <alignment horizontal="right" vertical="center"/>
    </xf>
    <xf numFmtId="0" fontId="32" fillId="32" borderId="510">
      <alignment horizontal="right" vertical="center"/>
    </xf>
    <xf numFmtId="4" fontId="32" fillId="32" borderId="510">
      <alignment horizontal="right" vertical="center"/>
    </xf>
    <xf numFmtId="0" fontId="36" fillId="32" borderId="510">
      <alignment horizontal="right" vertical="center"/>
    </xf>
    <xf numFmtId="4" fontId="36" fillId="32" borderId="510">
      <alignment horizontal="right" vertical="center"/>
    </xf>
    <xf numFmtId="0" fontId="32" fillId="34" borderId="510">
      <alignment horizontal="right" vertical="center"/>
    </xf>
    <xf numFmtId="4" fontId="32" fillId="34" borderId="510">
      <alignment horizontal="right" vertical="center"/>
    </xf>
    <xf numFmtId="0" fontId="32" fillId="34" borderId="510">
      <alignment horizontal="right" vertical="center"/>
    </xf>
    <xf numFmtId="4" fontId="32" fillId="34" borderId="510">
      <alignment horizontal="right" vertical="center"/>
    </xf>
    <xf numFmtId="0" fontId="32" fillId="34" borderId="511">
      <alignment horizontal="right" vertical="center"/>
    </xf>
    <xf numFmtId="4" fontId="32" fillId="34" borderId="511">
      <alignment horizontal="right" vertical="center"/>
    </xf>
    <xf numFmtId="0" fontId="32" fillId="34" borderId="512">
      <alignment horizontal="right" vertical="center"/>
    </xf>
    <xf numFmtId="4" fontId="32" fillId="34" borderId="512">
      <alignment horizontal="right" vertical="center"/>
    </xf>
    <xf numFmtId="0" fontId="46" fillId="56" borderId="507" applyNumberFormat="0" applyAlignment="0" applyProtection="0"/>
    <xf numFmtId="0" fontId="34" fillId="34" borderId="513">
      <alignment horizontal="left" vertical="center" wrapText="1" indent="2"/>
    </xf>
    <xf numFmtId="0" fontId="34" fillId="0" borderId="513">
      <alignment horizontal="left" vertical="center" wrapText="1" indent="2"/>
    </xf>
    <xf numFmtId="0" fontId="34" fillId="32" borderId="511">
      <alignment horizontal="left" vertical="center"/>
    </xf>
    <xf numFmtId="0" fontId="58" fillId="43" borderId="507" applyNumberFormat="0" applyAlignment="0" applyProtection="0"/>
    <xf numFmtId="0" fontId="34" fillId="0" borderId="510">
      <alignment horizontal="right" vertical="center"/>
    </xf>
    <xf numFmtId="4" fontId="34" fillId="0" borderId="510">
      <alignment horizontal="right" vertical="center"/>
    </xf>
    <xf numFmtId="0" fontId="34" fillId="0" borderId="510" applyNumberFormat="0" applyFill="0" applyAlignment="0" applyProtection="0"/>
    <xf numFmtId="0" fontId="62" fillId="56" borderId="514" applyNumberFormat="0" applyAlignment="0" applyProtection="0"/>
    <xf numFmtId="173" fontId="34" fillId="60" borderId="510" applyNumberFormat="0" applyFont="0" applyBorder="0" applyAlignment="0" applyProtection="0">
      <alignment horizontal="right" vertical="center"/>
    </xf>
    <xf numFmtId="0" fontId="34" fillId="33" borderId="510"/>
    <xf numFmtId="4" fontId="34" fillId="33" borderId="510"/>
    <xf numFmtId="0" fontId="65" fillId="0" borderId="508" applyNumberFormat="0" applyFill="0" applyAlignment="0" applyProtection="0"/>
    <xf numFmtId="0" fontId="5" fillId="59" borderId="509" applyNumberFormat="0" applyFont="0" applyAlignment="0" applyProtection="0"/>
    <xf numFmtId="0" fontId="40" fillId="59" borderId="509" applyNumberFormat="0" applyFont="0" applyAlignment="0" applyProtection="0"/>
    <xf numFmtId="0" fontId="34" fillId="0" borderId="510" applyNumberFormat="0" applyFill="0" applyAlignment="0" applyProtection="0"/>
    <xf numFmtId="0" fontId="50" fillId="0" borderId="508" applyNumberFormat="0" applyFill="0" applyAlignment="0" applyProtection="0"/>
    <xf numFmtId="0" fontId="65" fillId="0" borderId="508" applyNumberFormat="0" applyFill="0" applyAlignment="0" applyProtection="0"/>
    <xf numFmtId="0" fontId="49" fillId="43" borderId="507" applyNumberFormat="0" applyAlignment="0" applyProtection="0"/>
    <xf numFmtId="0" fontId="46" fillId="56" borderId="507" applyNumberFormat="0" applyAlignment="0" applyProtection="0"/>
    <xf numFmtId="4" fontId="36" fillId="32" borderId="510">
      <alignment horizontal="right" vertical="center"/>
    </xf>
    <xf numFmtId="0" fontId="32" fillId="32" borderId="510">
      <alignment horizontal="right" vertical="center"/>
    </xf>
    <xf numFmtId="173" fontId="34" fillId="60" borderId="510" applyNumberFormat="0" applyFont="0" applyBorder="0" applyAlignment="0" applyProtection="0">
      <alignment horizontal="right" vertical="center"/>
    </xf>
    <xf numFmtId="0" fontId="50" fillId="0" borderId="508" applyNumberFormat="0" applyFill="0" applyAlignment="0" applyProtection="0"/>
    <xf numFmtId="49" fontId="34" fillId="0" borderId="510" applyNumberFormat="0" applyFont="0" applyFill="0" applyBorder="0" applyProtection="0">
      <alignment horizontal="left" vertical="center" indent="2"/>
    </xf>
    <xf numFmtId="49" fontId="34" fillId="0" borderId="511" applyNumberFormat="0" applyFont="0" applyFill="0" applyBorder="0" applyProtection="0">
      <alignment horizontal="left" vertical="center" indent="5"/>
    </xf>
    <xf numFmtId="49" fontId="34" fillId="0" borderId="510" applyNumberFormat="0" applyFont="0" applyFill="0" applyBorder="0" applyProtection="0">
      <alignment horizontal="left" vertical="center" indent="2"/>
    </xf>
    <xf numFmtId="4" fontId="34" fillId="0" borderId="510" applyFill="0" applyBorder="0" applyProtection="0">
      <alignment horizontal="right" vertical="center"/>
    </xf>
    <xf numFmtId="49" fontId="33" fillId="0" borderId="510" applyNumberFormat="0" applyFill="0" applyBorder="0" applyProtection="0">
      <alignment horizontal="left" vertical="center"/>
    </xf>
    <xf numFmtId="0" fontId="34" fillId="0" borderId="513">
      <alignment horizontal="left" vertical="center" wrapText="1" indent="2"/>
    </xf>
    <xf numFmtId="0" fontId="62" fillId="56" borderId="514" applyNumberFormat="0" applyAlignment="0" applyProtection="0"/>
    <xf numFmtId="0" fontId="32" fillId="34" borderId="512">
      <alignment horizontal="right" vertical="center"/>
    </xf>
    <xf numFmtId="0" fontId="49" fillId="43" borderId="507" applyNumberFormat="0" applyAlignment="0" applyProtection="0"/>
    <xf numFmtId="0" fontId="32" fillId="34" borderId="512">
      <alignment horizontal="right" vertical="center"/>
    </xf>
    <xf numFmtId="4" fontId="32" fillId="34" borderId="510">
      <alignment horizontal="right" vertical="center"/>
    </xf>
    <xf numFmtId="0" fontId="32" fillId="34" borderId="510">
      <alignment horizontal="right" vertical="center"/>
    </xf>
    <xf numFmtId="0" fontId="43" fillId="56" borderId="514" applyNumberFormat="0" applyAlignment="0" applyProtection="0"/>
    <xf numFmtId="0" fontId="45" fillId="56" borderId="507" applyNumberFormat="0" applyAlignment="0" applyProtection="0"/>
    <xf numFmtId="0" fontId="50" fillId="0" borderId="508" applyNumberFormat="0" applyFill="0" applyAlignment="0" applyProtection="0"/>
    <xf numFmtId="0" fontId="34" fillId="33" borderId="510"/>
    <xf numFmtId="4" fontId="34" fillId="33" borderId="510"/>
    <xf numFmtId="4" fontId="32" fillId="34" borderId="510">
      <alignment horizontal="right" vertical="center"/>
    </xf>
    <xf numFmtId="0" fontId="36" fillId="32" borderId="510">
      <alignment horizontal="right" vertical="center"/>
    </xf>
    <xf numFmtId="0" fontId="49" fillId="43" borderId="507" applyNumberFormat="0" applyAlignment="0" applyProtection="0"/>
    <xf numFmtId="0" fontId="46" fillId="56" borderId="507" applyNumberFormat="0" applyAlignment="0" applyProtection="0"/>
    <xf numFmtId="4" fontId="34" fillId="0" borderId="510">
      <alignment horizontal="right" vertical="center"/>
    </xf>
    <xf numFmtId="0" fontId="34" fillId="34" borderId="513">
      <alignment horizontal="left" vertical="center" wrapText="1" indent="2"/>
    </xf>
    <xf numFmtId="0" fontId="34" fillId="0" borderId="513">
      <alignment horizontal="left" vertical="center" wrapText="1" indent="2"/>
    </xf>
    <xf numFmtId="0" fontId="62" fillId="56" borderId="514" applyNumberFormat="0" applyAlignment="0" applyProtection="0"/>
    <xf numFmtId="0" fontId="58" fillId="43" borderId="507" applyNumberFormat="0" applyAlignment="0" applyProtection="0"/>
    <xf numFmtId="0" fontId="45" fillId="56" borderId="507" applyNumberFormat="0" applyAlignment="0" applyProtection="0"/>
    <xf numFmtId="0" fontId="43" fillId="56" borderId="514" applyNumberFormat="0" applyAlignment="0" applyProtection="0"/>
    <xf numFmtId="0" fontId="32" fillId="34" borderId="512">
      <alignment horizontal="right" vertical="center"/>
    </xf>
    <xf numFmtId="0" fontId="36" fillId="32" borderId="510">
      <alignment horizontal="right" vertical="center"/>
    </xf>
    <xf numFmtId="4" fontId="32" fillId="32" borderId="510">
      <alignment horizontal="right" vertical="center"/>
    </xf>
    <xf numFmtId="4" fontId="32" fillId="34" borderId="510">
      <alignment horizontal="right" vertical="center"/>
    </xf>
    <xf numFmtId="49" fontId="34" fillId="0" borderId="511" applyNumberFormat="0" applyFont="0" applyFill="0" applyBorder="0" applyProtection="0">
      <alignment horizontal="left" vertical="center" indent="5"/>
    </xf>
    <xf numFmtId="4" fontId="34" fillId="0" borderId="510" applyFill="0" applyBorder="0" applyProtection="0">
      <alignment horizontal="right" vertical="center"/>
    </xf>
    <xf numFmtId="4" fontId="32" fillId="32" borderId="510">
      <alignment horizontal="right" vertical="center"/>
    </xf>
    <xf numFmtId="0" fontId="58" fillId="43" borderId="507" applyNumberFormat="0" applyAlignment="0" applyProtection="0"/>
    <xf numFmtId="0" fontId="49" fillId="43" borderId="507" applyNumberFormat="0" applyAlignment="0" applyProtection="0"/>
    <xf numFmtId="0" fontId="45" fillId="56" borderId="507" applyNumberFormat="0" applyAlignment="0" applyProtection="0"/>
    <xf numFmtId="0" fontId="34" fillId="34" borderId="513">
      <alignment horizontal="left" vertical="center" wrapText="1" indent="2"/>
    </xf>
    <xf numFmtId="0" fontId="34" fillId="0" borderId="513">
      <alignment horizontal="left" vertical="center" wrapText="1" indent="2"/>
    </xf>
    <xf numFmtId="0" fontId="34" fillId="34" borderId="513">
      <alignment horizontal="left" vertical="center" wrapText="1" indent="2"/>
    </xf>
    <xf numFmtId="0" fontId="46" fillId="56" borderId="521" applyNumberFormat="0" applyAlignment="0" applyProtection="0"/>
    <xf numFmtId="4" fontId="32" fillId="32" borderId="516">
      <alignment horizontal="right" vertical="center"/>
    </xf>
    <xf numFmtId="0" fontId="36" fillId="32" borderId="516">
      <alignment horizontal="right" vertical="center"/>
    </xf>
    <xf numFmtId="0" fontId="58" fillId="43" borderId="548" applyNumberFormat="0" applyAlignment="0" applyProtection="0"/>
    <xf numFmtId="0" fontId="26" fillId="17" borderId="0" applyNumberFormat="0" applyBorder="0" applyAlignment="0" applyProtection="0"/>
    <xf numFmtId="0" fontId="65" fillId="0" borderId="549" applyNumberFormat="0" applyFill="0" applyAlignment="0" applyProtection="0"/>
    <xf numFmtId="0" fontId="40" fillId="59" borderId="557" applyNumberFormat="0" applyFont="0" applyAlignment="0" applyProtection="0"/>
    <xf numFmtId="0" fontId="46" fillId="56" borderId="548" applyNumberFormat="0" applyAlignment="0" applyProtection="0"/>
    <xf numFmtId="0" fontId="5" fillId="59" borderId="550" applyNumberFormat="0" applyFont="0" applyAlignment="0" applyProtection="0"/>
    <xf numFmtId="0" fontId="32" fillId="32" borderId="551">
      <alignment horizontal="right" vertical="center"/>
    </xf>
    <xf numFmtId="0" fontId="34" fillId="33" borderId="551"/>
    <xf numFmtId="0" fontId="26" fillId="20" borderId="0" applyNumberFormat="0" applyBorder="0" applyAlignment="0" applyProtection="0"/>
    <xf numFmtId="173" fontId="34" fillId="60" borderId="551" applyNumberFormat="0" applyFont="0" applyBorder="0" applyAlignment="0" applyProtection="0">
      <alignment horizontal="right" vertical="center"/>
    </xf>
    <xf numFmtId="4" fontId="34" fillId="33" borderId="526"/>
    <xf numFmtId="4" fontId="32" fillId="32" borderId="543">
      <alignment horizontal="right" vertical="center"/>
    </xf>
    <xf numFmtId="0" fontId="32" fillId="34" borderId="551">
      <alignment horizontal="right" vertical="center"/>
    </xf>
    <xf numFmtId="0" fontId="65" fillId="0" borderId="556" applyNumberFormat="0" applyFill="0" applyAlignment="0" applyProtection="0"/>
    <xf numFmtId="0" fontId="34" fillId="34" borderId="535">
      <alignment horizontal="left" vertical="center" wrapText="1" indent="2"/>
    </xf>
    <xf numFmtId="0" fontId="32" fillId="34" borderId="553">
      <alignment horizontal="right" vertical="center"/>
    </xf>
    <xf numFmtId="0" fontId="50" fillId="0" borderId="524" applyNumberFormat="0" applyFill="0" applyAlignment="0" applyProtection="0"/>
    <xf numFmtId="0" fontId="32" fillId="34" borderId="551">
      <alignment horizontal="right" vertical="center"/>
    </xf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173" fontId="34" fillId="60" borderId="551" applyNumberFormat="0" applyFont="0" applyBorder="0" applyAlignment="0" applyProtection="0">
      <alignment horizontal="right" vertical="center"/>
    </xf>
    <xf numFmtId="0" fontId="30" fillId="0" borderId="0" applyNumberFormat="0" applyFill="0" applyBorder="0" applyAlignment="0" applyProtection="0"/>
    <xf numFmtId="49" fontId="34" fillId="0" borderId="551" applyNumberFormat="0" applyFont="0" applyFill="0" applyBorder="0" applyProtection="0">
      <alignment horizontal="left" vertical="center" indent="2"/>
    </xf>
    <xf numFmtId="0" fontId="50" fillId="0" borderId="549" applyNumberFormat="0" applyFill="0" applyAlignment="0" applyProtection="0"/>
    <xf numFmtId="0" fontId="40" fillId="59" borderId="550" applyNumberFormat="0" applyFont="0" applyAlignment="0" applyProtection="0"/>
    <xf numFmtId="0" fontId="5" fillId="59" borderId="550" applyNumberFormat="0" applyFont="0" applyAlignment="0" applyProtection="0"/>
    <xf numFmtId="0" fontId="34" fillId="0" borderId="551">
      <alignment horizontal="right" vertical="center"/>
    </xf>
    <xf numFmtId="0" fontId="65" fillId="0" borderId="549" applyNumberFormat="0" applyFill="0" applyAlignment="0" applyProtection="0"/>
    <xf numFmtId="0" fontId="58" fillId="43" borderId="548" applyNumberFormat="0" applyAlignment="0" applyProtection="0"/>
    <xf numFmtId="0" fontId="40" fillId="59" borderId="515" applyNumberFormat="0" applyFont="0" applyAlignment="0" applyProtection="0"/>
    <xf numFmtId="4" fontId="34" fillId="33" borderId="551"/>
    <xf numFmtId="49" fontId="34" fillId="0" borderId="551" applyNumberFormat="0" applyFont="0" applyFill="0" applyBorder="0" applyProtection="0">
      <alignment horizontal="left" vertical="center" indent="2"/>
    </xf>
    <xf numFmtId="0" fontId="5" fillId="59" borderId="515" applyNumberFormat="0" applyFont="0" applyAlignment="0" applyProtection="0"/>
    <xf numFmtId="0" fontId="2" fillId="0" borderId="15" applyNumberFormat="0" applyFill="0" applyAlignment="0" applyProtection="0"/>
    <xf numFmtId="0" fontId="36" fillId="32" borderId="551">
      <alignment horizontal="right" vertical="center"/>
    </xf>
    <xf numFmtId="49" fontId="34" fillId="0" borderId="552" applyNumberFormat="0" applyFont="0" applyFill="0" applyBorder="0" applyProtection="0">
      <alignment horizontal="left" vertical="center" indent="5"/>
    </xf>
    <xf numFmtId="0" fontId="26" fillId="18" borderId="0" applyNumberFormat="0" applyBorder="0" applyAlignment="0" applyProtection="0"/>
    <xf numFmtId="0" fontId="49" fillId="43" borderId="548" applyNumberFormat="0" applyAlignment="0" applyProtection="0"/>
    <xf numFmtId="0" fontId="26" fillId="27" borderId="0" applyNumberFormat="0" applyBorder="0" applyAlignment="0" applyProtection="0"/>
    <xf numFmtId="0" fontId="58" fillId="43" borderId="521" applyNumberFormat="0" applyAlignment="0" applyProtection="0"/>
    <xf numFmtId="0" fontId="26" fillId="23" borderId="0" applyNumberFormat="0" applyBorder="0" applyAlignment="0" applyProtection="0"/>
    <xf numFmtId="0" fontId="34" fillId="34" borderId="519">
      <alignment horizontal="left" vertical="center" wrapText="1" indent="2"/>
    </xf>
    <xf numFmtId="4" fontId="36" fillId="32" borderId="516">
      <alignment horizontal="right" vertical="center"/>
    </xf>
    <xf numFmtId="0" fontId="45" fillId="56" borderId="555" applyNumberFormat="0" applyAlignment="0" applyProtection="0"/>
    <xf numFmtId="4" fontId="34" fillId="0" borderId="543">
      <alignment horizontal="right" vertical="center"/>
    </xf>
    <xf numFmtId="0" fontId="26" fillId="21" borderId="0" applyNumberFormat="0" applyBorder="0" applyAlignment="0" applyProtection="0"/>
    <xf numFmtId="0" fontId="32" fillId="34" borderId="533">
      <alignment horizontal="right" vertical="center"/>
    </xf>
    <xf numFmtId="0" fontId="12" fillId="25" borderId="0" applyNumberFormat="0" applyBorder="0" applyAlignment="0" applyProtection="0"/>
    <xf numFmtId="0" fontId="2" fillId="0" borderId="15" applyNumberFormat="0" applyFill="0" applyAlignment="0" applyProtection="0"/>
    <xf numFmtId="0" fontId="49" fillId="43" borderId="555" applyNumberFormat="0" applyAlignment="0" applyProtection="0"/>
    <xf numFmtId="4" fontId="34" fillId="0" borderId="543" applyFill="0" applyBorder="0" applyProtection="0">
      <alignment horizontal="right" vertical="center"/>
    </xf>
    <xf numFmtId="4" fontId="36" fillId="32" borderId="516">
      <alignment horizontal="right" vertical="center"/>
    </xf>
    <xf numFmtId="4" fontId="32" fillId="32" borderId="516">
      <alignment horizontal="right" vertical="center"/>
    </xf>
    <xf numFmtId="0" fontId="34" fillId="0" borderId="519">
      <alignment horizontal="left" vertical="center" wrapText="1" indent="2"/>
    </xf>
    <xf numFmtId="0" fontId="62" fillId="56" borderId="520" applyNumberFormat="0" applyAlignment="0" applyProtection="0"/>
    <xf numFmtId="0" fontId="34" fillId="0" borderId="516">
      <alignment horizontal="right" vertical="center"/>
    </xf>
    <xf numFmtId="0" fontId="65" fillId="0" borderId="522" applyNumberFormat="0" applyFill="0" applyAlignment="0" applyProtection="0"/>
    <xf numFmtId="49" fontId="33" fillId="0" borderId="516" applyNumberFormat="0" applyFill="0" applyBorder="0" applyProtection="0">
      <alignment horizontal="left" vertical="center"/>
    </xf>
    <xf numFmtId="4" fontId="34" fillId="33" borderId="516"/>
    <xf numFmtId="0" fontId="58" fillId="43" borderId="521" applyNumberFormat="0" applyAlignment="0" applyProtection="0"/>
    <xf numFmtId="0" fontId="34" fillId="32" borderId="552">
      <alignment horizontal="left" vertical="center"/>
    </xf>
    <xf numFmtId="0" fontId="34" fillId="33" borderId="543"/>
    <xf numFmtId="173" fontId="34" fillId="60" borderId="516" applyNumberFormat="0" applyFont="0" applyBorder="0" applyAlignment="0" applyProtection="0">
      <alignment horizontal="right" vertical="center"/>
    </xf>
    <xf numFmtId="0" fontId="46" fillId="56" borderId="521" applyNumberFormat="0" applyAlignment="0" applyProtection="0"/>
    <xf numFmtId="4" fontId="32" fillId="32" borderId="551">
      <alignment horizontal="right" vertical="center"/>
    </xf>
    <xf numFmtId="0" fontId="26" fillId="20" borderId="0" applyNumberFormat="0" applyBorder="0" applyAlignment="0" applyProtection="0"/>
    <xf numFmtId="0" fontId="34" fillId="33" borderId="551"/>
    <xf numFmtId="0" fontId="34" fillId="0" borderId="546">
      <alignment horizontal="left" vertical="center" wrapText="1" indent="2"/>
    </xf>
    <xf numFmtId="0" fontId="58" fillId="43" borderId="521" applyNumberFormat="0" applyAlignment="0" applyProtection="0"/>
    <xf numFmtId="0" fontId="43" fillId="56" borderId="520" applyNumberFormat="0" applyAlignment="0" applyProtection="0"/>
    <xf numFmtId="0" fontId="34" fillId="0" borderId="551" applyNumberFormat="0" applyFill="0" applyAlignment="0" applyProtection="0"/>
    <xf numFmtId="49" fontId="33" fillId="0" borderId="516" applyNumberFormat="0" applyFill="0" applyBorder="0" applyProtection="0">
      <alignment horizontal="left" vertical="center"/>
    </xf>
    <xf numFmtId="0" fontId="65" fillId="0" borderId="522" applyNumberFormat="0" applyFill="0" applyAlignment="0" applyProtection="0"/>
    <xf numFmtId="0" fontId="34" fillId="0" borderId="516">
      <alignment horizontal="right" vertical="center"/>
    </xf>
    <xf numFmtId="0" fontId="32" fillId="34" borderId="517">
      <alignment horizontal="right" vertical="center"/>
    </xf>
    <xf numFmtId="0" fontId="65" fillId="0" borderId="522" applyNumberFormat="0" applyFill="0" applyAlignment="0" applyProtection="0"/>
    <xf numFmtId="0" fontId="62" fillId="56" borderId="547" applyNumberFormat="0" applyAlignment="0" applyProtection="0"/>
    <xf numFmtId="4" fontId="34" fillId="33" borderId="558"/>
    <xf numFmtId="0" fontId="34" fillId="0" borderId="529">
      <alignment horizontal="left" vertical="center" wrapText="1" indent="2"/>
    </xf>
    <xf numFmtId="0" fontId="65" fillId="0" borderId="541" applyNumberFormat="0" applyFill="0" applyAlignment="0" applyProtection="0"/>
    <xf numFmtId="0" fontId="65" fillId="0" borderId="524" applyNumberFormat="0" applyFill="0" applyAlignment="0" applyProtection="0"/>
    <xf numFmtId="49" fontId="33" fillId="0" borderId="551" applyNumberFormat="0" applyFill="0" applyBorder="0" applyProtection="0">
      <alignment horizontal="left" vertical="center"/>
    </xf>
    <xf numFmtId="4" fontId="34" fillId="0" borderId="516" applyFill="0" applyBorder="0" applyProtection="0">
      <alignment horizontal="right" vertical="center"/>
    </xf>
    <xf numFmtId="4" fontId="32" fillId="34" borderId="551">
      <alignment horizontal="right" vertical="center"/>
    </xf>
    <xf numFmtId="4" fontId="34" fillId="33" borderId="551"/>
    <xf numFmtId="4" fontId="34" fillId="0" borderId="532" applyFill="0" applyBorder="0" applyProtection="0">
      <alignment horizontal="right" vertical="center"/>
    </xf>
    <xf numFmtId="0" fontId="45" fillId="56" borderId="540" applyNumberFormat="0" applyAlignment="0" applyProtection="0"/>
    <xf numFmtId="0" fontId="34" fillId="0" borderId="519">
      <alignment horizontal="left" vertical="center" wrapText="1" indent="2"/>
    </xf>
    <xf numFmtId="4" fontId="34" fillId="0" borderId="526" applyFill="0" applyBorder="0" applyProtection="0">
      <alignment horizontal="right" vertical="center"/>
    </xf>
    <xf numFmtId="0" fontId="65" fillId="0" borderId="522" applyNumberFormat="0" applyFill="0" applyAlignment="0" applyProtection="0"/>
    <xf numFmtId="0" fontId="43" fillId="56" borderId="520" applyNumberFormat="0" applyAlignment="0" applyProtection="0"/>
    <xf numFmtId="0" fontId="32" fillId="34" borderId="516">
      <alignment horizontal="right" vertical="center"/>
    </xf>
    <xf numFmtId="0" fontId="45" fillId="56" borderId="521" applyNumberFormat="0" applyAlignment="0" applyProtection="0"/>
    <xf numFmtId="0" fontId="34" fillId="0" borderId="526" applyNumberFormat="0" applyFill="0" applyAlignment="0" applyProtection="0"/>
    <xf numFmtId="0" fontId="34" fillId="32" borderId="517">
      <alignment horizontal="left" vertical="center"/>
    </xf>
    <xf numFmtId="0" fontId="62" fillId="56" borderId="547" applyNumberFormat="0" applyAlignment="0" applyProtection="0"/>
    <xf numFmtId="0" fontId="26" fillId="26" borderId="0" applyNumberFormat="0" applyBorder="0" applyAlignment="0" applyProtection="0"/>
    <xf numFmtId="0" fontId="26" fillId="14" borderId="0" applyNumberFormat="0" applyBorder="0" applyAlignment="0" applyProtection="0"/>
    <xf numFmtId="0" fontId="46" fillId="56" borderId="540" applyNumberFormat="0" applyAlignment="0" applyProtection="0"/>
    <xf numFmtId="0" fontId="32" fillId="32" borderId="516">
      <alignment horizontal="right" vertical="center"/>
    </xf>
    <xf numFmtId="0" fontId="46" fillId="56" borderId="523" applyNumberFormat="0" applyAlignment="0" applyProtection="0"/>
    <xf numFmtId="173" fontId="34" fillId="60" borderId="532" applyNumberFormat="0" applyFont="0" applyBorder="0" applyAlignment="0" applyProtection="0">
      <alignment horizontal="right" vertical="center"/>
    </xf>
    <xf numFmtId="0" fontId="50" fillId="0" borderId="522" applyNumberFormat="0" applyFill="0" applyAlignment="0" applyProtection="0"/>
    <xf numFmtId="0" fontId="26" fillId="15" borderId="0" applyNumberFormat="0" applyBorder="0" applyAlignment="0" applyProtection="0"/>
    <xf numFmtId="0" fontId="34" fillId="0" borderId="516">
      <alignment horizontal="right" vertical="center"/>
    </xf>
    <xf numFmtId="0" fontId="5" fillId="59" borderId="515" applyNumberFormat="0" applyFont="0" applyAlignment="0" applyProtection="0"/>
    <xf numFmtId="0" fontId="32" fillId="34" borderId="551">
      <alignment horizontal="right" vertical="center"/>
    </xf>
    <xf numFmtId="0" fontId="32" fillId="34" borderId="534">
      <alignment horizontal="right" vertical="center"/>
    </xf>
    <xf numFmtId="0" fontId="12" fillId="31" borderId="0" applyNumberFormat="0" applyBorder="0" applyAlignment="0" applyProtection="0"/>
    <xf numFmtId="0" fontId="62" fillId="56" borderId="539" applyNumberFormat="0" applyAlignment="0" applyProtection="0"/>
    <xf numFmtId="0" fontId="58" fillId="43" borderId="521" applyNumberFormat="0" applyAlignment="0" applyProtection="0"/>
    <xf numFmtId="49" fontId="34" fillId="0" borderId="517" applyNumberFormat="0" applyFont="0" applyFill="0" applyBorder="0" applyProtection="0">
      <alignment horizontal="left" vertical="center" indent="5"/>
    </xf>
    <xf numFmtId="0" fontId="34" fillId="0" borderId="516" applyNumberFormat="0" applyFill="0" applyAlignment="0" applyProtection="0"/>
    <xf numFmtId="0" fontId="50" fillId="0" borderId="522" applyNumberFormat="0" applyFill="0" applyAlignment="0" applyProtection="0"/>
    <xf numFmtId="0" fontId="62" fillId="56" borderId="520" applyNumberFormat="0" applyAlignment="0" applyProtection="0"/>
    <xf numFmtId="4" fontId="32" fillId="34" borderId="516">
      <alignment horizontal="right" vertical="center"/>
    </xf>
    <xf numFmtId="4" fontId="34" fillId="33" borderId="516"/>
    <xf numFmtId="0" fontId="65" fillId="0" borderId="522" applyNumberFormat="0" applyFill="0" applyAlignment="0" applyProtection="0"/>
    <xf numFmtId="0" fontId="34" fillId="0" borderId="529">
      <alignment horizontal="left" vertical="center" wrapText="1" indent="2"/>
    </xf>
    <xf numFmtId="0" fontId="43" fillId="56" borderId="520" applyNumberFormat="0" applyAlignment="0" applyProtection="0"/>
    <xf numFmtId="0" fontId="45" fillId="56" borderId="521" applyNumberFormat="0" applyAlignment="0" applyProtection="0"/>
    <xf numFmtId="0" fontId="46" fillId="56" borderId="521" applyNumberFormat="0" applyAlignment="0" applyProtection="0"/>
    <xf numFmtId="0" fontId="62" fillId="56" borderId="520" applyNumberFormat="0" applyAlignment="0" applyProtection="0"/>
    <xf numFmtId="0" fontId="32" fillId="34" borderId="518">
      <alignment horizontal="right" vertical="center"/>
    </xf>
    <xf numFmtId="0" fontId="34" fillId="0" borderId="516" applyNumberFormat="0" applyFill="0" applyAlignment="0" applyProtection="0"/>
    <xf numFmtId="49" fontId="34" fillId="0" borderId="517" applyNumberFormat="0" applyFont="0" applyFill="0" applyBorder="0" applyProtection="0">
      <alignment horizontal="left" vertical="center" indent="5"/>
    </xf>
    <xf numFmtId="0" fontId="65" fillId="0" borderId="522" applyNumberFormat="0" applyFill="0" applyAlignment="0" applyProtection="0"/>
    <xf numFmtId="0" fontId="34" fillId="0" borderId="516" applyNumberFormat="0" applyFill="0" applyAlignment="0" applyProtection="0"/>
    <xf numFmtId="0" fontId="26" fillId="26" borderId="0" applyNumberFormat="0" applyBorder="0" applyAlignment="0" applyProtection="0"/>
    <xf numFmtId="0" fontId="34" fillId="0" borderId="535">
      <alignment horizontal="left" vertical="center" wrapText="1" indent="2"/>
    </xf>
    <xf numFmtId="0" fontId="26" fillId="24" borderId="0" applyNumberFormat="0" applyBorder="0" applyAlignment="0" applyProtection="0"/>
    <xf numFmtId="0" fontId="34" fillId="0" borderId="554">
      <alignment horizontal="left" vertical="center" wrapText="1" indent="2"/>
    </xf>
    <xf numFmtId="0" fontId="40" fillId="59" borderId="531" applyNumberFormat="0" applyFont="0" applyAlignment="0" applyProtection="0"/>
    <xf numFmtId="0" fontId="40" fillId="59" borderId="515" applyNumberFormat="0" applyFont="0" applyAlignment="0" applyProtection="0"/>
    <xf numFmtId="0" fontId="12" fillId="16" borderId="0" applyNumberFormat="0" applyBorder="0" applyAlignment="0" applyProtection="0"/>
    <xf numFmtId="0" fontId="34" fillId="32" borderId="552">
      <alignment horizontal="left" vertical="center"/>
    </xf>
    <xf numFmtId="0" fontId="36" fillId="32" borderId="551">
      <alignment horizontal="right" vertical="center"/>
    </xf>
    <xf numFmtId="49" fontId="33" fillId="0" borderId="551" applyNumberFormat="0" applyFill="0" applyBorder="0" applyProtection="0">
      <alignment horizontal="left" vertical="center"/>
    </xf>
    <xf numFmtId="0" fontId="26" fillId="18" borderId="0" applyNumberFormat="0" applyBorder="0" applyAlignment="0" applyProtection="0"/>
    <xf numFmtId="0" fontId="26" fillId="27" borderId="0" applyNumberFormat="0" applyBorder="0" applyAlignment="0" applyProtection="0"/>
    <xf numFmtId="0" fontId="12" fillId="16" borderId="0" applyNumberFormat="0" applyBorder="0" applyAlignment="0" applyProtection="0"/>
    <xf numFmtId="0" fontId="34" fillId="0" borderId="519">
      <alignment horizontal="left" vertical="center" wrapText="1" indent="2"/>
    </xf>
    <xf numFmtId="0" fontId="58" fillId="43" borderId="548" applyNumberFormat="0" applyAlignment="0" applyProtection="0"/>
    <xf numFmtId="4" fontId="32" fillId="32" borderId="516">
      <alignment horizontal="right" vertical="center"/>
    </xf>
    <xf numFmtId="0" fontId="1" fillId="0" borderId="0" applyNumberFormat="0" applyFill="0" applyBorder="0" applyAlignment="0" applyProtection="0"/>
    <xf numFmtId="0" fontId="62" fillId="56" borderId="520" applyNumberFormat="0" applyAlignment="0" applyProtection="0"/>
    <xf numFmtId="49" fontId="34" fillId="0" borderId="517" applyNumberFormat="0" applyFont="0" applyFill="0" applyBorder="0" applyProtection="0">
      <alignment horizontal="left" vertical="center" indent="5"/>
    </xf>
    <xf numFmtId="4" fontId="34" fillId="0" borderId="516">
      <alignment horizontal="right" vertical="center"/>
    </xf>
    <xf numFmtId="0" fontId="58" fillId="43" borderId="523" applyNumberFormat="0" applyAlignment="0" applyProtection="0"/>
    <xf numFmtId="0" fontId="65" fillId="0" borderId="549" applyNumberFormat="0" applyFill="0" applyAlignment="0" applyProtection="0"/>
    <xf numFmtId="0" fontId="26" fillId="29" borderId="0" applyNumberFormat="0" applyBorder="0" applyAlignment="0" applyProtection="0"/>
    <xf numFmtId="0" fontId="50" fillId="0" borderId="522" applyNumberFormat="0" applyFill="0" applyAlignment="0" applyProtection="0"/>
    <xf numFmtId="0" fontId="34" fillId="0" borderId="551" applyNumberFormat="0" applyFill="0" applyAlignment="0" applyProtection="0"/>
    <xf numFmtId="4" fontId="32" fillId="34" borderId="518">
      <alignment horizontal="right" vertical="center"/>
    </xf>
    <xf numFmtId="4" fontId="32" fillId="34" borderId="516">
      <alignment horizontal="right" vertical="center"/>
    </xf>
    <xf numFmtId="4" fontId="32" fillId="34" borderId="516">
      <alignment horizontal="right" vertical="center"/>
    </xf>
    <xf numFmtId="0" fontId="65" fillId="0" borderId="522" applyNumberFormat="0" applyFill="0" applyAlignment="0" applyProtection="0"/>
    <xf numFmtId="0" fontId="46" fillId="56" borderId="521" applyNumberFormat="0" applyAlignment="0" applyProtection="0"/>
    <xf numFmtId="4" fontId="32" fillId="32" borderId="526">
      <alignment horizontal="right" vertical="center"/>
    </xf>
    <xf numFmtId="0" fontId="50" fillId="0" borderId="541" applyNumberFormat="0" applyFill="0" applyAlignment="0" applyProtection="0"/>
    <xf numFmtId="0" fontId="29" fillId="13" borderId="13" applyNumberFormat="0" applyAlignment="0" applyProtection="0"/>
    <xf numFmtId="49" fontId="33" fillId="0" borderId="516" applyNumberFormat="0" applyFill="0" applyBorder="0" applyProtection="0">
      <alignment horizontal="left" vertical="center"/>
    </xf>
    <xf numFmtId="0" fontId="5" fillId="59" borderId="515" applyNumberFormat="0" applyFont="0" applyAlignment="0" applyProtection="0"/>
    <xf numFmtId="4" fontId="32" fillId="34" borderId="516">
      <alignment horizontal="right" vertical="center"/>
    </xf>
    <xf numFmtId="0" fontId="26" fillId="26" borderId="0" applyNumberFormat="0" applyBorder="0" applyAlignment="0" applyProtection="0"/>
    <xf numFmtId="0" fontId="34" fillId="34" borderId="535">
      <alignment horizontal="left" vertical="center" wrapText="1" indent="2"/>
    </xf>
    <xf numFmtId="0" fontId="32" fillId="34" borderId="527">
      <alignment horizontal="right" vertical="center"/>
    </xf>
    <xf numFmtId="0" fontId="12" fillId="31" borderId="0" applyNumberFormat="0" applyBorder="0" applyAlignment="0" applyProtection="0"/>
    <xf numFmtId="49" fontId="34" fillId="0" borderId="516" applyNumberFormat="0" applyFont="0" applyFill="0" applyBorder="0" applyProtection="0">
      <alignment horizontal="left" vertical="center" indent="2"/>
    </xf>
    <xf numFmtId="0" fontId="65" fillId="0" borderId="522" applyNumberFormat="0" applyFill="0" applyAlignment="0" applyProtection="0"/>
    <xf numFmtId="4" fontId="34" fillId="0" borderId="516" applyFill="0" applyBorder="0" applyProtection="0">
      <alignment horizontal="right" vertical="center"/>
    </xf>
    <xf numFmtId="0" fontId="58" fillId="43" borderId="521" applyNumberFormat="0" applyAlignment="0" applyProtection="0"/>
    <xf numFmtId="49" fontId="33" fillId="0" borderId="516" applyNumberFormat="0" applyFill="0" applyBorder="0" applyProtection="0">
      <alignment horizontal="left" vertical="center"/>
    </xf>
    <xf numFmtId="49" fontId="34" fillId="0" borderId="516" applyNumberFormat="0" applyFont="0" applyFill="0" applyBorder="0" applyProtection="0">
      <alignment horizontal="left" vertical="center" indent="2"/>
    </xf>
    <xf numFmtId="4" fontId="34" fillId="0" borderId="516" applyFill="0" applyBorder="0" applyProtection="0">
      <alignment horizontal="right" vertical="center"/>
    </xf>
    <xf numFmtId="0" fontId="32" fillId="32" borderId="543">
      <alignment horizontal="right" vertical="center"/>
    </xf>
    <xf numFmtId="173" fontId="34" fillId="60" borderId="516" applyNumberFormat="0" applyFont="0" applyBorder="0" applyAlignment="0" applyProtection="0">
      <alignment horizontal="right" vertical="center"/>
    </xf>
    <xf numFmtId="0" fontId="34" fillId="33" borderId="526"/>
    <xf numFmtId="49" fontId="33" fillId="0" borderId="551" applyNumberFormat="0" applyFill="0" applyBorder="0" applyProtection="0">
      <alignment horizontal="left" vertical="center"/>
    </xf>
    <xf numFmtId="0" fontId="36" fillId="32" borderId="516">
      <alignment horizontal="right" vertical="center"/>
    </xf>
    <xf numFmtId="0" fontId="32" fillId="32" borderId="532">
      <alignment horizontal="right" vertical="center"/>
    </xf>
    <xf numFmtId="4" fontId="34" fillId="0" borderId="532">
      <alignment horizontal="right" vertical="center"/>
    </xf>
    <xf numFmtId="0" fontId="49" fillId="43" borderId="521" applyNumberFormat="0" applyAlignment="0" applyProtection="0"/>
    <xf numFmtId="4" fontId="32" fillId="34" borderId="516">
      <alignment horizontal="right" vertical="center"/>
    </xf>
    <xf numFmtId="0" fontId="34" fillId="32" borderId="517">
      <alignment horizontal="left" vertical="center"/>
    </xf>
    <xf numFmtId="0" fontId="12" fillId="19" borderId="0" applyNumberFormat="0" applyBorder="0" applyAlignment="0" applyProtection="0"/>
    <xf numFmtId="0" fontId="34" fillId="0" borderId="551">
      <alignment horizontal="right" vertical="center"/>
    </xf>
    <xf numFmtId="4" fontId="32" fillId="34" borderId="528">
      <alignment horizontal="right" vertical="center"/>
    </xf>
    <xf numFmtId="0" fontId="62" fillId="56" borderId="547" applyNumberFormat="0" applyAlignment="0" applyProtection="0"/>
    <xf numFmtId="0" fontId="12" fillId="28" borderId="0" applyNumberFormat="0" applyBorder="0" applyAlignment="0" applyProtection="0"/>
    <xf numFmtId="0" fontId="34" fillId="32" borderId="552">
      <alignment horizontal="left" vertical="center"/>
    </xf>
    <xf numFmtId="0" fontId="32" fillId="34" borderId="516">
      <alignment horizontal="right" vertical="center"/>
    </xf>
    <xf numFmtId="0" fontId="34" fillId="34" borderId="519">
      <alignment horizontal="left" vertical="center" wrapText="1" indent="2"/>
    </xf>
    <xf numFmtId="173" fontId="34" fillId="60" borderId="516" applyNumberFormat="0" applyFont="0" applyBorder="0" applyAlignment="0" applyProtection="0">
      <alignment horizontal="right" vertical="center"/>
    </xf>
    <xf numFmtId="0" fontId="40" fillId="59" borderId="515" applyNumberFormat="0" applyFont="0" applyAlignment="0" applyProtection="0"/>
    <xf numFmtId="49" fontId="34" fillId="0" borderId="516" applyNumberFormat="0" applyFont="0" applyFill="0" applyBorder="0" applyProtection="0">
      <alignment horizontal="left" vertical="center" indent="2"/>
    </xf>
    <xf numFmtId="49" fontId="33" fillId="0" borderId="532" applyNumberFormat="0" applyFill="0" applyBorder="0" applyProtection="0">
      <alignment horizontal="left" vertical="center"/>
    </xf>
    <xf numFmtId="0" fontId="40" fillId="59" borderId="525" applyNumberFormat="0" applyFont="0" applyAlignment="0" applyProtection="0"/>
    <xf numFmtId="0" fontId="26" fillId="14" borderId="0" applyNumberFormat="0" applyBorder="0" applyAlignment="0" applyProtection="0"/>
    <xf numFmtId="49" fontId="33" fillId="0" borderId="516" applyNumberFormat="0" applyFill="0" applyBorder="0" applyProtection="0">
      <alignment horizontal="left" vertical="center"/>
    </xf>
    <xf numFmtId="173" fontId="34" fillId="60" borderId="516" applyNumberFormat="0" applyFont="0" applyBorder="0" applyAlignment="0" applyProtection="0">
      <alignment horizontal="right" vertical="center"/>
    </xf>
    <xf numFmtId="0" fontId="62" fillId="56" borderId="520" applyNumberFormat="0" applyAlignment="0" applyProtection="0"/>
    <xf numFmtId="0" fontId="34" fillId="0" borderId="516">
      <alignment horizontal="right" vertical="center"/>
    </xf>
    <xf numFmtId="0" fontId="34" fillId="33" borderId="516"/>
    <xf numFmtId="4" fontId="32" fillId="34" borderId="516">
      <alignment horizontal="right" vertical="center"/>
    </xf>
    <xf numFmtId="0" fontId="34" fillId="33" borderId="516"/>
    <xf numFmtId="0" fontId="58" fillId="43" borderId="521" applyNumberFormat="0" applyAlignment="0" applyProtection="0"/>
    <xf numFmtId="4" fontId="32" fillId="34" borderId="526">
      <alignment horizontal="right" vertical="center"/>
    </xf>
    <xf numFmtId="0" fontId="36" fillId="32" borderId="516">
      <alignment horizontal="right" vertical="center"/>
    </xf>
    <xf numFmtId="0" fontId="34" fillId="0" borderId="519">
      <alignment horizontal="left" vertical="center" wrapText="1" indent="2"/>
    </xf>
    <xf numFmtId="0" fontId="32" fillId="32" borderId="516">
      <alignment horizontal="right" vertical="center"/>
    </xf>
    <xf numFmtId="0" fontId="49" fillId="43" borderId="521" applyNumberFormat="0" applyAlignment="0" applyProtection="0"/>
    <xf numFmtId="0" fontId="34" fillId="34" borderId="519">
      <alignment horizontal="left" vertical="center" wrapText="1" indent="2"/>
    </xf>
    <xf numFmtId="4" fontId="36" fillId="32" borderId="543">
      <alignment horizontal="right" vertical="center"/>
    </xf>
    <xf numFmtId="0" fontId="34" fillId="0" borderId="551" applyNumberFormat="0" applyFill="0" applyAlignment="0" applyProtection="0"/>
    <xf numFmtId="0" fontId="46" fillId="56" borderId="540" applyNumberFormat="0" applyAlignment="0" applyProtection="0"/>
    <xf numFmtId="0" fontId="26" fillId="24" borderId="0" applyNumberFormat="0" applyBorder="0" applyAlignment="0" applyProtection="0"/>
    <xf numFmtId="49" fontId="34" fillId="0" borderId="551" applyNumberFormat="0" applyFont="0" applyFill="0" applyBorder="0" applyProtection="0">
      <alignment horizontal="left" vertical="center" indent="2"/>
    </xf>
    <xf numFmtId="4" fontId="36" fillId="32" borderId="551">
      <alignment horizontal="right" vertical="center"/>
    </xf>
    <xf numFmtId="0" fontId="45" fillId="56" borderId="521" applyNumberFormat="0" applyAlignment="0" applyProtection="0"/>
    <xf numFmtId="0" fontId="36" fillId="32" borderId="516">
      <alignment horizontal="right" vertical="center"/>
    </xf>
    <xf numFmtId="0" fontId="26" fillId="21" borderId="0" applyNumberFormat="0" applyBorder="0" applyAlignment="0" applyProtection="0"/>
    <xf numFmtId="0" fontId="1" fillId="0" borderId="0" applyNumberFormat="0" applyFill="0" applyBorder="0" applyAlignment="0" applyProtection="0"/>
    <xf numFmtId="0" fontId="26" fillId="20" borderId="0" applyNumberFormat="0" applyBorder="0" applyAlignment="0" applyProtection="0"/>
    <xf numFmtId="0" fontId="34" fillId="32" borderId="552">
      <alignment horizontal="left" vertical="center"/>
    </xf>
    <xf numFmtId="0" fontId="30" fillId="0" borderId="0" applyNumberFormat="0" applyFill="0" applyBorder="0" applyAlignment="0" applyProtection="0"/>
    <xf numFmtId="0" fontId="34" fillId="0" borderId="551">
      <alignment horizontal="right" vertical="center"/>
    </xf>
    <xf numFmtId="0" fontId="32" fillId="34" borderId="516">
      <alignment horizontal="right" vertical="center"/>
    </xf>
    <xf numFmtId="4" fontId="34" fillId="0" borderId="516" applyFill="0" applyBorder="0" applyProtection="0">
      <alignment horizontal="right" vertical="center"/>
    </xf>
    <xf numFmtId="0" fontId="34" fillId="34" borderId="519">
      <alignment horizontal="left" vertical="center" wrapText="1" indent="2"/>
    </xf>
    <xf numFmtId="0" fontId="40" fillId="59" borderId="515" applyNumberFormat="0" applyFont="0" applyAlignment="0" applyProtection="0"/>
    <xf numFmtId="0" fontId="49" fillId="43" borderId="521" applyNumberFormat="0" applyAlignment="0" applyProtection="0"/>
    <xf numFmtId="4" fontId="34" fillId="33" borderId="516"/>
    <xf numFmtId="4" fontId="34" fillId="0" borderId="516" applyFill="0" applyBorder="0" applyProtection="0">
      <alignment horizontal="right" vertical="center"/>
    </xf>
    <xf numFmtId="0" fontId="65" fillId="0" borderId="522" applyNumberFormat="0" applyFill="0" applyAlignment="0" applyProtection="0"/>
    <xf numFmtId="0" fontId="34" fillId="32" borderId="517">
      <alignment horizontal="left" vertical="center"/>
    </xf>
    <xf numFmtId="0" fontId="34" fillId="0" borderId="519">
      <alignment horizontal="left" vertical="center" wrapText="1" indent="2"/>
    </xf>
    <xf numFmtId="0" fontId="34" fillId="0" borderId="532" applyNumberFormat="0" applyFill="0" applyAlignment="0" applyProtection="0"/>
    <xf numFmtId="0" fontId="58" fillId="43" borderId="521" applyNumberFormat="0" applyAlignment="0" applyProtection="0"/>
    <xf numFmtId="0" fontId="34" fillId="34" borderId="519">
      <alignment horizontal="left" vertical="center" wrapText="1" indent="2"/>
    </xf>
    <xf numFmtId="0" fontId="5" fillId="59" borderId="550" applyNumberFormat="0" applyFont="0" applyAlignment="0" applyProtection="0"/>
    <xf numFmtId="0" fontId="26" fillId="18" borderId="0" applyNumberFormat="0" applyBorder="0" applyAlignment="0" applyProtection="0"/>
    <xf numFmtId="0" fontId="26" fillId="17" borderId="0" applyNumberFormat="0" applyBorder="0" applyAlignment="0" applyProtection="0"/>
    <xf numFmtId="0" fontId="34" fillId="34" borderId="554">
      <alignment horizontal="left" vertical="center" wrapText="1" indent="2"/>
    </xf>
    <xf numFmtId="0" fontId="40" fillId="59" borderId="515" applyNumberFormat="0" applyFont="0" applyAlignment="0" applyProtection="0"/>
    <xf numFmtId="0" fontId="58" fillId="43" borderId="521" applyNumberFormat="0" applyAlignment="0" applyProtection="0"/>
    <xf numFmtId="4" fontId="34" fillId="33" borderId="516"/>
    <xf numFmtId="0" fontId="46" fillId="56" borderId="521" applyNumberFormat="0" applyAlignment="0" applyProtection="0"/>
    <xf numFmtId="0" fontId="58" fillId="43" borderId="521" applyNumberFormat="0" applyAlignment="0" applyProtection="0"/>
    <xf numFmtId="4" fontId="32" fillId="34" borderId="516">
      <alignment horizontal="right" vertical="center"/>
    </xf>
    <xf numFmtId="0" fontId="50" fillId="0" borderId="522" applyNumberFormat="0" applyFill="0" applyAlignment="0" applyProtection="0"/>
    <xf numFmtId="0" fontId="12" fillId="19" borderId="0" applyNumberFormat="0" applyBorder="0" applyAlignment="0" applyProtection="0"/>
    <xf numFmtId="0" fontId="34" fillId="0" borderId="554">
      <alignment horizontal="left" vertical="center" wrapText="1" indent="2"/>
    </xf>
    <xf numFmtId="0" fontId="34" fillId="34" borderId="554">
      <alignment horizontal="left" vertical="center" wrapText="1" indent="2"/>
    </xf>
    <xf numFmtId="0" fontId="26" fillId="30" borderId="0" applyNumberFormat="0" applyBorder="0" applyAlignment="0" applyProtection="0"/>
    <xf numFmtId="0" fontId="36" fillId="32" borderId="526">
      <alignment horizontal="right" vertical="center"/>
    </xf>
    <xf numFmtId="4" fontId="34" fillId="33" borderId="551"/>
    <xf numFmtId="0" fontId="49" fillId="43" borderId="521" applyNumberFormat="0" applyAlignment="0" applyProtection="0"/>
    <xf numFmtId="0" fontId="26" fillId="30" borderId="0" applyNumberFormat="0" applyBorder="0" applyAlignment="0" applyProtection="0"/>
    <xf numFmtId="0" fontId="65" fillId="0" borderId="541" applyNumberFormat="0" applyFill="0" applyAlignment="0" applyProtection="0"/>
    <xf numFmtId="4" fontId="36" fillId="32" borderId="558">
      <alignment horizontal="right" vertical="center"/>
    </xf>
    <xf numFmtId="0" fontId="32" fillId="34" borderId="551">
      <alignment horizontal="right" vertical="center"/>
    </xf>
    <xf numFmtId="0" fontId="12" fillId="28" borderId="0" applyNumberFormat="0" applyBorder="0" applyAlignment="0" applyProtection="0"/>
    <xf numFmtId="4" fontId="32" fillId="34" borderId="534">
      <alignment horizontal="right" vertical="center"/>
    </xf>
    <xf numFmtId="0" fontId="34" fillId="34" borderId="519">
      <alignment horizontal="left" vertical="center" wrapText="1" indent="2"/>
    </xf>
    <xf numFmtId="0" fontId="65" fillId="0" borderId="549" applyNumberFormat="0" applyFill="0" applyAlignment="0" applyProtection="0"/>
    <xf numFmtId="0" fontId="62" fillId="56" borderId="520" applyNumberFormat="0" applyAlignment="0" applyProtection="0"/>
    <xf numFmtId="0" fontId="58" fillId="43" borderId="521" applyNumberFormat="0" applyAlignment="0" applyProtection="0"/>
    <xf numFmtId="4" fontId="32" fillId="34" borderId="516">
      <alignment horizontal="right" vertical="center"/>
    </xf>
    <xf numFmtId="0" fontId="34" fillId="33" borderId="516"/>
    <xf numFmtId="0" fontId="32" fillId="34" borderId="552">
      <alignment horizontal="right" vertical="center"/>
    </xf>
    <xf numFmtId="0" fontId="5" fillId="59" borderId="531" applyNumberFormat="0" applyFont="0" applyAlignment="0" applyProtection="0"/>
    <xf numFmtId="0" fontId="34" fillId="0" borderId="519">
      <alignment horizontal="left" vertical="center" wrapText="1" indent="2"/>
    </xf>
    <xf numFmtId="0" fontId="50" fillId="0" borderId="549" applyNumberFormat="0" applyFill="0" applyAlignment="0" applyProtection="0"/>
    <xf numFmtId="0" fontId="65" fillId="0" borderId="541" applyNumberFormat="0" applyFill="0" applyAlignment="0" applyProtection="0"/>
    <xf numFmtId="0" fontId="12" fillId="25" borderId="0" applyNumberFormat="0" applyBorder="0" applyAlignment="0" applyProtection="0"/>
    <xf numFmtId="4" fontId="36" fillId="32" borderId="551">
      <alignment horizontal="right" vertical="center"/>
    </xf>
    <xf numFmtId="0" fontId="45" fillId="56" borderId="521" applyNumberFormat="0" applyAlignment="0" applyProtection="0"/>
    <xf numFmtId="0" fontId="40" fillId="59" borderId="550" applyNumberFormat="0" applyFont="0" applyAlignment="0" applyProtection="0"/>
    <xf numFmtId="173" fontId="34" fillId="60" borderId="526" applyNumberFormat="0" applyFont="0" applyBorder="0" applyAlignment="0" applyProtection="0">
      <alignment horizontal="right" vertical="center"/>
    </xf>
    <xf numFmtId="4" fontId="32" fillId="32" borderId="516">
      <alignment horizontal="right" vertical="center"/>
    </xf>
    <xf numFmtId="0" fontId="32" fillId="32" borderId="516">
      <alignment horizontal="right" vertical="center"/>
    </xf>
    <xf numFmtId="0" fontId="32" fillId="34" borderId="516">
      <alignment horizontal="right" vertical="center"/>
    </xf>
    <xf numFmtId="0" fontId="40" fillId="59" borderId="550" applyNumberFormat="0" applyFont="0" applyAlignment="0" applyProtection="0"/>
    <xf numFmtId="0" fontId="40" fillId="59" borderId="542" applyNumberFormat="0" applyFont="0" applyAlignment="0" applyProtection="0"/>
    <xf numFmtId="0" fontId="26" fillId="30" borderId="0" applyNumberFormat="0" applyBorder="0" applyAlignment="0" applyProtection="0"/>
    <xf numFmtId="4" fontId="32" fillId="34" borderId="553">
      <alignment horizontal="right" vertical="center"/>
    </xf>
    <xf numFmtId="0" fontId="62" fillId="56" borderId="520" applyNumberFormat="0" applyAlignment="0" applyProtection="0"/>
    <xf numFmtId="0" fontId="26" fillId="18" borderId="0" applyNumberFormat="0" applyBorder="0" applyAlignment="0" applyProtection="0"/>
    <xf numFmtId="49" fontId="34" fillId="0" borderId="516" applyNumberFormat="0" applyFont="0" applyFill="0" applyBorder="0" applyProtection="0">
      <alignment horizontal="left" vertical="center" indent="2"/>
    </xf>
    <xf numFmtId="0" fontId="40" fillId="59" borderId="515" applyNumberFormat="0" applyFont="0" applyAlignment="0" applyProtection="0"/>
    <xf numFmtId="173" fontId="34" fillId="60" borderId="516" applyNumberFormat="0" applyFont="0" applyBorder="0" applyAlignment="0" applyProtection="0">
      <alignment horizontal="right" vertical="center"/>
    </xf>
    <xf numFmtId="0" fontId="58" fillId="43" borderId="521" applyNumberFormat="0" applyAlignment="0" applyProtection="0"/>
    <xf numFmtId="0" fontId="32" fillId="34" borderId="516">
      <alignment horizontal="right" vertical="center"/>
    </xf>
    <xf numFmtId="0" fontId="34" fillId="33" borderId="516"/>
    <xf numFmtId="0" fontId="62" fillId="56" borderId="520" applyNumberFormat="0" applyAlignment="0" applyProtection="0"/>
    <xf numFmtId="0" fontId="46" fillId="56" borderId="521" applyNumberFormat="0" applyAlignment="0" applyProtection="0"/>
    <xf numFmtId="0" fontId="45" fillId="56" borderId="521" applyNumberFormat="0" applyAlignment="0" applyProtection="0"/>
    <xf numFmtId="0" fontId="49" fillId="43" borderId="521" applyNumberFormat="0" applyAlignment="0" applyProtection="0"/>
    <xf numFmtId="0" fontId="49" fillId="43" borderId="521" applyNumberFormat="0" applyAlignment="0" applyProtection="0"/>
    <xf numFmtId="0" fontId="34" fillId="0" borderId="519">
      <alignment horizontal="left" vertical="center" wrapText="1" indent="2"/>
    </xf>
    <xf numFmtId="4" fontId="32" fillId="34" borderId="517">
      <alignment horizontal="right" vertical="center"/>
    </xf>
    <xf numFmtId="4" fontId="34" fillId="0" borderId="516">
      <alignment horizontal="right" vertical="center"/>
    </xf>
    <xf numFmtId="49" fontId="33" fillId="0" borderId="516" applyNumberFormat="0" applyFill="0" applyBorder="0" applyProtection="0">
      <alignment horizontal="left" vertical="center"/>
    </xf>
    <xf numFmtId="4" fontId="34" fillId="0" borderId="516">
      <alignment horizontal="right" vertical="center"/>
    </xf>
    <xf numFmtId="0" fontId="62" fillId="56" borderId="520" applyNumberFormat="0" applyAlignment="0" applyProtection="0"/>
    <xf numFmtId="0" fontId="34" fillId="34" borderId="546">
      <alignment horizontal="left" vertical="center" wrapText="1" indent="2"/>
    </xf>
    <xf numFmtId="0" fontId="26" fillId="14" borderId="0" applyNumberFormat="0" applyBorder="0" applyAlignment="0" applyProtection="0"/>
    <xf numFmtId="0" fontId="26" fillId="24" borderId="0" applyNumberFormat="0" applyBorder="0" applyAlignment="0" applyProtection="0"/>
    <xf numFmtId="0" fontId="34" fillId="0" borderId="519">
      <alignment horizontal="left" vertical="center" wrapText="1" indent="2"/>
    </xf>
    <xf numFmtId="0" fontId="12" fillId="22" borderId="0" applyNumberFormat="0" applyBorder="0" applyAlignment="0" applyProtection="0"/>
    <xf numFmtId="49" fontId="33" fillId="0" borderId="558" applyNumberFormat="0" applyFill="0" applyBorder="0" applyProtection="0">
      <alignment horizontal="left" vertical="center"/>
    </xf>
    <xf numFmtId="0" fontId="32" fillId="34" borderId="543">
      <alignment horizontal="right" vertical="center"/>
    </xf>
    <xf numFmtId="0" fontId="65" fillId="0" borderId="556" applyNumberFormat="0" applyFill="0" applyAlignment="0" applyProtection="0"/>
    <xf numFmtId="0" fontId="34" fillId="34" borderId="529">
      <alignment horizontal="left" vertical="center" wrapText="1" indent="2"/>
    </xf>
    <xf numFmtId="0" fontId="46" fillId="56" borderId="523" applyNumberFormat="0" applyAlignment="0" applyProtection="0"/>
    <xf numFmtId="0" fontId="40" fillId="59" borderId="515" applyNumberFormat="0" applyFont="0" applyAlignment="0" applyProtection="0"/>
    <xf numFmtId="0" fontId="12" fillId="31" borderId="0" applyNumberFormat="0" applyBorder="0" applyAlignment="0" applyProtection="0"/>
    <xf numFmtId="0" fontId="32" fillId="32" borderId="516">
      <alignment horizontal="right" vertical="center"/>
    </xf>
    <xf numFmtId="0" fontId="12" fillId="19" borderId="0" applyNumberFormat="0" applyBorder="0" applyAlignment="0" applyProtection="0"/>
    <xf numFmtId="0" fontId="26" fillId="21" borderId="0" applyNumberFormat="0" applyBorder="0" applyAlignment="0" applyProtection="0"/>
    <xf numFmtId="0" fontId="34" fillId="0" borderId="516" applyNumberFormat="0" applyFill="0" applyAlignment="0" applyProtection="0"/>
    <xf numFmtId="49" fontId="33" fillId="0" borderId="516" applyNumberFormat="0" applyFill="0" applyBorder="0" applyProtection="0">
      <alignment horizontal="left" vertical="center"/>
    </xf>
    <xf numFmtId="0" fontId="34" fillId="0" borderId="516">
      <alignment horizontal="right" vertical="center"/>
    </xf>
    <xf numFmtId="0" fontId="26" fillId="27" borderId="0" applyNumberFormat="0" applyBorder="0" applyAlignment="0" applyProtection="0"/>
    <xf numFmtId="0" fontId="34" fillId="34" borderId="561">
      <alignment horizontal="left" vertical="center" wrapText="1" indent="2"/>
    </xf>
    <xf numFmtId="0" fontId="36" fillId="32" borderId="558">
      <alignment horizontal="right" vertical="center"/>
    </xf>
    <xf numFmtId="4" fontId="32" fillId="32" borderId="516">
      <alignment horizontal="right" vertical="center"/>
    </xf>
    <xf numFmtId="0" fontId="34" fillId="0" borderId="561">
      <alignment horizontal="left" vertical="center" wrapText="1" indent="2"/>
    </xf>
    <xf numFmtId="0" fontId="46" fillId="56" borderId="521" applyNumberFormat="0" applyAlignment="0" applyProtection="0"/>
    <xf numFmtId="0" fontId="32" fillId="34" borderId="518">
      <alignment horizontal="right" vertical="center"/>
    </xf>
    <xf numFmtId="4" fontId="32" fillId="32" borderId="516">
      <alignment horizontal="right" vertical="center"/>
    </xf>
    <xf numFmtId="0" fontId="32" fillId="34" borderId="516">
      <alignment horizontal="right" vertical="center"/>
    </xf>
    <xf numFmtId="0" fontId="46" fillId="56" borderId="521" applyNumberFormat="0" applyAlignment="0" applyProtection="0"/>
    <xf numFmtId="0" fontId="32" fillId="34" borderId="526">
      <alignment horizontal="right" vertical="center"/>
    </xf>
    <xf numFmtId="0" fontId="28" fillId="13" borderId="14" applyNumberFormat="0" applyAlignment="0" applyProtection="0"/>
    <xf numFmtId="4" fontId="34" fillId="0" borderId="516" applyFill="0" applyBorder="0" applyProtection="0">
      <alignment horizontal="right" vertical="center"/>
    </xf>
    <xf numFmtId="0" fontId="40" fillId="59" borderId="515" applyNumberFormat="0" applyFont="0" applyAlignment="0" applyProtection="0"/>
    <xf numFmtId="0" fontId="46" fillId="56" borderId="548" applyNumberFormat="0" applyAlignment="0" applyProtection="0"/>
    <xf numFmtId="0" fontId="34" fillId="0" borderId="554">
      <alignment horizontal="left" vertical="center" wrapText="1" indent="2"/>
    </xf>
    <xf numFmtId="0" fontId="5" fillId="59" borderId="542" applyNumberFormat="0" applyFont="0" applyAlignment="0" applyProtection="0"/>
    <xf numFmtId="0" fontId="32" fillId="32" borderId="516">
      <alignment horizontal="right" vertical="center"/>
    </xf>
    <xf numFmtId="0" fontId="50" fillId="0" borderId="522" applyNumberFormat="0" applyFill="0" applyAlignment="0" applyProtection="0"/>
    <xf numFmtId="0" fontId="34" fillId="0" borderId="516" applyNumberFormat="0" applyFill="0" applyAlignment="0" applyProtection="0"/>
    <xf numFmtId="0" fontId="50" fillId="0" borderId="522" applyNumberFormat="0" applyFill="0" applyAlignment="0" applyProtection="0"/>
    <xf numFmtId="4" fontId="34" fillId="0" borderId="516" applyFill="0" applyBorder="0" applyProtection="0">
      <alignment horizontal="right" vertical="center"/>
    </xf>
    <xf numFmtId="49" fontId="34" fillId="0" borderId="517" applyNumberFormat="0" applyFont="0" applyFill="0" applyBorder="0" applyProtection="0">
      <alignment horizontal="left" vertical="center" indent="5"/>
    </xf>
    <xf numFmtId="0" fontId="34" fillId="0" borderId="516" applyNumberFormat="0" applyFill="0" applyAlignment="0" applyProtection="0"/>
    <xf numFmtId="0" fontId="34" fillId="0" borderId="543">
      <alignment horizontal="right" vertical="center"/>
    </xf>
    <xf numFmtId="0" fontId="34" fillId="0" borderId="516" applyNumberFormat="0" applyFill="0" applyAlignment="0" applyProtection="0"/>
    <xf numFmtId="0" fontId="62" fillId="56" borderId="547" applyNumberFormat="0" applyAlignment="0" applyProtection="0"/>
    <xf numFmtId="4" fontId="34" fillId="0" borderId="551">
      <alignment horizontal="right" vertical="center"/>
    </xf>
    <xf numFmtId="4" fontId="32" fillId="34" borderId="516">
      <alignment horizontal="right" vertical="center"/>
    </xf>
    <xf numFmtId="0" fontId="32" fillId="32" borderId="551">
      <alignment horizontal="right" vertical="center"/>
    </xf>
    <xf numFmtId="0" fontId="34" fillId="0" borderId="554">
      <alignment horizontal="left" vertical="center" wrapText="1" indent="2"/>
    </xf>
    <xf numFmtId="0" fontId="12" fillId="22" borderId="0" applyNumberFormat="0" applyBorder="0" applyAlignment="0" applyProtection="0"/>
    <xf numFmtId="0" fontId="34" fillId="0" borderId="532">
      <alignment horizontal="right" vertical="center"/>
    </xf>
    <xf numFmtId="0" fontId="49" fillId="43" borderId="521" applyNumberFormat="0" applyAlignment="0" applyProtection="0"/>
    <xf numFmtId="0" fontId="46" fillId="56" borderId="521" applyNumberFormat="0" applyAlignment="0" applyProtection="0"/>
    <xf numFmtId="4" fontId="34" fillId="0" borderId="516">
      <alignment horizontal="right" vertical="center"/>
    </xf>
    <xf numFmtId="0" fontId="34" fillId="34" borderId="519">
      <alignment horizontal="left" vertical="center" wrapText="1" indent="2"/>
    </xf>
    <xf numFmtId="0" fontId="34" fillId="0" borderId="519">
      <alignment horizontal="left" vertical="center" wrapText="1" indent="2"/>
    </xf>
    <xf numFmtId="0" fontId="62" fillId="56" borderId="520" applyNumberFormat="0" applyAlignment="0" applyProtection="0"/>
    <xf numFmtId="0" fontId="58" fillId="43" borderId="521" applyNumberFormat="0" applyAlignment="0" applyProtection="0"/>
    <xf numFmtId="0" fontId="45" fillId="56" borderId="521" applyNumberFormat="0" applyAlignment="0" applyProtection="0"/>
    <xf numFmtId="0" fontId="43" fillId="56" borderId="520" applyNumberFormat="0" applyAlignment="0" applyProtection="0"/>
    <xf numFmtId="0" fontId="32" fillId="34" borderId="518">
      <alignment horizontal="right" vertical="center"/>
    </xf>
    <xf numFmtId="0" fontId="36" fillId="32" borderId="516">
      <alignment horizontal="right" vertical="center"/>
    </xf>
    <xf numFmtId="4" fontId="32" fillId="32" borderId="516">
      <alignment horizontal="right" vertical="center"/>
    </xf>
    <xf numFmtId="4" fontId="32" fillId="34" borderId="516">
      <alignment horizontal="right" vertical="center"/>
    </xf>
    <xf numFmtId="49" fontId="34" fillId="0" borderId="517" applyNumberFormat="0" applyFont="0" applyFill="0" applyBorder="0" applyProtection="0">
      <alignment horizontal="left" vertical="center" indent="5"/>
    </xf>
    <xf numFmtId="4" fontId="34" fillId="0" borderId="516" applyFill="0" applyBorder="0" applyProtection="0">
      <alignment horizontal="right" vertical="center"/>
    </xf>
    <xf numFmtId="4" fontId="32" fillId="32" borderId="516">
      <alignment horizontal="right" vertical="center"/>
    </xf>
    <xf numFmtId="0" fontId="58" fillId="43" borderId="521" applyNumberFormat="0" applyAlignment="0" applyProtection="0"/>
    <xf numFmtId="0" fontId="49" fillId="43" borderId="521" applyNumberFormat="0" applyAlignment="0" applyProtection="0"/>
    <xf numFmtId="0" fontId="45" fillId="56" borderId="521" applyNumberFormat="0" applyAlignment="0" applyProtection="0"/>
    <xf numFmtId="0" fontId="34" fillId="34" borderId="519">
      <alignment horizontal="left" vertical="center" wrapText="1" indent="2"/>
    </xf>
    <xf numFmtId="0" fontId="34" fillId="0" borderId="519">
      <alignment horizontal="left" vertical="center" wrapText="1" indent="2"/>
    </xf>
    <xf numFmtId="0" fontId="34" fillId="34" borderId="519">
      <alignment horizontal="left" vertical="center" wrapText="1" indent="2"/>
    </xf>
    <xf numFmtId="0" fontId="32" fillId="34" borderId="528">
      <alignment horizontal="right" vertical="center"/>
    </xf>
    <xf numFmtId="4" fontId="32" fillId="32" borderId="558">
      <alignment horizontal="right" vertical="center"/>
    </xf>
    <xf numFmtId="0" fontId="30" fillId="0" borderId="0" applyNumberFormat="0" applyFill="0" applyBorder="0" applyAlignment="0" applyProtection="0"/>
    <xf numFmtId="0" fontId="26" fillId="24" borderId="0" applyNumberFormat="0" applyBorder="0" applyAlignment="0" applyProtection="0"/>
    <xf numFmtId="49" fontId="33" fillId="0" borderId="543" applyNumberFormat="0" applyFill="0" applyBorder="0" applyProtection="0">
      <alignment horizontal="left" vertical="center"/>
    </xf>
    <xf numFmtId="0" fontId="49" fillId="43" borderId="548" applyNumberFormat="0" applyAlignment="0" applyProtection="0"/>
    <xf numFmtId="0" fontId="65" fillId="0" borderId="549" applyNumberFormat="0" applyFill="0" applyAlignment="0" applyProtection="0"/>
    <xf numFmtId="0" fontId="40" fillId="59" borderId="550" applyNumberFormat="0" applyFont="0" applyAlignment="0" applyProtection="0"/>
    <xf numFmtId="4" fontId="32" fillId="34" borderId="551">
      <alignment horizontal="right" vertical="center"/>
    </xf>
    <xf numFmtId="0" fontId="5" fillId="59" borderId="550" applyNumberFormat="0" applyFont="0" applyAlignment="0" applyProtection="0"/>
    <xf numFmtId="0" fontId="65" fillId="0" borderId="549" applyNumberFormat="0" applyFill="0" applyAlignment="0" applyProtection="0"/>
    <xf numFmtId="0" fontId="46" fillId="56" borderId="555" applyNumberFormat="0" applyAlignment="0" applyProtection="0"/>
    <xf numFmtId="0" fontId="26" fillId="20" borderId="0" applyNumberFormat="0" applyBorder="0" applyAlignment="0" applyProtection="0"/>
    <xf numFmtId="173" fontId="34" fillId="60" borderId="551" applyNumberFormat="0" applyFont="0" applyBorder="0" applyAlignment="0" applyProtection="0">
      <alignment horizontal="right" vertical="center"/>
    </xf>
    <xf numFmtId="0" fontId="32" fillId="34" borderId="558">
      <alignment horizontal="right" vertical="center"/>
    </xf>
    <xf numFmtId="0" fontId="65" fillId="0" borderId="549" applyNumberFormat="0" applyFill="0" applyAlignment="0" applyProtection="0"/>
    <xf numFmtId="0" fontId="40" fillId="59" borderId="550" applyNumberFormat="0" applyFont="0" applyAlignment="0" applyProtection="0"/>
    <xf numFmtId="0" fontId="43" fillId="56" borderId="547" applyNumberFormat="0" applyAlignment="0" applyProtection="0"/>
    <xf numFmtId="0" fontId="26" fillId="26" borderId="0" applyNumberFormat="0" applyBorder="0" applyAlignment="0" applyProtection="0"/>
    <xf numFmtId="0" fontId="65" fillId="0" borderId="549" applyNumberFormat="0" applyFill="0" applyAlignment="0" applyProtection="0"/>
    <xf numFmtId="0" fontId="26" fillId="29" borderId="0" applyNumberFormat="0" applyBorder="0" applyAlignment="0" applyProtection="0"/>
    <xf numFmtId="0" fontId="26" fillId="27" borderId="0" applyNumberFormat="0" applyBorder="0" applyAlignment="0" applyProtection="0"/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12" fillId="22" borderId="0" applyNumberFormat="0" applyBorder="0" applyAlignment="0" applyProtection="0"/>
    <xf numFmtId="0" fontId="12" fillId="16" borderId="0" applyNumberFormat="0" applyBorder="0" applyAlignment="0" applyProtection="0"/>
    <xf numFmtId="0" fontId="32" fillId="34" borderId="552">
      <alignment horizontal="right" vertical="center"/>
    </xf>
    <xf numFmtId="4" fontId="32" fillId="34" borderId="532">
      <alignment horizontal="right" vertical="center"/>
    </xf>
    <xf numFmtId="4" fontId="36" fillId="32" borderId="532">
      <alignment horizontal="right" vertical="center"/>
    </xf>
    <xf numFmtId="4" fontId="32" fillId="34" borderId="526">
      <alignment horizontal="right" vertical="center"/>
    </xf>
    <xf numFmtId="0" fontId="34" fillId="33" borderId="526"/>
    <xf numFmtId="0" fontId="45" fillId="56" borderId="523" applyNumberFormat="0" applyAlignment="0" applyProtection="0"/>
    <xf numFmtId="0" fontId="32" fillId="32" borderId="526">
      <alignment horizontal="right" vertical="center"/>
    </xf>
    <xf numFmtId="0" fontId="34" fillId="0" borderId="526">
      <alignment horizontal="right" vertical="center"/>
    </xf>
    <xf numFmtId="0" fontId="65" fillId="0" borderId="524" applyNumberFormat="0" applyFill="0" applyAlignment="0" applyProtection="0"/>
    <xf numFmtId="0" fontId="34" fillId="32" borderId="527">
      <alignment horizontal="left" vertical="center"/>
    </xf>
    <xf numFmtId="0" fontId="58" fillId="43" borderId="523" applyNumberFormat="0" applyAlignment="0" applyProtection="0"/>
    <xf numFmtId="173" fontId="34" fillId="60" borderId="526" applyNumberFormat="0" applyFont="0" applyBorder="0" applyAlignment="0" applyProtection="0">
      <alignment horizontal="right" vertical="center"/>
    </xf>
    <xf numFmtId="0" fontId="40" fillId="59" borderId="525" applyNumberFormat="0" applyFont="0" applyAlignment="0" applyProtection="0"/>
    <xf numFmtId="0" fontId="34" fillId="0" borderId="529">
      <alignment horizontal="left" vertical="center" wrapText="1" indent="2"/>
    </xf>
    <xf numFmtId="4" fontId="34" fillId="33" borderId="526"/>
    <xf numFmtId="49" fontId="33" fillId="0" borderId="526" applyNumberFormat="0" applyFill="0" applyBorder="0" applyProtection="0">
      <alignment horizontal="left" vertical="center"/>
    </xf>
    <xf numFmtId="0" fontId="34" fillId="0" borderId="526">
      <alignment horizontal="right" vertical="center"/>
    </xf>
    <xf numFmtId="4" fontId="32" fillId="34" borderId="528">
      <alignment horizontal="right" vertical="center"/>
    </xf>
    <xf numFmtId="4" fontId="32" fillId="34" borderId="526">
      <alignment horizontal="right" vertical="center"/>
    </xf>
    <xf numFmtId="4" fontId="32" fillId="34" borderId="526">
      <alignment horizontal="right" vertical="center"/>
    </xf>
    <xf numFmtId="0" fontId="36" fillId="32" borderId="526">
      <alignment horizontal="right" vertical="center"/>
    </xf>
    <xf numFmtId="0" fontId="32" fillId="32" borderId="526">
      <alignment horizontal="right" vertical="center"/>
    </xf>
    <xf numFmtId="49" fontId="34" fillId="0" borderId="526" applyNumberFormat="0" applyFont="0" applyFill="0" applyBorder="0" applyProtection="0">
      <alignment horizontal="left" vertical="center" indent="2"/>
    </xf>
    <xf numFmtId="0" fontId="58" fillId="43" borderId="523" applyNumberFormat="0" applyAlignment="0" applyProtection="0"/>
    <xf numFmtId="0" fontId="43" fillId="56" borderId="530" applyNumberFormat="0" applyAlignment="0" applyProtection="0"/>
    <xf numFmtId="49" fontId="34" fillId="0" borderId="526" applyNumberFormat="0" applyFont="0" applyFill="0" applyBorder="0" applyProtection="0">
      <alignment horizontal="left" vertical="center" indent="2"/>
    </xf>
    <xf numFmtId="0" fontId="49" fillId="43" borderId="523" applyNumberFormat="0" applyAlignment="0" applyProtection="0"/>
    <xf numFmtId="4" fontId="34" fillId="0" borderId="526" applyFill="0" applyBorder="0" applyProtection="0">
      <alignment horizontal="right" vertical="center"/>
    </xf>
    <xf numFmtId="0" fontId="46" fillId="56" borderId="523" applyNumberFormat="0" applyAlignment="0" applyProtection="0"/>
    <xf numFmtId="0" fontId="65" fillId="0" borderId="524" applyNumberFormat="0" applyFill="0" applyAlignment="0" applyProtection="0"/>
    <xf numFmtId="0" fontId="62" fillId="56" borderId="530" applyNumberFormat="0" applyAlignment="0" applyProtection="0"/>
    <xf numFmtId="0" fontId="34" fillId="0" borderId="526" applyNumberFormat="0" applyFill="0" applyAlignment="0" applyProtection="0"/>
    <xf numFmtId="4" fontId="34" fillId="0" borderId="526">
      <alignment horizontal="right" vertical="center"/>
    </xf>
    <xf numFmtId="0" fontId="34" fillId="0" borderId="526">
      <alignment horizontal="right" vertical="center"/>
    </xf>
    <xf numFmtId="0" fontId="58" fillId="43" borderId="523" applyNumberFormat="0" applyAlignment="0" applyProtection="0"/>
    <xf numFmtId="0" fontId="43" fillId="56" borderId="530" applyNumberFormat="0" applyAlignment="0" applyProtection="0"/>
    <xf numFmtId="0" fontId="45" fillId="56" borderId="523" applyNumberFormat="0" applyAlignment="0" applyProtection="0"/>
    <xf numFmtId="0" fontId="34" fillId="34" borderId="529">
      <alignment horizontal="left" vertical="center" wrapText="1" indent="2"/>
    </xf>
    <xf numFmtId="0" fontId="46" fillId="56" borderId="523" applyNumberFormat="0" applyAlignment="0" applyProtection="0"/>
    <xf numFmtId="0" fontId="46" fillId="56" borderId="523" applyNumberFormat="0" applyAlignment="0" applyProtection="0"/>
    <xf numFmtId="4" fontId="32" fillId="34" borderId="527">
      <alignment horizontal="right" vertical="center"/>
    </xf>
    <xf numFmtId="0" fontId="32" fillId="34" borderId="527">
      <alignment horizontal="right" vertical="center"/>
    </xf>
    <xf numFmtId="0" fontId="32" fillId="34" borderId="526">
      <alignment horizontal="right" vertical="center"/>
    </xf>
    <xf numFmtId="4" fontId="36" fillId="32" borderId="526">
      <alignment horizontal="right" vertical="center"/>
    </xf>
    <xf numFmtId="0" fontId="49" fillId="43" borderId="523" applyNumberFormat="0" applyAlignment="0" applyProtection="0"/>
    <xf numFmtId="0" fontId="50" fillId="0" borderId="524" applyNumberFormat="0" applyFill="0" applyAlignment="0" applyProtection="0"/>
    <xf numFmtId="0" fontId="65" fillId="0" borderId="524" applyNumberFormat="0" applyFill="0" applyAlignment="0" applyProtection="0"/>
    <xf numFmtId="0" fontId="40" fillId="59" borderId="525" applyNumberFormat="0" applyFont="0" applyAlignment="0" applyProtection="0"/>
    <xf numFmtId="0" fontId="58" fillId="43" borderId="523" applyNumberFormat="0" applyAlignment="0" applyProtection="0"/>
    <xf numFmtId="49" fontId="33" fillId="0" borderId="526" applyNumberFormat="0" applyFill="0" applyBorder="0" applyProtection="0">
      <alignment horizontal="left" vertical="center"/>
    </xf>
    <xf numFmtId="0" fontId="34" fillId="34" borderId="529">
      <alignment horizontal="left" vertical="center" wrapText="1" indent="2"/>
    </xf>
    <xf numFmtId="0" fontId="46" fillId="56" borderId="523" applyNumberFormat="0" applyAlignment="0" applyProtection="0"/>
    <xf numFmtId="0" fontId="34" fillId="0" borderId="529">
      <alignment horizontal="left" vertical="center" wrapText="1" indent="2"/>
    </xf>
    <xf numFmtId="0" fontId="40" fillId="59" borderId="525" applyNumberFormat="0" applyFont="0" applyAlignment="0" applyProtection="0"/>
    <xf numFmtId="0" fontId="5" fillId="59" borderId="525" applyNumberFormat="0" applyFont="0" applyAlignment="0" applyProtection="0"/>
    <xf numFmtId="0" fontId="62" fillId="56" borderId="530" applyNumberFormat="0" applyAlignment="0" applyProtection="0"/>
    <xf numFmtId="0" fontId="65" fillId="0" borderId="524" applyNumberFormat="0" applyFill="0" applyAlignment="0" applyProtection="0"/>
    <xf numFmtId="4" fontId="34" fillId="33" borderId="526"/>
    <xf numFmtId="0" fontId="32" fillId="34" borderId="526">
      <alignment horizontal="right" vertical="center"/>
    </xf>
    <xf numFmtId="0" fontId="65" fillId="0" borderId="524" applyNumberFormat="0" applyFill="0" applyAlignment="0" applyProtection="0"/>
    <xf numFmtId="4" fontId="32" fillId="34" borderId="528">
      <alignment horizontal="right" vertical="center"/>
    </xf>
    <xf numFmtId="0" fontId="45" fillId="56" borderId="523" applyNumberFormat="0" applyAlignment="0" applyProtection="0"/>
    <xf numFmtId="0" fontId="32" fillId="34" borderId="527">
      <alignment horizontal="right" vertical="center"/>
    </xf>
    <xf numFmtId="0" fontId="46" fillId="56" borderId="523" applyNumberFormat="0" applyAlignment="0" applyProtection="0"/>
    <xf numFmtId="0" fontId="50" fillId="0" borderId="524" applyNumberFormat="0" applyFill="0" applyAlignment="0" applyProtection="0"/>
    <xf numFmtId="0" fontId="40" fillId="59" borderId="525" applyNumberFormat="0" applyFont="0" applyAlignment="0" applyProtection="0"/>
    <xf numFmtId="4" fontId="32" fillId="34" borderId="527">
      <alignment horizontal="right" vertical="center"/>
    </xf>
    <xf numFmtId="0" fontId="34" fillId="34" borderId="529">
      <alignment horizontal="left" vertical="center" wrapText="1" indent="2"/>
    </xf>
    <xf numFmtId="0" fontId="34" fillId="33" borderId="526"/>
    <xf numFmtId="173" fontId="34" fillId="60" borderId="526" applyNumberFormat="0" applyFont="0" applyBorder="0" applyAlignment="0" applyProtection="0">
      <alignment horizontal="right" vertical="center"/>
    </xf>
    <xf numFmtId="0" fontId="34" fillId="0" borderId="526" applyNumberFormat="0" applyFill="0" applyAlignment="0" applyProtection="0"/>
    <xf numFmtId="4" fontId="34" fillId="0" borderId="526" applyFill="0" applyBorder="0" applyProtection="0">
      <alignment horizontal="right" vertical="center"/>
    </xf>
    <xf numFmtId="4" fontId="32" fillId="32" borderId="526">
      <alignment horizontal="right" vertical="center"/>
    </xf>
    <xf numFmtId="0" fontId="50" fillId="0" borderId="524" applyNumberFormat="0" applyFill="0" applyAlignment="0" applyProtection="0"/>
    <xf numFmtId="49" fontId="33" fillId="0" borderId="526" applyNumberFormat="0" applyFill="0" applyBorder="0" applyProtection="0">
      <alignment horizontal="left" vertical="center"/>
    </xf>
    <xf numFmtId="49" fontId="34" fillId="0" borderId="527" applyNumberFormat="0" applyFont="0" applyFill="0" applyBorder="0" applyProtection="0">
      <alignment horizontal="left" vertical="center" indent="5"/>
    </xf>
    <xf numFmtId="0" fontId="34" fillId="32" borderId="527">
      <alignment horizontal="left" vertical="center"/>
    </xf>
    <xf numFmtId="0" fontId="46" fillId="56" borderId="523" applyNumberFormat="0" applyAlignment="0" applyProtection="0"/>
    <xf numFmtId="4" fontId="32" fillId="34" borderId="528">
      <alignment horizontal="right" vertical="center"/>
    </xf>
    <xf numFmtId="0" fontId="58" fillId="43" borderId="523" applyNumberFormat="0" applyAlignment="0" applyProtection="0"/>
    <xf numFmtId="0" fontId="58" fillId="43" borderId="523" applyNumberFormat="0" applyAlignment="0" applyProtection="0"/>
    <xf numFmtId="0" fontId="40" fillId="59" borderId="525" applyNumberFormat="0" applyFont="0" applyAlignment="0" applyProtection="0"/>
    <xf numFmtId="0" fontId="62" fillId="56" borderId="530" applyNumberFormat="0" applyAlignment="0" applyProtection="0"/>
    <xf numFmtId="0" fontId="65" fillId="0" borderId="524" applyNumberFormat="0" applyFill="0" applyAlignment="0" applyProtection="0"/>
    <xf numFmtId="0" fontId="32" fillId="34" borderId="526">
      <alignment horizontal="right" vertical="center"/>
    </xf>
    <xf numFmtId="0" fontId="5" fillId="59" borderId="525" applyNumberFormat="0" applyFont="0" applyAlignment="0" applyProtection="0"/>
    <xf numFmtId="4" fontId="34" fillId="0" borderId="526">
      <alignment horizontal="right" vertical="center"/>
    </xf>
    <xf numFmtId="0" fontId="65" fillId="0" borderId="524" applyNumberFormat="0" applyFill="0" applyAlignment="0" applyProtection="0"/>
    <xf numFmtId="0" fontId="32" fillId="34" borderId="526">
      <alignment horizontal="right" vertical="center"/>
    </xf>
    <xf numFmtId="0" fontId="32" fillId="34" borderId="526">
      <alignment horizontal="right" vertical="center"/>
    </xf>
    <xf numFmtId="4" fontId="36" fillId="32" borderId="526">
      <alignment horizontal="right" vertical="center"/>
    </xf>
    <xf numFmtId="0" fontId="32" fillId="32" borderId="526">
      <alignment horizontal="right" vertical="center"/>
    </xf>
    <xf numFmtId="4" fontId="32" fillId="32" borderId="526">
      <alignment horizontal="right" vertical="center"/>
    </xf>
    <xf numFmtId="0" fontId="36" fillId="32" borderId="526">
      <alignment horizontal="right" vertical="center"/>
    </xf>
    <xf numFmtId="4" fontId="36" fillId="32" borderId="526">
      <alignment horizontal="right" vertical="center"/>
    </xf>
    <xf numFmtId="0" fontId="32" fillId="34" borderId="526">
      <alignment horizontal="right" vertical="center"/>
    </xf>
    <xf numFmtId="4" fontId="32" fillId="34" borderId="526">
      <alignment horizontal="right" vertical="center"/>
    </xf>
    <xf numFmtId="0" fontId="32" fillId="34" borderId="526">
      <alignment horizontal="right" vertical="center"/>
    </xf>
    <xf numFmtId="4" fontId="32" fillId="34" borderId="526">
      <alignment horizontal="right" vertical="center"/>
    </xf>
    <xf numFmtId="0" fontId="32" fillId="34" borderId="527">
      <alignment horizontal="right" vertical="center"/>
    </xf>
    <xf numFmtId="4" fontId="32" fillId="34" borderId="527">
      <alignment horizontal="right" vertical="center"/>
    </xf>
    <xf numFmtId="0" fontId="32" fillId="34" borderId="528">
      <alignment horizontal="right" vertical="center"/>
    </xf>
    <xf numFmtId="4" fontId="32" fillId="34" borderId="528">
      <alignment horizontal="right" vertical="center"/>
    </xf>
    <xf numFmtId="0" fontId="46" fillId="56" borderId="523" applyNumberFormat="0" applyAlignment="0" applyProtection="0"/>
    <xf numFmtId="0" fontId="34" fillId="34" borderId="529">
      <alignment horizontal="left" vertical="center" wrapText="1" indent="2"/>
    </xf>
    <xf numFmtId="0" fontId="34" fillId="0" borderId="529">
      <alignment horizontal="left" vertical="center" wrapText="1" indent="2"/>
    </xf>
    <xf numFmtId="0" fontId="34" fillId="32" borderId="527">
      <alignment horizontal="left" vertical="center"/>
    </xf>
    <xf numFmtId="0" fontId="58" fillId="43" borderId="523" applyNumberFormat="0" applyAlignment="0" applyProtection="0"/>
    <xf numFmtId="0" fontId="34" fillId="0" borderId="526">
      <alignment horizontal="right" vertical="center"/>
    </xf>
    <xf numFmtId="4" fontId="34" fillId="0" borderId="526">
      <alignment horizontal="right" vertical="center"/>
    </xf>
    <xf numFmtId="0" fontId="34" fillId="0" borderId="526" applyNumberFormat="0" applyFill="0" applyAlignment="0" applyProtection="0"/>
    <xf numFmtId="0" fontId="62" fillId="56" borderId="530" applyNumberFormat="0" applyAlignment="0" applyProtection="0"/>
    <xf numFmtId="173" fontId="34" fillId="60" borderId="526" applyNumberFormat="0" applyFont="0" applyBorder="0" applyAlignment="0" applyProtection="0">
      <alignment horizontal="right" vertical="center"/>
    </xf>
    <xf numFmtId="0" fontId="34" fillId="33" borderId="526"/>
    <xf numFmtId="4" fontId="34" fillId="33" borderId="526"/>
    <xf numFmtId="0" fontId="65" fillId="0" borderId="524" applyNumberFormat="0" applyFill="0" applyAlignment="0" applyProtection="0"/>
    <xf numFmtId="0" fontId="5" fillId="59" borderId="525" applyNumberFormat="0" applyFont="0" applyAlignment="0" applyProtection="0"/>
    <xf numFmtId="0" fontId="40" fillId="59" borderId="525" applyNumberFormat="0" applyFont="0" applyAlignment="0" applyProtection="0"/>
    <xf numFmtId="0" fontId="34" fillId="0" borderId="526" applyNumberFormat="0" applyFill="0" applyAlignment="0" applyProtection="0"/>
    <xf numFmtId="0" fontId="50" fillId="0" borderId="524" applyNumberFormat="0" applyFill="0" applyAlignment="0" applyProtection="0"/>
    <xf numFmtId="0" fontId="65" fillId="0" borderId="524" applyNumberFormat="0" applyFill="0" applyAlignment="0" applyProtection="0"/>
    <xf numFmtId="0" fontId="49" fillId="43" borderId="523" applyNumberFormat="0" applyAlignment="0" applyProtection="0"/>
    <xf numFmtId="0" fontId="46" fillId="56" borderId="523" applyNumberFormat="0" applyAlignment="0" applyProtection="0"/>
    <xf numFmtId="4" fontId="36" fillId="32" borderId="526">
      <alignment horizontal="right" vertical="center"/>
    </xf>
    <xf numFmtId="0" fontId="32" fillId="32" borderId="526">
      <alignment horizontal="right" vertical="center"/>
    </xf>
    <xf numFmtId="173" fontId="34" fillId="60" borderId="526" applyNumberFormat="0" applyFont="0" applyBorder="0" applyAlignment="0" applyProtection="0">
      <alignment horizontal="right" vertical="center"/>
    </xf>
    <xf numFmtId="0" fontId="50" fillId="0" borderId="524" applyNumberFormat="0" applyFill="0" applyAlignment="0" applyProtection="0"/>
    <xf numFmtId="49" fontId="34" fillId="0" borderId="526" applyNumberFormat="0" applyFont="0" applyFill="0" applyBorder="0" applyProtection="0">
      <alignment horizontal="left" vertical="center" indent="2"/>
    </xf>
    <xf numFmtId="49" fontId="34" fillId="0" borderId="527" applyNumberFormat="0" applyFont="0" applyFill="0" applyBorder="0" applyProtection="0">
      <alignment horizontal="left" vertical="center" indent="5"/>
    </xf>
    <xf numFmtId="49" fontId="34" fillId="0" borderId="526" applyNumberFormat="0" applyFont="0" applyFill="0" applyBorder="0" applyProtection="0">
      <alignment horizontal="left" vertical="center" indent="2"/>
    </xf>
    <xf numFmtId="4" fontId="34" fillId="0" borderId="526" applyFill="0" applyBorder="0" applyProtection="0">
      <alignment horizontal="right" vertical="center"/>
    </xf>
    <xf numFmtId="49" fontId="33" fillId="0" borderId="526" applyNumberFormat="0" applyFill="0" applyBorder="0" applyProtection="0">
      <alignment horizontal="left" vertical="center"/>
    </xf>
    <xf numFmtId="0" fontId="34" fillId="0" borderId="529">
      <alignment horizontal="left" vertical="center" wrapText="1" indent="2"/>
    </xf>
    <xf numFmtId="0" fontId="62" fillId="56" borderId="530" applyNumberFormat="0" applyAlignment="0" applyProtection="0"/>
    <xf numFmtId="0" fontId="32" fillId="34" borderId="528">
      <alignment horizontal="right" vertical="center"/>
    </xf>
    <xf numFmtId="0" fontId="49" fillId="43" borderId="523" applyNumberFormat="0" applyAlignment="0" applyProtection="0"/>
    <xf numFmtId="0" fontId="32" fillId="34" borderId="528">
      <alignment horizontal="right" vertical="center"/>
    </xf>
    <xf numFmtId="4" fontId="32" fillId="34" borderId="526">
      <alignment horizontal="right" vertical="center"/>
    </xf>
    <xf numFmtId="0" fontId="32" fillId="34" borderId="526">
      <alignment horizontal="right" vertical="center"/>
    </xf>
    <xf numFmtId="0" fontId="43" fillId="56" borderId="530" applyNumberFormat="0" applyAlignment="0" applyProtection="0"/>
    <xf numFmtId="0" fontId="45" fillId="56" borderId="523" applyNumberFormat="0" applyAlignment="0" applyProtection="0"/>
    <xf numFmtId="0" fontId="50" fillId="0" borderId="524" applyNumberFormat="0" applyFill="0" applyAlignment="0" applyProtection="0"/>
    <xf numFmtId="0" fontId="34" fillId="33" borderId="526"/>
    <xf numFmtId="4" fontId="34" fillId="33" borderId="526"/>
    <xf numFmtId="4" fontId="32" fillId="34" borderId="526">
      <alignment horizontal="right" vertical="center"/>
    </xf>
    <xf numFmtId="0" fontId="36" fillId="32" borderId="526">
      <alignment horizontal="right" vertical="center"/>
    </xf>
    <xf numFmtId="0" fontId="49" fillId="43" borderId="523" applyNumberFormat="0" applyAlignment="0" applyProtection="0"/>
    <xf numFmtId="0" fontId="46" fillId="56" borderId="523" applyNumberFormat="0" applyAlignment="0" applyProtection="0"/>
    <xf numFmtId="4" fontId="34" fillId="0" borderId="526">
      <alignment horizontal="right" vertical="center"/>
    </xf>
    <xf numFmtId="0" fontId="34" fillId="34" borderId="529">
      <alignment horizontal="left" vertical="center" wrapText="1" indent="2"/>
    </xf>
    <xf numFmtId="0" fontId="34" fillId="0" borderId="529">
      <alignment horizontal="left" vertical="center" wrapText="1" indent="2"/>
    </xf>
    <xf numFmtId="0" fontId="62" fillId="56" borderId="530" applyNumberFormat="0" applyAlignment="0" applyProtection="0"/>
    <xf numFmtId="0" fontId="58" fillId="43" borderId="523" applyNumberFormat="0" applyAlignment="0" applyProtection="0"/>
    <xf numFmtId="0" fontId="45" fillId="56" borderId="523" applyNumberFormat="0" applyAlignment="0" applyProtection="0"/>
    <xf numFmtId="0" fontId="43" fillId="56" borderId="530" applyNumberFormat="0" applyAlignment="0" applyProtection="0"/>
    <xf numFmtId="0" fontId="32" fillId="34" borderId="528">
      <alignment horizontal="right" vertical="center"/>
    </xf>
    <xf numFmtId="0" fontId="36" fillId="32" borderId="526">
      <alignment horizontal="right" vertical="center"/>
    </xf>
    <xf numFmtId="4" fontId="32" fillId="32" borderId="526">
      <alignment horizontal="right" vertical="center"/>
    </xf>
    <xf numFmtId="4" fontId="32" fillId="34" borderId="526">
      <alignment horizontal="right" vertical="center"/>
    </xf>
    <xf numFmtId="49" fontId="34" fillId="0" borderId="527" applyNumberFormat="0" applyFont="0" applyFill="0" applyBorder="0" applyProtection="0">
      <alignment horizontal="left" vertical="center" indent="5"/>
    </xf>
    <xf numFmtId="4" fontId="34" fillId="0" borderId="526" applyFill="0" applyBorder="0" applyProtection="0">
      <alignment horizontal="right" vertical="center"/>
    </xf>
    <xf numFmtId="4" fontId="32" fillId="32" borderId="526">
      <alignment horizontal="right" vertical="center"/>
    </xf>
    <xf numFmtId="0" fontId="30" fillId="0" borderId="0" applyNumberFormat="0" applyFill="0" applyBorder="0" applyAlignment="0" applyProtection="0"/>
    <xf numFmtId="0" fontId="58" fillId="43" borderId="523" applyNumberFormat="0" applyAlignment="0" applyProtection="0"/>
    <xf numFmtId="0" fontId="49" fillId="43" borderId="523" applyNumberFormat="0" applyAlignment="0" applyProtection="0"/>
    <xf numFmtId="0" fontId="45" fillId="56" borderId="523" applyNumberFormat="0" applyAlignment="0" applyProtection="0"/>
    <xf numFmtId="0" fontId="34" fillId="34" borderId="529">
      <alignment horizontal="left" vertical="center" wrapText="1" indent="2"/>
    </xf>
    <xf numFmtId="0" fontId="34" fillId="0" borderId="529">
      <alignment horizontal="left" vertical="center" wrapText="1" indent="2"/>
    </xf>
    <xf numFmtId="0" fontId="34" fillId="34" borderId="529">
      <alignment horizontal="left" vertical="center" wrapText="1" indent="2"/>
    </xf>
    <xf numFmtId="0" fontId="34" fillId="0" borderId="529">
      <alignment horizontal="left" vertical="center" wrapText="1" indent="2"/>
    </xf>
    <xf numFmtId="0" fontId="43" fillId="56" borderId="530" applyNumberFormat="0" applyAlignment="0" applyProtection="0"/>
    <xf numFmtId="0" fontId="45" fillId="56" borderId="523" applyNumberFormat="0" applyAlignment="0" applyProtection="0"/>
    <xf numFmtId="0" fontId="46" fillId="56" borderId="523" applyNumberFormat="0" applyAlignment="0" applyProtection="0"/>
    <xf numFmtId="0" fontId="49" fillId="43" borderId="523" applyNumberFormat="0" applyAlignment="0" applyProtection="0"/>
    <xf numFmtId="0" fontId="50" fillId="0" borderId="524" applyNumberFormat="0" applyFill="0" applyAlignment="0" applyProtection="0"/>
    <xf numFmtId="0" fontId="58" fillId="43" borderId="523" applyNumberFormat="0" applyAlignment="0" applyProtection="0"/>
    <xf numFmtId="0" fontId="40" fillId="59" borderId="525" applyNumberFormat="0" applyFont="0" applyAlignment="0" applyProtection="0"/>
    <xf numFmtId="0" fontId="5" fillId="59" borderId="525" applyNumberFormat="0" applyFont="0" applyAlignment="0" applyProtection="0"/>
    <xf numFmtId="0" fontId="62" fillId="56" borderId="530" applyNumberFormat="0" applyAlignment="0" applyProtection="0"/>
    <xf numFmtId="0" fontId="65" fillId="0" borderId="524" applyNumberFormat="0" applyFill="0" applyAlignment="0" applyProtection="0"/>
    <xf numFmtId="0" fontId="46" fillId="56" borderId="523" applyNumberFormat="0" applyAlignment="0" applyProtection="0"/>
    <xf numFmtId="0" fontId="58" fillId="43" borderId="523" applyNumberFormat="0" applyAlignment="0" applyProtection="0"/>
    <xf numFmtId="0" fontId="40" fillId="59" borderId="525" applyNumberFormat="0" applyFont="0" applyAlignment="0" applyProtection="0"/>
    <xf numFmtId="0" fontId="62" fillId="56" borderId="530" applyNumberFormat="0" applyAlignment="0" applyProtection="0"/>
    <xf numFmtId="0" fontId="65" fillId="0" borderId="524" applyNumberFormat="0" applyFill="0" applyAlignment="0" applyProtection="0"/>
    <xf numFmtId="0" fontId="62" fillId="56" borderId="539" applyNumberFormat="0" applyAlignment="0" applyProtection="0"/>
    <xf numFmtId="0" fontId="29" fillId="13" borderId="13" applyNumberFormat="0" applyAlignment="0" applyProtection="0"/>
    <xf numFmtId="0" fontId="50" fillId="0" borderId="556" applyNumberFormat="0" applyFill="0" applyAlignment="0" applyProtection="0"/>
    <xf numFmtId="0" fontId="46" fillId="56" borderId="523" applyNumberFormat="0" applyAlignment="0" applyProtection="0"/>
    <xf numFmtId="0" fontId="32" fillId="34" borderId="532">
      <alignment horizontal="right" vertical="center"/>
    </xf>
    <xf numFmtId="4" fontId="32" fillId="32" borderId="532">
      <alignment horizontal="right" vertical="center"/>
    </xf>
    <xf numFmtId="0" fontId="49" fillId="43" borderId="548" applyNumberFormat="0" applyAlignment="0" applyProtection="0"/>
    <xf numFmtId="0" fontId="58" fillId="43" borderId="523" applyNumberFormat="0" applyAlignment="0" applyProtection="0"/>
    <xf numFmtId="0" fontId="62" fillId="56" borderId="530" applyNumberFormat="0" applyAlignment="0" applyProtection="0"/>
    <xf numFmtId="0" fontId="65" fillId="0" borderId="524" applyNumberFormat="0" applyFill="0" applyAlignment="0" applyProtection="0"/>
    <xf numFmtId="0" fontId="43" fillId="56" borderId="530" applyNumberFormat="0" applyAlignment="0" applyProtection="0"/>
    <xf numFmtId="0" fontId="45" fillId="56" borderId="523" applyNumberFormat="0" applyAlignment="0" applyProtection="0"/>
    <xf numFmtId="0" fontId="50" fillId="0" borderId="524" applyNumberFormat="0" applyFill="0" applyAlignment="0" applyProtection="0"/>
    <xf numFmtId="49" fontId="34" fillId="0" borderId="526" applyNumberFormat="0" applyFont="0" applyFill="0" applyBorder="0" applyProtection="0">
      <alignment horizontal="left" vertical="center" indent="2"/>
    </xf>
    <xf numFmtId="0" fontId="32" fillId="32" borderId="526">
      <alignment horizontal="right" vertical="center"/>
    </xf>
    <xf numFmtId="4" fontId="32" fillId="32" borderId="526">
      <alignment horizontal="right" vertical="center"/>
    </xf>
    <xf numFmtId="0" fontId="36" fillId="32" borderId="526">
      <alignment horizontal="right" vertical="center"/>
    </xf>
    <xf numFmtId="4" fontId="36" fillId="32" borderId="526">
      <alignment horizontal="right" vertical="center"/>
    </xf>
    <xf numFmtId="0" fontId="32" fillId="34" borderId="526">
      <alignment horizontal="right" vertical="center"/>
    </xf>
    <xf numFmtId="4" fontId="32" fillId="34" borderId="526">
      <alignment horizontal="right" vertical="center"/>
    </xf>
    <xf numFmtId="0" fontId="32" fillId="34" borderId="526">
      <alignment horizontal="right" vertical="center"/>
    </xf>
    <xf numFmtId="4" fontId="32" fillId="34" borderId="526">
      <alignment horizontal="right" vertical="center"/>
    </xf>
    <xf numFmtId="0" fontId="49" fillId="43" borderId="523" applyNumberFormat="0" applyAlignment="0" applyProtection="0"/>
    <xf numFmtId="0" fontId="34" fillId="0" borderId="526">
      <alignment horizontal="right" vertical="center"/>
    </xf>
    <xf numFmtId="4" fontId="34" fillId="0" borderId="526">
      <alignment horizontal="right" vertical="center"/>
    </xf>
    <xf numFmtId="4" fontId="34" fillId="0" borderId="526" applyFill="0" applyBorder="0" applyProtection="0">
      <alignment horizontal="right" vertical="center"/>
    </xf>
    <xf numFmtId="49" fontId="33" fillId="0" borderId="526" applyNumberFormat="0" applyFill="0" applyBorder="0" applyProtection="0">
      <alignment horizontal="left" vertical="center"/>
    </xf>
    <xf numFmtId="0" fontId="34" fillId="0" borderId="526" applyNumberFormat="0" applyFill="0" applyAlignment="0" applyProtection="0"/>
    <xf numFmtId="173" fontId="34" fillId="60" borderId="526" applyNumberFormat="0" applyFont="0" applyBorder="0" applyAlignment="0" applyProtection="0">
      <alignment horizontal="right" vertical="center"/>
    </xf>
    <xf numFmtId="0" fontId="34" fillId="33" borderId="526"/>
    <xf numFmtId="4" fontId="34" fillId="33" borderId="526"/>
    <xf numFmtId="4" fontId="32" fillId="34" borderId="526">
      <alignment horizontal="right" vertical="center"/>
    </xf>
    <xf numFmtId="0" fontId="34" fillId="33" borderId="526"/>
    <xf numFmtId="0" fontId="45" fillId="56" borderId="523" applyNumberFormat="0" applyAlignment="0" applyProtection="0"/>
    <xf numFmtId="0" fontId="32" fillId="32" borderId="526">
      <alignment horizontal="right" vertical="center"/>
    </xf>
    <xf numFmtId="0" fontId="34" fillId="0" borderId="526">
      <alignment horizontal="right" vertical="center"/>
    </xf>
    <xf numFmtId="0" fontId="65" fillId="0" borderId="524" applyNumberFormat="0" applyFill="0" applyAlignment="0" applyProtection="0"/>
    <xf numFmtId="0" fontId="34" fillId="32" borderId="527">
      <alignment horizontal="left" vertical="center"/>
    </xf>
    <xf numFmtId="0" fontId="58" fillId="43" borderId="523" applyNumberFormat="0" applyAlignment="0" applyProtection="0"/>
    <xf numFmtId="173" fontId="34" fillId="60" borderId="526" applyNumberFormat="0" applyFont="0" applyBorder="0" applyAlignment="0" applyProtection="0">
      <alignment horizontal="right" vertical="center"/>
    </xf>
    <xf numFmtId="0" fontId="40" fillId="59" borderId="525" applyNumberFormat="0" applyFont="0" applyAlignment="0" applyProtection="0"/>
    <xf numFmtId="0" fontId="34" fillId="0" borderId="529">
      <alignment horizontal="left" vertical="center" wrapText="1" indent="2"/>
    </xf>
    <xf numFmtId="4" fontId="34" fillId="33" borderId="526"/>
    <xf numFmtId="49" fontId="33" fillId="0" borderId="526" applyNumberFormat="0" applyFill="0" applyBorder="0" applyProtection="0">
      <alignment horizontal="left" vertical="center"/>
    </xf>
    <xf numFmtId="0" fontId="34" fillId="0" borderId="526">
      <alignment horizontal="right" vertical="center"/>
    </xf>
    <xf numFmtId="4" fontId="32" fillId="34" borderId="528">
      <alignment horizontal="right" vertical="center"/>
    </xf>
    <xf numFmtId="4" fontId="32" fillId="34" borderId="526">
      <alignment horizontal="right" vertical="center"/>
    </xf>
    <xf numFmtId="4" fontId="32" fillId="34" borderId="526">
      <alignment horizontal="right" vertical="center"/>
    </xf>
    <xf numFmtId="0" fontId="36" fillId="32" borderId="526">
      <alignment horizontal="right" vertical="center"/>
    </xf>
    <xf numFmtId="0" fontId="32" fillId="32" borderId="526">
      <alignment horizontal="right" vertical="center"/>
    </xf>
    <xf numFmtId="49" fontId="34" fillId="0" borderId="526" applyNumberFormat="0" applyFont="0" applyFill="0" applyBorder="0" applyProtection="0">
      <alignment horizontal="left" vertical="center" indent="2"/>
    </xf>
    <xf numFmtId="0" fontId="58" fillId="43" borderId="523" applyNumberFormat="0" applyAlignment="0" applyProtection="0"/>
    <xf numFmtId="0" fontId="43" fillId="56" borderId="530" applyNumberFormat="0" applyAlignment="0" applyProtection="0"/>
    <xf numFmtId="49" fontId="34" fillId="0" borderId="526" applyNumberFormat="0" applyFont="0" applyFill="0" applyBorder="0" applyProtection="0">
      <alignment horizontal="left" vertical="center" indent="2"/>
    </xf>
    <xf numFmtId="0" fontId="49" fillId="43" borderId="523" applyNumberFormat="0" applyAlignment="0" applyProtection="0"/>
    <xf numFmtId="4" fontId="34" fillId="0" borderId="526" applyFill="0" applyBorder="0" applyProtection="0">
      <alignment horizontal="right" vertical="center"/>
    </xf>
    <xf numFmtId="0" fontId="46" fillId="56" borderId="523" applyNumberFormat="0" applyAlignment="0" applyProtection="0"/>
    <xf numFmtId="0" fontId="65" fillId="0" borderId="524" applyNumberFormat="0" applyFill="0" applyAlignment="0" applyProtection="0"/>
    <xf numFmtId="0" fontId="62" fillId="56" borderId="530" applyNumberFormat="0" applyAlignment="0" applyProtection="0"/>
    <xf numFmtId="0" fontId="34" fillId="0" borderId="526" applyNumberFormat="0" applyFill="0" applyAlignment="0" applyProtection="0"/>
    <xf numFmtId="4" fontId="34" fillId="0" borderId="526">
      <alignment horizontal="right" vertical="center"/>
    </xf>
    <xf numFmtId="0" fontId="34" fillId="0" borderId="526">
      <alignment horizontal="right" vertical="center"/>
    </xf>
    <xf numFmtId="0" fontId="58" fillId="43" borderId="523" applyNumberFormat="0" applyAlignment="0" applyProtection="0"/>
    <xf numFmtId="0" fontId="43" fillId="56" borderId="530" applyNumberFormat="0" applyAlignment="0" applyProtection="0"/>
    <xf numFmtId="0" fontId="45" fillId="56" borderId="523" applyNumberFormat="0" applyAlignment="0" applyProtection="0"/>
    <xf numFmtId="0" fontId="34" fillId="34" borderId="529">
      <alignment horizontal="left" vertical="center" wrapText="1" indent="2"/>
    </xf>
    <xf numFmtId="0" fontId="46" fillId="56" borderId="523" applyNumberFormat="0" applyAlignment="0" applyProtection="0"/>
    <xf numFmtId="0" fontId="46" fillId="56" borderId="523" applyNumberFormat="0" applyAlignment="0" applyProtection="0"/>
    <xf numFmtId="4" fontId="32" fillId="34" borderId="527">
      <alignment horizontal="right" vertical="center"/>
    </xf>
    <xf numFmtId="0" fontId="32" fillId="34" borderId="527">
      <alignment horizontal="right" vertical="center"/>
    </xf>
    <xf numFmtId="0" fontId="32" fillId="34" borderId="526">
      <alignment horizontal="right" vertical="center"/>
    </xf>
    <xf numFmtId="4" fontId="36" fillId="32" borderId="526">
      <alignment horizontal="right" vertical="center"/>
    </xf>
    <xf numFmtId="0" fontId="49" fillId="43" borderId="523" applyNumberFormat="0" applyAlignment="0" applyProtection="0"/>
    <xf numFmtId="0" fontId="50" fillId="0" borderId="524" applyNumberFormat="0" applyFill="0" applyAlignment="0" applyProtection="0"/>
    <xf numFmtId="0" fontId="65" fillId="0" borderId="524" applyNumberFormat="0" applyFill="0" applyAlignment="0" applyProtection="0"/>
    <xf numFmtId="0" fontId="40" fillId="59" borderId="525" applyNumberFormat="0" applyFont="0" applyAlignment="0" applyProtection="0"/>
    <xf numFmtId="0" fontId="58" fillId="43" borderId="523" applyNumberFormat="0" applyAlignment="0" applyProtection="0"/>
    <xf numFmtId="49" fontId="33" fillId="0" borderId="526" applyNumberFormat="0" applyFill="0" applyBorder="0" applyProtection="0">
      <alignment horizontal="left" vertical="center"/>
    </xf>
    <xf numFmtId="0" fontId="34" fillId="34" borderId="529">
      <alignment horizontal="left" vertical="center" wrapText="1" indent="2"/>
    </xf>
    <xf numFmtId="0" fontId="46" fillId="56" borderId="523" applyNumberFormat="0" applyAlignment="0" applyProtection="0"/>
    <xf numFmtId="0" fontId="34" fillId="0" borderId="529">
      <alignment horizontal="left" vertical="center" wrapText="1" indent="2"/>
    </xf>
    <xf numFmtId="0" fontId="40" fillId="59" borderId="525" applyNumberFormat="0" applyFont="0" applyAlignment="0" applyProtection="0"/>
    <xf numFmtId="0" fontId="5" fillId="59" borderId="525" applyNumberFormat="0" applyFont="0" applyAlignment="0" applyProtection="0"/>
    <xf numFmtId="0" fontId="62" fillId="56" borderId="530" applyNumberFormat="0" applyAlignment="0" applyProtection="0"/>
    <xf numFmtId="0" fontId="65" fillId="0" borderId="524" applyNumberFormat="0" applyFill="0" applyAlignment="0" applyProtection="0"/>
    <xf numFmtId="4" fontId="34" fillId="33" borderId="526"/>
    <xf numFmtId="0" fontId="32" fillId="34" borderId="526">
      <alignment horizontal="right" vertical="center"/>
    </xf>
    <xf numFmtId="0" fontId="65" fillId="0" borderId="524" applyNumberFormat="0" applyFill="0" applyAlignment="0" applyProtection="0"/>
    <xf numFmtId="4" fontId="32" fillId="34" borderId="528">
      <alignment horizontal="right" vertical="center"/>
    </xf>
    <xf numFmtId="0" fontId="45" fillId="56" borderId="523" applyNumberFormat="0" applyAlignment="0" applyProtection="0"/>
    <xf numFmtId="0" fontId="32" fillId="34" borderId="527">
      <alignment horizontal="right" vertical="center"/>
    </xf>
    <xf numFmtId="0" fontId="46" fillId="56" borderId="523" applyNumberFormat="0" applyAlignment="0" applyProtection="0"/>
    <xf numFmtId="0" fontId="50" fillId="0" borderId="524" applyNumberFormat="0" applyFill="0" applyAlignment="0" applyProtection="0"/>
    <xf numFmtId="0" fontId="40" fillId="59" borderId="525" applyNumberFormat="0" applyFont="0" applyAlignment="0" applyProtection="0"/>
    <xf numFmtId="4" fontId="32" fillId="34" borderId="527">
      <alignment horizontal="right" vertical="center"/>
    </xf>
    <xf numFmtId="0" fontId="34" fillId="34" borderId="529">
      <alignment horizontal="left" vertical="center" wrapText="1" indent="2"/>
    </xf>
    <xf numFmtId="0" fontId="34" fillId="33" borderId="526"/>
    <xf numFmtId="173" fontId="34" fillId="60" borderId="526" applyNumberFormat="0" applyFont="0" applyBorder="0" applyAlignment="0" applyProtection="0">
      <alignment horizontal="right" vertical="center"/>
    </xf>
    <xf numFmtId="0" fontId="34" fillId="0" borderId="526" applyNumberFormat="0" applyFill="0" applyAlignment="0" applyProtection="0"/>
    <xf numFmtId="4" fontId="34" fillId="0" borderId="526" applyFill="0" applyBorder="0" applyProtection="0">
      <alignment horizontal="right" vertical="center"/>
    </xf>
    <xf numFmtId="4" fontId="32" fillId="32" borderId="526">
      <alignment horizontal="right" vertical="center"/>
    </xf>
    <xf numFmtId="0" fontId="50" fillId="0" borderId="524" applyNumberFormat="0" applyFill="0" applyAlignment="0" applyProtection="0"/>
    <xf numFmtId="49" fontId="33" fillId="0" borderId="526" applyNumberFormat="0" applyFill="0" applyBorder="0" applyProtection="0">
      <alignment horizontal="left" vertical="center"/>
    </xf>
    <xf numFmtId="49" fontId="34" fillId="0" borderId="527" applyNumberFormat="0" applyFont="0" applyFill="0" applyBorder="0" applyProtection="0">
      <alignment horizontal="left" vertical="center" indent="5"/>
    </xf>
    <xf numFmtId="0" fontId="34" fillId="32" borderId="527">
      <alignment horizontal="left" vertical="center"/>
    </xf>
    <xf numFmtId="0" fontId="46" fillId="56" borderId="523" applyNumberFormat="0" applyAlignment="0" applyProtection="0"/>
    <xf numFmtId="4" fontId="32" fillId="34" borderId="528">
      <alignment horizontal="right" vertical="center"/>
    </xf>
    <xf numFmtId="0" fontId="58" fillId="43" borderId="523" applyNumberFormat="0" applyAlignment="0" applyProtection="0"/>
    <xf numFmtId="0" fontId="58" fillId="43" borderId="523" applyNumberFormat="0" applyAlignment="0" applyProtection="0"/>
    <xf numFmtId="0" fontId="40" fillId="59" borderId="525" applyNumberFormat="0" applyFont="0" applyAlignment="0" applyProtection="0"/>
    <xf numFmtId="0" fontId="62" fillId="56" borderId="530" applyNumberFormat="0" applyAlignment="0" applyProtection="0"/>
    <xf numFmtId="0" fontId="65" fillId="0" borderId="524" applyNumberFormat="0" applyFill="0" applyAlignment="0" applyProtection="0"/>
    <xf numFmtId="0" fontId="32" fillId="34" borderId="526">
      <alignment horizontal="right" vertical="center"/>
    </xf>
    <xf numFmtId="0" fontId="5" fillId="59" borderId="525" applyNumberFormat="0" applyFont="0" applyAlignment="0" applyProtection="0"/>
    <xf numFmtId="4" fontId="34" fillId="0" borderId="526">
      <alignment horizontal="right" vertical="center"/>
    </xf>
    <xf numFmtId="0" fontId="65" fillId="0" borderId="524" applyNumberFormat="0" applyFill="0" applyAlignment="0" applyProtection="0"/>
    <xf numFmtId="0" fontId="32" fillId="34" borderId="526">
      <alignment horizontal="right" vertical="center"/>
    </xf>
    <xf numFmtId="0" fontId="32" fillId="34" borderId="526">
      <alignment horizontal="right" vertical="center"/>
    </xf>
    <xf numFmtId="4" fontId="36" fillId="32" borderId="526">
      <alignment horizontal="right" vertical="center"/>
    </xf>
    <xf numFmtId="0" fontId="32" fillId="32" borderId="526">
      <alignment horizontal="right" vertical="center"/>
    </xf>
    <xf numFmtId="4" fontId="32" fillId="32" borderId="526">
      <alignment horizontal="right" vertical="center"/>
    </xf>
    <xf numFmtId="0" fontId="36" fillId="32" borderId="526">
      <alignment horizontal="right" vertical="center"/>
    </xf>
    <xf numFmtId="4" fontId="36" fillId="32" borderId="526">
      <alignment horizontal="right" vertical="center"/>
    </xf>
    <xf numFmtId="0" fontId="32" fillId="34" borderId="526">
      <alignment horizontal="right" vertical="center"/>
    </xf>
    <xf numFmtId="4" fontId="32" fillId="34" borderId="526">
      <alignment horizontal="right" vertical="center"/>
    </xf>
    <xf numFmtId="0" fontId="32" fillId="34" borderId="526">
      <alignment horizontal="right" vertical="center"/>
    </xf>
    <xf numFmtId="4" fontId="32" fillId="34" borderId="526">
      <alignment horizontal="right" vertical="center"/>
    </xf>
    <xf numFmtId="0" fontId="32" fillId="34" borderId="527">
      <alignment horizontal="right" vertical="center"/>
    </xf>
    <xf numFmtId="4" fontId="32" fillId="34" borderId="527">
      <alignment horizontal="right" vertical="center"/>
    </xf>
    <xf numFmtId="0" fontId="32" fillId="34" borderId="528">
      <alignment horizontal="right" vertical="center"/>
    </xf>
    <xf numFmtId="4" fontId="32" fillId="34" borderId="528">
      <alignment horizontal="right" vertical="center"/>
    </xf>
    <xf numFmtId="0" fontId="46" fillId="56" borderId="523" applyNumberFormat="0" applyAlignment="0" applyProtection="0"/>
    <xf numFmtId="0" fontId="34" fillId="34" borderId="529">
      <alignment horizontal="left" vertical="center" wrapText="1" indent="2"/>
    </xf>
    <xf numFmtId="0" fontId="34" fillId="0" borderId="529">
      <alignment horizontal="left" vertical="center" wrapText="1" indent="2"/>
    </xf>
    <xf numFmtId="0" fontId="34" fillId="32" borderId="527">
      <alignment horizontal="left" vertical="center"/>
    </xf>
    <xf numFmtId="0" fontId="58" fillId="43" borderId="523" applyNumberFormat="0" applyAlignment="0" applyProtection="0"/>
    <xf numFmtId="0" fontId="34" fillId="0" borderId="526">
      <alignment horizontal="right" vertical="center"/>
    </xf>
    <xf numFmtId="4" fontId="34" fillId="0" borderId="526">
      <alignment horizontal="right" vertical="center"/>
    </xf>
    <xf numFmtId="0" fontId="34" fillId="0" borderId="526" applyNumberFormat="0" applyFill="0" applyAlignment="0" applyProtection="0"/>
    <xf numFmtId="0" fontId="62" fillId="56" borderId="530" applyNumberFormat="0" applyAlignment="0" applyProtection="0"/>
    <xf numFmtId="173" fontId="34" fillId="60" borderId="526" applyNumberFormat="0" applyFont="0" applyBorder="0" applyAlignment="0" applyProtection="0">
      <alignment horizontal="right" vertical="center"/>
    </xf>
    <xf numFmtId="0" fontId="34" fillId="33" borderId="526"/>
    <xf numFmtId="4" fontId="34" fillId="33" borderId="526"/>
    <xf numFmtId="0" fontId="65" fillId="0" borderId="524" applyNumberFormat="0" applyFill="0" applyAlignment="0" applyProtection="0"/>
    <xf numFmtId="0" fontId="5" fillId="59" borderId="525" applyNumberFormat="0" applyFont="0" applyAlignment="0" applyProtection="0"/>
    <xf numFmtId="0" fontId="40" fillId="59" borderId="525" applyNumberFormat="0" applyFont="0" applyAlignment="0" applyProtection="0"/>
    <xf numFmtId="0" fontId="34" fillId="0" borderId="526" applyNumberFormat="0" applyFill="0" applyAlignment="0" applyProtection="0"/>
    <xf numFmtId="0" fontId="50" fillId="0" borderId="524" applyNumberFormat="0" applyFill="0" applyAlignment="0" applyProtection="0"/>
    <xf numFmtId="0" fontId="65" fillId="0" borderId="524" applyNumberFormat="0" applyFill="0" applyAlignment="0" applyProtection="0"/>
    <xf numFmtId="0" fontId="49" fillId="43" borderId="523" applyNumberFormat="0" applyAlignment="0" applyProtection="0"/>
    <xf numFmtId="0" fontId="46" fillId="56" borderId="523" applyNumberFormat="0" applyAlignment="0" applyProtection="0"/>
    <xf numFmtId="4" fontId="36" fillId="32" borderId="526">
      <alignment horizontal="right" vertical="center"/>
    </xf>
    <xf numFmtId="0" fontId="32" fillId="32" borderId="526">
      <alignment horizontal="right" vertical="center"/>
    </xf>
    <xf numFmtId="173" fontId="34" fillId="60" borderId="526" applyNumberFormat="0" applyFont="0" applyBorder="0" applyAlignment="0" applyProtection="0">
      <alignment horizontal="right" vertical="center"/>
    </xf>
    <xf numFmtId="0" fontId="50" fillId="0" borderId="524" applyNumberFormat="0" applyFill="0" applyAlignment="0" applyProtection="0"/>
    <xf numFmtId="49" fontId="34" fillId="0" borderId="526" applyNumberFormat="0" applyFont="0" applyFill="0" applyBorder="0" applyProtection="0">
      <alignment horizontal="left" vertical="center" indent="2"/>
    </xf>
    <xf numFmtId="49" fontId="34" fillId="0" borderId="527" applyNumberFormat="0" applyFont="0" applyFill="0" applyBorder="0" applyProtection="0">
      <alignment horizontal="left" vertical="center" indent="5"/>
    </xf>
    <xf numFmtId="49" fontId="34" fillId="0" borderId="526" applyNumberFormat="0" applyFont="0" applyFill="0" applyBorder="0" applyProtection="0">
      <alignment horizontal="left" vertical="center" indent="2"/>
    </xf>
    <xf numFmtId="4" fontId="34" fillId="0" borderId="526" applyFill="0" applyBorder="0" applyProtection="0">
      <alignment horizontal="right" vertical="center"/>
    </xf>
    <xf numFmtId="49" fontId="33" fillId="0" borderId="526" applyNumberFormat="0" applyFill="0" applyBorder="0" applyProtection="0">
      <alignment horizontal="left" vertical="center"/>
    </xf>
    <xf numFmtId="0" fontId="34" fillId="0" borderId="529">
      <alignment horizontal="left" vertical="center" wrapText="1" indent="2"/>
    </xf>
    <xf numFmtId="0" fontId="62" fillId="56" borderId="530" applyNumberFormat="0" applyAlignment="0" applyProtection="0"/>
    <xf numFmtId="0" fontId="32" fillId="34" borderId="528">
      <alignment horizontal="right" vertical="center"/>
    </xf>
    <xf numFmtId="0" fontId="49" fillId="43" borderId="523" applyNumberFormat="0" applyAlignment="0" applyProtection="0"/>
    <xf numFmtId="0" fontId="32" fillId="34" borderId="528">
      <alignment horizontal="right" vertical="center"/>
    </xf>
    <xf numFmtId="4" fontId="32" fillId="34" borderId="526">
      <alignment horizontal="right" vertical="center"/>
    </xf>
    <xf numFmtId="0" fontId="32" fillId="34" borderId="526">
      <alignment horizontal="right" vertical="center"/>
    </xf>
    <xf numFmtId="0" fontId="43" fillId="56" borderId="530" applyNumberFormat="0" applyAlignment="0" applyProtection="0"/>
    <xf numFmtId="0" fontId="45" fillId="56" borderId="523" applyNumberFormat="0" applyAlignment="0" applyProtection="0"/>
    <xf numFmtId="0" fontId="50" fillId="0" borderId="524" applyNumberFormat="0" applyFill="0" applyAlignment="0" applyProtection="0"/>
    <xf numFmtId="0" fontId="34" fillId="33" borderId="526"/>
    <xf numFmtId="4" fontId="34" fillId="33" borderId="526"/>
    <xf numFmtId="4" fontId="32" fillId="34" borderId="526">
      <alignment horizontal="right" vertical="center"/>
    </xf>
    <xf numFmtId="0" fontId="36" fillId="32" borderId="526">
      <alignment horizontal="right" vertical="center"/>
    </xf>
    <xf numFmtId="0" fontId="49" fillId="43" borderId="523" applyNumberFormat="0" applyAlignment="0" applyProtection="0"/>
    <xf numFmtId="0" fontId="46" fillId="56" borderId="523" applyNumberFormat="0" applyAlignment="0" applyProtection="0"/>
    <xf numFmtId="4" fontId="34" fillId="0" borderId="526">
      <alignment horizontal="right" vertical="center"/>
    </xf>
    <xf numFmtId="0" fontId="34" fillId="34" borderId="529">
      <alignment horizontal="left" vertical="center" wrapText="1" indent="2"/>
    </xf>
    <xf numFmtId="0" fontId="34" fillId="0" borderId="529">
      <alignment horizontal="left" vertical="center" wrapText="1" indent="2"/>
    </xf>
    <xf numFmtId="0" fontId="62" fillId="56" borderId="530" applyNumberFormat="0" applyAlignment="0" applyProtection="0"/>
    <xf numFmtId="0" fontId="58" fillId="43" borderId="523" applyNumberFormat="0" applyAlignment="0" applyProtection="0"/>
    <xf numFmtId="0" fontId="45" fillId="56" borderId="523" applyNumberFormat="0" applyAlignment="0" applyProtection="0"/>
    <xf numFmtId="0" fontId="43" fillId="56" borderId="530" applyNumberFormat="0" applyAlignment="0" applyProtection="0"/>
    <xf numFmtId="0" fontId="32" fillId="34" borderId="528">
      <alignment horizontal="right" vertical="center"/>
    </xf>
    <xf numFmtId="0" fontId="36" fillId="32" borderId="526">
      <alignment horizontal="right" vertical="center"/>
    </xf>
    <xf numFmtId="4" fontId="32" fillId="32" borderId="526">
      <alignment horizontal="right" vertical="center"/>
    </xf>
    <xf numFmtId="4" fontId="32" fillId="34" borderId="526">
      <alignment horizontal="right" vertical="center"/>
    </xf>
    <xf numFmtId="49" fontId="34" fillId="0" borderId="527" applyNumberFormat="0" applyFont="0" applyFill="0" applyBorder="0" applyProtection="0">
      <alignment horizontal="left" vertical="center" indent="5"/>
    </xf>
    <xf numFmtId="4" fontId="34" fillId="0" borderId="526" applyFill="0" applyBorder="0" applyProtection="0">
      <alignment horizontal="right" vertical="center"/>
    </xf>
    <xf numFmtId="4" fontId="32" fillId="32" borderId="526">
      <alignment horizontal="right" vertical="center"/>
    </xf>
    <xf numFmtId="0" fontId="58" fillId="43" borderId="523" applyNumberFormat="0" applyAlignment="0" applyProtection="0"/>
    <xf numFmtId="0" fontId="49" fillId="43" borderId="523" applyNumberFormat="0" applyAlignment="0" applyProtection="0"/>
    <xf numFmtId="0" fontId="45" fillId="56" borderId="523" applyNumberFormat="0" applyAlignment="0" applyProtection="0"/>
    <xf numFmtId="0" fontId="34" fillId="34" borderId="529">
      <alignment horizontal="left" vertical="center" wrapText="1" indent="2"/>
    </xf>
    <xf numFmtId="0" fontId="34" fillId="0" borderId="529">
      <alignment horizontal="left" vertical="center" wrapText="1" indent="2"/>
    </xf>
    <xf numFmtId="0" fontId="34" fillId="34" borderId="529">
      <alignment horizontal="left" vertical="center" wrapText="1" indent="2"/>
    </xf>
    <xf numFmtId="0" fontId="36" fillId="32" borderId="532">
      <alignment horizontal="right" vertical="center"/>
    </xf>
    <xf numFmtId="0" fontId="34" fillId="33" borderId="551"/>
    <xf numFmtId="49" fontId="34" fillId="0" borderId="551" applyNumberFormat="0" applyFont="0" applyFill="0" applyBorder="0" applyProtection="0">
      <alignment horizontal="left" vertical="center" indent="2"/>
    </xf>
    <xf numFmtId="0" fontId="46" fillId="56" borderId="548" applyNumberFormat="0" applyAlignment="0" applyProtection="0"/>
    <xf numFmtId="49" fontId="34" fillId="0" borderId="551" applyNumberFormat="0" applyFont="0" applyFill="0" applyBorder="0" applyProtection="0">
      <alignment horizontal="left" vertical="center" indent="2"/>
    </xf>
    <xf numFmtId="49" fontId="33" fillId="0" borderId="551" applyNumberFormat="0" applyFill="0" applyBorder="0" applyProtection="0">
      <alignment horizontal="left" vertical="center"/>
    </xf>
    <xf numFmtId="0" fontId="43" fillId="56" borderId="547" applyNumberFormat="0" applyAlignment="0" applyProtection="0"/>
    <xf numFmtId="0" fontId="34" fillId="33" borderId="551"/>
    <xf numFmtId="0" fontId="1" fillId="0" borderId="0" applyNumberFormat="0" applyFill="0" applyBorder="0" applyAlignment="0" applyProtection="0"/>
    <xf numFmtId="0" fontId="34" fillId="34" borderId="554">
      <alignment horizontal="left" vertical="center" wrapText="1" indent="2"/>
    </xf>
    <xf numFmtId="4" fontId="32" fillId="34" borderId="551">
      <alignment horizontal="right" vertical="center"/>
    </xf>
    <xf numFmtId="4" fontId="34" fillId="0" borderId="551" applyFill="0" applyBorder="0" applyProtection="0">
      <alignment horizontal="right" vertical="center"/>
    </xf>
    <xf numFmtId="0" fontId="32" fillId="34" borderId="553">
      <alignment horizontal="right" vertical="center"/>
    </xf>
    <xf numFmtId="173" fontId="34" fillId="60" borderId="551" applyNumberFormat="0" applyFont="0" applyBorder="0" applyAlignment="0" applyProtection="0">
      <alignment horizontal="right" vertical="center"/>
    </xf>
    <xf numFmtId="0" fontId="34" fillId="0" borderId="558" applyNumberFormat="0" applyFill="0" applyAlignment="0" applyProtection="0"/>
    <xf numFmtId="0" fontId="12" fillId="22" borderId="0" applyNumberFormat="0" applyBorder="0" applyAlignment="0" applyProtection="0"/>
    <xf numFmtId="0" fontId="34" fillId="34" borderId="554">
      <alignment horizontal="left" vertical="center" wrapText="1" indent="2"/>
    </xf>
    <xf numFmtId="0" fontId="26" fillId="20" borderId="0" applyNumberFormat="0" applyBorder="0" applyAlignment="0" applyProtection="0"/>
    <xf numFmtId="0" fontId="34" fillId="0" borderId="551" applyNumberFormat="0" applyFill="0" applyAlignment="0" applyProtection="0"/>
    <xf numFmtId="0" fontId="12" fillId="28" borderId="0" applyNumberFormat="0" applyBorder="0" applyAlignment="0" applyProtection="0"/>
    <xf numFmtId="0" fontId="26" fillId="30" borderId="0" applyNumberFormat="0" applyBorder="0" applyAlignment="0" applyProtection="0"/>
    <xf numFmtId="0" fontId="12" fillId="31" borderId="0" applyNumberFormat="0" applyBorder="0" applyAlignment="0" applyProtection="0"/>
    <xf numFmtId="0" fontId="34" fillId="0" borderId="554">
      <alignment horizontal="left" vertical="center" wrapText="1" indent="2"/>
    </xf>
    <xf numFmtId="0" fontId="12" fillId="25" borderId="0" applyNumberFormat="0" applyBorder="0" applyAlignment="0" applyProtection="0"/>
    <xf numFmtId="0" fontId="26" fillId="23" borderId="0" applyNumberFormat="0" applyBorder="0" applyAlignment="0" applyProtection="0"/>
    <xf numFmtId="0" fontId="26" fillId="17" borderId="0" applyNumberFormat="0" applyBorder="0" applyAlignment="0" applyProtection="0"/>
    <xf numFmtId="4" fontId="32" fillId="34" borderId="551">
      <alignment horizontal="right" vertical="center"/>
    </xf>
    <xf numFmtId="0" fontId="34" fillId="32" borderId="544">
      <alignment horizontal="left" vertical="center"/>
    </xf>
    <xf numFmtId="4" fontId="32" fillId="34" borderId="545">
      <alignment horizontal="right" vertical="center"/>
    </xf>
    <xf numFmtId="4" fontId="32" fillId="34" borderId="558">
      <alignment horizontal="right" vertical="center"/>
    </xf>
    <xf numFmtId="4" fontId="32" fillId="34" borderId="532">
      <alignment horizontal="right" vertical="center"/>
    </xf>
    <xf numFmtId="0" fontId="34" fillId="33" borderId="532"/>
    <xf numFmtId="0" fontId="45" fillId="56" borderId="537" applyNumberFormat="0" applyAlignment="0" applyProtection="0"/>
    <xf numFmtId="0" fontId="32" fillId="32" borderId="532">
      <alignment horizontal="right" vertical="center"/>
    </xf>
    <xf numFmtId="0" fontId="34" fillId="0" borderId="532">
      <alignment horizontal="right" vertical="center"/>
    </xf>
    <xf numFmtId="0" fontId="65" fillId="0" borderId="538" applyNumberFormat="0" applyFill="0" applyAlignment="0" applyProtection="0"/>
    <xf numFmtId="0" fontId="34" fillId="32" borderId="533">
      <alignment horizontal="left" vertical="center"/>
    </xf>
    <xf numFmtId="0" fontId="58" fillId="43" borderId="537" applyNumberFormat="0" applyAlignment="0" applyProtection="0"/>
    <xf numFmtId="173" fontId="34" fillId="60" borderId="532" applyNumberFormat="0" applyFont="0" applyBorder="0" applyAlignment="0" applyProtection="0">
      <alignment horizontal="right" vertical="center"/>
    </xf>
    <xf numFmtId="0" fontId="40" fillId="59" borderId="531" applyNumberFormat="0" applyFont="0" applyAlignment="0" applyProtection="0"/>
    <xf numFmtId="0" fontId="34" fillId="0" borderId="535">
      <alignment horizontal="left" vertical="center" wrapText="1" indent="2"/>
    </xf>
    <xf numFmtId="4" fontId="34" fillId="33" borderId="532"/>
    <xf numFmtId="49" fontId="33" fillId="0" borderId="532" applyNumberFormat="0" applyFill="0" applyBorder="0" applyProtection="0">
      <alignment horizontal="left" vertical="center"/>
    </xf>
    <xf numFmtId="0" fontId="34" fillId="0" borderId="532">
      <alignment horizontal="right" vertical="center"/>
    </xf>
    <xf numFmtId="4" fontId="32" fillId="34" borderId="534">
      <alignment horizontal="right" vertical="center"/>
    </xf>
    <xf numFmtId="4" fontId="32" fillId="34" borderId="532">
      <alignment horizontal="right" vertical="center"/>
    </xf>
    <xf numFmtId="4" fontId="32" fillId="34" borderId="532">
      <alignment horizontal="right" vertical="center"/>
    </xf>
    <xf numFmtId="0" fontId="36" fillId="32" borderId="532">
      <alignment horizontal="right" vertical="center"/>
    </xf>
    <xf numFmtId="0" fontId="32" fillId="32" borderId="532">
      <alignment horizontal="right" vertical="center"/>
    </xf>
    <xf numFmtId="49" fontId="34" fillId="0" borderId="532" applyNumberFormat="0" applyFont="0" applyFill="0" applyBorder="0" applyProtection="0">
      <alignment horizontal="left" vertical="center" indent="2"/>
    </xf>
    <xf numFmtId="0" fontId="58" fillId="43" borderId="537" applyNumberFormat="0" applyAlignment="0" applyProtection="0"/>
    <xf numFmtId="0" fontId="43" fillId="56" borderId="536" applyNumberFormat="0" applyAlignment="0" applyProtection="0"/>
    <xf numFmtId="49" fontId="34" fillId="0" borderId="532" applyNumberFormat="0" applyFont="0" applyFill="0" applyBorder="0" applyProtection="0">
      <alignment horizontal="left" vertical="center" indent="2"/>
    </xf>
    <xf numFmtId="0" fontId="49" fillId="43" borderId="537" applyNumberFormat="0" applyAlignment="0" applyProtection="0"/>
    <xf numFmtId="4" fontId="34" fillId="0" borderId="532" applyFill="0" applyBorder="0" applyProtection="0">
      <alignment horizontal="right" vertical="center"/>
    </xf>
    <xf numFmtId="0" fontId="46" fillId="56" borderId="537" applyNumberFormat="0" applyAlignment="0" applyProtection="0"/>
    <xf numFmtId="0" fontId="65" fillId="0" borderId="538" applyNumberFormat="0" applyFill="0" applyAlignment="0" applyProtection="0"/>
    <xf numFmtId="0" fontId="62" fillId="56" borderId="536" applyNumberFormat="0" applyAlignment="0" applyProtection="0"/>
    <xf numFmtId="0" fontId="34" fillId="0" borderId="532" applyNumberFormat="0" applyFill="0" applyAlignment="0" applyProtection="0"/>
    <xf numFmtId="4" fontId="34" fillId="0" borderId="532">
      <alignment horizontal="right" vertical="center"/>
    </xf>
    <xf numFmtId="0" fontId="34" fillId="0" borderId="532">
      <alignment horizontal="right" vertical="center"/>
    </xf>
    <xf numFmtId="0" fontId="58" fillId="43" borderId="537" applyNumberFormat="0" applyAlignment="0" applyProtection="0"/>
    <xf numFmtId="0" fontId="43" fillId="56" borderId="536" applyNumberFormat="0" applyAlignment="0" applyProtection="0"/>
    <xf numFmtId="0" fontId="45" fillId="56" borderId="537" applyNumberFormat="0" applyAlignment="0" applyProtection="0"/>
    <xf numFmtId="0" fontId="34" fillId="34" borderId="535">
      <alignment horizontal="left" vertical="center" wrapText="1" indent="2"/>
    </xf>
    <xf numFmtId="0" fontId="46" fillId="56" borderId="537" applyNumberFormat="0" applyAlignment="0" applyProtection="0"/>
    <xf numFmtId="0" fontId="46" fillId="56" borderId="537" applyNumberFormat="0" applyAlignment="0" applyProtection="0"/>
    <xf numFmtId="4" fontId="32" fillId="34" borderId="533">
      <alignment horizontal="right" vertical="center"/>
    </xf>
    <xf numFmtId="0" fontId="32" fillId="34" borderId="533">
      <alignment horizontal="right" vertical="center"/>
    </xf>
    <xf numFmtId="0" fontId="32" fillId="34" borderId="532">
      <alignment horizontal="right" vertical="center"/>
    </xf>
    <xf numFmtId="4" fontId="36" fillId="32" borderId="532">
      <alignment horizontal="right" vertical="center"/>
    </xf>
    <xf numFmtId="0" fontId="49" fillId="43" borderId="537" applyNumberFormat="0" applyAlignment="0" applyProtection="0"/>
    <xf numFmtId="0" fontId="50" fillId="0" borderId="538" applyNumberFormat="0" applyFill="0" applyAlignment="0" applyProtection="0"/>
    <xf numFmtId="0" fontId="65" fillId="0" borderId="538" applyNumberFormat="0" applyFill="0" applyAlignment="0" applyProtection="0"/>
    <xf numFmtId="0" fontId="40" fillId="59" borderId="531" applyNumberFormat="0" applyFont="0" applyAlignment="0" applyProtection="0"/>
    <xf numFmtId="0" fontId="58" fillId="43" borderId="537" applyNumberFormat="0" applyAlignment="0" applyProtection="0"/>
    <xf numFmtId="49" fontId="33" fillId="0" borderId="532" applyNumberFormat="0" applyFill="0" applyBorder="0" applyProtection="0">
      <alignment horizontal="left" vertical="center"/>
    </xf>
    <xf numFmtId="0" fontId="34" fillId="34" borderId="535">
      <alignment horizontal="left" vertical="center" wrapText="1" indent="2"/>
    </xf>
    <xf numFmtId="0" fontId="46" fillId="56" borderId="537" applyNumberFormat="0" applyAlignment="0" applyProtection="0"/>
    <xf numFmtId="0" fontId="34" fillId="0" borderId="535">
      <alignment horizontal="left" vertical="center" wrapText="1" indent="2"/>
    </xf>
    <xf numFmtId="0" fontId="40" fillId="59" borderId="531" applyNumberFormat="0" applyFont="0" applyAlignment="0" applyProtection="0"/>
    <xf numFmtId="0" fontId="5" fillId="59" borderId="531" applyNumberFormat="0" applyFont="0" applyAlignment="0" applyProtection="0"/>
    <xf numFmtId="0" fontId="62" fillId="56" borderId="536" applyNumberFormat="0" applyAlignment="0" applyProtection="0"/>
    <xf numFmtId="0" fontId="65" fillId="0" borderId="538" applyNumberFormat="0" applyFill="0" applyAlignment="0" applyProtection="0"/>
    <xf numFmtId="4" fontId="34" fillId="33" borderId="532"/>
    <xf numFmtId="0" fontId="32" fillId="34" borderId="532">
      <alignment horizontal="right" vertical="center"/>
    </xf>
    <xf numFmtId="0" fontId="65" fillId="0" borderId="538" applyNumberFormat="0" applyFill="0" applyAlignment="0" applyProtection="0"/>
    <xf numFmtId="4" fontId="32" fillId="34" borderId="534">
      <alignment horizontal="right" vertical="center"/>
    </xf>
    <xf numFmtId="0" fontId="45" fillId="56" borderId="537" applyNumberFormat="0" applyAlignment="0" applyProtection="0"/>
    <xf numFmtId="0" fontId="32" fillId="34" borderId="533">
      <alignment horizontal="right" vertical="center"/>
    </xf>
    <xf numFmtId="0" fontId="46" fillId="56" borderId="537" applyNumberFormat="0" applyAlignment="0" applyProtection="0"/>
    <xf numFmtId="0" fontId="50" fillId="0" borderId="538" applyNumberFormat="0" applyFill="0" applyAlignment="0" applyProtection="0"/>
    <xf numFmtId="0" fontId="40" fillId="59" borderId="531" applyNumberFormat="0" applyFont="0" applyAlignment="0" applyProtection="0"/>
    <xf numFmtId="4" fontId="32" fillId="34" borderId="533">
      <alignment horizontal="right" vertical="center"/>
    </xf>
    <xf numFmtId="0" fontId="34" fillId="34" borderId="535">
      <alignment horizontal="left" vertical="center" wrapText="1" indent="2"/>
    </xf>
    <xf numFmtId="0" fontId="34" fillId="33" borderId="532"/>
    <xf numFmtId="173" fontId="34" fillId="60" borderId="532" applyNumberFormat="0" applyFont="0" applyBorder="0" applyAlignment="0" applyProtection="0">
      <alignment horizontal="right" vertical="center"/>
    </xf>
    <xf numFmtId="0" fontId="34" fillId="0" borderId="532" applyNumberFormat="0" applyFill="0" applyAlignment="0" applyProtection="0"/>
    <xf numFmtId="4" fontId="34" fillId="0" borderId="532" applyFill="0" applyBorder="0" applyProtection="0">
      <alignment horizontal="right" vertical="center"/>
    </xf>
    <xf numFmtId="4" fontId="32" fillId="32" borderId="532">
      <alignment horizontal="right" vertical="center"/>
    </xf>
    <xf numFmtId="0" fontId="50" fillId="0" borderId="538" applyNumberFormat="0" applyFill="0" applyAlignment="0" applyProtection="0"/>
    <xf numFmtId="49" fontId="33" fillId="0" borderId="532" applyNumberFormat="0" applyFill="0" applyBorder="0" applyProtection="0">
      <alignment horizontal="left" vertical="center"/>
    </xf>
    <xf numFmtId="49" fontId="34" fillId="0" borderId="533" applyNumberFormat="0" applyFont="0" applyFill="0" applyBorder="0" applyProtection="0">
      <alignment horizontal="left" vertical="center" indent="5"/>
    </xf>
    <xf numFmtId="0" fontId="34" fillId="32" borderId="533">
      <alignment horizontal="left" vertical="center"/>
    </xf>
    <xf numFmtId="0" fontId="46" fillId="56" borderId="537" applyNumberFormat="0" applyAlignment="0" applyProtection="0"/>
    <xf numFmtId="4" fontId="32" fillId="34" borderId="534">
      <alignment horizontal="right" vertical="center"/>
    </xf>
    <xf numFmtId="0" fontId="58" fillId="43" borderId="537" applyNumberFormat="0" applyAlignment="0" applyProtection="0"/>
    <xf numFmtId="0" fontId="58" fillId="43" borderId="537" applyNumberFormat="0" applyAlignment="0" applyProtection="0"/>
    <xf numFmtId="0" fontId="40" fillId="59" borderId="531" applyNumberFormat="0" applyFont="0" applyAlignment="0" applyProtection="0"/>
    <xf numFmtId="0" fontId="62" fillId="56" borderId="536" applyNumberFormat="0" applyAlignment="0" applyProtection="0"/>
    <xf numFmtId="0" fontId="65" fillId="0" borderId="538" applyNumberFormat="0" applyFill="0" applyAlignment="0" applyProtection="0"/>
    <xf numFmtId="0" fontId="32" fillId="34" borderId="532">
      <alignment horizontal="right" vertical="center"/>
    </xf>
    <xf numFmtId="0" fontId="5" fillId="59" borderId="531" applyNumberFormat="0" applyFont="0" applyAlignment="0" applyProtection="0"/>
    <xf numFmtId="4" fontId="34" fillId="0" borderId="532">
      <alignment horizontal="right" vertical="center"/>
    </xf>
    <xf numFmtId="0" fontId="65" fillId="0" borderId="538" applyNumberFormat="0" applyFill="0" applyAlignment="0" applyProtection="0"/>
    <xf numFmtId="0" fontId="32" fillId="34" borderId="532">
      <alignment horizontal="right" vertical="center"/>
    </xf>
    <xf numFmtId="0" fontId="32" fillId="34" borderId="532">
      <alignment horizontal="right" vertical="center"/>
    </xf>
    <xf numFmtId="4" fontId="36" fillId="32" borderId="532">
      <alignment horizontal="right" vertical="center"/>
    </xf>
    <xf numFmtId="0" fontId="32" fillId="32" borderId="532">
      <alignment horizontal="right" vertical="center"/>
    </xf>
    <xf numFmtId="4" fontId="32" fillId="32" borderId="532">
      <alignment horizontal="right" vertical="center"/>
    </xf>
    <xf numFmtId="0" fontId="36" fillId="32" borderId="532">
      <alignment horizontal="right" vertical="center"/>
    </xf>
    <xf numFmtId="4" fontId="36" fillId="32" borderId="532">
      <alignment horizontal="right" vertical="center"/>
    </xf>
    <xf numFmtId="0" fontId="32" fillId="34" borderId="532">
      <alignment horizontal="right" vertical="center"/>
    </xf>
    <xf numFmtId="4" fontId="32" fillId="34" borderId="532">
      <alignment horizontal="right" vertical="center"/>
    </xf>
    <xf numFmtId="0" fontId="32" fillId="34" borderId="532">
      <alignment horizontal="right" vertical="center"/>
    </xf>
    <xf numFmtId="4" fontId="32" fillId="34" borderId="532">
      <alignment horizontal="right" vertical="center"/>
    </xf>
    <xf numFmtId="0" fontId="32" fillId="34" borderId="533">
      <alignment horizontal="right" vertical="center"/>
    </xf>
    <xf numFmtId="4" fontId="32" fillId="34" borderId="533">
      <alignment horizontal="right" vertical="center"/>
    </xf>
    <xf numFmtId="0" fontId="32" fillId="34" borderId="534">
      <alignment horizontal="right" vertical="center"/>
    </xf>
    <xf numFmtId="4" fontId="32" fillId="34" borderId="534">
      <alignment horizontal="right" vertical="center"/>
    </xf>
    <xf numFmtId="0" fontId="46" fillId="56" borderId="537" applyNumberFormat="0" applyAlignment="0" applyProtection="0"/>
    <xf numFmtId="0" fontId="34" fillId="34" borderId="535">
      <alignment horizontal="left" vertical="center" wrapText="1" indent="2"/>
    </xf>
    <xf numFmtId="0" fontId="34" fillId="0" borderId="535">
      <alignment horizontal="left" vertical="center" wrapText="1" indent="2"/>
    </xf>
    <xf numFmtId="0" fontId="34" fillId="32" borderId="533">
      <alignment horizontal="left" vertical="center"/>
    </xf>
    <xf numFmtId="0" fontId="58" fillId="43" borderId="537" applyNumberFormat="0" applyAlignment="0" applyProtection="0"/>
    <xf numFmtId="0" fontId="34" fillId="0" borderId="532">
      <alignment horizontal="right" vertical="center"/>
    </xf>
    <xf numFmtId="4" fontId="34" fillId="0" borderId="532">
      <alignment horizontal="right" vertical="center"/>
    </xf>
    <xf numFmtId="0" fontId="34" fillId="0" borderId="532" applyNumberFormat="0" applyFill="0" applyAlignment="0" applyProtection="0"/>
    <xf numFmtId="0" fontId="62" fillId="56" borderId="536" applyNumberFormat="0" applyAlignment="0" applyProtection="0"/>
    <xf numFmtId="173" fontId="34" fillId="60" borderId="532" applyNumberFormat="0" applyFont="0" applyBorder="0" applyAlignment="0" applyProtection="0">
      <alignment horizontal="right" vertical="center"/>
    </xf>
    <xf numFmtId="0" fontId="34" fillId="33" borderId="532"/>
    <xf numFmtId="4" fontId="34" fillId="33" borderId="532"/>
    <xf numFmtId="0" fontId="65" fillId="0" borderId="538" applyNumberFormat="0" applyFill="0" applyAlignment="0" applyProtection="0"/>
    <xf numFmtId="0" fontId="5" fillId="59" borderId="531" applyNumberFormat="0" applyFont="0" applyAlignment="0" applyProtection="0"/>
    <xf numFmtId="0" fontId="40" fillId="59" borderId="531" applyNumberFormat="0" applyFont="0" applyAlignment="0" applyProtection="0"/>
    <xf numFmtId="0" fontId="34" fillId="0" borderId="532" applyNumberFormat="0" applyFill="0" applyAlignment="0" applyProtection="0"/>
    <xf numFmtId="0" fontId="50" fillId="0" borderId="538" applyNumberFormat="0" applyFill="0" applyAlignment="0" applyProtection="0"/>
    <xf numFmtId="0" fontId="65" fillId="0" borderId="538" applyNumberFormat="0" applyFill="0" applyAlignment="0" applyProtection="0"/>
    <xf numFmtId="0" fontId="49" fillId="43" borderId="537" applyNumberFormat="0" applyAlignment="0" applyProtection="0"/>
    <xf numFmtId="0" fontId="46" fillId="56" borderId="537" applyNumberFormat="0" applyAlignment="0" applyProtection="0"/>
    <xf numFmtId="4" fontId="36" fillId="32" borderId="532">
      <alignment horizontal="right" vertical="center"/>
    </xf>
    <xf numFmtId="0" fontId="32" fillId="32" borderId="532">
      <alignment horizontal="right" vertical="center"/>
    </xf>
    <xf numFmtId="173" fontId="34" fillId="60" borderId="532" applyNumberFormat="0" applyFont="0" applyBorder="0" applyAlignment="0" applyProtection="0">
      <alignment horizontal="right" vertical="center"/>
    </xf>
    <xf numFmtId="0" fontId="50" fillId="0" borderId="538" applyNumberFormat="0" applyFill="0" applyAlignment="0" applyProtection="0"/>
    <xf numFmtId="49" fontId="34" fillId="0" borderId="532" applyNumberFormat="0" applyFont="0" applyFill="0" applyBorder="0" applyProtection="0">
      <alignment horizontal="left" vertical="center" indent="2"/>
    </xf>
    <xf numFmtId="49" fontId="34" fillId="0" borderId="533" applyNumberFormat="0" applyFont="0" applyFill="0" applyBorder="0" applyProtection="0">
      <alignment horizontal="left" vertical="center" indent="5"/>
    </xf>
    <xf numFmtId="49" fontId="34" fillId="0" borderId="532" applyNumberFormat="0" applyFont="0" applyFill="0" applyBorder="0" applyProtection="0">
      <alignment horizontal="left" vertical="center" indent="2"/>
    </xf>
    <xf numFmtId="4" fontId="34" fillId="0" borderId="532" applyFill="0" applyBorder="0" applyProtection="0">
      <alignment horizontal="right" vertical="center"/>
    </xf>
    <xf numFmtId="49" fontId="33" fillId="0" borderId="532" applyNumberFormat="0" applyFill="0" applyBorder="0" applyProtection="0">
      <alignment horizontal="left" vertical="center"/>
    </xf>
    <xf numFmtId="0" fontId="34" fillId="0" borderId="535">
      <alignment horizontal="left" vertical="center" wrapText="1" indent="2"/>
    </xf>
    <xf numFmtId="0" fontId="62" fillId="56" borderId="536" applyNumberFormat="0" applyAlignment="0" applyProtection="0"/>
    <xf numFmtId="0" fontId="32" fillId="34" borderId="534">
      <alignment horizontal="right" vertical="center"/>
    </xf>
    <xf numFmtId="0" fontId="49" fillId="43" borderId="537" applyNumberFormat="0" applyAlignment="0" applyProtection="0"/>
    <xf numFmtId="0" fontId="32" fillId="34" borderId="534">
      <alignment horizontal="right" vertical="center"/>
    </xf>
    <xf numFmtId="4" fontId="32" fillId="34" borderId="532">
      <alignment horizontal="right" vertical="center"/>
    </xf>
    <xf numFmtId="0" fontId="32" fillId="34" borderId="532">
      <alignment horizontal="right" vertical="center"/>
    </xf>
    <xf numFmtId="0" fontId="43" fillId="56" borderId="536" applyNumberFormat="0" applyAlignment="0" applyProtection="0"/>
    <xf numFmtId="0" fontId="45" fillId="56" borderId="537" applyNumberFormat="0" applyAlignment="0" applyProtection="0"/>
    <xf numFmtId="0" fontId="50" fillId="0" borderId="538" applyNumberFormat="0" applyFill="0" applyAlignment="0" applyProtection="0"/>
    <xf numFmtId="0" fontId="34" fillId="33" borderId="532"/>
    <xf numFmtId="4" fontId="34" fillId="33" borderId="532"/>
    <xf numFmtId="4" fontId="32" fillId="34" borderId="532">
      <alignment horizontal="right" vertical="center"/>
    </xf>
    <xf numFmtId="0" fontId="36" fillId="32" borderId="532">
      <alignment horizontal="right" vertical="center"/>
    </xf>
    <xf numFmtId="0" fontId="49" fillId="43" borderId="537" applyNumberFormat="0" applyAlignment="0" applyProtection="0"/>
    <xf numFmtId="0" fontId="46" fillId="56" borderId="537" applyNumberFormat="0" applyAlignment="0" applyProtection="0"/>
    <xf numFmtId="4" fontId="34" fillId="0" borderId="532">
      <alignment horizontal="right" vertical="center"/>
    </xf>
    <xf numFmtId="0" fontId="34" fillId="34" borderId="535">
      <alignment horizontal="left" vertical="center" wrapText="1" indent="2"/>
    </xf>
    <xf numFmtId="0" fontId="34" fillId="0" borderId="535">
      <alignment horizontal="left" vertical="center" wrapText="1" indent="2"/>
    </xf>
    <xf numFmtId="0" fontId="62" fillId="56" borderId="536" applyNumberFormat="0" applyAlignment="0" applyProtection="0"/>
    <xf numFmtId="0" fontId="58" fillId="43" borderId="537" applyNumberFormat="0" applyAlignment="0" applyProtection="0"/>
    <xf numFmtId="0" fontId="45" fillId="56" borderId="537" applyNumberFormat="0" applyAlignment="0" applyProtection="0"/>
    <xf numFmtId="0" fontId="43" fillId="56" borderId="536" applyNumberFormat="0" applyAlignment="0" applyProtection="0"/>
    <xf numFmtId="0" fontId="32" fillId="34" borderId="534">
      <alignment horizontal="right" vertical="center"/>
    </xf>
    <xf numFmtId="0" fontId="36" fillId="32" borderId="532">
      <alignment horizontal="right" vertical="center"/>
    </xf>
    <xf numFmtId="4" fontId="32" fillId="32" borderId="532">
      <alignment horizontal="right" vertical="center"/>
    </xf>
    <xf numFmtId="4" fontId="32" fillId="34" borderId="532">
      <alignment horizontal="right" vertical="center"/>
    </xf>
    <xf numFmtId="49" fontId="34" fillId="0" borderId="533" applyNumberFormat="0" applyFont="0" applyFill="0" applyBorder="0" applyProtection="0">
      <alignment horizontal="left" vertical="center" indent="5"/>
    </xf>
    <xf numFmtId="4" fontId="34" fillId="0" borderId="532" applyFill="0" applyBorder="0" applyProtection="0">
      <alignment horizontal="right" vertical="center"/>
    </xf>
    <xf numFmtId="4" fontId="32" fillId="32" borderId="532">
      <alignment horizontal="right" vertical="center"/>
    </xf>
    <xf numFmtId="0" fontId="58" fillId="43" borderId="537" applyNumberFormat="0" applyAlignment="0" applyProtection="0"/>
    <xf numFmtId="0" fontId="49" fillId="43" borderId="537" applyNumberFormat="0" applyAlignment="0" applyProtection="0"/>
    <xf numFmtId="0" fontId="45" fillId="56" borderId="537" applyNumberFormat="0" applyAlignment="0" applyProtection="0"/>
    <xf numFmtId="0" fontId="34" fillId="34" borderId="535">
      <alignment horizontal="left" vertical="center" wrapText="1" indent="2"/>
    </xf>
    <xf numFmtId="0" fontId="34" fillId="0" borderId="535">
      <alignment horizontal="left" vertical="center" wrapText="1" indent="2"/>
    </xf>
    <xf numFmtId="0" fontId="34" fillId="34" borderId="535">
      <alignment horizontal="left" vertical="center" wrapText="1" indent="2"/>
    </xf>
    <xf numFmtId="0" fontId="34" fillId="0" borderId="535">
      <alignment horizontal="left" vertical="center" wrapText="1" indent="2"/>
    </xf>
    <xf numFmtId="0" fontId="43" fillId="56" borderId="536" applyNumberFormat="0" applyAlignment="0" applyProtection="0"/>
    <xf numFmtId="0" fontId="45" fillId="56" borderId="537" applyNumberFormat="0" applyAlignment="0" applyProtection="0"/>
    <xf numFmtId="0" fontId="46" fillId="56" borderId="537" applyNumberFormat="0" applyAlignment="0" applyProtection="0"/>
    <xf numFmtId="0" fontId="49" fillId="43" borderId="537" applyNumberFormat="0" applyAlignment="0" applyProtection="0"/>
    <xf numFmtId="0" fontId="50" fillId="0" borderId="538" applyNumberFormat="0" applyFill="0" applyAlignment="0" applyProtection="0"/>
    <xf numFmtId="0" fontId="58" fillId="43" borderId="537" applyNumberFormat="0" applyAlignment="0" applyProtection="0"/>
    <xf numFmtId="0" fontId="40" fillId="59" borderId="531" applyNumberFormat="0" applyFont="0" applyAlignment="0" applyProtection="0"/>
    <xf numFmtId="0" fontId="5" fillId="59" borderId="531" applyNumberFormat="0" applyFont="0" applyAlignment="0" applyProtection="0"/>
    <xf numFmtId="0" fontId="62" fillId="56" borderId="536" applyNumberFormat="0" applyAlignment="0" applyProtection="0"/>
    <xf numFmtId="0" fontId="65" fillId="0" borderId="538" applyNumberFormat="0" applyFill="0" applyAlignment="0" applyProtection="0"/>
    <xf numFmtId="0" fontId="46" fillId="56" borderId="537" applyNumberFormat="0" applyAlignment="0" applyProtection="0"/>
    <xf numFmtId="0" fontId="58" fillId="43" borderId="537" applyNumberFormat="0" applyAlignment="0" applyProtection="0"/>
    <xf numFmtId="0" fontId="40" fillId="59" borderId="531" applyNumberFormat="0" applyFont="0" applyAlignment="0" applyProtection="0"/>
    <xf numFmtId="0" fontId="62" fillId="56" borderId="536" applyNumberFormat="0" applyAlignment="0" applyProtection="0"/>
    <xf numFmtId="0" fontId="65" fillId="0" borderId="538" applyNumberFormat="0" applyFill="0" applyAlignment="0" applyProtection="0"/>
    <xf numFmtId="0" fontId="26" fillId="29" borderId="0" applyNumberFormat="0" applyBorder="0" applyAlignment="0" applyProtection="0"/>
    <xf numFmtId="0" fontId="32" fillId="34" borderId="551">
      <alignment horizontal="right" vertical="center"/>
    </xf>
    <xf numFmtId="0" fontId="46" fillId="56" borderId="537" applyNumberFormat="0" applyAlignment="0" applyProtection="0"/>
    <xf numFmtId="0" fontId="34" fillId="0" borderId="546">
      <alignment horizontal="left" vertical="center" wrapText="1" indent="2"/>
    </xf>
    <xf numFmtId="4" fontId="32" fillId="34" borderId="544">
      <alignment horizontal="right" vertical="center"/>
    </xf>
    <xf numFmtId="4" fontId="32" fillId="34" borderId="543">
      <alignment horizontal="right" vertical="center"/>
    </xf>
    <xf numFmtId="0" fontId="58" fillId="43" borderId="537" applyNumberFormat="0" applyAlignment="0" applyProtection="0"/>
    <xf numFmtId="0" fontId="62" fillId="56" borderId="536" applyNumberFormat="0" applyAlignment="0" applyProtection="0"/>
    <xf numFmtId="0" fontId="65" fillId="0" borderId="538" applyNumberFormat="0" applyFill="0" applyAlignment="0" applyProtection="0"/>
    <xf numFmtId="0" fontId="43" fillId="56" borderId="536" applyNumberFormat="0" applyAlignment="0" applyProtection="0"/>
    <xf numFmtId="0" fontId="45" fillId="56" borderId="537" applyNumberFormat="0" applyAlignment="0" applyProtection="0"/>
    <xf numFmtId="0" fontId="50" fillId="0" borderId="538" applyNumberFormat="0" applyFill="0" applyAlignment="0" applyProtection="0"/>
    <xf numFmtId="49" fontId="34" fillId="0" borderId="532" applyNumberFormat="0" applyFont="0" applyFill="0" applyBorder="0" applyProtection="0">
      <alignment horizontal="left" vertical="center" indent="2"/>
    </xf>
    <xf numFmtId="0" fontId="32" fillId="32" borderId="532">
      <alignment horizontal="right" vertical="center"/>
    </xf>
    <xf numFmtId="4" fontId="32" fillId="32" borderId="532">
      <alignment horizontal="right" vertical="center"/>
    </xf>
    <xf numFmtId="0" fontId="36" fillId="32" borderId="532">
      <alignment horizontal="right" vertical="center"/>
    </xf>
    <xf numFmtId="4" fontId="36" fillId="32" borderId="532">
      <alignment horizontal="right" vertical="center"/>
    </xf>
    <xf numFmtId="0" fontId="32" fillId="34" borderId="532">
      <alignment horizontal="right" vertical="center"/>
    </xf>
    <xf numFmtId="4" fontId="32" fillId="34" borderId="532">
      <alignment horizontal="right" vertical="center"/>
    </xf>
    <xf numFmtId="0" fontId="32" fillId="34" borderId="532">
      <alignment horizontal="right" vertical="center"/>
    </xf>
    <xf numFmtId="4" fontId="32" fillId="34" borderId="532">
      <alignment horizontal="right" vertical="center"/>
    </xf>
    <xf numFmtId="0" fontId="49" fillId="43" borderId="537" applyNumberFormat="0" applyAlignment="0" applyProtection="0"/>
    <xf numFmtId="0" fontId="34" fillId="0" borderId="532">
      <alignment horizontal="right" vertical="center"/>
    </xf>
    <xf numFmtId="4" fontId="34" fillId="0" borderId="532">
      <alignment horizontal="right" vertical="center"/>
    </xf>
    <xf numFmtId="4" fontId="34" fillId="0" borderId="532" applyFill="0" applyBorder="0" applyProtection="0">
      <alignment horizontal="right" vertical="center"/>
    </xf>
    <xf numFmtId="49" fontId="33" fillId="0" borderId="532" applyNumberFormat="0" applyFill="0" applyBorder="0" applyProtection="0">
      <alignment horizontal="left" vertical="center"/>
    </xf>
    <xf numFmtId="0" fontId="34" fillId="0" borderId="532" applyNumberFormat="0" applyFill="0" applyAlignment="0" applyProtection="0"/>
    <xf numFmtId="173" fontId="34" fillId="60" borderId="532" applyNumberFormat="0" applyFont="0" applyBorder="0" applyAlignment="0" applyProtection="0">
      <alignment horizontal="right" vertical="center"/>
    </xf>
    <xf numFmtId="0" fontId="34" fillId="33" borderId="532"/>
    <xf numFmtId="4" fontId="34" fillId="33" borderId="532"/>
    <xf numFmtId="4" fontId="32" fillId="34" borderId="532">
      <alignment horizontal="right" vertical="center"/>
    </xf>
    <xf numFmtId="0" fontId="34" fillId="33" borderId="532"/>
    <xf numFmtId="0" fontId="45" fillId="56" borderId="537" applyNumberFormat="0" applyAlignment="0" applyProtection="0"/>
    <xf numFmtId="0" fontId="32" fillId="32" borderId="532">
      <alignment horizontal="right" vertical="center"/>
    </xf>
    <xf numFmtId="0" fontId="34" fillId="0" borderId="532">
      <alignment horizontal="right" vertical="center"/>
    </xf>
    <xf numFmtId="0" fontId="65" fillId="0" borderId="538" applyNumberFormat="0" applyFill="0" applyAlignment="0" applyProtection="0"/>
    <xf numFmtId="0" fontId="34" fillId="32" borderId="533">
      <alignment horizontal="left" vertical="center"/>
    </xf>
    <xf numFmtId="0" fontId="58" fillId="43" borderId="537" applyNumberFormat="0" applyAlignment="0" applyProtection="0"/>
    <xf numFmtId="173" fontId="34" fillId="60" borderId="532" applyNumberFormat="0" applyFont="0" applyBorder="0" applyAlignment="0" applyProtection="0">
      <alignment horizontal="right" vertical="center"/>
    </xf>
    <xf numFmtId="0" fontId="40" fillId="59" borderId="531" applyNumberFormat="0" applyFont="0" applyAlignment="0" applyProtection="0"/>
    <xf numFmtId="0" fontId="34" fillId="0" borderId="535">
      <alignment horizontal="left" vertical="center" wrapText="1" indent="2"/>
    </xf>
    <xf numFmtId="4" fontId="34" fillId="33" borderId="532"/>
    <xf numFmtId="49" fontId="33" fillId="0" borderId="532" applyNumberFormat="0" applyFill="0" applyBorder="0" applyProtection="0">
      <alignment horizontal="left" vertical="center"/>
    </xf>
    <xf numFmtId="0" fontId="34" fillId="0" borderId="532">
      <alignment horizontal="right" vertical="center"/>
    </xf>
    <xf numFmtId="4" fontId="32" fillId="34" borderId="534">
      <alignment horizontal="right" vertical="center"/>
    </xf>
    <xf numFmtId="4" fontId="32" fillId="34" borderId="532">
      <alignment horizontal="right" vertical="center"/>
    </xf>
    <xf numFmtId="4" fontId="32" fillId="34" borderId="532">
      <alignment horizontal="right" vertical="center"/>
    </xf>
    <xf numFmtId="0" fontId="36" fillId="32" borderId="532">
      <alignment horizontal="right" vertical="center"/>
    </xf>
    <xf numFmtId="0" fontId="32" fillId="32" borderId="532">
      <alignment horizontal="right" vertical="center"/>
    </xf>
    <xf numFmtId="49" fontId="34" fillId="0" borderId="532" applyNumberFormat="0" applyFont="0" applyFill="0" applyBorder="0" applyProtection="0">
      <alignment horizontal="left" vertical="center" indent="2"/>
    </xf>
    <xf numFmtId="0" fontId="58" fillId="43" borderId="537" applyNumberFormat="0" applyAlignment="0" applyProtection="0"/>
    <xf numFmtId="0" fontId="43" fillId="56" borderId="536" applyNumberFormat="0" applyAlignment="0" applyProtection="0"/>
    <xf numFmtId="49" fontId="34" fillId="0" borderId="532" applyNumberFormat="0" applyFont="0" applyFill="0" applyBorder="0" applyProtection="0">
      <alignment horizontal="left" vertical="center" indent="2"/>
    </xf>
    <xf numFmtId="0" fontId="49" fillId="43" borderId="537" applyNumberFormat="0" applyAlignment="0" applyProtection="0"/>
    <xf numFmtId="4" fontId="34" fillId="0" borderId="532" applyFill="0" applyBorder="0" applyProtection="0">
      <alignment horizontal="right" vertical="center"/>
    </xf>
    <xf numFmtId="0" fontId="46" fillId="56" borderId="537" applyNumberFormat="0" applyAlignment="0" applyProtection="0"/>
    <xf numFmtId="0" fontId="65" fillId="0" borderId="538" applyNumberFormat="0" applyFill="0" applyAlignment="0" applyProtection="0"/>
    <xf numFmtId="0" fontId="62" fillId="56" borderId="536" applyNumberFormat="0" applyAlignment="0" applyProtection="0"/>
    <xf numFmtId="0" fontId="34" fillId="0" borderId="532" applyNumberFormat="0" applyFill="0" applyAlignment="0" applyProtection="0"/>
    <xf numFmtId="4" fontId="34" fillId="0" borderId="532">
      <alignment horizontal="right" vertical="center"/>
    </xf>
    <xf numFmtId="0" fontId="34" fillId="0" borderId="532">
      <alignment horizontal="right" vertical="center"/>
    </xf>
    <xf numFmtId="0" fontId="58" fillId="43" borderId="537" applyNumberFormat="0" applyAlignment="0" applyProtection="0"/>
    <xf numFmtId="0" fontId="43" fillId="56" borderId="536" applyNumberFormat="0" applyAlignment="0" applyProtection="0"/>
    <xf numFmtId="0" fontId="45" fillId="56" borderId="537" applyNumberFormat="0" applyAlignment="0" applyProtection="0"/>
    <xf numFmtId="0" fontId="34" fillId="34" borderId="535">
      <alignment horizontal="left" vertical="center" wrapText="1" indent="2"/>
    </xf>
    <xf numFmtId="0" fontId="46" fillId="56" borderId="537" applyNumberFormat="0" applyAlignment="0" applyProtection="0"/>
    <xf numFmtId="0" fontId="46" fillId="56" borderId="537" applyNumberFormat="0" applyAlignment="0" applyProtection="0"/>
    <xf numFmtId="4" fontId="32" fillId="34" borderId="533">
      <alignment horizontal="right" vertical="center"/>
    </xf>
    <xf numFmtId="0" fontId="32" fillId="34" borderId="533">
      <alignment horizontal="right" vertical="center"/>
    </xf>
    <xf numFmtId="0" fontId="32" fillId="34" borderId="532">
      <alignment horizontal="right" vertical="center"/>
    </xf>
    <xf numFmtId="4" fontId="36" fillId="32" borderId="532">
      <alignment horizontal="right" vertical="center"/>
    </xf>
    <xf numFmtId="0" fontId="49" fillId="43" borderId="537" applyNumberFormat="0" applyAlignment="0" applyProtection="0"/>
    <xf numFmtId="0" fontId="50" fillId="0" borderId="538" applyNumberFormat="0" applyFill="0" applyAlignment="0" applyProtection="0"/>
    <xf numFmtId="0" fontId="65" fillId="0" borderId="538" applyNumberFormat="0" applyFill="0" applyAlignment="0" applyProtection="0"/>
    <xf numFmtId="0" fontId="40" fillId="59" borderId="531" applyNumberFormat="0" applyFont="0" applyAlignment="0" applyProtection="0"/>
    <xf numFmtId="0" fontId="58" fillId="43" borderId="537" applyNumberFormat="0" applyAlignment="0" applyProtection="0"/>
    <xf numFmtId="49" fontId="33" fillId="0" borderId="532" applyNumberFormat="0" applyFill="0" applyBorder="0" applyProtection="0">
      <alignment horizontal="left" vertical="center"/>
    </xf>
    <xf numFmtId="0" fontId="34" fillId="34" borderId="535">
      <alignment horizontal="left" vertical="center" wrapText="1" indent="2"/>
    </xf>
    <xf numFmtId="0" fontId="46" fillId="56" borderId="537" applyNumberFormat="0" applyAlignment="0" applyProtection="0"/>
    <xf numFmtId="0" fontId="34" fillId="0" borderId="535">
      <alignment horizontal="left" vertical="center" wrapText="1" indent="2"/>
    </xf>
    <xf numFmtId="0" fontId="40" fillId="59" borderId="531" applyNumberFormat="0" applyFont="0" applyAlignment="0" applyProtection="0"/>
    <xf numFmtId="0" fontId="5" fillId="59" borderId="531" applyNumberFormat="0" applyFont="0" applyAlignment="0" applyProtection="0"/>
    <xf numFmtId="0" fontId="62" fillId="56" borderId="536" applyNumberFormat="0" applyAlignment="0" applyProtection="0"/>
    <xf numFmtId="0" fontId="65" fillId="0" borderId="538" applyNumberFormat="0" applyFill="0" applyAlignment="0" applyProtection="0"/>
    <xf numFmtId="4" fontId="34" fillId="33" borderId="532"/>
    <xf numFmtId="0" fontId="32" fillId="34" borderId="532">
      <alignment horizontal="right" vertical="center"/>
    </xf>
    <xf numFmtId="0" fontId="65" fillId="0" borderId="538" applyNumberFormat="0" applyFill="0" applyAlignment="0" applyProtection="0"/>
    <xf numFmtId="4" fontId="32" fillId="34" borderId="534">
      <alignment horizontal="right" vertical="center"/>
    </xf>
    <xf numFmtId="0" fontId="45" fillId="56" borderId="537" applyNumberFormat="0" applyAlignment="0" applyProtection="0"/>
    <xf numFmtId="0" fontId="32" fillId="34" borderId="533">
      <alignment horizontal="right" vertical="center"/>
    </xf>
    <xf numFmtId="0" fontId="46" fillId="56" borderId="537" applyNumberFormat="0" applyAlignment="0" applyProtection="0"/>
    <xf numFmtId="0" fontId="50" fillId="0" borderId="538" applyNumberFormat="0" applyFill="0" applyAlignment="0" applyProtection="0"/>
    <xf numFmtId="0" fontId="40" fillId="59" borderId="531" applyNumberFormat="0" applyFont="0" applyAlignment="0" applyProtection="0"/>
    <xf numFmtId="4" fontId="32" fillId="34" borderId="533">
      <alignment horizontal="right" vertical="center"/>
    </xf>
    <xf numFmtId="0" fontId="34" fillId="34" borderId="535">
      <alignment horizontal="left" vertical="center" wrapText="1" indent="2"/>
    </xf>
    <xf numFmtId="0" fontId="34" fillId="33" borderId="532"/>
    <xf numFmtId="173" fontId="34" fillId="60" borderId="532" applyNumberFormat="0" applyFont="0" applyBorder="0" applyAlignment="0" applyProtection="0">
      <alignment horizontal="right" vertical="center"/>
    </xf>
    <xf numFmtId="0" fontId="34" fillId="0" borderId="532" applyNumberFormat="0" applyFill="0" applyAlignment="0" applyProtection="0"/>
    <xf numFmtId="4" fontId="34" fillId="0" borderId="532" applyFill="0" applyBorder="0" applyProtection="0">
      <alignment horizontal="right" vertical="center"/>
    </xf>
    <xf numFmtId="4" fontId="32" fillId="32" borderId="532">
      <alignment horizontal="right" vertical="center"/>
    </xf>
    <xf numFmtId="0" fontId="50" fillId="0" borderId="538" applyNumberFormat="0" applyFill="0" applyAlignment="0" applyProtection="0"/>
    <xf numFmtId="49" fontId="33" fillId="0" borderId="532" applyNumberFormat="0" applyFill="0" applyBorder="0" applyProtection="0">
      <alignment horizontal="left" vertical="center"/>
    </xf>
    <xf numFmtId="49" fontId="34" fillId="0" borderId="533" applyNumberFormat="0" applyFont="0" applyFill="0" applyBorder="0" applyProtection="0">
      <alignment horizontal="left" vertical="center" indent="5"/>
    </xf>
    <xf numFmtId="0" fontId="34" fillId="32" borderId="533">
      <alignment horizontal="left" vertical="center"/>
    </xf>
    <xf numFmtId="0" fontId="46" fillId="56" borderId="537" applyNumberFormat="0" applyAlignment="0" applyProtection="0"/>
    <xf numFmtId="4" fontId="32" fillId="34" borderId="534">
      <alignment horizontal="right" vertical="center"/>
    </xf>
    <xf numFmtId="0" fontId="58" fillId="43" borderId="537" applyNumberFormat="0" applyAlignment="0" applyProtection="0"/>
    <xf numFmtId="0" fontId="58" fillId="43" borderId="537" applyNumberFormat="0" applyAlignment="0" applyProtection="0"/>
    <xf numFmtId="0" fontId="40" fillId="59" borderId="531" applyNumberFormat="0" applyFont="0" applyAlignment="0" applyProtection="0"/>
    <xf numFmtId="0" fontId="62" fillId="56" borderId="536" applyNumberFormat="0" applyAlignment="0" applyProtection="0"/>
    <xf numFmtId="0" fontId="65" fillId="0" borderId="538" applyNumberFormat="0" applyFill="0" applyAlignment="0" applyProtection="0"/>
    <xf numFmtId="0" fontId="32" fillId="34" borderId="532">
      <alignment horizontal="right" vertical="center"/>
    </xf>
    <xf numFmtId="0" fontId="5" fillId="59" borderId="531" applyNumberFormat="0" applyFont="0" applyAlignment="0" applyProtection="0"/>
    <xf numFmtId="4" fontId="34" fillId="0" borderId="532">
      <alignment horizontal="right" vertical="center"/>
    </xf>
    <xf numFmtId="0" fontId="65" fillId="0" borderId="538" applyNumberFormat="0" applyFill="0" applyAlignment="0" applyProtection="0"/>
    <xf numFmtId="0" fontId="32" fillId="34" borderId="532">
      <alignment horizontal="right" vertical="center"/>
    </xf>
    <xf numFmtId="0" fontId="32" fillId="34" borderId="532">
      <alignment horizontal="right" vertical="center"/>
    </xf>
    <xf numFmtId="4" fontId="36" fillId="32" borderId="532">
      <alignment horizontal="right" vertical="center"/>
    </xf>
    <xf numFmtId="0" fontId="32" fillId="32" borderId="532">
      <alignment horizontal="right" vertical="center"/>
    </xf>
    <xf numFmtId="4" fontId="32" fillId="32" borderId="532">
      <alignment horizontal="right" vertical="center"/>
    </xf>
    <xf numFmtId="0" fontId="36" fillId="32" borderId="532">
      <alignment horizontal="right" vertical="center"/>
    </xf>
    <xf numFmtId="4" fontId="36" fillId="32" borderId="532">
      <alignment horizontal="right" vertical="center"/>
    </xf>
    <xf numFmtId="0" fontId="32" fillId="34" borderId="532">
      <alignment horizontal="right" vertical="center"/>
    </xf>
    <xf numFmtId="4" fontId="32" fillId="34" borderId="532">
      <alignment horizontal="right" vertical="center"/>
    </xf>
    <xf numFmtId="0" fontId="32" fillId="34" borderId="532">
      <alignment horizontal="right" vertical="center"/>
    </xf>
    <xf numFmtId="4" fontId="32" fillId="34" borderId="532">
      <alignment horizontal="right" vertical="center"/>
    </xf>
    <xf numFmtId="0" fontId="32" fillId="34" borderId="533">
      <alignment horizontal="right" vertical="center"/>
    </xf>
    <xf numFmtId="4" fontId="32" fillId="34" borderId="533">
      <alignment horizontal="right" vertical="center"/>
    </xf>
    <xf numFmtId="0" fontId="32" fillId="34" borderId="534">
      <alignment horizontal="right" vertical="center"/>
    </xf>
    <xf numFmtId="4" fontId="32" fillId="34" borderId="534">
      <alignment horizontal="right" vertical="center"/>
    </xf>
    <xf numFmtId="0" fontId="46" fillId="56" borderId="537" applyNumberFormat="0" applyAlignment="0" applyProtection="0"/>
    <xf numFmtId="0" fontId="34" fillId="34" borderId="535">
      <alignment horizontal="left" vertical="center" wrapText="1" indent="2"/>
    </xf>
    <xf numFmtId="0" fontId="34" fillId="0" borderId="535">
      <alignment horizontal="left" vertical="center" wrapText="1" indent="2"/>
    </xf>
    <xf numFmtId="0" fontId="34" fillId="32" borderId="533">
      <alignment horizontal="left" vertical="center"/>
    </xf>
    <xf numFmtId="0" fontId="58" fillId="43" borderId="537" applyNumberFormat="0" applyAlignment="0" applyProtection="0"/>
    <xf numFmtId="0" fontId="34" fillId="0" borderId="532">
      <alignment horizontal="right" vertical="center"/>
    </xf>
    <xf numFmtId="4" fontId="34" fillId="0" borderId="532">
      <alignment horizontal="right" vertical="center"/>
    </xf>
    <xf numFmtId="0" fontId="34" fillId="0" borderId="532" applyNumberFormat="0" applyFill="0" applyAlignment="0" applyProtection="0"/>
    <xf numFmtId="0" fontId="62" fillId="56" borderId="536" applyNumberFormat="0" applyAlignment="0" applyProtection="0"/>
    <xf numFmtId="173" fontId="34" fillId="60" borderId="532" applyNumberFormat="0" applyFont="0" applyBorder="0" applyAlignment="0" applyProtection="0">
      <alignment horizontal="right" vertical="center"/>
    </xf>
    <xf numFmtId="0" fontId="34" fillId="33" borderId="532"/>
    <xf numFmtId="4" fontId="34" fillId="33" borderId="532"/>
    <xf numFmtId="0" fontId="65" fillId="0" borderId="538" applyNumberFormat="0" applyFill="0" applyAlignment="0" applyProtection="0"/>
    <xf numFmtId="0" fontId="5" fillId="59" borderId="531" applyNumberFormat="0" applyFont="0" applyAlignment="0" applyProtection="0"/>
    <xf numFmtId="0" fontId="40" fillId="59" borderId="531" applyNumberFormat="0" applyFont="0" applyAlignment="0" applyProtection="0"/>
    <xf numFmtId="0" fontId="34" fillId="0" borderId="532" applyNumberFormat="0" applyFill="0" applyAlignment="0" applyProtection="0"/>
    <xf numFmtId="0" fontId="50" fillId="0" borderId="538" applyNumberFormat="0" applyFill="0" applyAlignment="0" applyProtection="0"/>
    <xf numFmtId="0" fontId="65" fillId="0" borderId="538" applyNumberFormat="0" applyFill="0" applyAlignment="0" applyProtection="0"/>
    <xf numFmtId="0" fontId="49" fillId="43" borderId="537" applyNumberFormat="0" applyAlignment="0" applyProtection="0"/>
    <xf numFmtId="0" fontId="46" fillId="56" borderId="537" applyNumberFormat="0" applyAlignment="0" applyProtection="0"/>
    <xf numFmtId="4" fontId="36" fillId="32" borderId="532">
      <alignment horizontal="right" vertical="center"/>
    </xf>
    <xf numFmtId="0" fontId="32" fillId="32" borderId="532">
      <alignment horizontal="right" vertical="center"/>
    </xf>
    <xf numFmtId="173" fontId="34" fillId="60" borderId="532" applyNumberFormat="0" applyFont="0" applyBorder="0" applyAlignment="0" applyProtection="0">
      <alignment horizontal="right" vertical="center"/>
    </xf>
    <xf numFmtId="0" fontId="50" fillId="0" borderId="538" applyNumberFormat="0" applyFill="0" applyAlignment="0" applyProtection="0"/>
    <xf numFmtId="49" fontId="34" fillId="0" borderId="532" applyNumberFormat="0" applyFont="0" applyFill="0" applyBorder="0" applyProtection="0">
      <alignment horizontal="left" vertical="center" indent="2"/>
    </xf>
    <xf numFmtId="49" fontId="34" fillId="0" borderId="533" applyNumberFormat="0" applyFont="0" applyFill="0" applyBorder="0" applyProtection="0">
      <alignment horizontal="left" vertical="center" indent="5"/>
    </xf>
    <xf numFmtId="49" fontId="34" fillId="0" borderId="532" applyNumberFormat="0" applyFont="0" applyFill="0" applyBorder="0" applyProtection="0">
      <alignment horizontal="left" vertical="center" indent="2"/>
    </xf>
    <xf numFmtId="4" fontId="34" fillId="0" borderId="532" applyFill="0" applyBorder="0" applyProtection="0">
      <alignment horizontal="right" vertical="center"/>
    </xf>
    <xf numFmtId="49" fontId="33" fillId="0" borderId="532" applyNumberFormat="0" applyFill="0" applyBorder="0" applyProtection="0">
      <alignment horizontal="left" vertical="center"/>
    </xf>
    <xf numFmtId="0" fontId="34" fillId="0" borderId="535">
      <alignment horizontal="left" vertical="center" wrapText="1" indent="2"/>
    </xf>
    <xf numFmtId="0" fontId="62" fillId="56" borderId="536" applyNumberFormat="0" applyAlignment="0" applyProtection="0"/>
    <xf numFmtId="0" fontId="32" fillId="34" borderId="534">
      <alignment horizontal="right" vertical="center"/>
    </xf>
    <xf numFmtId="0" fontId="49" fillId="43" borderId="537" applyNumberFormat="0" applyAlignment="0" applyProtection="0"/>
    <xf numFmtId="0" fontId="32" fillId="34" borderId="534">
      <alignment horizontal="right" vertical="center"/>
    </xf>
    <xf numFmtId="4" fontId="32" fillId="34" borderId="532">
      <alignment horizontal="right" vertical="center"/>
    </xf>
    <xf numFmtId="0" fontId="32" fillId="34" borderId="532">
      <alignment horizontal="right" vertical="center"/>
    </xf>
    <xf numFmtId="0" fontId="43" fillId="56" borderId="536" applyNumberFormat="0" applyAlignment="0" applyProtection="0"/>
    <xf numFmtId="0" fontId="45" fillId="56" borderId="537" applyNumberFormat="0" applyAlignment="0" applyProtection="0"/>
    <xf numFmtId="0" fontId="50" fillId="0" borderId="538" applyNumberFormat="0" applyFill="0" applyAlignment="0" applyProtection="0"/>
    <xf numFmtId="0" fontId="34" fillId="33" borderId="532"/>
    <xf numFmtId="4" fontId="34" fillId="33" borderId="532"/>
    <xf numFmtId="4" fontId="32" fillId="34" borderId="532">
      <alignment horizontal="right" vertical="center"/>
    </xf>
    <xf numFmtId="0" fontId="36" fillId="32" borderId="532">
      <alignment horizontal="right" vertical="center"/>
    </xf>
    <xf numFmtId="0" fontId="49" fillId="43" borderId="537" applyNumberFormat="0" applyAlignment="0" applyProtection="0"/>
    <xf numFmtId="0" fontId="46" fillId="56" borderId="537" applyNumberFormat="0" applyAlignment="0" applyProtection="0"/>
    <xf numFmtId="4" fontId="34" fillId="0" borderId="532">
      <alignment horizontal="right" vertical="center"/>
    </xf>
    <xf numFmtId="0" fontId="34" fillId="34" borderId="535">
      <alignment horizontal="left" vertical="center" wrapText="1" indent="2"/>
    </xf>
    <xf numFmtId="0" fontId="34" fillId="0" borderId="535">
      <alignment horizontal="left" vertical="center" wrapText="1" indent="2"/>
    </xf>
    <xf numFmtId="0" fontId="62" fillId="56" borderId="536" applyNumberFormat="0" applyAlignment="0" applyProtection="0"/>
    <xf numFmtId="0" fontId="58" fillId="43" borderId="537" applyNumberFormat="0" applyAlignment="0" applyProtection="0"/>
    <xf numFmtId="0" fontId="45" fillId="56" borderId="537" applyNumberFormat="0" applyAlignment="0" applyProtection="0"/>
    <xf numFmtId="0" fontId="43" fillId="56" borderId="536" applyNumberFormat="0" applyAlignment="0" applyProtection="0"/>
    <xf numFmtId="0" fontId="32" fillId="34" borderId="534">
      <alignment horizontal="right" vertical="center"/>
    </xf>
    <xf numFmtId="0" fontId="36" fillId="32" borderId="532">
      <alignment horizontal="right" vertical="center"/>
    </xf>
    <xf numFmtId="4" fontId="32" fillId="32" borderId="532">
      <alignment horizontal="right" vertical="center"/>
    </xf>
    <xf numFmtId="4" fontId="32" fillId="34" borderId="532">
      <alignment horizontal="right" vertical="center"/>
    </xf>
    <xf numFmtId="49" fontId="34" fillId="0" borderId="533" applyNumberFormat="0" applyFont="0" applyFill="0" applyBorder="0" applyProtection="0">
      <alignment horizontal="left" vertical="center" indent="5"/>
    </xf>
    <xf numFmtId="4" fontId="34" fillId="0" borderId="532" applyFill="0" applyBorder="0" applyProtection="0">
      <alignment horizontal="right" vertical="center"/>
    </xf>
    <xf numFmtId="4" fontId="32" fillId="32" borderId="532">
      <alignment horizontal="right" vertical="center"/>
    </xf>
    <xf numFmtId="0" fontId="58" fillId="43" borderId="537" applyNumberFormat="0" applyAlignment="0" applyProtection="0"/>
    <xf numFmtId="0" fontId="49" fillId="43" borderId="537" applyNumberFormat="0" applyAlignment="0" applyProtection="0"/>
    <xf numFmtId="0" fontId="45" fillId="56" borderId="537" applyNumberFormat="0" applyAlignment="0" applyProtection="0"/>
    <xf numFmtId="0" fontId="34" fillId="34" borderId="535">
      <alignment horizontal="left" vertical="center" wrapText="1" indent="2"/>
    </xf>
    <xf numFmtId="0" fontId="34" fillId="0" borderId="535">
      <alignment horizontal="left" vertical="center" wrapText="1" indent="2"/>
    </xf>
    <xf numFmtId="0" fontId="34" fillId="34" borderId="535">
      <alignment horizontal="left" vertical="center" wrapText="1" indent="2"/>
    </xf>
    <xf numFmtId="0" fontId="32" fillId="34" borderId="545">
      <alignment horizontal="right" vertical="center"/>
    </xf>
    <xf numFmtId="0" fontId="40" fillId="59" borderId="550" applyNumberFormat="0" applyFont="0" applyAlignment="0" applyProtection="0"/>
    <xf numFmtId="0" fontId="62" fillId="56" borderId="547" applyNumberFormat="0" applyAlignment="0" applyProtection="0"/>
    <xf numFmtId="0" fontId="49" fillId="43" borderId="548" applyNumberFormat="0" applyAlignment="0" applyProtection="0"/>
    <xf numFmtId="0" fontId="45" fillId="56" borderId="548" applyNumberFormat="0" applyAlignment="0" applyProtection="0"/>
    <xf numFmtId="0" fontId="58" fillId="43" borderId="548" applyNumberFormat="0" applyAlignment="0" applyProtection="0"/>
    <xf numFmtId="49" fontId="33" fillId="0" borderId="551" applyNumberFormat="0" applyFill="0" applyBorder="0" applyProtection="0">
      <alignment horizontal="left" vertical="center"/>
    </xf>
    <xf numFmtId="173" fontId="34" fillId="60" borderId="551" applyNumberFormat="0" applyFont="0" applyBorder="0" applyAlignment="0" applyProtection="0">
      <alignment horizontal="right" vertical="center"/>
    </xf>
    <xf numFmtId="4" fontId="32" fillId="34" borderId="553">
      <alignment horizontal="right" vertical="center"/>
    </xf>
    <xf numFmtId="0" fontId="34" fillId="0" borderId="551">
      <alignment horizontal="right" vertical="center"/>
    </xf>
    <xf numFmtId="0" fontId="58" fillId="43" borderId="548" applyNumberFormat="0" applyAlignment="0" applyProtection="0"/>
    <xf numFmtId="0" fontId="50" fillId="0" borderId="549" applyNumberFormat="0" applyFill="0" applyAlignment="0" applyProtection="0"/>
    <xf numFmtId="0" fontId="46" fillId="56" borderId="548" applyNumberFormat="0" applyAlignment="0" applyProtection="0"/>
    <xf numFmtId="0" fontId="34" fillId="34" borderId="554">
      <alignment horizontal="left" vertical="center" wrapText="1" indent="2"/>
    </xf>
    <xf numFmtId="4" fontId="36" fillId="32" borderId="551">
      <alignment horizontal="right" vertical="center"/>
    </xf>
    <xf numFmtId="4" fontId="32" fillId="32" borderId="551">
      <alignment horizontal="right" vertical="center"/>
    </xf>
    <xf numFmtId="4" fontId="34" fillId="0" borderId="551" applyFill="0" applyBorder="0" applyProtection="0">
      <alignment horizontal="right" vertical="center"/>
    </xf>
    <xf numFmtId="0" fontId="46" fillId="56" borderId="548" applyNumberFormat="0" applyAlignment="0" applyProtection="0"/>
    <xf numFmtId="0" fontId="40" fillId="59" borderId="550" applyNumberFormat="0" applyFont="0" applyAlignment="0" applyProtection="0"/>
    <xf numFmtId="0" fontId="5" fillId="59" borderId="550" applyNumberFormat="0" applyFont="0" applyAlignment="0" applyProtection="0"/>
    <xf numFmtId="0" fontId="34" fillId="0" borderId="551" applyNumberFormat="0" applyFill="0" applyAlignment="0" applyProtection="0"/>
    <xf numFmtId="0" fontId="12" fillId="19" borderId="0" applyNumberFormat="0" applyBorder="0" applyAlignment="0" applyProtection="0"/>
    <xf numFmtId="0" fontId="12" fillId="31" borderId="0" applyNumberFormat="0" applyBorder="0" applyAlignment="0" applyProtection="0"/>
    <xf numFmtId="0" fontId="32" fillId="32" borderId="551">
      <alignment horizontal="right" vertical="center"/>
    </xf>
    <xf numFmtId="0" fontId="46" fillId="56" borderId="548" applyNumberFormat="0" applyAlignment="0" applyProtection="0"/>
    <xf numFmtId="4" fontId="34" fillId="0" borderId="551">
      <alignment horizontal="right" vertical="center"/>
    </xf>
    <xf numFmtId="4" fontId="32" fillId="34" borderId="553">
      <alignment horizontal="right" vertical="center"/>
    </xf>
    <xf numFmtId="0" fontId="45" fillId="56" borderId="548" applyNumberFormat="0" applyAlignment="0" applyProtection="0"/>
    <xf numFmtId="0" fontId="12" fillId="25" borderId="0" applyNumberFormat="0" applyBorder="0" applyAlignment="0" applyProtection="0"/>
    <xf numFmtId="0" fontId="26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2" borderId="0" applyNumberFormat="0" applyBorder="0" applyAlignment="0" applyProtection="0"/>
    <xf numFmtId="0" fontId="26" fillId="20" borderId="0" applyNumberFormat="0" applyBorder="0" applyAlignment="0" applyProtection="0"/>
    <xf numFmtId="0" fontId="26" fillId="14" borderId="0" applyNumberFormat="0" applyBorder="0" applyAlignment="0" applyProtection="0"/>
    <xf numFmtId="0" fontId="58" fillId="43" borderId="548" applyNumberFormat="0" applyAlignment="0" applyProtection="0"/>
    <xf numFmtId="0" fontId="43" fillId="56" borderId="547" applyNumberFormat="0" applyAlignment="0" applyProtection="0"/>
    <xf numFmtId="4" fontId="32" fillId="34" borderId="551">
      <alignment horizontal="right" vertical="center"/>
    </xf>
    <xf numFmtId="0" fontId="34" fillId="0" borderId="551">
      <alignment horizontal="right" vertical="center"/>
    </xf>
    <xf numFmtId="4" fontId="32" fillId="34" borderId="543">
      <alignment horizontal="right" vertical="center"/>
    </xf>
    <xf numFmtId="0" fontId="34" fillId="33" borderId="543"/>
    <xf numFmtId="0" fontId="45" fillId="56" borderId="540" applyNumberFormat="0" applyAlignment="0" applyProtection="0"/>
    <xf numFmtId="0" fontId="32" fillId="32" borderId="543">
      <alignment horizontal="right" vertical="center"/>
    </xf>
    <xf numFmtId="0" fontId="34" fillId="0" borderId="543">
      <alignment horizontal="right" vertical="center"/>
    </xf>
    <xf numFmtId="0" fontId="65" fillId="0" borderId="541" applyNumberFormat="0" applyFill="0" applyAlignment="0" applyProtection="0"/>
    <xf numFmtId="0" fontId="34" fillId="32" borderId="544">
      <alignment horizontal="left" vertical="center"/>
    </xf>
    <xf numFmtId="0" fontId="58" fillId="43" borderId="540" applyNumberFormat="0" applyAlignment="0" applyProtection="0"/>
    <xf numFmtId="173" fontId="34" fillId="60" borderId="543" applyNumberFormat="0" applyFont="0" applyBorder="0" applyAlignment="0" applyProtection="0">
      <alignment horizontal="right" vertical="center"/>
    </xf>
    <xf numFmtId="0" fontId="40" fillId="59" borderId="542" applyNumberFormat="0" applyFont="0" applyAlignment="0" applyProtection="0"/>
    <xf numFmtId="0" fontId="34" fillId="0" borderId="546">
      <alignment horizontal="left" vertical="center" wrapText="1" indent="2"/>
    </xf>
    <xf numFmtId="4" fontId="34" fillId="33" borderId="543"/>
    <xf numFmtId="49" fontId="33" fillId="0" borderId="543" applyNumberFormat="0" applyFill="0" applyBorder="0" applyProtection="0">
      <alignment horizontal="left" vertical="center"/>
    </xf>
    <xf numFmtId="0" fontId="34" fillId="0" borderId="543">
      <alignment horizontal="right" vertical="center"/>
    </xf>
    <xf numFmtId="4" fontId="32" fillId="34" borderId="545">
      <alignment horizontal="right" vertical="center"/>
    </xf>
    <xf numFmtId="4" fontId="32" fillId="34" borderId="543">
      <alignment horizontal="right" vertical="center"/>
    </xf>
    <xf numFmtId="4" fontId="32" fillId="34" borderId="543">
      <alignment horizontal="right" vertical="center"/>
    </xf>
    <xf numFmtId="0" fontId="36" fillId="32" borderId="543">
      <alignment horizontal="right" vertical="center"/>
    </xf>
    <xf numFmtId="0" fontId="32" fillId="32" borderId="543">
      <alignment horizontal="right" vertical="center"/>
    </xf>
    <xf numFmtId="49" fontId="34" fillId="0" borderId="543" applyNumberFormat="0" applyFont="0" applyFill="0" applyBorder="0" applyProtection="0">
      <alignment horizontal="left" vertical="center" indent="2"/>
    </xf>
    <xf numFmtId="0" fontId="58" fillId="43" borderId="540" applyNumberFormat="0" applyAlignment="0" applyProtection="0"/>
    <xf numFmtId="0" fontId="43" fillId="56" borderId="539" applyNumberFormat="0" applyAlignment="0" applyProtection="0"/>
    <xf numFmtId="49" fontId="34" fillId="0" borderId="543" applyNumberFormat="0" applyFont="0" applyFill="0" applyBorder="0" applyProtection="0">
      <alignment horizontal="left" vertical="center" indent="2"/>
    </xf>
    <xf numFmtId="0" fontId="49" fillId="43" borderId="540" applyNumberFormat="0" applyAlignment="0" applyProtection="0"/>
    <xf numFmtId="4" fontId="34" fillId="0" borderId="543" applyFill="0" applyBorder="0" applyProtection="0">
      <alignment horizontal="right" vertical="center"/>
    </xf>
    <xf numFmtId="0" fontId="46" fillId="56" borderId="540" applyNumberFormat="0" applyAlignment="0" applyProtection="0"/>
    <xf numFmtId="0" fontId="65" fillId="0" borderId="541" applyNumberFormat="0" applyFill="0" applyAlignment="0" applyProtection="0"/>
    <xf numFmtId="0" fontId="62" fillId="56" borderId="539" applyNumberFormat="0" applyAlignment="0" applyProtection="0"/>
    <xf numFmtId="0" fontId="34" fillId="0" borderId="543" applyNumberFormat="0" applyFill="0" applyAlignment="0" applyProtection="0"/>
    <xf numFmtId="4" fontId="34" fillId="0" borderId="543">
      <alignment horizontal="right" vertical="center"/>
    </xf>
    <xf numFmtId="0" fontId="34" fillId="0" borderId="543">
      <alignment horizontal="right" vertical="center"/>
    </xf>
    <xf numFmtId="0" fontId="58" fillId="43" borderId="540" applyNumberFormat="0" applyAlignment="0" applyProtection="0"/>
    <xf numFmtId="0" fontId="43" fillId="56" borderId="539" applyNumberFormat="0" applyAlignment="0" applyProtection="0"/>
    <xf numFmtId="0" fontId="45" fillId="56" borderId="540" applyNumberFormat="0" applyAlignment="0" applyProtection="0"/>
    <xf numFmtId="0" fontId="34" fillId="34" borderId="546">
      <alignment horizontal="left" vertical="center" wrapText="1" indent="2"/>
    </xf>
    <xf numFmtId="0" fontId="46" fillId="56" borderId="540" applyNumberFormat="0" applyAlignment="0" applyProtection="0"/>
    <xf numFmtId="0" fontId="46" fillId="56" borderId="540" applyNumberFormat="0" applyAlignment="0" applyProtection="0"/>
    <xf numFmtId="4" fontId="32" fillId="34" borderId="544">
      <alignment horizontal="right" vertical="center"/>
    </xf>
    <xf numFmtId="0" fontId="32" fillId="34" borderId="544">
      <alignment horizontal="right" vertical="center"/>
    </xf>
    <xf numFmtId="0" fontId="32" fillId="34" borderId="543">
      <alignment horizontal="right" vertical="center"/>
    </xf>
    <xf numFmtId="4" fontId="36" fillId="32" borderId="543">
      <alignment horizontal="right" vertical="center"/>
    </xf>
    <xf numFmtId="0" fontId="49" fillId="43" borderId="540" applyNumberFormat="0" applyAlignment="0" applyProtection="0"/>
    <xf numFmtId="0" fontId="50" fillId="0" borderId="541" applyNumberFormat="0" applyFill="0" applyAlignment="0" applyProtection="0"/>
    <xf numFmtId="0" fontId="65" fillId="0" borderId="541" applyNumberFormat="0" applyFill="0" applyAlignment="0" applyProtection="0"/>
    <xf numFmtId="0" fontId="40" fillId="59" borderId="542" applyNumberFormat="0" applyFont="0" applyAlignment="0" applyProtection="0"/>
    <xf numFmtId="0" fontId="58" fillId="43" borderId="540" applyNumberFormat="0" applyAlignment="0" applyProtection="0"/>
    <xf numFmtId="49" fontId="33" fillId="0" borderId="543" applyNumberFormat="0" applyFill="0" applyBorder="0" applyProtection="0">
      <alignment horizontal="left" vertical="center"/>
    </xf>
    <xf numFmtId="0" fontId="34" fillId="34" borderId="546">
      <alignment horizontal="left" vertical="center" wrapText="1" indent="2"/>
    </xf>
    <xf numFmtId="0" fontId="46" fillId="56" borderId="540" applyNumberFormat="0" applyAlignment="0" applyProtection="0"/>
    <xf numFmtId="0" fontId="34" fillId="0" borderId="546">
      <alignment horizontal="left" vertical="center" wrapText="1" indent="2"/>
    </xf>
    <xf numFmtId="0" fontId="40" fillId="59" borderId="542" applyNumberFormat="0" applyFont="0" applyAlignment="0" applyProtection="0"/>
    <xf numFmtId="0" fontId="5" fillId="59" borderId="542" applyNumberFormat="0" applyFont="0" applyAlignment="0" applyProtection="0"/>
    <xf numFmtId="0" fontId="62" fillId="56" borderId="539" applyNumberFormat="0" applyAlignment="0" applyProtection="0"/>
    <xf numFmtId="0" fontId="65" fillId="0" borderId="541" applyNumberFormat="0" applyFill="0" applyAlignment="0" applyProtection="0"/>
    <xf numFmtId="4" fontId="34" fillId="33" borderId="543"/>
    <xf numFmtId="0" fontId="32" fillId="34" borderId="543">
      <alignment horizontal="right" vertical="center"/>
    </xf>
    <xf numFmtId="0" fontId="65" fillId="0" borderId="541" applyNumberFormat="0" applyFill="0" applyAlignment="0" applyProtection="0"/>
    <xf numFmtId="4" fontId="32" fillId="34" borderId="545">
      <alignment horizontal="right" vertical="center"/>
    </xf>
    <xf numFmtId="0" fontId="45" fillId="56" borderId="540" applyNumberFormat="0" applyAlignment="0" applyProtection="0"/>
    <xf numFmtId="0" fontId="32" fillId="34" borderId="544">
      <alignment horizontal="right" vertical="center"/>
    </xf>
    <xf numFmtId="0" fontId="46" fillId="56" borderId="540" applyNumberFormat="0" applyAlignment="0" applyProtection="0"/>
    <xf numFmtId="0" fontId="50" fillId="0" borderId="541" applyNumberFormat="0" applyFill="0" applyAlignment="0" applyProtection="0"/>
    <xf numFmtId="0" fontId="40" fillId="59" borderId="542" applyNumberFormat="0" applyFont="0" applyAlignment="0" applyProtection="0"/>
    <xf numFmtId="4" fontId="32" fillId="34" borderId="544">
      <alignment horizontal="right" vertical="center"/>
    </xf>
    <xf numFmtId="0" fontId="34" fillId="34" borderId="546">
      <alignment horizontal="left" vertical="center" wrapText="1" indent="2"/>
    </xf>
    <xf numFmtId="0" fontId="34" fillId="33" borderId="543"/>
    <xf numFmtId="173" fontId="34" fillId="60" borderId="543" applyNumberFormat="0" applyFont="0" applyBorder="0" applyAlignment="0" applyProtection="0">
      <alignment horizontal="right" vertical="center"/>
    </xf>
    <xf numFmtId="0" fontId="34" fillId="0" borderId="543" applyNumberFormat="0" applyFill="0" applyAlignment="0" applyProtection="0"/>
    <xf numFmtId="4" fontId="34" fillId="0" borderId="543" applyFill="0" applyBorder="0" applyProtection="0">
      <alignment horizontal="right" vertical="center"/>
    </xf>
    <xf numFmtId="4" fontId="32" fillId="32" borderId="543">
      <alignment horizontal="right" vertical="center"/>
    </xf>
    <xf numFmtId="0" fontId="50" fillId="0" borderId="541" applyNumberFormat="0" applyFill="0" applyAlignment="0" applyProtection="0"/>
    <xf numFmtId="49" fontId="33" fillId="0" borderId="543" applyNumberFormat="0" applyFill="0" applyBorder="0" applyProtection="0">
      <alignment horizontal="left" vertical="center"/>
    </xf>
    <xf numFmtId="49" fontId="34" fillId="0" borderId="544" applyNumberFormat="0" applyFont="0" applyFill="0" applyBorder="0" applyProtection="0">
      <alignment horizontal="left" vertical="center" indent="5"/>
    </xf>
    <xf numFmtId="0" fontId="34" fillId="32" borderId="544">
      <alignment horizontal="left" vertical="center"/>
    </xf>
    <xf numFmtId="0" fontId="46" fillId="56" borderId="540" applyNumberFormat="0" applyAlignment="0" applyProtection="0"/>
    <xf numFmtId="4" fontId="32" fillId="34" borderId="545">
      <alignment horizontal="right" vertical="center"/>
    </xf>
    <xf numFmtId="0" fontId="58" fillId="43" borderId="540" applyNumberFormat="0" applyAlignment="0" applyProtection="0"/>
    <xf numFmtId="0" fontId="58" fillId="43" borderId="540" applyNumberFormat="0" applyAlignment="0" applyProtection="0"/>
    <xf numFmtId="0" fontId="40" fillId="59" borderId="542" applyNumberFormat="0" applyFont="0" applyAlignment="0" applyProtection="0"/>
    <xf numFmtId="0" fontId="62" fillId="56" borderId="539" applyNumberFormat="0" applyAlignment="0" applyProtection="0"/>
    <xf numFmtId="0" fontId="65" fillId="0" borderId="541" applyNumberFormat="0" applyFill="0" applyAlignment="0" applyProtection="0"/>
    <xf numFmtId="0" fontId="32" fillId="34" borderId="543">
      <alignment horizontal="right" vertical="center"/>
    </xf>
    <xf numFmtId="0" fontId="5" fillId="59" borderId="542" applyNumberFormat="0" applyFont="0" applyAlignment="0" applyProtection="0"/>
    <xf numFmtId="4" fontId="34" fillId="0" borderId="543">
      <alignment horizontal="right" vertical="center"/>
    </xf>
    <xf numFmtId="0" fontId="65" fillId="0" borderId="541" applyNumberFormat="0" applyFill="0" applyAlignment="0" applyProtection="0"/>
    <xf numFmtId="0" fontId="32" fillId="34" borderId="543">
      <alignment horizontal="right" vertical="center"/>
    </xf>
    <xf numFmtId="0" fontId="32" fillId="34" borderId="543">
      <alignment horizontal="right" vertical="center"/>
    </xf>
    <xf numFmtId="4" fontId="36" fillId="32" borderId="543">
      <alignment horizontal="right" vertical="center"/>
    </xf>
    <xf numFmtId="0" fontId="32" fillId="32" borderId="543">
      <alignment horizontal="right" vertical="center"/>
    </xf>
    <xf numFmtId="4" fontId="32" fillId="32" borderId="543">
      <alignment horizontal="right" vertical="center"/>
    </xf>
    <xf numFmtId="0" fontId="36" fillId="32" borderId="543">
      <alignment horizontal="right" vertical="center"/>
    </xf>
    <xf numFmtId="4" fontId="36" fillId="32" borderId="543">
      <alignment horizontal="right" vertical="center"/>
    </xf>
    <xf numFmtId="0" fontId="32" fillId="34" borderId="543">
      <alignment horizontal="right" vertical="center"/>
    </xf>
    <xf numFmtId="4" fontId="32" fillId="34" borderId="543">
      <alignment horizontal="right" vertical="center"/>
    </xf>
    <xf numFmtId="0" fontId="32" fillId="34" borderId="543">
      <alignment horizontal="right" vertical="center"/>
    </xf>
    <xf numFmtId="4" fontId="32" fillId="34" borderId="543">
      <alignment horizontal="right" vertical="center"/>
    </xf>
    <xf numFmtId="0" fontId="32" fillId="34" borderId="544">
      <alignment horizontal="right" vertical="center"/>
    </xf>
    <xf numFmtId="4" fontId="32" fillId="34" borderId="544">
      <alignment horizontal="right" vertical="center"/>
    </xf>
    <xf numFmtId="0" fontId="32" fillId="34" borderId="545">
      <alignment horizontal="right" vertical="center"/>
    </xf>
    <xf numFmtId="4" fontId="32" fillId="34" borderId="545">
      <alignment horizontal="right" vertical="center"/>
    </xf>
    <xf numFmtId="0" fontId="46" fillId="56" borderId="540" applyNumberFormat="0" applyAlignment="0" applyProtection="0"/>
    <xf numFmtId="0" fontId="34" fillId="34" borderId="546">
      <alignment horizontal="left" vertical="center" wrapText="1" indent="2"/>
    </xf>
    <xf numFmtId="0" fontId="34" fillId="0" borderId="546">
      <alignment horizontal="left" vertical="center" wrapText="1" indent="2"/>
    </xf>
    <xf numFmtId="0" fontId="34" fillId="32" borderId="544">
      <alignment horizontal="left" vertical="center"/>
    </xf>
    <xf numFmtId="0" fontId="58" fillId="43" borderId="540" applyNumberFormat="0" applyAlignment="0" applyProtection="0"/>
    <xf numFmtId="0" fontId="34" fillId="0" borderId="543">
      <alignment horizontal="right" vertical="center"/>
    </xf>
    <xf numFmtId="4" fontId="34" fillId="0" borderId="543">
      <alignment horizontal="right" vertical="center"/>
    </xf>
    <xf numFmtId="0" fontId="34" fillId="0" borderId="543" applyNumberFormat="0" applyFill="0" applyAlignment="0" applyProtection="0"/>
    <xf numFmtId="0" fontId="62" fillId="56" borderId="539" applyNumberFormat="0" applyAlignment="0" applyProtection="0"/>
    <xf numFmtId="173" fontId="34" fillId="60" borderId="543" applyNumberFormat="0" applyFont="0" applyBorder="0" applyAlignment="0" applyProtection="0">
      <alignment horizontal="right" vertical="center"/>
    </xf>
    <xf numFmtId="0" fontId="34" fillId="33" borderId="543"/>
    <xf numFmtId="4" fontId="34" fillId="33" borderId="543"/>
    <xf numFmtId="0" fontId="65" fillId="0" borderId="541" applyNumberFormat="0" applyFill="0" applyAlignment="0" applyProtection="0"/>
    <xf numFmtId="0" fontId="5" fillId="59" borderId="542" applyNumberFormat="0" applyFont="0" applyAlignment="0" applyProtection="0"/>
    <xf numFmtId="0" fontId="40" fillId="59" borderId="542" applyNumberFormat="0" applyFont="0" applyAlignment="0" applyProtection="0"/>
    <xf numFmtId="0" fontId="34" fillId="0" borderId="543" applyNumberFormat="0" applyFill="0" applyAlignment="0" applyProtection="0"/>
    <xf numFmtId="0" fontId="50" fillId="0" borderId="541" applyNumberFormat="0" applyFill="0" applyAlignment="0" applyProtection="0"/>
    <xf numFmtId="0" fontId="65" fillId="0" borderId="541" applyNumberFormat="0" applyFill="0" applyAlignment="0" applyProtection="0"/>
    <xf numFmtId="0" fontId="49" fillId="43" borderId="540" applyNumberFormat="0" applyAlignment="0" applyProtection="0"/>
    <xf numFmtId="0" fontId="46" fillId="56" borderId="540" applyNumberFormat="0" applyAlignment="0" applyProtection="0"/>
    <xf numFmtId="4" fontId="36" fillId="32" borderId="543">
      <alignment horizontal="right" vertical="center"/>
    </xf>
    <xf numFmtId="0" fontId="32" fillId="32" borderId="543">
      <alignment horizontal="right" vertical="center"/>
    </xf>
    <xf numFmtId="173" fontId="34" fillId="60" borderId="543" applyNumberFormat="0" applyFont="0" applyBorder="0" applyAlignment="0" applyProtection="0">
      <alignment horizontal="right" vertical="center"/>
    </xf>
    <xf numFmtId="0" fontId="50" fillId="0" borderId="541" applyNumberFormat="0" applyFill="0" applyAlignment="0" applyProtection="0"/>
    <xf numFmtId="49" fontId="34" fillId="0" borderId="543" applyNumberFormat="0" applyFont="0" applyFill="0" applyBorder="0" applyProtection="0">
      <alignment horizontal="left" vertical="center" indent="2"/>
    </xf>
    <xf numFmtId="49" fontId="34" fillId="0" borderId="544" applyNumberFormat="0" applyFont="0" applyFill="0" applyBorder="0" applyProtection="0">
      <alignment horizontal="left" vertical="center" indent="5"/>
    </xf>
    <xf numFmtId="49" fontId="34" fillId="0" borderId="543" applyNumberFormat="0" applyFont="0" applyFill="0" applyBorder="0" applyProtection="0">
      <alignment horizontal="left" vertical="center" indent="2"/>
    </xf>
    <xf numFmtId="4" fontId="34" fillId="0" borderId="543" applyFill="0" applyBorder="0" applyProtection="0">
      <alignment horizontal="right" vertical="center"/>
    </xf>
    <xf numFmtId="49" fontId="33" fillId="0" borderId="543" applyNumberFormat="0" applyFill="0" applyBorder="0" applyProtection="0">
      <alignment horizontal="left" vertical="center"/>
    </xf>
    <xf numFmtId="0" fontId="34" fillId="0" borderId="546">
      <alignment horizontal="left" vertical="center" wrapText="1" indent="2"/>
    </xf>
    <xf numFmtId="0" fontId="62" fillId="56" borderId="539" applyNumberFormat="0" applyAlignment="0" applyProtection="0"/>
    <xf numFmtId="0" fontId="32" fillId="34" borderId="545">
      <alignment horizontal="right" vertical="center"/>
    </xf>
    <xf numFmtId="0" fontId="49" fillId="43" borderId="540" applyNumberFormat="0" applyAlignment="0" applyProtection="0"/>
    <xf numFmtId="0" fontId="32" fillId="34" borderId="545">
      <alignment horizontal="right" vertical="center"/>
    </xf>
    <xf numFmtId="4" fontId="32" fillId="34" borderId="543">
      <alignment horizontal="right" vertical="center"/>
    </xf>
    <xf numFmtId="0" fontId="32" fillId="34" borderId="543">
      <alignment horizontal="right" vertical="center"/>
    </xf>
    <xf numFmtId="0" fontId="43" fillId="56" borderId="539" applyNumberFormat="0" applyAlignment="0" applyProtection="0"/>
    <xf numFmtId="0" fontId="45" fillId="56" borderId="540" applyNumberFormat="0" applyAlignment="0" applyProtection="0"/>
    <xf numFmtId="0" fontId="50" fillId="0" borderId="541" applyNumberFormat="0" applyFill="0" applyAlignment="0" applyProtection="0"/>
    <xf numFmtId="0" fontId="34" fillId="33" borderId="543"/>
    <xf numFmtId="4" fontId="34" fillId="33" borderId="543"/>
    <xf numFmtId="4" fontId="32" fillId="34" borderId="543">
      <alignment horizontal="right" vertical="center"/>
    </xf>
    <xf numFmtId="0" fontId="36" fillId="32" borderId="543">
      <alignment horizontal="right" vertical="center"/>
    </xf>
    <xf numFmtId="0" fontId="49" fillId="43" borderId="540" applyNumberFormat="0" applyAlignment="0" applyProtection="0"/>
    <xf numFmtId="0" fontId="46" fillId="56" borderId="540" applyNumberFormat="0" applyAlignment="0" applyProtection="0"/>
    <xf numFmtId="4" fontId="34" fillId="0" borderId="543">
      <alignment horizontal="right" vertical="center"/>
    </xf>
    <xf numFmtId="0" fontId="34" fillId="34" borderId="546">
      <alignment horizontal="left" vertical="center" wrapText="1" indent="2"/>
    </xf>
    <xf numFmtId="0" fontId="34" fillId="0" borderId="546">
      <alignment horizontal="left" vertical="center" wrapText="1" indent="2"/>
    </xf>
    <xf numFmtId="0" fontId="62" fillId="56" borderId="539" applyNumberFormat="0" applyAlignment="0" applyProtection="0"/>
    <xf numFmtId="0" fontId="58" fillId="43" borderId="540" applyNumberFormat="0" applyAlignment="0" applyProtection="0"/>
    <xf numFmtId="0" fontId="45" fillId="56" borderId="540" applyNumberFormat="0" applyAlignment="0" applyProtection="0"/>
    <xf numFmtId="0" fontId="43" fillId="56" borderId="539" applyNumberFormat="0" applyAlignment="0" applyProtection="0"/>
    <xf numFmtId="0" fontId="32" fillId="34" borderId="545">
      <alignment horizontal="right" vertical="center"/>
    </xf>
    <xf numFmtId="0" fontId="36" fillId="32" borderId="543">
      <alignment horizontal="right" vertical="center"/>
    </xf>
    <xf numFmtId="4" fontId="32" fillId="32" borderId="543">
      <alignment horizontal="right" vertical="center"/>
    </xf>
    <xf numFmtId="4" fontId="32" fillId="34" borderId="543">
      <alignment horizontal="right" vertical="center"/>
    </xf>
    <xf numFmtId="49" fontId="34" fillId="0" borderId="544" applyNumberFormat="0" applyFont="0" applyFill="0" applyBorder="0" applyProtection="0">
      <alignment horizontal="left" vertical="center" indent="5"/>
    </xf>
    <xf numFmtId="4" fontId="34" fillId="0" borderId="543" applyFill="0" applyBorder="0" applyProtection="0">
      <alignment horizontal="right" vertical="center"/>
    </xf>
    <xf numFmtId="4" fontId="32" fillId="32" borderId="543">
      <alignment horizontal="right" vertical="center"/>
    </xf>
    <xf numFmtId="4" fontId="34" fillId="0" borderId="558" applyFill="0" applyBorder="0" applyProtection="0">
      <alignment horizontal="right" vertical="center"/>
    </xf>
    <xf numFmtId="0" fontId="58" fillId="43" borderId="540" applyNumberFormat="0" applyAlignment="0" applyProtection="0"/>
    <xf numFmtId="0" fontId="49" fillId="43" borderId="540" applyNumberFormat="0" applyAlignment="0" applyProtection="0"/>
    <xf numFmtId="0" fontId="45" fillId="56" borderId="540" applyNumberFormat="0" applyAlignment="0" applyProtection="0"/>
    <xf numFmtId="0" fontId="34" fillId="34" borderId="546">
      <alignment horizontal="left" vertical="center" wrapText="1" indent="2"/>
    </xf>
    <xf numFmtId="0" fontId="34" fillId="0" borderId="546">
      <alignment horizontal="left" vertical="center" wrapText="1" indent="2"/>
    </xf>
    <xf numFmtId="0" fontId="34" fillId="34" borderId="546">
      <alignment horizontal="left" vertical="center" wrapText="1" indent="2"/>
    </xf>
    <xf numFmtId="0" fontId="34" fillId="0" borderId="546">
      <alignment horizontal="left" vertical="center" wrapText="1" indent="2"/>
    </xf>
    <xf numFmtId="0" fontId="43" fillId="56" borderId="539" applyNumberFormat="0" applyAlignment="0" applyProtection="0"/>
    <xf numFmtId="0" fontId="45" fillId="56" borderId="540" applyNumberFormat="0" applyAlignment="0" applyProtection="0"/>
    <xf numFmtId="0" fontId="46" fillId="56" borderId="540" applyNumberFormat="0" applyAlignment="0" applyProtection="0"/>
    <xf numFmtId="0" fontId="49" fillId="43" borderId="540" applyNumberFormat="0" applyAlignment="0" applyProtection="0"/>
    <xf numFmtId="0" fontId="50" fillId="0" borderId="541" applyNumberFormat="0" applyFill="0" applyAlignment="0" applyProtection="0"/>
    <xf numFmtId="0" fontId="58" fillId="43" borderId="540" applyNumberFormat="0" applyAlignment="0" applyProtection="0"/>
    <xf numFmtId="0" fontId="40" fillId="59" borderId="542" applyNumberFormat="0" applyFont="0" applyAlignment="0" applyProtection="0"/>
    <xf numFmtId="0" fontId="5" fillId="59" borderId="542" applyNumberFormat="0" applyFont="0" applyAlignment="0" applyProtection="0"/>
    <xf numFmtId="0" fontId="62" fillId="56" borderId="539" applyNumberFormat="0" applyAlignment="0" applyProtection="0"/>
    <xf numFmtId="0" fontId="65" fillId="0" borderId="541" applyNumberFormat="0" applyFill="0" applyAlignment="0" applyProtection="0"/>
    <xf numFmtId="0" fontId="46" fillId="56" borderId="540" applyNumberFormat="0" applyAlignment="0" applyProtection="0"/>
    <xf numFmtId="0" fontId="58" fillId="43" borderId="540" applyNumberFormat="0" applyAlignment="0" applyProtection="0"/>
    <xf numFmtId="0" fontId="40" fillId="59" borderId="542" applyNumberFormat="0" applyFont="0" applyAlignment="0" applyProtection="0"/>
    <xf numFmtId="0" fontId="62" fillId="56" borderId="539" applyNumberFormat="0" applyAlignment="0" applyProtection="0"/>
    <xf numFmtId="0" fontId="65" fillId="0" borderId="541" applyNumberFormat="0" applyFill="0" applyAlignment="0" applyProtection="0"/>
    <xf numFmtId="0" fontId="46" fillId="56" borderId="548" applyNumberFormat="0" applyAlignment="0" applyProtection="0"/>
    <xf numFmtId="0" fontId="62" fillId="56" borderId="547" applyNumberFormat="0" applyAlignment="0" applyProtection="0"/>
    <xf numFmtId="4" fontId="32" fillId="34" borderId="558">
      <alignment horizontal="right" vertical="center"/>
    </xf>
    <xf numFmtId="0" fontId="46" fillId="56" borderId="540" applyNumberFormat="0" applyAlignment="0" applyProtection="0"/>
    <xf numFmtId="0" fontId="46" fillId="56" borderId="548" applyNumberFormat="0" applyAlignment="0" applyProtection="0"/>
    <xf numFmtId="0" fontId="58" fillId="43" borderId="548" applyNumberFormat="0" applyAlignment="0" applyProtection="0"/>
    <xf numFmtId="0" fontId="65" fillId="0" borderId="549" applyNumberFormat="0" applyFill="0" applyAlignment="0" applyProtection="0"/>
    <xf numFmtId="0" fontId="58" fillId="43" borderId="540" applyNumberFormat="0" applyAlignment="0" applyProtection="0"/>
    <xf numFmtId="0" fontId="62" fillId="56" borderId="539" applyNumberFormat="0" applyAlignment="0" applyProtection="0"/>
    <xf numFmtId="0" fontId="65" fillId="0" borderId="541" applyNumberFormat="0" applyFill="0" applyAlignment="0" applyProtection="0"/>
    <xf numFmtId="4" fontId="34" fillId="0" borderId="551">
      <alignment horizontal="right" vertical="center"/>
    </xf>
    <xf numFmtId="0" fontId="43" fillId="56" borderId="539" applyNumberFormat="0" applyAlignment="0" applyProtection="0"/>
    <xf numFmtId="0" fontId="45" fillId="56" borderId="540" applyNumberFormat="0" applyAlignment="0" applyProtection="0"/>
    <xf numFmtId="0" fontId="50" fillId="0" borderId="541" applyNumberFormat="0" applyFill="0" applyAlignment="0" applyProtection="0"/>
    <xf numFmtId="49" fontId="34" fillId="0" borderId="543" applyNumberFormat="0" applyFont="0" applyFill="0" applyBorder="0" applyProtection="0">
      <alignment horizontal="left" vertical="center" indent="2"/>
    </xf>
    <xf numFmtId="0" fontId="32" fillId="32" borderId="543">
      <alignment horizontal="right" vertical="center"/>
    </xf>
    <xf numFmtId="4" fontId="32" fillId="32" borderId="543">
      <alignment horizontal="right" vertical="center"/>
    </xf>
    <xf numFmtId="0" fontId="36" fillId="32" borderId="543">
      <alignment horizontal="right" vertical="center"/>
    </xf>
    <xf numFmtId="4" fontId="36" fillId="32" borderId="543">
      <alignment horizontal="right" vertical="center"/>
    </xf>
    <xf numFmtId="0" fontId="32" fillId="34" borderId="543">
      <alignment horizontal="right" vertical="center"/>
    </xf>
    <xf numFmtId="4" fontId="32" fillId="34" borderId="543">
      <alignment horizontal="right" vertical="center"/>
    </xf>
    <xf numFmtId="0" fontId="32" fillId="34" borderId="543">
      <alignment horizontal="right" vertical="center"/>
    </xf>
    <xf numFmtId="4" fontId="32" fillId="34" borderId="543">
      <alignment horizontal="right" vertical="center"/>
    </xf>
    <xf numFmtId="0" fontId="49" fillId="43" borderId="540" applyNumberFormat="0" applyAlignment="0" applyProtection="0"/>
    <xf numFmtId="0" fontId="34" fillId="0" borderId="543">
      <alignment horizontal="right" vertical="center"/>
    </xf>
    <xf numFmtId="4" fontId="34" fillId="0" borderId="543">
      <alignment horizontal="right" vertical="center"/>
    </xf>
    <xf numFmtId="4" fontId="34" fillId="0" borderId="543" applyFill="0" applyBorder="0" applyProtection="0">
      <alignment horizontal="right" vertical="center"/>
    </xf>
    <xf numFmtId="49" fontId="33" fillId="0" borderId="543" applyNumberFormat="0" applyFill="0" applyBorder="0" applyProtection="0">
      <alignment horizontal="left" vertical="center"/>
    </xf>
    <xf numFmtId="0" fontId="34" fillId="0" borderId="543" applyNumberFormat="0" applyFill="0" applyAlignment="0" applyProtection="0"/>
    <xf numFmtId="173" fontId="34" fillId="60" borderId="543" applyNumberFormat="0" applyFont="0" applyBorder="0" applyAlignment="0" applyProtection="0">
      <alignment horizontal="right" vertical="center"/>
    </xf>
    <xf numFmtId="0" fontId="34" fillId="33" borderId="543"/>
    <xf numFmtId="4" fontId="34" fillId="33" borderId="543"/>
    <xf numFmtId="4" fontId="32" fillId="34" borderId="543">
      <alignment horizontal="right" vertical="center"/>
    </xf>
    <xf numFmtId="0" fontId="34" fillId="33" borderId="543"/>
    <xf numFmtId="0" fontId="45" fillId="56" borderId="540" applyNumberFormat="0" applyAlignment="0" applyProtection="0"/>
    <xf numFmtId="0" fontId="32" fillId="32" borderId="543">
      <alignment horizontal="right" vertical="center"/>
    </xf>
    <xf numFmtId="0" fontId="34" fillId="0" borderId="543">
      <alignment horizontal="right" vertical="center"/>
    </xf>
    <xf numFmtId="0" fontId="65" fillId="0" borderId="541" applyNumberFormat="0" applyFill="0" applyAlignment="0" applyProtection="0"/>
    <xf numFmtId="0" fontId="34" fillId="32" borderId="544">
      <alignment horizontal="left" vertical="center"/>
    </xf>
    <xf numFmtId="0" fontId="58" fillId="43" borderId="540" applyNumberFormat="0" applyAlignment="0" applyProtection="0"/>
    <xf numFmtId="173" fontId="34" fillId="60" borderId="543" applyNumberFormat="0" applyFont="0" applyBorder="0" applyAlignment="0" applyProtection="0">
      <alignment horizontal="right" vertical="center"/>
    </xf>
    <xf numFmtId="0" fontId="40" fillId="59" borderId="542" applyNumberFormat="0" applyFont="0" applyAlignment="0" applyProtection="0"/>
    <xf numFmtId="0" fontId="34" fillId="0" borderId="546">
      <alignment horizontal="left" vertical="center" wrapText="1" indent="2"/>
    </xf>
    <xf numFmtId="4" fontId="34" fillId="33" borderId="543"/>
    <xf numFmtId="49" fontId="33" fillId="0" borderId="543" applyNumberFormat="0" applyFill="0" applyBorder="0" applyProtection="0">
      <alignment horizontal="left" vertical="center"/>
    </xf>
    <xf numFmtId="0" fontId="34" fillId="0" borderId="543">
      <alignment horizontal="right" vertical="center"/>
    </xf>
    <xf numFmtId="4" fontId="32" fillId="34" borderId="545">
      <alignment horizontal="right" vertical="center"/>
    </xf>
    <xf numFmtId="4" fontId="32" fillId="34" borderId="543">
      <alignment horizontal="right" vertical="center"/>
    </xf>
    <xf numFmtId="4" fontId="32" fillId="34" borderId="543">
      <alignment horizontal="right" vertical="center"/>
    </xf>
    <xf numFmtId="0" fontId="36" fillId="32" borderId="543">
      <alignment horizontal="right" vertical="center"/>
    </xf>
    <xf numFmtId="0" fontId="32" fillId="32" borderId="543">
      <alignment horizontal="right" vertical="center"/>
    </xf>
    <xf numFmtId="49" fontId="34" fillId="0" borderId="543" applyNumberFormat="0" applyFont="0" applyFill="0" applyBorder="0" applyProtection="0">
      <alignment horizontal="left" vertical="center" indent="2"/>
    </xf>
    <xf numFmtId="0" fontId="58" fillId="43" borderId="540" applyNumberFormat="0" applyAlignment="0" applyProtection="0"/>
    <xf numFmtId="0" fontId="43" fillId="56" borderId="539" applyNumberFormat="0" applyAlignment="0" applyProtection="0"/>
    <xf numFmtId="49" fontId="34" fillId="0" borderId="543" applyNumberFormat="0" applyFont="0" applyFill="0" applyBorder="0" applyProtection="0">
      <alignment horizontal="left" vertical="center" indent="2"/>
    </xf>
    <xf numFmtId="0" fontId="49" fillId="43" borderId="540" applyNumberFormat="0" applyAlignment="0" applyProtection="0"/>
    <xf numFmtId="4" fontId="34" fillId="0" borderId="543" applyFill="0" applyBorder="0" applyProtection="0">
      <alignment horizontal="right" vertical="center"/>
    </xf>
    <xf numFmtId="0" fontId="46" fillId="56" borderId="540" applyNumberFormat="0" applyAlignment="0" applyProtection="0"/>
    <xf numFmtId="0" fontId="65" fillId="0" borderId="541" applyNumberFormat="0" applyFill="0" applyAlignment="0" applyProtection="0"/>
    <xf numFmtId="0" fontId="62" fillId="56" borderId="539" applyNumberFormat="0" applyAlignment="0" applyProtection="0"/>
    <xf numFmtId="0" fontId="34" fillId="0" borderId="543" applyNumberFormat="0" applyFill="0" applyAlignment="0" applyProtection="0"/>
    <xf numFmtId="4" fontId="34" fillId="0" borderId="543">
      <alignment horizontal="right" vertical="center"/>
    </xf>
    <xf numFmtId="0" fontId="34" fillId="0" borderId="543">
      <alignment horizontal="right" vertical="center"/>
    </xf>
    <xf numFmtId="0" fontId="58" fillId="43" borderId="540" applyNumberFormat="0" applyAlignment="0" applyProtection="0"/>
    <xf numFmtId="0" fontId="43" fillId="56" borderId="539" applyNumberFormat="0" applyAlignment="0" applyProtection="0"/>
    <xf numFmtId="0" fontId="45" fillId="56" borderId="540" applyNumberFormat="0" applyAlignment="0" applyProtection="0"/>
    <xf numFmtId="0" fontId="34" fillId="34" borderId="546">
      <alignment horizontal="left" vertical="center" wrapText="1" indent="2"/>
    </xf>
    <xf numFmtId="0" fontId="46" fillId="56" borderId="540" applyNumberFormat="0" applyAlignment="0" applyProtection="0"/>
    <xf numFmtId="0" fontId="46" fillId="56" borderId="540" applyNumberFormat="0" applyAlignment="0" applyProtection="0"/>
    <xf numFmtId="4" fontId="32" fillId="34" borderId="544">
      <alignment horizontal="right" vertical="center"/>
    </xf>
    <xf numFmtId="0" fontId="32" fillId="34" borderId="544">
      <alignment horizontal="right" vertical="center"/>
    </xf>
    <xf numFmtId="0" fontId="32" fillId="34" borderId="543">
      <alignment horizontal="right" vertical="center"/>
    </xf>
    <xf numFmtId="4" fontId="36" fillId="32" borderId="543">
      <alignment horizontal="right" vertical="center"/>
    </xf>
    <xf numFmtId="0" fontId="49" fillId="43" borderId="540" applyNumberFormat="0" applyAlignment="0" applyProtection="0"/>
    <xf numFmtId="0" fontId="50" fillId="0" borderId="541" applyNumberFormat="0" applyFill="0" applyAlignment="0" applyProtection="0"/>
    <xf numFmtId="0" fontId="65" fillId="0" borderId="541" applyNumberFormat="0" applyFill="0" applyAlignment="0" applyProtection="0"/>
    <xf numFmtId="0" fontId="40" fillId="59" borderId="542" applyNumberFormat="0" applyFont="0" applyAlignment="0" applyProtection="0"/>
    <xf numFmtId="0" fontId="58" fillId="43" borderId="540" applyNumberFormat="0" applyAlignment="0" applyProtection="0"/>
    <xf numFmtId="49" fontId="33" fillId="0" borderId="543" applyNumberFormat="0" applyFill="0" applyBorder="0" applyProtection="0">
      <alignment horizontal="left" vertical="center"/>
    </xf>
    <xf numFmtId="0" fontId="34" fillId="34" borderId="546">
      <alignment horizontal="left" vertical="center" wrapText="1" indent="2"/>
    </xf>
    <xf numFmtId="0" fontId="46" fillId="56" borderId="540" applyNumberFormat="0" applyAlignment="0" applyProtection="0"/>
    <xf numFmtId="0" fontId="34" fillId="0" borderId="546">
      <alignment horizontal="left" vertical="center" wrapText="1" indent="2"/>
    </xf>
    <xf numFmtId="0" fontId="40" fillId="59" borderId="542" applyNumberFormat="0" applyFont="0" applyAlignment="0" applyProtection="0"/>
    <xf numFmtId="0" fontId="5" fillId="59" borderId="542" applyNumberFormat="0" applyFont="0" applyAlignment="0" applyProtection="0"/>
    <xf numFmtId="0" fontId="62" fillId="56" borderId="539" applyNumberFormat="0" applyAlignment="0" applyProtection="0"/>
    <xf numFmtId="0" fontId="65" fillId="0" borderId="541" applyNumberFormat="0" applyFill="0" applyAlignment="0" applyProtection="0"/>
    <xf numFmtId="4" fontId="34" fillId="33" borderId="543"/>
    <xf numFmtId="0" fontId="32" fillId="34" borderId="543">
      <alignment horizontal="right" vertical="center"/>
    </xf>
    <xf numFmtId="0" fontId="65" fillId="0" borderId="541" applyNumberFormat="0" applyFill="0" applyAlignment="0" applyProtection="0"/>
    <xf numFmtId="4" fontId="32" fillId="34" borderId="545">
      <alignment horizontal="right" vertical="center"/>
    </xf>
    <xf numFmtId="0" fontId="45" fillId="56" borderId="540" applyNumberFormat="0" applyAlignment="0" applyProtection="0"/>
    <xf numFmtId="0" fontId="32" fillId="34" borderId="544">
      <alignment horizontal="right" vertical="center"/>
    </xf>
    <xf numFmtId="0" fontId="46" fillId="56" borderId="540" applyNumberFormat="0" applyAlignment="0" applyProtection="0"/>
    <xf numFmtId="0" fontId="50" fillId="0" borderId="541" applyNumberFormat="0" applyFill="0" applyAlignment="0" applyProtection="0"/>
    <xf numFmtId="0" fontId="40" fillId="59" borderId="542" applyNumberFormat="0" applyFont="0" applyAlignment="0" applyProtection="0"/>
    <xf numFmtId="4" fontId="32" fillId="34" borderId="544">
      <alignment horizontal="right" vertical="center"/>
    </xf>
    <xf numFmtId="0" fontId="34" fillId="34" borderId="546">
      <alignment horizontal="left" vertical="center" wrapText="1" indent="2"/>
    </xf>
    <xf numFmtId="0" fontId="34" fillId="33" borderId="543"/>
    <xf numFmtId="173" fontId="34" fillId="60" borderId="543" applyNumberFormat="0" applyFont="0" applyBorder="0" applyAlignment="0" applyProtection="0">
      <alignment horizontal="right" vertical="center"/>
    </xf>
    <xf numFmtId="0" fontId="34" fillId="0" borderId="543" applyNumberFormat="0" applyFill="0" applyAlignment="0" applyProtection="0"/>
    <xf numFmtId="4" fontId="34" fillId="0" borderId="543" applyFill="0" applyBorder="0" applyProtection="0">
      <alignment horizontal="right" vertical="center"/>
    </xf>
    <xf numFmtId="4" fontId="32" fillId="32" borderId="543">
      <alignment horizontal="right" vertical="center"/>
    </xf>
    <xf numFmtId="0" fontId="50" fillId="0" borderId="541" applyNumberFormat="0" applyFill="0" applyAlignment="0" applyProtection="0"/>
    <xf numFmtId="49" fontId="33" fillId="0" borderId="543" applyNumberFormat="0" applyFill="0" applyBorder="0" applyProtection="0">
      <alignment horizontal="left" vertical="center"/>
    </xf>
    <xf numFmtId="49" fontId="34" fillId="0" borderId="544" applyNumberFormat="0" applyFont="0" applyFill="0" applyBorder="0" applyProtection="0">
      <alignment horizontal="left" vertical="center" indent="5"/>
    </xf>
    <xf numFmtId="0" fontId="34" fillId="32" borderId="544">
      <alignment horizontal="left" vertical="center"/>
    </xf>
    <xf numFmtId="0" fontId="46" fillId="56" borderId="540" applyNumberFormat="0" applyAlignment="0" applyProtection="0"/>
    <xf numFmtId="4" fontId="32" fillId="34" borderId="545">
      <alignment horizontal="right" vertical="center"/>
    </xf>
    <xf numFmtId="0" fontId="58" fillId="43" borderId="540" applyNumberFormat="0" applyAlignment="0" applyProtection="0"/>
    <xf numFmtId="0" fontId="58" fillId="43" borderId="540" applyNumberFormat="0" applyAlignment="0" applyProtection="0"/>
    <xf numFmtId="0" fontId="40" fillId="59" borderId="542" applyNumberFormat="0" applyFont="0" applyAlignment="0" applyProtection="0"/>
    <xf numFmtId="0" fontId="62" fillId="56" borderId="539" applyNumberFormat="0" applyAlignment="0" applyProtection="0"/>
    <xf numFmtId="0" fontId="65" fillId="0" borderId="541" applyNumberFormat="0" applyFill="0" applyAlignment="0" applyProtection="0"/>
    <xf numFmtId="0" fontId="32" fillId="34" borderId="543">
      <alignment horizontal="right" vertical="center"/>
    </xf>
    <xf numFmtId="0" fontId="5" fillId="59" borderId="542" applyNumberFormat="0" applyFont="0" applyAlignment="0" applyProtection="0"/>
    <xf numFmtId="4" fontId="34" fillId="0" borderId="543">
      <alignment horizontal="right" vertical="center"/>
    </xf>
    <xf numFmtId="0" fontId="65" fillId="0" borderId="541" applyNumberFormat="0" applyFill="0" applyAlignment="0" applyProtection="0"/>
    <xf numFmtId="0" fontId="32" fillId="34" borderId="543">
      <alignment horizontal="right" vertical="center"/>
    </xf>
    <xf numFmtId="0" fontId="32" fillId="34" borderId="543">
      <alignment horizontal="right" vertical="center"/>
    </xf>
    <xf numFmtId="4" fontId="36" fillId="32" borderId="543">
      <alignment horizontal="right" vertical="center"/>
    </xf>
    <xf numFmtId="0" fontId="32" fillId="32" borderId="543">
      <alignment horizontal="right" vertical="center"/>
    </xf>
    <xf numFmtId="4" fontId="32" fillId="32" borderId="543">
      <alignment horizontal="right" vertical="center"/>
    </xf>
    <xf numFmtId="0" fontId="36" fillId="32" borderId="543">
      <alignment horizontal="right" vertical="center"/>
    </xf>
    <xf numFmtId="4" fontId="36" fillId="32" borderId="543">
      <alignment horizontal="right" vertical="center"/>
    </xf>
    <xf numFmtId="0" fontId="32" fillId="34" borderId="543">
      <alignment horizontal="right" vertical="center"/>
    </xf>
    <xf numFmtId="4" fontId="32" fillId="34" borderId="543">
      <alignment horizontal="right" vertical="center"/>
    </xf>
    <xf numFmtId="0" fontId="32" fillId="34" borderId="543">
      <alignment horizontal="right" vertical="center"/>
    </xf>
    <xf numFmtId="4" fontId="32" fillId="34" borderId="543">
      <alignment horizontal="right" vertical="center"/>
    </xf>
    <xf numFmtId="0" fontId="32" fillId="34" borderId="544">
      <alignment horizontal="right" vertical="center"/>
    </xf>
    <xf numFmtId="4" fontId="32" fillId="34" borderId="544">
      <alignment horizontal="right" vertical="center"/>
    </xf>
    <xf numFmtId="0" fontId="32" fillId="34" borderId="545">
      <alignment horizontal="right" vertical="center"/>
    </xf>
    <xf numFmtId="4" fontId="32" fillId="34" borderId="545">
      <alignment horizontal="right" vertical="center"/>
    </xf>
    <xf numFmtId="0" fontId="46" fillId="56" borderId="540" applyNumberFormat="0" applyAlignment="0" applyProtection="0"/>
    <xf numFmtId="0" fontId="34" fillId="34" borderId="546">
      <alignment horizontal="left" vertical="center" wrapText="1" indent="2"/>
    </xf>
    <xf numFmtId="0" fontId="34" fillId="0" borderId="546">
      <alignment horizontal="left" vertical="center" wrapText="1" indent="2"/>
    </xf>
    <xf numFmtId="0" fontId="34" fillId="32" borderId="544">
      <alignment horizontal="left" vertical="center"/>
    </xf>
    <xf numFmtId="0" fontId="58" fillId="43" borderId="540" applyNumberFormat="0" applyAlignment="0" applyProtection="0"/>
    <xf numFmtId="0" fontId="34" fillId="0" borderId="543">
      <alignment horizontal="right" vertical="center"/>
    </xf>
    <xf numFmtId="4" fontId="34" fillId="0" borderId="543">
      <alignment horizontal="right" vertical="center"/>
    </xf>
    <xf numFmtId="0" fontId="34" fillId="0" borderId="543" applyNumberFormat="0" applyFill="0" applyAlignment="0" applyProtection="0"/>
    <xf numFmtId="0" fontId="62" fillId="56" borderId="539" applyNumberFormat="0" applyAlignment="0" applyProtection="0"/>
    <xf numFmtId="173" fontId="34" fillId="60" borderId="543" applyNumberFormat="0" applyFont="0" applyBorder="0" applyAlignment="0" applyProtection="0">
      <alignment horizontal="right" vertical="center"/>
    </xf>
    <xf numFmtId="0" fontId="34" fillId="33" borderId="543"/>
    <xf numFmtId="4" fontId="34" fillId="33" borderId="543"/>
    <xf numFmtId="0" fontId="65" fillId="0" borderId="541" applyNumberFormat="0" applyFill="0" applyAlignment="0" applyProtection="0"/>
    <xf numFmtId="0" fontId="5" fillId="59" borderId="542" applyNumberFormat="0" applyFont="0" applyAlignment="0" applyProtection="0"/>
    <xf numFmtId="0" fontId="40" fillId="59" borderId="542" applyNumberFormat="0" applyFont="0" applyAlignment="0" applyProtection="0"/>
    <xf numFmtId="0" fontId="34" fillId="0" borderId="543" applyNumberFormat="0" applyFill="0" applyAlignment="0" applyProtection="0"/>
    <xf numFmtId="0" fontId="50" fillId="0" borderId="541" applyNumberFormat="0" applyFill="0" applyAlignment="0" applyProtection="0"/>
    <xf numFmtId="0" fontId="65" fillId="0" borderId="541" applyNumberFormat="0" applyFill="0" applyAlignment="0" applyProtection="0"/>
    <xf numFmtId="0" fontId="49" fillId="43" borderId="540" applyNumberFormat="0" applyAlignment="0" applyProtection="0"/>
    <xf numFmtId="0" fontId="46" fillId="56" borderId="540" applyNumberFormat="0" applyAlignment="0" applyProtection="0"/>
    <xf numFmtId="4" fontId="36" fillId="32" borderId="543">
      <alignment horizontal="right" vertical="center"/>
    </xf>
    <xf numFmtId="0" fontId="32" fillId="32" borderId="543">
      <alignment horizontal="right" vertical="center"/>
    </xf>
    <xf numFmtId="173" fontId="34" fillId="60" borderId="543" applyNumberFormat="0" applyFont="0" applyBorder="0" applyAlignment="0" applyProtection="0">
      <alignment horizontal="right" vertical="center"/>
    </xf>
    <xf numFmtId="0" fontId="50" fillId="0" borderId="541" applyNumberFormat="0" applyFill="0" applyAlignment="0" applyProtection="0"/>
    <xf numFmtId="49" fontId="34" fillId="0" borderId="543" applyNumberFormat="0" applyFont="0" applyFill="0" applyBorder="0" applyProtection="0">
      <alignment horizontal="left" vertical="center" indent="2"/>
    </xf>
    <xf numFmtId="49" fontId="34" fillId="0" borderId="544" applyNumberFormat="0" applyFont="0" applyFill="0" applyBorder="0" applyProtection="0">
      <alignment horizontal="left" vertical="center" indent="5"/>
    </xf>
    <xf numFmtId="49" fontId="34" fillId="0" borderId="543" applyNumberFormat="0" applyFont="0" applyFill="0" applyBorder="0" applyProtection="0">
      <alignment horizontal="left" vertical="center" indent="2"/>
    </xf>
    <xf numFmtId="4" fontId="34" fillId="0" borderId="543" applyFill="0" applyBorder="0" applyProtection="0">
      <alignment horizontal="right" vertical="center"/>
    </xf>
    <xf numFmtId="49" fontId="33" fillId="0" borderId="543" applyNumberFormat="0" applyFill="0" applyBorder="0" applyProtection="0">
      <alignment horizontal="left" vertical="center"/>
    </xf>
    <xf numFmtId="0" fontId="34" fillId="0" borderId="546">
      <alignment horizontal="left" vertical="center" wrapText="1" indent="2"/>
    </xf>
    <xf numFmtId="0" fontId="62" fillId="56" borderId="539" applyNumberFormat="0" applyAlignment="0" applyProtection="0"/>
    <xf numFmtId="0" fontId="32" fillId="34" borderId="545">
      <alignment horizontal="right" vertical="center"/>
    </xf>
    <xf numFmtId="0" fontId="49" fillId="43" borderId="540" applyNumberFormat="0" applyAlignment="0" applyProtection="0"/>
    <xf numFmtId="0" fontId="32" fillId="34" borderId="545">
      <alignment horizontal="right" vertical="center"/>
    </xf>
    <xf numFmtId="4" fontId="32" fillId="34" borderId="543">
      <alignment horizontal="right" vertical="center"/>
    </xf>
    <xf numFmtId="0" fontId="32" fillId="34" borderId="543">
      <alignment horizontal="right" vertical="center"/>
    </xf>
    <xf numFmtId="0" fontId="43" fillId="56" borderId="539" applyNumberFormat="0" applyAlignment="0" applyProtection="0"/>
    <xf numFmtId="0" fontId="45" fillId="56" borderId="540" applyNumberFormat="0" applyAlignment="0" applyProtection="0"/>
    <xf numFmtId="0" fontId="50" fillId="0" borderId="541" applyNumberFormat="0" applyFill="0" applyAlignment="0" applyProtection="0"/>
    <xf numFmtId="0" fontId="34" fillId="33" borderId="543"/>
    <xf numFmtId="4" fontId="34" fillId="33" borderId="543"/>
    <xf numFmtId="4" fontId="32" fillId="34" borderId="543">
      <alignment horizontal="right" vertical="center"/>
    </xf>
    <xf numFmtId="0" fontId="36" fillId="32" borderId="543">
      <alignment horizontal="right" vertical="center"/>
    </xf>
    <xf numFmtId="0" fontId="49" fillId="43" borderId="540" applyNumberFormat="0" applyAlignment="0" applyProtection="0"/>
    <xf numFmtId="0" fontId="46" fillId="56" borderId="540" applyNumberFormat="0" applyAlignment="0" applyProtection="0"/>
    <xf numFmtId="4" fontId="34" fillId="0" borderId="543">
      <alignment horizontal="right" vertical="center"/>
    </xf>
    <xf numFmtId="0" fontId="34" fillId="34" borderId="546">
      <alignment horizontal="left" vertical="center" wrapText="1" indent="2"/>
    </xf>
    <xf numFmtId="0" fontId="34" fillId="0" borderId="546">
      <alignment horizontal="left" vertical="center" wrapText="1" indent="2"/>
    </xf>
    <xf numFmtId="0" fontId="62" fillId="56" borderId="539" applyNumberFormat="0" applyAlignment="0" applyProtection="0"/>
    <xf numFmtId="0" fontId="58" fillId="43" borderId="540" applyNumberFormat="0" applyAlignment="0" applyProtection="0"/>
    <xf numFmtId="0" fontId="45" fillId="56" borderId="540" applyNumberFormat="0" applyAlignment="0" applyProtection="0"/>
    <xf numFmtId="0" fontId="43" fillId="56" borderId="539" applyNumberFormat="0" applyAlignment="0" applyProtection="0"/>
    <xf numFmtId="0" fontId="32" fillId="34" borderId="545">
      <alignment horizontal="right" vertical="center"/>
    </xf>
    <xf numFmtId="0" fontId="36" fillId="32" borderId="543">
      <alignment horizontal="right" vertical="center"/>
    </xf>
    <xf numFmtId="4" fontId="32" fillId="32" borderId="543">
      <alignment horizontal="right" vertical="center"/>
    </xf>
    <xf numFmtId="4" fontId="32" fillId="34" borderId="543">
      <alignment horizontal="right" vertical="center"/>
    </xf>
    <xf numFmtId="49" fontId="34" fillId="0" borderId="544" applyNumberFormat="0" applyFont="0" applyFill="0" applyBorder="0" applyProtection="0">
      <alignment horizontal="left" vertical="center" indent="5"/>
    </xf>
    <xf numFmtId="4" fontId="34" fillId="0" borderId="543" applyFill="0" applyBorder="0" applyProtection="0">
      <alignment horizontal="right" vertical="center"/>
    </xf>
    <xf numFmtId="4" fontId="32" fillId="32" borderId="543">
      <alignment horizontal="right" vertical="center"/>
    </xf>
    <xf numFmtId="0" fontId="58" fillId="43" borderId="540" applyNumberFormat="0" applyAlignment="0" applyProtection="0"/>
    <xf numFmtId="0" fontId="49" fillId="43" borderId="540" applyNumberFormat="0" applyAlignment="0" applyProtection="0"/>
    <xf numFmtId="0" fontId="45" fillId="56" borderId="540" applyNumberFormat="0" applyAlignment="0" applyProtection="0"/>
    <xf numFmtId="0" fontId="34" fillId="34" borderId="546">
      <alignment horizontal="left" vertical="center" wrapText="1" indent="2"/>
    </xf>
    <xf numFmtId="0" fontId="34" fillId="0" borderId="546">
      <alignment horizontal="left" vertical="center" wrapText="1" indent="2"/>
    </xf>
    <xf numFmtId="0" fontId="34" fillId="34" borderId="546">
      <alignment horizontal="left" vertical="center" wrapText="1" indent="2"/>
    </xf>
    <xf numFmtId="0" fontId="50" fillId="0" borderId="549" applyNumberFormat="0" applyFill="0" applyAlignment="0" applyProtection="0"/>
    <xf numFmtId="0" fontId="32" fillId="32" borderId="551">
      <alignment horizontal="right" vertical="center"/>
    </xf>
    <xf numFmtId="4" fontId="32" fillId="32" borderId="551">
      <alignment horizontal="right" vertical="center"/>
    </xf>
    <xf numFmtId="0" fontId="65" fillId="0" borderId="549" applyNumberFormat="0" applyFill="0" applyAlignment="0" applyProtection="0"/>
    <xf numFmtId="0" fontId="40" fillId="59" borderId="550" applyNumberFormat="0" applyFont="0" applyAlignment="0" applyProtection="0"/>
    <xf numFmtId="0" fontId="58" fillId="43" borderId="548" applyNumberFormat="0" applyAlignment="0" applyProtection="0"/>
    <xf numFmtId="49" fontId="34" fillId="0" borderId="558" applyNumberFormat="0" applyFont="0" applyFill="0" applyBorder="0" applyProtection="0">
      <alignment horizontal="left" vertical="center" indent="2"/>
    </xf>
    <xf numFmtId="0" fontId="40" fillId="59" borderId="550" applyNumberFormat="0" applyFont="0" applyAlignment="0" applyProtection="0"/>
    <xf numFmtId="0" fontId="65" fillId="0" borderId="549" applyNumberFormat="0" applyFill="0" applyAlignment="0" applyProtection="0"/>
    <xf numFmtId="0" fontId="5" fillId="59" borderId="550" applyNumberFormat="0" applyFont="0" applyAlignment="0" applyProtection="0"/>
    <xf numFmtId="0" fontId="28" fillId="13" borderId="14" applyNumberFormat="0" applyAlignment="0" applyProtection="0"/>
    <xf numFmtId="0" fontId="2" fillId="0" borderId="15" applyNumberFormat="0" applyFill="0" applyAlignment="0" applyProtection="0"/>
    <xf numFmtId="0" fontId="32" fillId="34" borderId="553">
      <alignment horizontal="right" vertical="center"/>
    </xf>
    <xf numFmtId="0" fontId="65" fillId="0" borderId="549" applyNumberFormat="0" applyFill="0" applyAlignment="0" applyProtection="0"/>
    <xf numFmtId="0" fontId="26" fillId="15" borderId="0" applyNumberFormat="0" applyBorder="0" applyAlignment="0" applyProtection="0"/>
    <xf numFmtId="0" fontId="32" fillId="34" borderId="559">
      <alignment horizontal="right" vertical="center"/>
    </xf>
    <xf numFmtId="0" fontId="62" fillId="56" borderId="547" applyNumberFormat="0" applyAlignment="0" applyProtection="0"/>
    <xf numFmtId="0" fontId="45" fillId="56" borderId="548" applyNumberFormat="0" applyAlignment="0" applyProtection="0"/>
    <xf numFmtId="4" fontId="32" fillId="32" borderId="551">
      <alignment horizontal="right" vertical="center"/>
    </xf>
    <xf numFmtId="0" fontId="58" fillId="43" borderId="548" applyNumberFormat="0" applyAlignment="0" applyProtection="0"/>
    <xf numFmtId="4" fontId="32" fillId="32" borderId="551">
      <alignment horizontal="right" vertical="center"/>
    </xf>
    <xf numFmtId="0" fontId="58" fillId="43" borderId="548" applyNumberFormat="0" applyAlignment="0" applyProtection="0"/>
    <xf numFmtId="49" fontId="33" fillId="0" borderId="551" applyNumberFormat="0" applyFill="0" applyBorder="0" applyProtection="0">
      <alignment horizontal="left" vertical="center"/>
    </xf>
    <xf numFmtId="0" fontId="32" fillId="34" borderId="552">
      <alignment horizontal="right" vertical="center"/>
    </xf>
    <xf numFmtId="0" fontId="58" fillId="43" borderId="555" applyNumberFormat="0" applyAlignment="0" applyProtection="0"/>
    <xf numFmtId="4" fontId="32" fillId="34" borderId="551">
      <alignment horizontal="right" vertical="center"/>
    </xf>
    <xf numFmtId="4" fontId="36" fillId="32" borderId="551">
      <alignment horizontal="right" vertical="center"/>
    </xf>
    <xf numFmtId="0" fontId="12" fillId="28" borderId="0" applyNumberFormat="0" applyBorder="0" applyAlignment="0" applyProtection="0"/>
    <xf numFmtId="4" fontId="32" fillId="34" borderId="552">
      <alignment horizontal="right" vertical="center"/>
    </xf>
    <xf numFmtId="0" fontId="34" fillId="0" borderId="551">
      <alignment horizontal="right" vertical="center"/>
    </xf>
    <xf numFmtId="0" fontId="34" fillId="0" borderId="551">
      <alignment horizontal="right" vertical="center"/>
    </xf>
    <xf numFmtId="0" fontId="32" fillId="32" borderId="551">
      <alignment horizontal="right" vertical="center"/>
    </xf>
    <xf numFmtId="4" fontId="32" fillId="34" borderId="552">
      <alignment horizontal="right" vertical="center"/>
    </xf>
    <xf numFmtId="0" fontId="32" fillId="32" borderId="551">
      <alignment horizontal="right" vertical="center"/>
    </xf>
    <xf numFmtId="173" fontId="34" fillId="60" borderId="551" applyNumberFormat="0" applyFont="0" applyBorder="0" applyAlignment="0" applyProtection="0">
      <alignment horizontal="right" vertical="center"/>
    </xf>
    <xf numFmtId="0" fontId="46" fillId="56" borderId="548" applyNumberFormat="0" applyAlignment="0" applyProtection="0"/>
    <xf numFmtId="0" fontId="58" fillId="43" borderId="555" applyNumberFormat="0" applyAlignment="0" applyProtection="0"/>
    <xf numFmtId="4" fontId="32" fillId="34" borderId="551">
      <alignment horizontal="right" vertical="center"/>
    </xf>
    <xf numFmtId="0" fontId="26" fillId="29" borderId="0" applyNumberFormat="0" applyBorder="0" applyAlignment="0" applyProtection="0"/>
    <xf numFmtId="0" fontId="34" fillId="33" borderId="551"/>
    <xf numFmtId="49" fontId="34" fillId="0" borderId="552" applyNumberFormat="0" applyFont="0" applyFill="0" applyBorder="0" applyProtection="0">
      <alignment horizontal="left" vertical="center" indent="5"/>
    </xf>
    <xf numFmtId="4" fontId="34" fillId="0" borderId="551" applyFill="0" applyBorder="0" applyProtection="0">
      <alignment horizontal="right" vertical="center"/>
    </xf>
    <xf numFmtId="0" fontId="32" fillId="34" borderId="551">
      <alignment horizontal="right" vertical="center"/>
    </xf>
    <xf numFmtId="0" fontId="29" fillId="13" borderId="13" applyNumberFormat="0" applyAlignment="0" applyProtection="0"/>
    <xf numFmtId="4" fontId="32" fillId="34" borderId="551">
      <alignment horizontal="right" vertical="center"/>
    </xf>
    <xf numFmtId="49" fontId="33" fillId="0" borderId="551" applyNumberFormat="0" applyFill="0" applyBorder="0" applyProtection="0">
      <alignment horizontal="left" vertical="center"/>
    </xf>
    <xf numFmtId="0" fontId="34" fillId="32" borderId="559">
      <alignment horizontal="left" vertical="center"/>
    </xf>
    <xf numFmtId="0" fontId="40" fillId="59" borderId="550" applyNumberFormat="0" applyFont="0" applyAlignment="0" applyProtection="0"/>
    <xf numFmtId="0" fontId="46" fillId="56" borderId="548" applyNumberFormat="0" applyAlignment="0" applyProtection="0"/>
    <xf numFmtId="0" fontId="12" fillId="25" borderId="0" applyNumberFormat="0" applyBorder="0" applyAlignment="0" applyProtection="0"/>
    <xf numFmtId="4" fontId="32" fillId="34" borderId="551">
      <alignment horizontal="right" vertical="center"/>
    </xf>
    <xf numFmtId="0" fontId="26" fillId="17" borderId="0" applyNumberFormat="0" applyBorder="0" applyAlignment="0" applyProtection="0"/>
    <xf numFmtId="0" fontId="34" fillId="0" borderId="551" applyNumberFormat="0" applyFill="0" applyAlignment="0" applyProtection="0"/>
    <xf numFmtId="0" fontId="34" fillId="0" borderId="551" applyNumberFormat="0" applyFill="0" applyAlignment="0" applyProtection="0"/>
    <xf numFmtId="0" fontId="45" fillId="56" borderId="548" applyNumberFormat="0" applyAlignment="0" applyProtection="0"/>
    <xf numFmtId="0" fontId="49" fillId="43" borderId="548" applyNumberFormat="0" applyAlignment="0" applyProtection="0"/>
    <xf numFmtId="0" fontId="45" fillId="56" borderId="548" applyNumberFormat="0" applyAlignment="0" applyProtection="0"/>
    <xf numFmtId="0" fontId="40" fillId="59" borderId="550" applyNumberFormat="0" applyFont="0" applyAlignment="0" applyProtection="0"/>
    <xf numFmtId="0" fontId="49" fillId="43" borderId="548" applyNumberFormat="0" applyAlignment="0" applyProtection="0"/>
    <xf numFmtId="4" fontId="32" fillId="32" borderId="551">
      <alignment horizontal="right" vertical="center"/>
    </xf>
    <xf numFmtId="4" fontId="34" fillId="33" borderId="551"/>
    <xf numFmtId="173" fontId="34" fillId="60" borderId="551" applyNumberFormat="0" applyFont="0" applyBorder="0" applyAlignment="0" applyProtection="0">
      <alignment horizontal="right" vertical="center"/>
    </xf>
    <xf numFmtId="0" fontId="36" fillId="32" borderId="551">
      <alignment horizontal="right" vertical="center"/>
    </xf>
    <xf numFmtId="4" fontId="32" fillId="34" borderId="553">
      <alignment horizontal="right" vertical="center"/>
    </xf>
    <xf numFmtId="0" fontId="34" fillId="34" borderId="554">
      <alignment horizontal="left" vertical="center" wrapText="1" indent="2"/>
    </xf>
    <xf numFmtId="0" fontId="58" fillId="43" borderId="548" applyNumberFormat="0" applyAlignment="0" applyProtection="0"/>
    <xf numFmtId="0" fontId="58" fillId="43" borderId="548" applyNumberFormat="0" applyAlignment="0" applyProtection="0"/>
    <xf numFmtId="0" fontId="50" fillId="0" borderId="549" applyNumberFormat="0" applyFill="0" applyAlignment="0" applyProtection="0"/>
    <xf numFmtId="0" fontId="50" fillId="0" borderId="549" applyNumberFormat="0" applyFill="0" applyAlignment="0" applyProtection="0"/>
    <xf numFmtId="4" fontId="34" fillId="0" borderId="558">
      <alignment horizontal="right" vertical="center"/>
    </xf>
    <xf numFmtId="0" fontId="45" fillId="56" borderId="548" applyNumberFormat="0" applyAlignment="0" applyProtection="0"/>
    <xf numFmtId="0" fontId="62" fillId="56" borderId="547" applyNumberFormat="0" applyAlignment="0" applyProtection="0"/>
    <xf numFmtId="0" fontId="62" fillId="56" borderId="547" applyNumberFormat="0" applyAlignment="0" applyProtection="0"/>
    <xf numFmtId="0" fontId="43" fillId="56" borderId="547" applyNumberFormat="0" applyAlignment="0" applyProtection="0"/>
    <xf numFmtId="0" fontId="46" fillId="56" borderId="548" applyNumberFormat="0" applyAlignment="0" applyProtection="0"/>
    <xf numFmtId="0" fontId="34" fillId="34" borderId="554">
      <alignment horizontal="left" vertical="center" wrapText="1" indent="2"/>
    </xf>
    <xf numFmtId="0" fontId="32" fillId="34" borderId="553">
      <alignment horizontal="right" vertical="center"/>
    </xf>
    <xf numFmtId="0" fontId="34" fillId="34" borderId="561">
      <alignment horizontal="left" vertical="center" wrapText="1" indent="2"/>
    </xf>
    <xf numFmtId="0" fontId="26" fillId="23" borderId="0" applyNumberFormat="0" applyBorder="0" applyAlignment="0" applyProtection="0"/>
    <xf numFmtId="0" fontId="40" fillId="59" borderId="550" applyNumberFormat="0" applyFont="0" applyAlignment="0" applyProtection="0"/>
    <xf numFmtId="0" fontId="34" fillId="0" borderId="551" applyNumberFormat="0" applyFill="0" applyAlignment="0" applyProtection="0"/>
    <xf numFmtId="49" fontId="34" fillId="0" borderId="551" applyNumberFormat="0" applyFont="0" applyFill="0" applyBorder="0" applyProtection="0">
      <alignment horizontal="left" vertical="center" indent="2"/>
    </xf>
    <xf numFmtId="0" fontId="34" fillId="0" borderId="554">
      <alignment horizontal="left" vertical="center" wrapText="1" indent="2"/>
    </xf>
    <xf numFmtId="0" fontId="46" fillId="56" borderId="548" applyNumberFormat="0" applyAlignment="0" applyProtection="0"/>
    <xf numFmtId="0" fontId="34" fillId="0" borderId="551" applyNumberFormat="0" applyFill="0" applyAlignment="0" applyProtection="0"/>
    <xf numFmtId="4" fontId="36" fillId="32" borderId="551">
      <alignment horizontal="right" vertical="center"/>
    </xf>
    <xf numFmtId="0" fontId="34" fillId="0" borderId="554">
      <alignment horizontal="left" vertical="center" wrapText="1" indent="2"/>
    </xf>
    <xf numFmtId="0" fontId="12" fillId="28" borderId="0" applyNumberFormat="0" applyBorder="0" applyAlignment="0" applyProtection="0"/>
    <xf numFmtId="0" fontId="32" fillId="34" borderId="560">
      <alignment horizontal="right" vertical="center"/>
    </xf>
    <xf numFmtId="4" fontId="34" fillId="33" borderId="551"/>
    <xf numFmtId="0" fontId="46" fillId="56" borderId="548" applyNumberFormat="0" applyAlignment="0" applyProtection="0"/>
    <xf numFmtId="0" fontId="46" fillId="56" borderId="548" applyNumberFormat="0" applyAlignment="0" applyProtection="0"/>
    <xf numFmtId="0" fontId="34" fillId="0" borderId="554">
      <alignment horizontal="left" vertical="center" wrapText="1" indent="2"/>
    </xf>
    <xf numFmtId="0" fontId="32" fillId="34" borderId="551">
      <alignment horizontal="right" vertical="center"/>
    </xf>
    <xf numFmtId="0" fontId="49" fillId="43" borderId="548" applyNumberFormat="0" applyAlignment="0" applyProtection="0"/>
    <xf numFmtId="0" fontId="46" fillId="56" borderId="548" applyNumberFormat="0" applyAlignment="0" applyProtection="0"/>
    <xf numFmtId="0" fontId="40" fillId="59" borderId="557" applyNumberFormat="0" applyFont="0" applyAlignment="0" applyProtection="0"/>
    <xf numFmtId="0" fontId="32" fillId="34" borderId="551">
      <alignment horizontal="right" vertical="center"/>
    </xf>
    <xf numFmtId="49" fontId="33" fillId="0" borderId="551" applyNumberFormat="0" applyFill="0" applyBorder="0" applyProtection="0">
      <alignment horizontal="left" vertical="center"/>
    </xf>
    <xf numFmtId="0" fontId="40" fillId="59" borderId="550" applyNumberFormat="0" applyFont="0" applyAlignment="0" applyProtection="0"/>
    <xf numFmtId="0" fontId="45" fillId="56" borderId="548" applyNumberFormat="0" applyAlignment="0" applyProtection="0"/>
    <xf numFmtId="0" fontId="58" fillId="43" borderId="548" applyNumberFormat="0" applyAlignment="0" applyProtection="0"/>
    <xf numFmtId="0" fontId="12" fillId="31" borderId="0" applyNumberFormat="0" applyBorder="0" applyAlignment="0" applyProtection="0"/>
    <xf numFmtId="0" fontId="26" fillId="26" borderId="0" applyNumberFormat="0" applyBorder="0" applyAlignment="0" applyProtection="0"/>
    <xf numFmtId="0" fontId="12" fillId="22" borderId="0" applyNumberFormat="0" applyBorder="0" applyAlignment="0" applyProtection="0"/>
    <xf numFmtId="0" fontId="65" fillId="0" borderId="549" applyNumberFormat="0" applyFill="0" applyAlignment="0" applyProtection="0"/>
    <xf numFmtId="4" fontId="32" fillId="34" borderId="551">
      <alignment horizontal="right" vertical="center"/>
    </xf>
    <xf numFmtId="0" fontId="45" fillId="56" borderId="548" applyNumberFormat="0" applyAlignment="0" applyProtection="0"/>
    <xf numFmtId="0" fontId="50" fillId="0" borderId="549" applyNumberFormat="0" applyFill="0" applyAlignment="0" applyProtection="0"/>
    <xf numFmtId="4" fontId="32" fillId="34" borderId="553">
      <alignment horizontal="right" vertical="center"/>
    </xf>
    <xf numFmtId="0" fontId="32" fillId="34" borderId="552">
      <alignment horizontal="right" vertical="center"/>
    </xf>
    <xf numFmtId="0" fontId="45" fillId="56" borderId="548" applyNumberFormat="0" applyAlignment="0" applyProtection="0"/>
    <xf numFmtId="0" fontId="40" fillId="59" borderId="550" applyNumberFormat="0" applyFont="0" applyAlignment="0" applyProtection="0"/>
    <xf numFmtId="49" fontId="34" fillId="0" borderId="551" applyNumberFormat="0" applyFont="0" applyFill="0" applyBorder="0" applyProtection="0">
      <alignment horizontal="left" vertical="center" indent="2"/>
    </xf>
    <xf numFmtId="0" fontId="34" fillId="0" borderId="554">
      <alignment horizontal="left" vertical="center" wrapText="1" indent="2"/>
    </xf>
    <xf numFmtId="49" fontId="34" fillId="0" borderId="551" applyNumberFormat="0" applyFont="0" applyFill="0" applyBorder="0" applyProtection="0">
      <alignment horizontal="left" vertical="center" indent="2"/>
    </xf>
    <xf numFmtId="4" fontId="34" fillId="0" borderId="551">
      <alignment horizontal="right" vertical="center"/>
    </xf>
    <xf numFmtId="0" fontId="49" fillId="43" borderId="548" applyNumberFormat="0" applyAlignment="0" applyProtection="0"/>
    <xf numFmtId="0" fontId="65" fillId="0" borderId="549" applyNumberFormat="0" applyFill="0" applyAlignment="0" applyProtection="0"/>
    <xf numFmtId="4" fontId="34" fillId="0" borderId="551">
      <alignment horizontal="right" vertical="center"/>
    </xf>
    <xf numFmtId="49" fontId="34" fillId="0" borderId="552" applyNumberFormat="0" applyFont="0" applyFill="0" applyBorder="0" applyProtection="0">
      <alignment horizontal="left" vertical="center" indent="5"/>
    </xf>
    <xf numFmtId="0" fontId="5" fillId="59" borderId="550" applyNumberFormat="0" applyFont="0" applyAlignment="0" applyProtection="0"/>
    <xf numFmtId="49" fontId="34" fillId="0" borderId="551" applyNumberFormat="0" applyFont="0" applyFill="0" applyBorder="0" applyProtection="0">
      <alignment horizontal="left" vertical="center" indent="2"/>
    </xf>
    <xf numFmtId="0" fontId="26" fillId="20" borderId="0" applyNumberFormat="0" applyBorder="0" applyAlignment="0" applyProtection="0"/>
    <xf numFmtId="0" fontId="58" fillId="43" borderId="548" applyNumberFormat="0" applyAlignment="0" applyProtection="0"/>
    <xf numFmtId="4" fontId="32" fillId="34" borderId="559">
      <alignment horizontal="right" vertical="center"/>
    </xf>
    <xf numFmtId="0" fontId="26" fillId="18" borderId="0" applyNumberFormat="0" applyBorder="0" applyAlignment="0" applyProtection="0"/>
    <xf numFmtId="0" fontId="43" fillId="56" borderId="547" applyNumberFormat="0" applyAlignment="0" applyProtection="0"/>
    <xf numFmtId="0" fontId="46" fillId="56" borderId="548" applyNumberFormat="0" applyAlignment="0" applyProtection="0"/>
    <xf numFmtId="0" fontId="65" fillId="0" borderId="549" applyNumberFormat="0" applyFill="0" applyAlignment="0" applyProtection="0"/>
    <xf numFmtId="0" fontId="5" fillId="59" borderId="557" applyNumberFormat="0" applyFont="0" applyAlignment="0" applyProtection="0"/>
    <xf numFmtId="0" fontId="26" fillId="14" borderId="0" applyNumberFormat="0" applyBorder="0" applyAlignment="0" applyProtection="0"/>
    <xf numFmtId="0" fontId="46" fillId="56" borderId="548" applyNumberFormat="0" applyAlignment="0" applyProtection="0"/>
    <xf numFmtId="0" fontId="40" fillId="59" borderId="550" applyNumberFormat="0" applyFont="0" applyAlignment="0" applyProtection="0"/>
    <xf numFmtId="0" fontId="58" fillId="43" borderId="548" applyNumberFormat="0" applyAlignment="0" applyProtection="0"/>
    <xf numFmtId="4" fontId="34" fillId="0" borderId="551" applyFill="0" applyBorder="0" applyProtection="0">
      <alignment horizontal="right" vertical="center"/>
    </xf>
    <xf numFmtId="0" fontId="50" fillId="0" borderId="549" applyNumberFormat="0" applyFill="0" applyAlignment="0" applyProtection="0"/>
    <xf numFmtId="0" fontId="32" fillId="32" borderId="551">
      <alignment horizontal="right" vertical="center"/>
    </xf>
    <xf numFmtId="0" fontId="34" fillId="32" borderId="552">
      <alignment horizontal="left" vertical="center"/>
    </xf>
    <xf numFmtId="0" fontId="58" fillId="43" borderId="548" applyNumberFormat="0" applyAlignment="0" applyProtection="0"/>
    <xf numFmtId="4" fontId="32" fillId="34" borderId="551">
      <alignment horizontal="right" vertical="center"/>
    </xf>
    <xf numFmtId="0" fontId="32" fillId="34" borderId="551">
      <alignment horizontal="right" vertical="center"/>
    </xf>
    <xf numFmtId="0" fontId="26" fillId="15" borderId="0" applyNumberFormat="0" applyBorder="0" applyAlignment="0" applyProtection="0"/>
    <xf numFmtId="0" fontId="46" fillId="56" borderId="548" applyNumberFormat="0" applyAlignment="0" applyProtection="0"/>
    <xf numFmtId="49" fontId="33" fillId="0" borderId="551" applyNumberFormat="0" applyFill="0" applyBorder="0" applyProtection="0">
      <alignment horizontal="left" vertical="center"/>
    </xf>
    <xf numFmtId="0" fontId="32" fillId="32" borderId="551">
      <alignment horizontal="right" vertical="center"/>
    </xf>
    <xf numFmtId="0" fontId="36" fillId="32" borderId="551">
      <alignment horizontal="right" vertical="center"/>
    </xf>
    <xf numFmtId="0" fontId="32" fillId="34" borderId="552">
      <alignment horizontal="right" vertical="center"/>
    </xf>
    <xf numFmtId="4" fontId="36" fillId="32" borderId="551">
      <alignment horizontal="right" vertical="center"/>
    </xf>
    <xf numFmtId="0" fontId="62" fillId="56" borderId="547" applyNumberFormat="0" applyAlignment="0" applyProtection="0"/>
    <xf numFmtId="0" fontId="65" fillId="0" borderId="549" applyNumberFormat="0" applyFill="0" applyAlignment="0" applyProtection="0"/>
    <xf numFmtId="0" fontId="34" fillId="0" borderId="558">
      <alignment horizontal="right" vertical="center"/>
    </xf>
    <xf numFmtId="4" fontId="32" fillId="34" borderId="551">
      <alignment horizontal="right" vertical="center"/>
    </xf>
    <xf numFmtId="0" fontId="50" fillId="0" borderId="549" applyNumberFormat="0" applyFill="0" applyAlignment="0" applyProtection="0"/>
    <xf numFmtId="49" fontId="33" fillId="0" borderId="551" applyNumberFormat="0" applyFill="0" applyBorder="0" applyProtection="0">
      <alignment horizontal="left" vertical="center"/>
    </xf>
    <xf numFmtId="0" fontId="49" fillId="43" borderId="548" applyNumberFormat="0" applyAlignment="0" applyProtection="0"/>
    <xf numFmtId="0" fontId="32" fillId="34" borderId="551">
      <alignment horizontal="right" vertical="center"/>
    </xf>
    <xf numFmtId="0" fontId="26" fillId="14" borderId="0" applyNumberFormat="0" applyBorder="0" applyAlignment="0" applyProtection="0"/>
    <xf numFmtId="0" fontId="32" fillId="34" borderId="551">
      <alignment horizontal="right" vertical="center"/>
    </xf>
    <xf numFmtId="0" fontId="12" fillId="19" borderId="0" applyNumberFormat="0" applyBorder="0" applyAlignment="0" applyProtection="0"/>
    <xf numFmtId="4" fontId="34" fillId="0" borderId="551" applyFill="0" applyBorder="0" applyProtection="0">
      <alignment horizontal="right" vertical="center"/>
    </xf>
    <xf numFmtId="0" fontId="50" fillId="0" borderId="549" applyNumberFormat="0" applyFill="0" applyAlignment="0" applyProtection="0"/>
    <xf numFmtId="0" fontId="34" fillId="32" borderId="552">
      <alignment horizontal="left" vertical="center"/>
    </xf>
    <xf numFmtId="0" fontId="26" fillId="24" borderId="0" applyNumberFormat="0" applyBorder="0" applyAlignment="0" applyProtection="0"/>
    <xf numFmtId="4" fontId="34" fillId="33" borderId="551"/>
    <xf numFmtId="4" fontId="34" fillId="0" borderId="551">
      <alignment horizontal="right" vertical="center"/>
    </xf>
    <xf numFmtId="0" fontId="40" fillId="59" borderId="550" applyNumberFormat="0" applyFont="0" applyAlignment="0" applyProtection="0"/>
    <xf numFmtId="0" fontId="43" fillId="56" borderId="547" applyNumberFormat="0" applyAlignment="0" applyProtection="0"/>
    <xf numFmtId="4" fontId="32" fillId="34" borderId="551">
      <alignment horizontal="right" vertical="center"/>
    </xf>
    <xf numFmtId="0" fontId="43" fillId="56" borderId="547" applyNumberFormat="0" applyAlignment="0" applyProtection="0"/>
    <xf numFmtId="0" fontId="58" fillId="43" borderId="548" applyNumberFormat="0" applyAlignment="0" applyProtection="0"/>
    <xf numFmtId="0" fontId="36" fillId="32" borderId="551">
      <alignment horizontal="right" vertical="center"/>
    </xf>
    <xf numFmtId="0" fontId="36" fillId="32" borderId="551">
      <alignment horizontal="right" vertical="center"/>
    </xf>
    <xf numFmtId="0" fontId="34" fillId="33" borderId="551"/>
    <xf numFmtId="0" fontId="32" fillId="32" borderId="551">
      <alignment horizontal="right" vertical="center"/>
    </xf>
    <xf numFmtId="4" fontId="32" fillId="32" borderId="551">
      <alignment horizontal="right" vertical="center"/>
    </xf>
    <xf numFmtId="0" fontId="32" fillId="34" borderId="553">
      <alignment horizontal="right" vertical="center"/>
    </xf>
    <xf numFmtId="4" fontId="32" fillId="34" borderId="552">
      <alignment horizontal="right" vertical="center"/>
    </xf>
    <xf numFmtId="4" fontId="32" fillId="34" borderId="553">
      <alignment horizontal="right" vertical="center"/>
    </xf>
    <xf numFmtId="49" fontId="34" fillId="0" borderId="551" applyNumberFormat="0" applyFont="0" applyFill="0" applyBorder="0" applyProtection="0">
      <alignment horizontal="left" vertical="center" indent="2"/>
    </xf>
    <xf numFmtId="0" fontId="58" fillId="43" borderId="555" applyNumberFormat="0" applyAlignment="0" applyProtection="0"/>
    <xf numFmtId="0" fontId="26" fillId="26" borderId="0" applyNumberFormat="0" applyBorder="0" applyAlignment="0" applyProtection="0"/>
    <xf numFmtId="0" fontId="46" fillId="56" borderId="555" applyNumberFormat="0" applyAlignment="0" applyProtection="0"/>
    <xf numFmtId="0" fontId="49" fillId="43" borderId="548" applyNumberFormat="0" applyAlignment="0" applyProtection="0"/>
    <xf numFmtId="0" fontId="12" fillId="16" borderId="0" applyNumberFormat="0" applyBorder="0" applyAlignment="0" applyProtection="0"/>
    <xf numFmtId="0" fontId="45" fillId="56" borderId="548" applyNumberFormat="0" applyAlignment="0" applyProtection="0"/>
    <xf numFmtId="0" fontId="49" fillId="43" borderId="548" applyNumberFormat="0" applyAlignment="0" applyProtection="0"/>
    <xf numFmtId="0" fontId="34" fillId="33" borderId="551"/>
    <xf numFmtId="0" fontId="5" fillId="59" borderId="550" applyNumberFormat="0" applyFont="0" applyAlignment="0" applyProtection="0"/>
    <xf numFmtId="0" fontId="58" fillId="43" borderId="548" applyNumberFormat="0" applyAlignment="0" applyProtection="0"/>
    <xf numFmtId="0" fontId="2" fillId="0" borderId="15" applyNumberFormat="0" applyFill="0" applyAlignment="0" applyProtection="0"/>
    <xf numFmtId="4" fontId="32" fillId="34" borderId="553">
      <alignment horizontal="right" vertical="center"/>
    </xf>
    <xf numFmtId="4" fontId="32" fillId="34" borderId="552">
      <alignment horizontal="right" vertical="center"/>
    </xf>
    <xf numFmtId="4" fontId="32" fillId="34" borderId="552">
      <alignment horizontal="right" vertical="center"/>
    </xf>
    <xf numFmtId="0" fontId="34" fillId="0" borderId="561">
      <alignment horizontal="left" vertical="center" wrapText="1" indent="2"/>
    </xf>
    <xf numFmtId="0" fontId="50" fillId="0" borderId="549" applyNumberFormat="0" applyFill="0" applyAlignment="0" applyProtection="0"/>
    <xf numFmtId="173" fontId="34" fillId="60" borderId="551" applyNumberFormat="0" applyFont="0" applyBorder="0" applyAlignment="0" applyProtection="0">
      <alignment horizontal="right" vertical="center"/>
    </xf>
    <xf numFmtId="49" fontId="34" fillId="0" borderId="552" applyNumberFormat="0" applyFont="0" applyFill="0" applyBorder="0" applyProtection="0">
      <alignment horizontal="left" vertical="center" indent="5"/>
    </xf>
    <xf numFmtId="0" fontId="34" fillId="34" borderId="554">
      <alignment horizontal="left" vertical="center" wrapText="1" indent="2"/>
    </xf>
    <xf numFmtId="0" fontId="34" fillId="34" borderId="554">
      <alignment horizontal="left" vertical="center" wrapText="1" indent="2"/>
    </xf>
    <xf numFmtId="0" fontId="62" fillId="56" borderId="547" applyNumberFormat="0" applyAlignment="0" applyProtection="0"/>
    <xf numFmtId="0" fontId="46" fillId="56" borderId="548" applyNumberFormat="0" applyAlignment="0" applyProtection="0"/>
    <xf numFmtId="0" fontId="34" fillId="34" borderId="554">
      <alignment horizontal="left" vertical="center" wrapText="1" indent="2"/>
    </xf>
    <xf numFmtId="0" fontId="12" fillId="16" borderId="0" applyNumberFormat="0" applyBorder="0" applyAlignment="0" applyProtection="0"/>
    <xf numFmtId="0" fontId="26" fillId="27" borderId="0" applyNumberFormat="0" applyBorder="0" applyAlignment="0" applyProtection="0"/>
    <xf numFmtId="0" fontId="34" fillId="0" borderId="554">
      <alignment horizontal="left" vertical="center" wrapText="1" indent="2"/>
    </xf>
    <xf numFmtId="0" fontId="34" fillId="34" borderId="554">
      <alignment horizontal="left" vertical="center" wrapText="1" indent="2"/>
    </xf>
    <xf numFmtId="0" fontId="32" fillId="34" borderId="552">
      <alignment horizontal="right" vertical="center"/>
    </xf>
    <xf numFmtId="0" fontId="34" fillId="34" borderId="554">
      <alignment horizontal="left" vertical="center" wrapText="1" indent="2"/>
    </xf>
    <xf numFmtId="4" fontId="36" fillId="32" borderId="551">
      <alignment horizontal="right" vertical="center"/>
    </xf>
    <xf numFmtId="0" fontId="65" fillId="0" borderId="549" applyNumberFormat="0" applyFill="0" applyAlignment="0" applyProtection="0"/>
    <xf numFmtId="0" fontId="32" fillId="34" borderId="552">
      <alignment horizontal="right" vertical="center"/>
    </xf>
    <xf numFmtId="4" fontId="32" fillId="34" borderId="551">
      <alignment horizontal="right" vertical="center"/>
    </xf>
    <xf numFmtId="4" fontId="34" fillId="0" borderId="551" applyFill="0" applyBorder="0" applyProtection="0">
      <alignment horizontal="right" vertical="center"/>
    </xf>
    <xf numFmtId="173" fontId="34" fillId="60" borderId="551" applyNumberFormat="0" applyFont="0" applyBorder="0" applyAlignment="0" applyProtection="0">
      <alignment horizontal="right" vertical="center"/>
    </xf>
    <xf numFmtId="0" fontId="32" fillId="34" borderId="551">
      <alignment horizontal="right" vertical="center"/>
    </xf>
    <xf numFmtId="0" fontId="43" fillId="56" borderId="547" applyNumberFormat="0" applyAlignment="0" applyProtection="0"/>
    <xf numFmtId="0" fontId="45" fillId="56" borderId="548" applyNumberFormat="0" applyAlignment="0" applyProtection="0"/>
    <xf numFmtId="0" fontId="50" fillId="0" borderId="549" applyNumberFormat="0" applyFill="0" applyAlignment="0" applyProtection="0"/>
    <xf numFmtId="0" fontId="34" fillId="33" borderId="551"/>
    <xf numFmtId="4" fontId="34" fillId="33" borderId="551"/>
    <xf numFmtId="4" fontId="32" fillId="34" borderId="551">
      <alignment horizontal="right" vertical="center"/>
    </xf>
    <xf numFmtId="0" fontId="36" fillId="32" borderId="551">
      <alignment horizontal="right" vertical="center"/>
    </xf>
    <xf numFmtId="0" fontId="49" fillId="43" borderId="548" applyNumberFormat="0" applyAlignment="0" applyProtection="0"/>
    <xf numFmtId="0" fontId="46" fillId="56" borderId="548" applyNumberFormat="0" applyAlignment="0" applyProtection="0"/>
    <xf numFmtId="4" fontId="34" fillId="0" borderId="551">
      <alignment horizontal="right" vertical="center"/>
    </xf>
    <xf numFmtId="0" fontId="34" fillId="34" borderId="554">
      <alignment horizontal="left" vertical="center" wrapText="1" indent="2"/>
    </xf>
    <xf numFmtId="0" fontId="34" fillId="0" borderId="554">
      <alignment horizontal="left" vertical="center" wrapText="1" indent="2"/>
    </xf>
    <xf numFmtId="0" fontId="62" fillId="56" borderId="547" applyNumberFormat="0" applyAlignment="0" applyProtection="0"/>
    <xf numFmtId="0" fontId="58" fillId="43" borderId="548" applyNumberFormat="0" applyAlignment="0" applyProtection="0"/>
    <xf numFmtId="0" fontId="45" fillId="56" borderId="548" applyNumberFormat="0" applyAlignment="0" applyProtection="0"/>
    <xf numFmtId="0" fontId="43" fillId="56" borderId="547" applyNumberFormat="0" applyAlignment="0" applyProtection="0"/>
    <xf numFmtId="0" fontId="32" fillId="34" borderId="553">
      <alignment horizontal="right" vertical="center"/>
    </xf>
    <xf numFmtId="0" fontId="36" fillId="32" borderId="551">
      <alignment horizontal="right" vertical="center"/>
    </xf>
    <xf numFmtId="4" fontId="32" fillId="32" borderId="551">
      <alignment horizontal="right" vertical="center"/>
    </xf>
    <xf numFmtId="4" fontId="32" fillId="34" borderId="551">
      <alignment horizontal="right" vertical="center"/>
    </xf>
    <xf numFmtId="49" fontId="34" fillId="0" borderId="552" applyNumberFormat="0" applyFont="0" applyFill="0" applyBorder="0" applyProtection="0">
      <alignment horizontal="left" vertical="center" indent="5"/>
    </xf>
    <xf numFmtId="4" fontId="34" fillId="0" borderId="551" applyFill="0" applyBorder="0" applyProtection="0">
      <alignment horizontal="right" vertical="center"/>
    </xf>
    <xf numFmtId="4" fontId="32" fillId="32" borderId="551">
      <alignment horizontal="right" vertical="center"/>
    </xf>
    <xf numFmtId="0" fontId="58" fillId="43" borderId="548" applyNumberFormat="0" applyAlignment="0" applyProtection="0"/>
    <xf numFmtId="0" fontId="49" fillId="43" borderId="548" applyNumberFormat="0" applyAlignment="0" applyProtection="0"/>
    <xf numFmtId="0" fontId="45" fillId="56" borderId="548" applyNumberFormat="0" applyAlignment="0" applyProtection="0"/>
    <xf numFmtId="0" fontId="34" fillId="34" borderId="554">
      <alignment horizontal="left" vertical="center" wrapText="1" indent="2"/>
    </xf>
    <xf numFmtId="0" fontId="34" fillId="0" borderId="554">
      <alignment horizontal="left" vertical="center" wrapText="1" indent="2"/>
    </xf>
    <xf numFmtId="0" fontId="34" fillId="34" borderId="554">
      <alignment horizontal="left" vertical="center" wrapText="1" indent="2"/>
    </xf>
    <xf numFmtId="4" fontId="32" fillId="34" borderId="558">
      <alignment horizontal="right" vertical="center"/>
    </xf>
    <xf numFmtId="0" fontId="34" fillId="33" borderId="558"/>
    <xf numFmtId="0" fontId="45" fillId="56" borderId="555" applyNumberFormat="0" applyAlignment="0" applyProtection="0"/>
    <xf numFmtId="0" fontId="32" fillId="32" borderId="558">
      <alignment horizontal="right" vertical="center"/>
    </xf>
    <xf numFmtId="0" fontId="34" fillId="0" borderId="558">
      <alignment horizontal="right" vertical="center"/>
    </xf>
    <xf numFmtId="0" fontId="65" fillId="0" borderId="556" applyNumberFormat="0" applyFill="0" applyAlignment="0" applyProtection="0"/>
    <xf numFmtId="0" fontId="34" fillId="32" borderId="559">
      <alignment horizontal="left" vertical="center"/>
    </xf>
    <xf numFmtId="0" fontId="58" fillId="43" borderId="555" applyNumberFormat="0" applyAlignment="0" applyProtection="0"/>
    <xf numFmtId="173" fontId="34" fillId="60" borderId="558" applyNumberFormat="0" applyFont="0" applyBorder="0" applyAlignment="0" applyProtection="0">
      <alignment horizontal="right" vertical="center"/>
    </xf>
    <xf numFmtId="0" fontId="40" fillId="59" borderId="557" applyNumberFormat="0" applyFont="0" applyAlignment="0" applyProtection="0"/>
    <xf numFmtId="0" fontId="34" fillId="0" borderId="561">
      <alignment horizontal="left" vertical="center" wrapText="1" indent="2"/>
    </xf>
    <xf numFmtId="4" fontId="34" fillId="33" borderId="558"/>
    <xf numFmtId="49" fontId="33" fillId="0" borderId="558" applyNumberFormat="0" applyFill="0" applyBorder="0" applyProtection="0">
      <alignment horizontal="left" vertical="center"/>
    </xf>
    <xf numFmtId="0" fontId="34" fillId="0" borderId="558">
      <alignment horizontal="right" vertical="center"/>
    </xf>
    <xf numFmtId="4" fontId="32" fillId="34" borderId="560">
      <alignment horizontal="right" vertical="center"/>
    </xf>
    <xf numFmtId="4" fontId="32" fillId="34" borderId="558">
      <alignment horizontal="right" vertical="center"/>
    </xf>
    <xf numFmtId="4" fontId="32" fillId="34" borderId="558">
      <alignment horizontal="right" vertical="center"/>
    </xf>
    <xf numFmtId="0" fontId="36" fillId="32" borderId="558">
      <alignment horizontal="right" vertical="center"/>
    </xf>
    <xf numFmtId="0" fontId="32" fillId="32" borderId="558">
      <alignment horizontal="right" vertical="center"/>
    </xf>
    <xf numFmtId="49" fontId="34" fillId="0" borderId="558" applyNumberFormat="0" applyFont="0" applyFill="0" applyBorder="0" applyProtection="0">
      <alignment horizontal="left" vertical="center" indent="2"/>
    </xf>
    <xf numFmtId="0" fontId="58" fillId="43" borderId="555" applyNumberFormat="0" applyAlignment="0" applyProtection="0"/>
    <xf numFmtId="0" fontId="43" fillId="56" borderId="562" applyNumberFormat="0" applyAlignment="0" applyProtection="0"/>
    <xf numFmtId="49" fontId="34" fillId="0" borderId="558" applyNumberFormat="0" applyFont="0" applyFill="0" applyBorder="0" applyProtection="0">
      <alignment horizontal="left" vertical="center" indent="2"/>
    </xf>
    <xf numFmtId="0" fontId="49" fillId="43" borderId="555" applyNumberFormat="0" applyAlignment="0" applyProtection="0"/>
    <xf numFmtId="4" fontId="34" fillId="0" borderId="558" applyFill="0" applyBorder="0" applyProtection="0">
      <alignment horizontal="right" vertical="center"/>
    </xf>
    <xf numFmtId="0" fontId="46" fillId="56" borderId="555" applyNumberFormat="0" applyAlignment="0" applyProtection="0"/>
    <xf numFmtId="0" fontId="65" fillId="0" borderId="556" applyNumberFormat="0" applyFill="0" applyAlignment="0" applyProtection="0"/>
    <xf numFmtId="0" fontId="62" fillId="56" borderId="562" applyNumberFormat="0" applyAlignment="0" applyProtection="0"/>
    <xf numFmtId="0" fontId="34" fillId="0" borderId="558" applyNumberFormat="0" applyFill="0" applyAlignment="0" applyProtection="0"/>
    <xf numFmtId="4" fontId="34" fillId="0" borderId="558">
      <alignment horizontal="right" vertical="center"/>
    </xf>
    <xf numFmtId="0" fontId="34" fillId="0" borderId="558">
      <alignment horizontal="right" vertical="center"/>
    </xf>
    <xf numFmtId="0" fontId="58" fillId="43" borderId="555" applyNumberFormat="0" applyAlignment="0" applyProtection="0"/>
    <xf numFmtId="0" fontId="43" fillId="56" borderId="562" applyNumberFormat="0" applyAlignment="0" applyProtection="0"/>
    <xf numFmtId="0" fontId="45" fillId="56" borderId="555" applyNumberFormat="0" applyAlignment="0" applyProtection="0"/>
    <xf numFmtId="0" fontId="34" fillId="34" borderId="561">
      <alignment horizontal="left" vertical="center" wrapText="1" indent="2"/>
    </xf>
    <xf numFmtId="0" fontId="46" fillId="56" borderId="555" applyNumberFormat="0" applyAlignment="0" applyProtection="0"/>
    <xf numFmtId="0" fontId="46" fillId="56" borderId="555" applyNumberFormat="0" applyAlignment="0" applyProtection="0"/>
    <xf numFmtId="4" fontId="32" fillId="34" borderId="559">
      <alignment horizontal="right" vertical="center"/>
    </xf>
    <xf numFmtId="0" fontId="32" fillId="34" borderId="559">
      <alignment horizontal="right" vertical="center"/>
    </xf>
    <xf numFmtId="0" fontId="32" fillId="34" borderId="558">
      <alignment horizontal="right" vertical="center"/>
    </xf>
    <xf numFmtId="4" fontId="36" fillId="32" borderId="558">
      <alignment horizontal="right" vertical="center"/>
    </xf>
    <xf numFmtId="0" fontId="49" fillId="43" borderId="555" applyNumberFormat="0" applyAlignment="0" applyProtection="0"/>
    <xf numFmtId="0" fontId="50" fillId="0" borderId="556" applyNumberFormat="0" applyFill="0" applyAlignment="0" applyProtection="0"/>
    <xf numFmtId="0" fontId="65" fillId="0" borderId="556" applyNumberFormat="0" applyFill="0" applyAlignment="0" applyProtection="0"/>
    <xf numFmtId="0" fontId="40" fillId="59" borderId="557" applyNumberFormat="0" applyFont="0" applyAlignment="0" applyProtection="0"/>
    <xf numFmtId="0" fontId="58" fillId="43" borderId="555" applyNumberFormat="0" applyAlignment="0" applyProtection="0"/>
    <xf numFmtId="49" fontId="33" fillId="0" borderId="558" applyNumberFormat="0" applyFill="0" applyBorder="0" applyProtection="0">
      <alignment horizontal="left" vertical="center"/>
    </xf>
    <xf numFmtId="0" fontId="34" fillId="34" borderId="561">
      <alignment horizontal="left" vertical="center" wrapText="1" indent="2"/>
    </xf>
    <xf numFmtId="0" fontId="46" fillId="56" borderId="555" applyNumberFormat="0" applyAlignment="0" applyProtection="0"/>
    <xf numFmtId="0" fontId="34" fillId="0" borderId="561">
      <alignment horizontal="left" vertical="center" wrapText="1" indent="2"/>
    </xf>
    <xf numFmtId="0" fontId="40" fillId="59" borderId="557" applyNumberFormat="0" applyFont="0" applyAlignment="0" applyProtection="0"/>
    <xf numFmtId="0" fontId="5" fillId="59" borderId="557" applyNumberFormat="0" applyFont="0" applyAlignment="0" applyProtection="0"/>
    <xf numFmtId="0" fontId="62" fillId="56" borderId="562" applyNumberFormat="0" applyAlignment="0" applyProtection="0"/>
    <xf numFmtId="0" fontId="65" fillId="0" borderId="556" applyNumberFormat="0" applyFill="0" applyAlignment="0" applyProtection="0"/>
    <xf numFmtId="4" fontId="34" fillId="33" borderId="558"/>
    <xf numFmtId="0" fontId="32" fillId="34" borderId="558">
      <alignment horizontal="right" vertical="center"/>
    </xf>
    <xf numFmtId="0" fontId="65" fillId="0" borderId="556" applyNumberFormat="0" applyFill="0" applyAlignment="0" applyProtection="0"/>
    <xf numFmtId="4" fontId="32" fillId="34" borderId="560">
      <alignment horizontal="right" vertical="center"/>
    </xf>
    <xf numFmtId="0" fontId="45" fillId="56" borderId="555" applyNumberFormat="0" applyAlignment="0" applyProtection="0"/>
    <xf numFmtId="0" fontId="32" fillId="34" borderId="559">
      <alignment horizontal="right" vertical="center"/>
    </xf>
    <xf numFmtId="0" fontId="46" fillId="56" borderId="555" applyNumberFormat="0" applyAlignment="0" applyProtection="0"/>
    <xf numFmtId="0" fontId="50" fillId="0" borderId="556" applyNumberFormat="0" applyFill="0" applyAlignment="0" applyProtection="0"/>
    <xf numFmtId="0" fontId="40" fillId="59" borderId="557" applyNumberFormat="0" applyFont="0" applyAlignment="0" applyProtection="0"/>
    <xf numFmtId="4" fontId="32" fillId="34" borderId="559">
      <alignment horizontal="right" vertical="center"/>
    </xf>
    <xf numFmtId="0" fontId="34" fillId="34" borderId="561">
      <alignment horizontal="left" vertical="center" wrapText="1" indent="2"/>
    </xf>
    <xf numFmtId="0" fontId="34" fillId="33" borderId="558"/>
    <xf numFmtId="173" fontId="34" fillId="60" borderId="558" applyNumberFormat="0" applyFont="0" applyBorder="0" applyAlignment="0" applyProtection="0">
      <alignment horizontal="right" vertical="center"/>
    </xf>
    <xf numFmtId="0" fontId="34" fillId="0" borderId="558" applyNumberFormat="0" applyFill="0" applyAlignment="0" applyProtection="0"/>
    <xf numFmtId="4" fontId="34" fillId="0" borderId="558" applyFill="0" applyBorder="0" applyProtection="0">
      <alignment horizontal="right" vertical="center"/>
    </xf>
    <xf numFmtId="4" fontId="32" fillId="32" borderId="558">
      <alignment horizontal="right" vertical="center"/>
    </xf>
    <xf numFmtId="0" fontId="50" fillId="0" borderId="556" applyNumberFormat="0" applyFill="0" applyAlignment="0" applyProtection="0"/>
    <xf numFmtId="49" fontId="33" fillId="0" borderId="558" applyNumberFormat="0" applyFill="0" applyBorder="0" applyProtection="0">
      <alignment horizontal="left" vertical="center"/>
    </xf>
    <xf numFmtId="49" fontId="34" fillId="0" borderId="559" applyNumberFormat="0" applyFont="0" applyFill="0" applyBorder="0" applyProtection="0">
      <alignment horizontal="left" vertical="center" indent="5"/>
    </xf>
    <xf numFmtId="0" fontId="34" fillId="32" borderId="559">
      <alignment horizontal="left" vertical="center"/>
    </xf>
    <xf numFmtId="0" fontId="46" fillId="56" borderId="555" applyNumberFormat="0" applyAlignment="0" applyProtection="0"/>
    <xf numFmtId="4" fontId="32" fillId="34" borderId="560">
      <alignment horizontal="right" vertical="center"/>
    </xf>
    <xf numFmtId="0" fontId="58" fillId="43" borderId="555" applyNumberFormat="0" applyAlignment="0" applyProtection="0"/>
    <xf numFmtId="0" fontId="58" fillId="43" borderId="555" applyNumberFormat="0" applyAlignment="0" applyProtection="0"/>
    <xf numFmtId="0" fontId="40" fillId="59" borderId="557" applyNumberFormat="0" applyFont="0" applyAlignment="0" applyProtection="0"/>
    <xf numFmtId="0" fontId="62" fillId="56" borderId="562" applyNumberFormat="0" applyAlignment="0" applyProtection="0"/>
    <xf numFmtId="0" fontId="65" fillId="0" borderId="556" applyNumberFormat="0" applyFill="0" applyAlignment="0" applyProtection="0"/>
    <xf numFmtId="0" fontId="32" fillId="34" borderId="558">
      <alignment horizontal="right" vertical="center"/>
    </xf>
    <xf numFmtId="0" fontId="5" fillId="59" borderId="557" applyNumberFormat="0" applyFont="0" applyAlignment="0" applyProtection="0"/>
    <xf numFmtId="4" fontId="34" fillId="0" borderId="558">
      <alignment horizontal="right" vertical="center"/>
    </xf>
    <xf numFmtId="0" fontId="65" fillId="0" borderId="556" applyNumberFormat="0" applyFill="0" applyAlignment="0" applyProtection="0"/>
    <xf numFmtId="0" fontId="32" fillId="34" borderId="558">
      <alignment horizontal="right" vertical="center"/>
    </xf>
    <xf numFmtId="0" fontId="32" fillId="34" borderId="558">
      <alignment horizontal="right" vertical="center"/>
    </xf>
    <xf numFmtId="4" fontId="36" fillId="32" borderId="558">
      <alignment horizontal="right" vertical="center"/>
    </xf>
    <xf numFmtId="0" fontId="32" fillId="32" borderId="558">
      <alignment horizontal="right" vertical="center"/>
    </xf>
    <xf numFmtId="4" fontId="32" fillId="32" borderId="558">
      <alignment horizontal="right" vertical="center"/>
    </xf>
    <xf numFmtId="0" fontId="36" fillId="32" borderId="558">
      <alignment horizontal="right" vertical="center"/>
    </xf>
    <xf numFmtId="4" fontId="36" fillId="32" borderId="558">
      <alignment horizontal="right" vertical="center"/>
    </xf>
    <xf numFmtId="0" fontId="32" fillId="34" borderId="558">
      <alignment horizontal="right" vertical="center"/>
    </xf>
    <xf numFmtId="4" fontId="32" fillId="34" borderId="558">
      <alignment horizontal="right" vertical="center"/>
    </xf>
    <xf numFmtId="0" fontId="32" fillId="34" borderId="558">
      <alignment horizontal="right" vertical="center"/>
    </xf>
    <xf numFmtId="4" fontId="32" fillId="34" borderId="558">
      <alignment horizontal="right" vertical="center"/>
    </xf>
    <xf numFmtId="0" fontId="32" fillId="34" borderId="559">
      <alignment horizontal="right" vertical="center"/>
    </xf>
    <xf numFmtId="4" fontId="32" fillId="34" borderId="559">
      <alignment horizontal="right" vertical="center"/>
    </xf>
    <xf numFmtId="0" fontId="32" fillId="34" borderId="560">
      <alignment horizontal="right" vertical="center"/>
    </xf>
    <xf numFmtId="4" fontId="32" fillId="34" borderId="560">
      <alignment horizontal="right" vertical="center"/>
    </xf>
    <xf numFmtId="0" fontId="46" fillId="56" borderId="555" applyNumberFormat="0" applyAlignment="0" applyProtection="0"/>
    <xf numFmtId="0" fontId="34" fillId="34" borderId="561">
      <alignment horizontal="left" vertical="center" wrapText="1" indent="2"/>
    </xf>
    <xf numFmtId="0" fontId="34" fillId="0" borderId="561">
      <alignment horizontal="left" vertical="center" wrapText="1" indent="2"/>
    </xf>
    <xf numFmtId="0" fontId="34" fillId="32" borderId="559">
      <alignment horizontal="left" vertical="center"/>
    </xf>
    <xf numFmtId="0" fontId="58" fillId="43" borderId="555" applyNumberFormat="0" applyAlignment="0" applyProtection="0"/>
    <xf numFmtId="0" fontId="34" fillId="0" borderId="558">
      <alignment horizontal="right" vertical="center"/>
    </xf>
    <xf numFmtId="4" fontId="34" fillId="0" borderId="558">
      <alignment horizontal="right" vertical="center"/>
    </xf>
    <xf numFmtId="0" fontId="34" fillId="0" borderId="558" applyNumberFormat="0" applyFill="0" applyAlignment="0" applyProtection="0"/>
    <xf numFmtId="0" fontId="62" fillId="56" borderId="562" applyNumberFormat="0" applyAlignment="0" applyProtection="0"/>
    <xf numFmtId="173" fontId="34" fillId="60" borderId="558" applyNumberFormat="0" applyFont="0" applyBorder="0" applyAlignment="0" applyProtection="0">
      <alignment horizontal="right" vertical="center"/>
    </xf>
    <xf numFmtId="0" fontId="34" fillId="33" borderId="558"/>
    <xf numFmtId="4" fontId="34" fillId="33" borderId="558"/>
    <xf numFmtId="0" fontId="65" fillId="0" borderId="556" applyNumberFormat="0" applyFill="0" applyAlignment="0" applyProtection="0"/>
    <xf numFmtId="0" fontId="5" fillId="59" borderId="557" applyNumberFormat="0" applyFont="0" applyAlignment="0" applyProtection="0"/>
    <xf numFmtId="0" fontId="40" fillId="59" borderId="557" applyNumberFormat="0" applyFont="0" applyAlignment="0" applyProtection="0"/>
    <xf numFmtId="0" fontId="34" fillId="0" borderId="558" applyNumberFormat="0" applyFill="0" applyAlignment="0" applyProtection="0"/>
    <xf numFmtId="0" fontId="50" fillId="0" borderId="556" applyNumberFormat="0" applyFill="0" applyAlignment="0" applyProtection="0"/>
    <xf numFmtId="0" fontId="65" fillId="0" borderId="556" applyNumberFormat="0" applyFill="0" applyAlignment="0" applyProtection="0"/>
    <xf numFmtId="0" fontId="49" fillId="43" borderId="555" applyNumberFormat="0" applyAlignment="0" applyProtection="0"/>
    <xf numFmtId="0" fontId="46" fillId="56" borderId="555" applyNumberFormat="0" applyAlignment="0" applyProtection="0"/>
    <xf numFmtId="4" fontId="36" fillId="32" borderId="558">
      <alignment horizontal="right" vertical="center"/>
    </xf>
    <xf numFmtId="0" fontId="32" fillId="32" borderId="558">
      <alignment horizontal="right" vertical="center"/>
    </xf>
    <xf numFmtId="173" fontId="34" fillId="60" borderId="558" applyNumberFormat="0" applyFont="0" applyBorder="0" applyAlignment="0" applyProtection="0">
      <alignment horizontal="right" vertical="center"/>
    </xf>
    <xf numFmtId="0" fontId="50" fillId="0" borderId="556" applyNumberFormat="0" applyFill="0" applyAlignment="0" applyProtection="0"/>
    <xf numFmtId="49" fontId="34" fillId="0" borderId="558" applyNumberFormat="0" applyFont="0" applyFill="0" applyBorder="0" applyProtection="0">
      <alignment horizontal="left" vertical="center" indent="2"/>
    </xf>
    <xf numFmtId="49" fontId="34" fillId="0" borderId="559" applyNumberFormat="0" applyFont="0" applyFill="0" applyBorder="0" applyProtection="0">
      <alignment horizontal="left" vertical="center" indent="5"/>
    </xf>
    <xf numFmtId="49" fontId="34" fillId="0" borderId="558" applyNumberFormat="0" applyFont="0" applyFill="0" applyBorder="0" applyProtection="0">
      <alignment horizontal="left" vertical="center" indent="2"/>
    </xf>
    <xf numFmtId="4" fontId="34" fillId="0" borderId="558" applyFill="0" applyBorder="0" applyProtection="0">
      <alignment horizontal="right" vertical="center"/>
    </xf>
    <xf numFmtId="49" fontId="33" fillId="0" borderId="558" applyNumberFormat="0" applyFill="0" applyBorder="0" applyProtection="0">
      <alignment horizontal="left" vertical="center"/>
    </xf>
    <xf numFmtId="0" fontId="34" fillId="0" borderId="561">
      <alignment horizontal="left" vertical="center" wrapText="1" indent="2"/>
    </xf>
    <xf numFmtId="0" fontId="62" fillId="56" borderId="562" applyNumberFormat="0" applyAlignment="0" applyProtection="0"/>
    <xf numFmtId="0" fontId="32" fillId="34" borderId="560">
      <alignment horizontal="right" vertical="center"/>
    </xf>
    <xf numFmtId="0" fontId="49" fillId="43" borderId="555" applyNumberFormat="0" applyAlignment="0" applyProtection="0"/>
    <xf numFmtId="0" fontId="32" fillId="34" borderId="560">
      <alignment horizontal="right" vertical="center"/>
    </xf>
    <xf numFmtId="4" fontId="32" fillId="34" borderId="558">
      <alignment horizontal="right" vertical="center"/>
    </xf>
    <xf numFmtId="0" fontId="32" fillId="34" borderId="558">
      <alignment horizontal="right" vertical="center"/>
    </xf>
    <xf numFmtId="0" fontId="43" fillId="56" borderId="562" applyNumberFormat="0" applyAlignment="0" applyProtection="0"/>
    <xf numFmtId="0" fontId="45" fillId="56" borderId="555" applyNumberFormat="0" applyAlignment="0" applyProtection="0"/>
    <xf numFmtId="0" fontId="50" fillId="0" borderId="556" applyNumberFormat="0" applyFill="0" applyAlignment="0" applyProtection="0"/>
    <xf numFmtId="0" fontId="34" fillId="33" borderId="558"/>
    <xf numFmtId="4" fontId="34" fillId="33" borderId="558"/>
    <xf numFmtId="4" fontId="32" fillId="34" borderId="558">
      <alignment horizontal="right" vertical="center"/>
    </xf>
    <xf numFmtId="0" fontId="36" fillId="32" borderId="558">
      <alignment horizontal="right" vertical="center"/>
    </xf>
    <xf numFmtId="0" fontId="49" fillId="43" borderId="555" applyNumberFormat="0" applyAlignment="0" applyProtection="0"/>
    <xf numFmtId="0" fontId="46" fillId="56" borderId="555" applyNumberFormat="0" applyAlignment="0" applyProtection="0"/>
    <xf numFmtId="4" fontId="34" fillId="0" borderId="558">
      <alignment horizontal="right" vertical="center"/>
    </xf>
    <xf numFmtId="0" fontId="34" fillId="34" borderId="561">
      <alignment horizontal="left" vertical="center" wrapText="1" indent="2"/>
    </xf>
    <xf numFmtId="0" fontId="34" fillId="0" borderId="561">
      <alignment horizontal="left" vertical="center" wrapText="1" indent="2"/>
    </xf>
    <xf numFmtId="0" fontId="62" fillId="56" borderId="562" applyNumberFormat="0" applyAlignment="0" applyProtection="0"/>
    <xf numFmtId="0" fontId="58" fillId="43" borderId="555" applyNumberFormat="0" applyAlignment="0" applyProtection="0"/>
    <xf numFmtId="0" fontId="45" fillId="56" borderId="555" applyNumberFormat="0" applyAlignment="0" applyProtection="0"/>
    <xf numFmtId="0" fontId="43" fillId="56" borderId="562" applyNumberFormat="0" applyAlignment="0" applyProtection="0"/>
    <xf numFmtId="0" fontId="32" fillId="34" borderId="560">
      <alignment horizontal="right" vertical="center"/>
    </xf>
    <xf numFmtId="0" fontId="36" fillId="32" borderId="558">
      <alignment horizontal="right" vertical="center"/>
    </xf>
    <xf numFmtId="4" fontId="32" fillId="32" borderId="558">
      <alignment horizontal="right" vertical="center"/>
    </xf>
    <xf numFmtId="4" fontId="32" fillId="34" borderId="558">
      <alignment horizontal="right" vertical="center"/>
    </xf>
    <xf numFmtId="49" fontId="34" fillId="0" borderId="559" applyNumberFormat="0" applyFont="0" applyFill="0" applyBorder="0" applyProtection="0">
      <alignment horizontal="left" vertical="center" indent="5"/>
    </xf>
    <xf numFmtId="4" fontId="34" fillId="0" borderId="558" applyFill="0" applyBorder="0" applyProtection="0">
      <alignment horizontal="right" vertical="center"/>
    </xf>
    <xf numFmtId="4" fontId="32" fillId="32" borderId="558">
      <alignment horizontal="right" vertical="center"/>
    </xf>
    <xf numFmtId="0" fontId="58" fillId="43" borderId="555" applyNumberFormat="0" applyAlignment="0" applyProtection="0"/>
    <xf numFmtId="0" fontId="49" fillId="43" borderId="555" applyNumberFormat="0" applyAlignment="0" applyProtection="0"/>
    <xf numFmtId="0" fontId="45" fillId="56" borderId="555" applyNumberFormat="0" applyAlignment="0" applyProtection="0"/>
    <xf numFmtId="0" fontId="34" fillId="34" borderId="561">
      <alignment horizontal="left" vertical="center" wrapText="1" indent="2"/>
    </xf>
    <xf numFmtId="0" fontId="34" fillId="0" borderId="561">
      <alignment horizontal="left" vertical="center" wrapText="1" indent="2"/>
    </xf>
    <xf numFmtId="0" fontId="34" fillId="34" borderId="561">
      <alignment horizontal="left" vertical="center" wrapText="1" indent="2"/>
    </xf>
    <xf numFmtId="0" fontId="34" fillId="0" borderId="561">
      <alignment horizontal="left" vertical="center" wrapText="1" indent="2"/>
    </xf>
    <xf numFmtId="0" fontId="43" fillId="56" borderId="562" applyNumberFormat="0" applyAlignment="0" applyProtection="0"/>
    <xf numFmtId="0" fontId="45" fillId="56" borderId="555" applyNumberFormat="0" applyAlignment="0" applyProtection="0"/>
    <xf numFmtId="0" fontId="46" fillId="56" borderId="555" applyNumberFormat="0" applyAlignment="0" applyProtection="0"/>
    <xf numFmtId="0" fontId="49" fillId="43" borderId="555" applyNumberFormat="0" applyAlignment="0" applyProtection="0"/>
    <xf numFmtId="0" fontId="50" fillId="0" borderId="556" applyNumberFormat="0" applyFill="0" applyAlignment="0" applyProtection="0"/>
    <xf numFmtId="0" fontId="58" fillId="43" borderId="555" applyNumberFormat="0" applyAlignment="0" applyProtection="0"/>
    <xf numFmtId="0" fontId="40" fillId="59" borderId="557" applyNumberFormat="0" applyFont="0" applyAlignment="0" applyProtection="0"/>
    <xf numFmtId="0" fontId="5" fillId="59" borderId="557" applyNumberFormat="0" applyFont="0" applyAlignment="0" applyProtection="0"/>
    <xf numFmtId="0" fontId="62" fillId="56" borderId="562" applyNumberFormat="0" applyAlignment="0" applyProtection="0"/>
    <xf numFmtId="0" fontId="65" fillId="0" borderId="556" applyNumberFormat="0" applyFill="0" applyAlignment="0" applyProtection="0"/>
    <xf numFmtId="0" fontId="46" fillId="56" borderId="555" applyNumberFormat="0" applyAlignment="0" applyProtection="0"/>
    <xf numFmtId="0" fontId="58" fillId="43" borderId="555" applyNumberFormat="0" applyAlignment="0" applyProtection="0"/>
    <xf numFmtId="0" fontId="40" fillId="59" borderId="557" applyNumberFormat="0" applyFont="0" applyAlignment="0" applyProtection="0"/>
    <xf numFmtId="0" fontId="62" fillId="56" borderId="562" applyNumberFormat="0" applyAlignment="0" applyProtection="0"/>
    <xf numFmtId="0" fontId="65" fillId="0" borderId="556" applyNumberFormat="0" applyFill="0" applyAlignment="0" applyProtection="0"/>
    <xf numFmtId="0" fontId="46" fillId="56" borderId="555" applyNumberFormat="0" applyAlignment="0" applyProtection="0"/>
    <xf numFmtId="0" fontId="58" fillId="43" borderId="555" applyNumberFormat="0" applyAlignment="0" applyProtection="0"/>
    <xf numFmtId="0" fontId="62" fillId="56" borderId="562" applyNumberFormat="0" applyAlignment="0" applyProtection="0"/>
    <xf numFmtId="0" fontId="65" fillId="0" borderId="556" applyNumberFormat="0" applyFill="0" applyAlignment="0" applyProtection="0"/>
    <xf numFmtId="0" fontId="43" fillId="56" borderId="562" applyNumberFormat="0" applyAlignment="0" applyProtection="0"/>
    <xf numFmtId="0" fontId="45" fillId="56" borderId="555" applyNumberFormat="0" applyAlignment="0" applyProtection="0"/>
    <xf numFmtId="0" fontId="50" fillId="0" borderId="556" applyNumberFormat="0" applyFill="0" applyAlignment="0" applyProtection="0"/>
    <xf numFmtId="49" fontId="34" fillId="0" borderId="558" applyNumberFormat="0" applyFont="0" applyFill="0" applyBorder="0" applyProtection="0">
      <alignment horizontal="left" vertical="center" indent="2"/>
    </xf>
    <xf numFmtId="0" fontId="32" fillId="32" borderId="558">
      <alignment horizontal="right" vertical="center"/>
    </xf>
    <xf numFmtId="4" fontId="32" fillId="32" borderId="558">
      <alignment horizontal="right" vertical="center"/>
    </xf>
    <xf numFmtId="0" fontId="36" fillId="32" borderId="558">
      <alignment horizontal="right" vertical="center"/>
    </xf>
    <xf numFmtId="4" fontId="36" fillId="32" borderId="558">
      <alignment horizontal="right" vertical="center"/>
    </xf>
    <xf numFmtId="0" fontId="32" fillId="34" borderId="558">
      <alignment horizontal="right" vertical="center"/>
    </xf>
    <xf numFmtId="4" fontId="32" fillId="34" borderId="558">
      <alignment horizontal="right" vertical="center"/>
    </xf>
    <xf numFmtId="0" fontId="32" fillId="34" borderId="558">
      <alignment horizontal="right" vertical="center"/>
    </xf>
    <xf numFmtId="4" fontId="32" fillId="34" borderId="558">
      <alignment horizontal="right" vertical="center"/>
    </xf>
    <xf numFmtId="0" fontId="49" fillId="43" borderId="555" applyNumberFormat="0" applyAlignment="0" applyProtection="0"/>
    <xf numFmtId="0" fontId="34" fillId="0" borderId="558">
      <alignment horizontal="right" vertical="center"/>
    </xf>
    <xf numFmtId="4" fontId="34" fillId="0" borderId="558">
      <alignment horizontal="right" vertical="center"/>
    </xf>
    <xf numFmtId="4" fontId="34" fillId="0" borderId="558" applyFill="0" applyBorder="0" applyProtection="0">
      <alignment horizontal="right" vertical="center"/>
    </xf>
    <xf numFmtId="49" fontId="33" fillId="0" borderId="558" applyNumberFormat="0" applyFill="0" applyBorder="0" applyProtection="0">
      <alignment horizontal="left" vertical="center"/>
    </xf>
    <xf numFmtId="0" fontId="34" fillId="0" borderId="558" applyNumberFormat="0" applyFill="0" applyAlignment="0" applyProtection="0"/>
    <xf numFmtId="173" fontId="34" fillId="60" borderId="558" applyNumberFormat="0" applyFont="0" applyBorder="0" applyAlignment="0" applyProtection="0">
      <alignment horizontal="right" vertical="center"/>
    </xf>
    <xf numFmtId="0" fontId="34" fillId="33" borderId="558"/>
    <xf numFmtId="4" fontId="34" fillId="33" borderId="558"/>
    <xf numFmtId="4" fontId="32" fillId="34" borderId="558">
      <alignment horizontal="right" vertical="center"/>
    </xf>
    <xf numFmtId="0" fontId="34" fillId="33" borderId="558"/>
    <xf numFmtId="0" fontId="45" fillId="56" borderId="555" applyNumberFormat="0" applyAlignment="0" applyProtection="0"/>
    <xf numFmtId="0" fontId="32" fillId="32" borderId="558">
      <alignment horizontal="right" vertical="center"/>
    </xf>
    <xf numFmtId="0" fontId="34" fillId="0" borderId="558">
      <alignment horizontal="right" vertical="center"/>
    </xf>
    <xf numFmtId="0" fontId="65" fillId="0" borderId="556" applyNumberFormat="0" applyFill="0" applyAlignment="0" applyProtection="0"/>
    <xf numFmtId="0" fontId="34" fillId="32" borderId="559">
      <alignment horizontal="left" vertical="center"/>
    </xf>
    <xf numFmtId="0" fontId="58" fillId="43" borderId="555" applyNumberFormat="0" applyAlignment="0" applyProtection="0"/>
    <xf numFmtId="173" fontId="34" fillId="60" borderId="558" applyNumberFormat="0" applyFont="0" applyBorder="0" applyAlignment="0" applyProtection="0">
      <alignment horizontal="right" vertical="center"/>
    </xf>
    <xf numFmtId="0" fontId="40" fillId="59" borderId="557" applyNumberFormat="0" applyFont="0" applyAlignment="0" applyProtection="0"/>
    <xf numFmtId="0" fontId="34" fillId="0" borderId="561">
      <alignment horizontal="left" vertical="center" wrapText="1" indent="2"/>
    </xf>
    <xf numFmtId="4" fontId="34" fillId="33" borderId="558"/>
    <xf numFmtId="49" fontId="33" fillId="0" borderId="558" applyNumberFormat="0" applyFill="0" applyBorder="0" applyProtection="0">
      <alignment horizontal="left" vertical="center"/>
    </xf>
    <xf numFmtId="0" fontId="34" fillId="0" borderId="558">
      <alignment horizontal="right" vertical="center"/>
    </xf>
    <xf numFmtId="4" fontId="32" fillId="34" borderId="560">
      <alignment horizontal="right" vertical="center"/>
    </xf>
    <xf numFmtId="4" fontId="32" fillId="34" borderId="558">
      <alignment horizontal="right" vertical="center"/>
    </xf>
    <xf numFmtId="4" fontId="32" fillId="34" borderId="558">
      <alignment horizontal="right" vertical="center"/>
    </xf>
    <xf numFmtId="0" fontId="36" fillId="32" borderId="558">
      <alignment horizontal="right" vertical="center"/>
    </xf>
    <xf numFmtId="0" fontId="32" fillId="32" borderId="558">
      <alignment horizontal="right" vertical="center"/>
    </xf>
    <xf numFmtId="49" fontId="34" fillId="0" borderId="558" applyNumberFormat="0" applyFont="0" applyFill="0" applyBorder="0" applyProtection="0">
      <alignment horizontal="left" vertical="center" indent="2"/>
    </xf>
    <xf numFmtId="0" fontId="58" fillId="43" borderId="555" applyNumberFormat="0" applyAlignment="0" applyProtection="0"/>
    <xf numFmtId="0" fontId="43" fillId="56" borderId="562" applyNumberFormat="0" applyAlignment="0" applyProtection="0"/>
    <xf numFmtId="49" fontId="34" fillId="0" borderId="558" applyNumberFormat="0" applyFont="0" applyFill="0" applyBorder="0" applyProtection="0">
      <alignment horizontal="left" vertical="center" indent="2"/>
    </xf>
    <xf numFmtId="0" fontId="49" fillId="43" borderId="555" applyNumberFormat="0" applyAlignment="0" applyProtection="0"/>
    <xf numFmtId="4" fontId="34" fillId="0" borderId="558" applyFill="0" applyBorder="0" applyProtection="0">
      <alignment horizontal="right" vertical="center"/>
    </xf>
    <xf numFmtId="0" fontId="46" fillId="56" borderId="555" applyNumberFormat="0" applyAlignment="0" applyProtection="0"/>
    <xf numFmtId="0" fontId="65" fillId="0" borderId="556" applyNumberFormat="0" applyFill="0" applyAlignment="0" applyProtection="0"/>
    <xf numFmtId="0" fontId="62" fillId="56" borderId="562" applyNumberFormat="0" applyAlignment="0" applyProtection="0"/>
    <xf numFmtId="0" fontId="34" fillId="0" borderId="558" applyNumberFormat="0" applyFill="0" applyAlignment="0" applyProtection="0"/>
    <xf numFmtId="4" fontId="34" fillId="0" borderId="558">
      <alignment horizontal="right" vertical="center"/>
    </xf>
    <xf numFmtId="0" fontId="34" fillId="0" borderId="558">
      <alignment horizontal="right" vertical="center"/>
    </xf>
    <xf numFmtId="0" fontId="58" fillId="43" borderId="555" applyNumberFormat="0" applyAlignment="0" applyProtection="0"/>
    <xf numFmtId="0" fontId="43" fillId="56" borderId="562" applyNumberFormat="0" applyAlignment="0" applyProtection="0"/>
    <xf numFmtId="0" fontId="45" fillId="56" borderId="555" applyNumberFormat="0" applyAlignment="0" applyProtection="0"/>
    <xf numFmtId="0" fontId="34" fillId="34" borderId="561">
      <alignment horizontal="left" vertical="center" wrapText="1" indent="2"/>
    </xf>
    <xf numFmtId="0" fontId="46" fillId="56" borderId="555" applyNumberFormat="0" applyAlignment="0" applyProtection="0"/>
    <xf numFmtId="0" fontId="46" fillId="56" borderId="555" applyNumberFormat="0" applyAlignment="0" applyProtection="0"/>
    <xf numFmtId="4" fontId="32" fillId="34" borderId="559">
      <alignment horizontal="right" vertical="center"/>
    </xf>
    <xf numFmtId="0" fontId="32" fillId="34" borderId="559">
      <alignment horizontal="right" vertical="center"/>
    </xf>
    <xf numFmtId="0" fontId="32" fillId="34" borderId="558">
      <alignment horizontal="right" vertical="center"/>
    </xf>
    <xf numFmtId="4" fontId="36" fillId="32" borderId="558">
      <alignment horizontal="right" vertical="center"/>
    </xf>
    <xf numFmtId="0" fontId="49" fillId="43" borderId="555" applyNumberFormat="0" applyAlignment="0" applyProtection="0"/>
    <xf numFmtId="0" fontId="50" fillId="0" borderId="556" applyNumberFormat="0" applyFill="0" applyAlignment="0" applyProtection="0"/>
    <xf numFmtId="0" fontId="65" fillId="0" borderId="556" applyNumberFormat="0" applyFill="0" applyAlignment="0" applyProtection="0"/>
    <xf numFmtId="0" fontId="40" fillId="59" borderId="557" applyNumberFormat="0" applyFont="0" applyAlignment="0" applyProtection="0"/>
    <xf numFmtId="0" fontId="58" fillId="43" borderId="555" applyNumberFormat="0" applyAlignment="0" applyProtection="0"/>
    <xf numFmtId="49" fontId="33" fillId="0" borderId="558" applyNumberFormat="0" applyFill="0" applyBorder="0" applyProtection="0">
      <alignment horizontal="left" vertical="center"/>
    </xf>
    <xf numFmtId="0" fontId="34" fillId="34" borderId="561">
      <alignment horizontal="left" vertical="center" wrapText="1" indent="2"/>
    </xf>
    <xf numFmtId="0" fontId="46" fillId="56" borderId="555" applyNumberFormat="0" applyAlignment="0" applyProtection="0"/>
    <xf numFmtId="0" fontId="34" fillId="0" borderId="561">
      <alignment horizontal="left" vertical="center" wrapText="1" indent="2"/>
    </xf>
    <xf numFmtId="0" fontId="40" fillId="59" borderId="557" applyNumberFormat="0" applyFont="0" applyAlignment="0" applyProtection="0"/>
    <xf numFmtId="0" fontId="5" fillId="59" borderId="557" applyNumberFormat="0" applyFont="0" applyAlignment="0" applyProtection="0"/>
    <xf numFmtId="0" fontId="62" fillId="56" borderId="562" applyNumberFormat="0" applyAlignment="0" applyProtection="0"/>
    <xf numFmtId="0" fontId="65" fillId="0" borderId="556" applyNumberFormat="0" applyFill="0" applyAlignment="0" applyProtection="0"/>
    <xf numFmtId="4" fontId="34" fillId="33" borderId="558"/>
    <xf numFmtId="0" fontId="32" fillId="34" borderId="558">
      <alignment horizontal="right" vertical="center"/>
    </xf>
    <xf numFmtId="0" fontId="65" fillId="0" borderId="556" applyNumberFormat="0" applyFill="0" applyAlignment="0" applyProtection="0"/>
    <xf numFmtId="4" fontId="32" fillId="34" borderId="560">
      <alignment horizontal="right" vertical="center"/>
    </xf>
    <xf numFmtId="0" fontId="45" fillId="56" borderId="555" applyNumberFormat="0" applyAlignment="0" applyProtection="0"/>
    <xf numFmtId="0" fontId="32" fillId="34" borderId="559">
      <alignment horizontal="right" vertical="center"/>
    </xf>
    <xf numFmtId="0" fontId="46" fillId="56" borderId="555" applyNumberFormat="0" applyAlignment="0" applyProtection="0"/>
    <xf numFmtId="0" fontId="50" fillId="0" borderId="556" applyNumberFormat="0" applyFill="0" applyAlignment="0" applyProtection="0"/>
    <xf numFmtId="0" fontId="40" fillId="59" borderId="557" applyNumberFormat="0" applyFont="0" applyAlignment="0" applyProtection="0"/>
    <xf numFmtId="4" fontId="32" fillId="34" borderId="559">
      <alignment horizontal="right" vertical="center"/>
    </xf>
    <xf numFmtId="0" fontId="34" fillId="34" borderId="561">
      <alignment horizontal="left" vertical="center" wrapText="1" indent="2"/>
    </xf>
    <xf numFmtId="0" fontId="34" fillId="33" borderId="558"/>
    <xf numFmtId="173" fontId="34" fillId="60" borderId="558" applyNumberFormat="0" applyFont="0" applyBorder="0" applyAlignment="0" applyProtection="0">
      <alignment horizontal="right" vertical="center"/>
    </xf>
    <xf numFmtId="0" fontId="34" fillId="0" borderId="558" applyNumberFormat="0" applyFill="0" applyAlignment="0" applyProtection="0"/>
    <xf numFmtId="4" fontId="34" fillId="0" borderId="558" applyFill="0" applyBorder="0" applyProtection="0">
      <alignment horizontal="right" vertical="center"/>
    </xf>
    <xf numFmtId="4" fontId="32" fillId="32" borderId="558">
      <alignment horizontal="right" vertical="center"/>
    </xf>
    <xf numFmtId="0" fontId="50" fillId="0" borderId="556" applyNumberFormat="0" applyFill="0" applyAlignment="0" applyProtection="0"/>
    <xf numFmtId="49" fontId="33" fillId="0" borderId="558" applyNumberFormat="0" applyFill="0" applyBorder="0" applyProtection="0">
      <alignment horizontal="left" vertical="center"/>
    </xf>
    <xf numFmtId="49" fontId="34" fillId="0" borderId="559" applyNumberFormat="0" applyFont="0" applyFill="0" applyBorder="0" applyProtection="0">
      <alignment horizontal="left" vertical="center" indent="5"/>
    </xf>
    <xf numFmtId="0" fontId="34" fillId="32" borderId="559">
      <alignment horizontal="left" vertical="center"/>
    </xf>
    <xf numFmtId="0" fontId="46" fillId="56" borderId="555" applyNumberFormat="0" applyAlignment="0" applyProtection="0"/>
    <xf numFmtId="4" fontId="32" fillId="34" borderId="560">
      <alignment horizontal="right" vertical="center"/>
    </xf>
    <xf numFmtId="0" fontId="58" fillId="43" borderId="555" applyNumberFormat="0" applyAlignment="0" applyProtection="0"/>
    <xf numFmtId="0" fontId="58" fillId="43" borderId="555" applyNumberFormat="0" applyAlignment="0" applyProtection="0"/>
    <xf numFmtId="0" fontId="40" fillId="59" borderId="557" applyNumberFormat="0" applyFont="0" applyAlignment="0" applyProtection="0"/>
    <xf numFmtId="0" fontId="62" fillId="56" borderId="562" applyNumberFormat="0" applyAlignment="0" applyProtection="0"/>
    <xf numFmtId="0" fontId="65" fillId="0" borderId="556" applyNumberFormat="0" applyFill="0" applyAlignment="0" applyProtection="0"/>
    <xf numFmtId="0" fontId="32" fillId="34" borderId="558">
      <alignment horizontal="right" vertical="center"/>
    </xf>
    <xf numFmtId="0" fontId="5" fillId="59" borderId="557" applyNumberFormat="0" applyFont="0" applyAlignment="0" applyProtection="0"/>
    <xf numFmtId="4" fontId="34" fillId="0" borderId="558">
      <alignment horizontal="right" vertical="center"/>
    </xf>
    <xf numFmtId="0" fontId="65" fillId="0" borderId="556" applyNumberFormat="0" applyFill="0" applyAlignment="0" applyProtection="0"/>
    <xf numFmtId="0" fontId="32" fillId="34" borderId="558">
      <alignment horizontal="right" vertical="center"/>
    </xf>
    <xf numFmtId="0" fontId="32" fillId="34" borderId="558">
      <alignment horizontal="right" vertical="center"/>
    </xf>
    <xf numFmtId="4" fontId="36" fillId="32" borderId="558">
      <alignment horizontal="right" vertical="center"/>
    </xf>
    <xf numFmtId="0" fontId="32" fillId="32" borderId="558">
      <alignment horizontal="right" vertical="center"/>
    </xf>
    <xf numFmtId="4" fontId="32" fillId="32" borderId="558">
      <alignment horizontal="right" vertical="center"/>
    </xf>
    <xf numFmtId="0" fontId="36" fillId="32" borderId="558">
      <alignment horizontal="right" vertical="center"/>
    </xf>
    <xf numFmtId="4" fontId="36" fillId="32" borderId="558">
      <alignment horizontal="right" vertical="center"/>
    </xf>
    <xf numFmtId="0" fontId="32" fillId="34" borderId="558">
      <alignment horizontal="right" vertical="center"/>
    </xf>
    <xf numFmtId="4" fontId="32" fillId="34" borderId="558">
      <alignment horizontal="right" vertical="center"/>
    </xf>
    <xf numFmtId="0" fontId="32" fillId="34" borderId="558">
      <alignment horizontal="right" vertical="center"/>
    </xf>
    <xf numFmtId="4" fontId="32" fillId="34" borderId="558">
      <alignment horizontal="right" vertical="center"/>
    </xf>
    <xf numFmtId="0" fontId="32" fillId="34" borderId="559">
      <alignment horizontal="right" vertical="center"/>
    </xf>
    <xf numFmtId="4" fontId="32" fillId="34" borderId="559">
      <alignment horizontal="right" vertical="center"/>
    </xf>
    <xf numFmtId="0" fontId="32" fillId="34" borderId="560">
      <alignment horizontal="right" vertical="center"/>
    </xf>
    <xf numFmtId="4" fontId="32" fillId="34" borderId="560">
      <alignment horizontal="right" vertical="center"/>
    </xf>
    <xf numFmtId="0" fontId="46" fillId="56" borderId="555" applyNumberFormat="0" applyAlignment="0" applyProtection="0"/>
    <xf numFmtId="0" fontId="34" fillId="34" borderId="561">
      <alignment horizontal="left" vertical="center" wrapText="1" indent="2"/>
    </xf>
    <xf numFmtId="0" fontId="34" fillId="0" borderId="561">
      <alignment horizontal="left" vertical="center" wrapText="1" indent="2"/>
    </xf>
    <xf numFmtId="0" fontId="34" fillId="32" borderId="559">
      <alignment horizontal="left" vertical="center"/>
    </xf>
    <xf numFmtId="0" fontId="58" fillId="43" borderId="555" applyNumberFormat="0" applyAlignment="0" applyProtection="0"/>
    <xf numFmtId="0" fontId="34" fillId="0" borderId="558">
      <alignment horizontal="right" vertical="center"/>
    </xf>
    <xf numFmtId="4" fontId="34" fillId="0" borderId="558">
      <alignment horizontal="right" vertical="center"/>
    </xf>
    <xf numFmtId="0" fontId="34" fillId="0" borderId="558" applyNumberFormat="0" applyFill="0" applyAlignment="0" applyProtection="0"/>
    <xf numFmtId="0" fontId="62" fillId="56" borderId="562" applyNumberFormat="0" applyAlignment="0" applyProtection="0"/>
    <xf numFmtId="173" fontId="34" fillId="60" borderId="558" applyNumberFormat="0" applyFont="0" applyBorder="0" applyAlignment="0" applyProtection="0">
      <alignment horizontal="right" vertical="center"/>
    </xf>
    <xf numFmtId="0" fontId="34" fillId="33" borderId="558"/>
    <xf numFmtId="4" fontId="34" fillId="33" borderId="558"/>
    <xf numFmtId="0" fontId="65" fillId="0" borderId="556" applyNumberFormat="0" applyFill="0" applyAlignment="0" applyProtection="0"/>
    <xf numFmtId="0" fontId="5" fillId="59" borderId="557" applyNumberFormat="0" applyFont="0" applyAlignment="0" applyProtection="0"/>
    <xf numFmtId="0" fontId="40" fillId="59" borderId="557" applyNumberFormat="0" applyFont="0" applyAlignment="0" applyProtection="0"/>
    <xf numFmtId="0" fontId="34" fillId="0" borderId="558" applyNumberFormat="0" applyFill="0" applyAlignment="0" applyProtection="0"/>
    <xf numFmtId="0" fontId="50" fillId="0" borderId="556" applyNumberFormat="0" applyFill="0" applyAlignment="0" applyProtection="0"/>
    <xf numFmtId="0" fontId="65" fillId="0" borderId="556" applyNumberFormat="0" applyFill="0" applyAlignment="0" applyProtection="0"/>
    <xf numFmtId="0" fontId="49" fillId="43" borderId="555" applyNumberFormat="0" applyAlignment="0" applyProtection="0"/>
    <xf numFmtId="0" fontId="46" fillId="56" borderId="555" applyNumberFormat="0" applyAlignment="0" applyProtection="0"/>
    <xf numFmtId="4" fontId="36" fillId="32" borderId="558">
      <alignment horizontal="right" vertical="center"/>
    </xf>
    <xf numFmtId="0" fontId="32" fillId="32" borderId="558">
      <alignment horizontal="right" vertical="center"/>
    </xf>
    <xf numFmtId="173" fontId="34" fillId="60" borderId="558" applyNumberFormat="0" applyFont="0" applyBorder="0" applyAlignment="0" applyProtection="0">
      <alignment horizontal="right" vertical="center"/>
    </xf>
    <xf numFmtId="0" fontId="50" fillId="0" borderId="556" applyNumberFormat="0" applyFill="0" applyAlignment="0" applyProtection="0"/>
    <xf numFmtId="49" fontId="34" fillId="0" borderId="558" applyNumberFormat="0" applyFont="0" applyFill="0" applyBorder="0" applyProtection="0">
      <alignment horizontal="left" vertical="center" indent="2"/>
    </xf>
    <xf numFmtId="49" fontId="34" fillId="0" borderId="559" applyNumberFormat="0" applyFont="0" applyFill="0" applyBorder="0" applyProtection="0">
      <alignment horizontal="left" vertical="center" indent="5"/>
    </xf>
    <xf numFmtId="49" fontId="34" fillId="0" borderId="558" applyNumberFormat="0" applyFont="0" applyFill="0" applyBorder="0" applyProtection="0">
      <alignment horizontal="left" vertical="center" indent="2"/>
    </xf>
    <xf numFmtId="4" fontId="34" fillId="0" borderId="558" applyFill="0" applyBorder="0" applyProtection="0">
      <alignment horizontal="right" vertical="center"/>
    </xf>
    <xf numFmtId="49" fontId="33" fillId="0" borderId="558" applyNumberFormat="0" applyFill="0" applyBorder="0" applyProtection="0">
      <alignment horizontal="left" vertical="center"/>
    </xf>
    <xf numFmtId="0" fontId="34" fillId="0" borderId="561">
      <alignment horizontal="left" vertical="center" wrapText="1" indent="2"/>
    </xf>
    <xf numFmtId="0" fontId="62" fillId="56" borderId="562" applyNumberFormat="0" applyAlignment="0" applyProtection="0"/>
    <xf numFmtId="0" fontId="32" fillId="34" borderId="560">
      <alignment horizontal="right" vertical="center"/>
    </xf>
    <xf numFmtId="0" fontId="49" fillId="43" borderId="555" applyNumberFormat="0" applyAlignment="0" applyProtection="0"/>
    <xf numFmtId="0" fontId="32" fillId="34" borderId="560">
      <alignment horizontal="right" vertical="center"/>
    </xf>
    <xf numFmtId="4" fontId="32" fillId="34" borderId="558">
      <alignment horizontal="right" vertical="center"/>
    </xf>
    <xf numFmtId="0" fontId="32" fillId="34" borderId="558">
      <alignment horizontal="right" vertical="center"/>
    </xf>
    <xf numFmtId="0" fontId="43" fillId="56" borderId="562" applyNumberFormat="0" applyAlignment="0" applyProtection="0"/>
    <xf numFmtId="0" fontId="45" fillId="56" borderId="555" applyNumberFormat="0" applyAlignment="0" applyProtection="0"/>
    <xf numFmtId="0" fontId="50" fillId="0" borderId="556" applyNumberFormat="0" applyFill="0" applyAlignment="0" applyProtection="0"/>
    <xf numFmtId="0" fontId="34" fillId="33" borderId="558"/>
    <xf numFmtId="4" fontId="34" fillId="33" borderId="558"/>
    <xf numFmtId="4" fontId="32" fillId="34" borderId="558">
      <alignment horizontal="right" vertical="center"/>
    </xf>
    <xf numFmtId="0" fontId="36" fillId="32" borderId="558">
      <alignment horizontal="right" vertical="center"/>
    </xf>
    <xf numFmtId="0" fontId="49" fillId="43" borderId="555" applyNumberFormat="0" applyAlignment="0" applyProtection="0"/>
    <xf numFmtId="0" fontId="46" fillId="56" borderId="555" applyNumberFormat="0" applyAlignment="0" applyProtection="0"/>
    <xf numFmtId="4" fontId="34" fillId="0" borderId="558">
      <alignment horizontal="right" vertical="center"/>
    </xf>
    <xf numFmtId="0" fontId="34" fillId="34" borderId="561">
      <alignment horizontal="left" vertical="center" wrapText="1" indent="2"/>
    </xf>
    <xf numFmtId="0" fontId="34" fillId="0" borderId="561">
      <alignment horizontal="left" vertical="center" wrapText="1" indent="2"/>
    </xf>
    <xf numFmtId="0" fontId="62" fillId="56" borderId="562" applyNumberFormat="0" applyAlignment="0" applyProtection="0"/>
    <xf numFmtId="0" fontId="58" fillId="43" borderId="555" applyNumberFormat="0" applyAlignment="0" applyProtection="0"/>
    <xf numFmtId="0" fontId="45" fillId="56" borderId="555" applyNumberFormat="0" applyAlignment="0" applyProtection="0"/>
    <xf numFmtId="0" fontId="43" fillId="56" borderId="562" applyNumberFormat="0" applyAlignment="0" applyProtection="0"/>
    <xf numFmtId="0" fontId="32" fillId="34" borderId="560">
      <alignment horizontal="right" vertical="center"/>
    </xf>
    <xf numFmtId="0" fontId="36" fillId="32" borderId="558">
      <alignment horizontal="right" vertical="center"/>
    </xf>
    <xf numFmtId="4" fontId="32" fillId="32" borderId="558">
      <alignment horizontal="right" vertical="center"/>
    </xf>
    <xf numFmtId="4" fontId="32" fillId="34" borderId="558">
      <alignment horizontal="right" vertical="center"/>
    </xf>
    <xf numFmtId="49" fontId="34" fillId="0" borderId="559" applyNumberFormat="0" applyFont="0" applyFill="0" applyBorder="0" applyProtection="0">
      <alignment horizontal="left" vertical="center" indent="5"/>
    </xf>
    <xf numFmtId="4" fontId="34" fillId="0" borderId="558" applyFill="0" applyBorder="0" applyProtection="0">
      <alignment horizontal="right" vertical="center"/>
    </xf>
    <xf numFmtId="4" fontId="32" fillId="32" borderId="558">
      <alignment horizontal="right" vertical="center"/>
    </xf>
    <xf numFmtId="0" fontId="58" fillId="43" borderId="555" applyNumberFormat="0" applyAlignment="0" applyProtection="0"/>
    <xf numFmtId="0" fontId="49" fillId="43" borderId="555" applyNumberFormat="0" applyAlignment="0" applyProtection="0"/>
    <xf numFmtId="0" fontId="45" fillId="56" borderId="555" applyNumberFormat="0" applyAlignment="0" applyProtection="0"/>
    <xf numFmtId="0" fontId="34" fillId="34" borderId="561">
      <alignment horizontal="left" vertical="center" wrapText="1" indent="2"/>
    </xf>
    <xf numFmtId="0" fontId="34" fillId="0" borderId="561">
      <alignment horizontal="left" vertical="center" wrapText="1" indent="2"/>
    </xf>
    <xf numFmtId="0" fontId="34" fillId="34" borderId="561">
      <alignment horizontal="left" vertical="center" wrapText="1" indent="2"/>
    </xf>
    <xf numFmtId="0" fontId="86" fillId="0" borderId="0"/>
  </cellStyleXfs>
  <cellXfs count="582">
    <xf numFmtId="0" fontId="0" fillId="0" borderId="0" xfId="0"/>
    <xf numFmtId="0" fontId="3" fillId="0" borderId="0" xfId="0" applyFont="1"/>
    <xf numFmtId="0" fontId="4" fillId="0" borderId="0" xfId="0" applyFont="1"/>
    <xf numFmtId="0" fontId="7" fillId="0" borderId="0" xfId="0" applyFont="1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0" fontId="9" fillId="0" borderId="0" xfId="0" applyFont="1"/>
    <xf numFmtId="0" fontId="0" fillId="0" borderId="0" xfId="0" applyAlignment="1">
      <alignment vertical="center"/>
    </xf>
    <xf numFmtId="4" fontId="0" fillId="0" borderId="0" xfId="0" applyNumberFormat="1"/>
    <xf numFmtId="2" fontId="0" fillId="0" borderId="0" xfId="0" applyNumberFormat="1"/>
    <xf numFmtId="0" fontId="0" fillId="0" borderId="0" xfId="0" applyAlignment="1">
      <alignment horizontal="left" vertical="top"/>
    </xf>
    <xf numFmtId="0" fontId="13" fillId="0" borderId="0" xfId="0" applyFont="1"/>
    <xf numFmtId="165" fontId="13" fillId="0" borderId="0" xfId="0" applyNumberFormat="1" applyFont="1"/>
    <xf numFmtId="2" fontId="13" fillId="0" borderId="0" xfId="0" applyNumberFormat="1" applyFont="1"/>
    <xf numFmtId="0" fontId="8" fillId="0" borderId="0" xfId="0" applyFont="1"/>
    <xf numFmtId="3" fontId="0" fillId="0" borderId="0" xfId="0" applyNumberFormat="1"/>
    <xf numFmtId="2" fontId="8" fillId="0" borderId="0" xfId="0" applyNumberFormat="1" applyFont="1"/>
    <xf numFmtId="164" fontId="8" fillId="0" borderId="0" xfId="0" applyNumberFormat="1" applyFont="1"/>
    <xf numFmtId="2" fontId="15" fillId="0" borderId="0" xfId="0" applyNumberFormat="1" applyFont="1"/>
    <xf numFmtId="49" fontId="0" fillId="0" borderId="0" xfId="0" applyNumberFormat="1"/>
    <xf numFmtId="0" fontId="8" fillId="0" borderId="0" xfId="0" applyFont="1" applyAlignment="1">
      <alignment horizontal="left"/>
    </xf>
    <xf numFmtId="2" fontId="15" fillId="0" borderId="0" xfId="0" applyNumberFormat="1" applyFont="1" applyAlignment="1">
      <alignment horizontal="right"/>
    </xf>
    <xf numFmtId="3" fontId="2" fillId="5" borderId="3" xfId="0" applyNumberFormat="1" applyFont="1" applyFill="1" applyBorder="1"/>
    <xf numFmtId="0" fontId="8" fillId="5" borderId="3" xfId="0" applyFont="1" applyFill="1" applyBorder="1"/>
    <xf numFmtId="164" fontId="8" fillId="5" borderId="3" xfId="0" applyNumberFormat="1" applyFont="1" applyFill="1" applyBorder="1"/>
    <xf numFmtId="11" fontId="15" fillId="0" borderId="0" xfId="0" applyNumberFormat="1" applyFont="1"/>
    <xf numFmtId="11" fontId="8" fillId="0" borderId="0" xfId="0" applyNumberFormat="1" applyFont="1"/>
    <xf numFmtId="11" fontId="8" fillId="5" borderId="3" xfId="0" applyNumberFormat="1" applyFont="1" applyFill="1" applyBorder="1"/>
    <xf numFmtId="0" fontId="0" fillId="0" borderId="0" xfId="0" applyAlignment="1">
      <alignment horizontal="left"/>
    </xf>
    <xf numFmtId="164" fontId="13" fillId="0" borderId="0" xfId="0" applyNumberFormat="1" applyFont="1" applyAlignment="1">
      <alignment vertical="center"/>
    </xf>
    <xf numFmtId="2" fontId="0" fillId="0" borderId="0" xfId="0" applyNumberFormat="1" applyAlignment="1">
      <alignment vertical="center"/>
    </xf>
    <xf numFmtId="166" fontId="8" fillId="0" borderId="0" xfId="0" applyNumberFormat="1" applyFont="1"/>
    <xf numFmtId="166" fontId="0" fillId="0" borderId="0" xfId="0" applyNumberFormat="1"/>
    <xf numFmtId="11" fontId="8" fillId="0" borderId="0" xfId="0" applyNumberFormat="1" applyFont="1" applyAlignment="1">
      <alignment horizontal="left" vertical="top"/>
    </xf>
    <xf numFmtId="165" fontId="13" fillId="0" borderId="0" xfId="0" applyNumberFormat="1" applyFont="1" applyAlignment="1">
      <alignment vertical="center"/>
    </xf>
    <xf numFmtId="3" fontId="0" fillId="0" borderId="0" xfId="0" applyNumberFormat="1" applyAlignment="1">
      <alignment horizontal="left" vertical="top"/>
    </xf>
    <xf numFmtId="3" fontId="0" fillId="4" borderId="0" xfId="0" applyNumberFormat="1" applyFill="1"/>
    <xf numFmtId="164" fontId="15" fillId="0" borderId="0" xfId="0" applyNumberFormat="1" applyFont="1"/>
    <xf numFmtId="2" fontId="2" fillId="3" borderId="0" xfId="0" applyNumberFormat="1" applyFont="1" applyFill="1" applyAlignment="1">
      <alignment horizontal="left" vertical="center"/>
    </xf>
    <xf numFmtId="11" fontId="2" fillId="3" borderId="0" xfId="0" applyNumberFormat="1" applyFont="1" applyFill="1" applyAlignment="1">
      <alignment horizontal="left" vertical="center"/>
    </xf>
    <xf numFmtId="0" fontId="8" fillId="3" borderId="0" xfId="0" applyFont="1" applyFill="1"/>
    <xf numFmtId="11" fontId="0" fillId="0" borderId="0" xfId="0" applyNumberFormat="1"/>
    <xf numFmtId="0" fontId="12" fillId="7" borderId="0" xfId="0" applyFont="1" applyFill="1"/>
    <xf numFmtId="0" fontId="11" fillId="7" borderId="0" xfId="0" applyFont="1" applyFill="1"/>
    <xf numFmtId="166" fontId="11" fillId="7" borderId="0" xfId="0" applyNumberFormat="1" applyFont="1" applyFill="1"/>
    <xf numFmtId="166" fontId="0" fillId="2" borderId="0" xfId="0" applyNumberFormat="1" applyFill="1" applyAlignment="1">
      <alignment horizontal="center" vertical="center" wrapText="1"/>
    </xf>
    <xf numFmtId="0" fontId="0" fillId="3" borderId="0" xfId="0" applyFill="1"/>
    <xf numFmtId="0" fontId="0" fillId="3" borderId="0" xfId="0" applyFill="1" applyAlignment="1">
      <alignment horizontal="left" vertical="top"/>
    </xf>
    <xf numFmtId="166" fontId="2" fillId="3" borderId="0" xfId="0" applyNumberFormat="1" applyFont="1" applyFill="1" applyAlignment="1">
      <alignment horizontal="left" vertical="center"/>
    </xf>
    <xf numFmtId="166" fontId="0" fillId="3" borderId="0" xfId="0" applyNumberFormat="1" applyFill="1" applyAlignment="1">
      <alignment horizontal="center" vertical="center" wrapText="1"/>
    </xf>
    <xf numFmtId="166" fontId="0" fillId="3" borderId="0" xfId="0" applyNumberFormat="1" applyFill="1"/>
    <xf numFmtId="166" fontId="2" fillId="3" borderId="0" xfId="0" applyNumberFormat="1" applyFont="1" applyFill="1"/>
    <xf numFmtId="0" fontId="12" fillId="3" borderId="0" xfId="0" applyFont="1" applyFill="1"/>
    <xf numFmtId="166" fontId="12" fillId="3" borderId="0" xfId="0" applyNumberFormat="1" applyFont="1" applyFill="1"/>
    <xf numFmtId="0" fontId="10" fillId="7" borderId="0" xfId="0" applyFont="1" applyFill="1"/>
    <xf numFmtId="0" fontId="9" fillId="3" borderId="0" xfId="0" applyFont="1" applyFill="1"/>
    <xf numFmtId="11" fontId="9" fillId="0" borderId="0" xfId="0" applyNumberFormat="1" applyFont="1"/>
    <xf numFmtId="0" fontId="4" fillId="0" borderId="0" xfId="0" applyFont="1" applyAlignment="1">
      <alignment horizontal="left"/>
    </xf>
    <xf numFmtId="0" fontId="12" fillId="7" borderId="0" xfId="0" applyFont="1" applyFill="1" applyAlignment="1">
      <alignment horizontal="left"/>
    </xf>
    <xf numFmtId="49" fontId="2" fillId="3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center" vertical="center" wrapText="1"/>
    </xf>
    <xf numFmtId="49" fontId="0" fillId="2" borderId="0" xfId="0" applyNumberForma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8" fillId="4" borderId="0" xfId="0" applyFont="1" applyFill="1"/>
    <xf numFmtId="1" fontId="8" fillId="2" borderId="0" xfId="0" applyNumberFormat="1" applyFont="1" applyFill="1" applyAlignment="1">
      <alignment horizontal="center" vertical="center" wrapText="1"/>
    </xf>
    <xf numFmtId="2" fontId="8" fillId="2" borderId="0" xfId="0" applyNumberFormat="1" applyFont="1" applyFill="1" applyAlignment="1">
      <alignment horizontal="center" vertical="center" wrapText="1"/>
    </xf>
    <xf numFmtId="168" fontId="0" fillId="2" borderId="0" xfId="0" applyNumberFormat="1" applyFill="1" applyAlignment="1">
      <alignment horizontal="center" vertical="center" wrapText="1"/>
    </xf>
    <xf numFmtId="11" fontId="0" fillId="2" borderId="0" xfId="0" applyNumberFormat="1" applyFill="1" applyAlignment="1">
      <alignment horizontal="center" vertical="center" wrapText="1"/>
    </xf>
    <xf numFmtId="49" fontId="0" fillId="0" borderId="2" xfId="0" applyNumberFormat="1" applyBorder="1"/>
    <xf numFmtId="164" fontId="13" fillId="0" borderId="0" xfId="0" applyNumberFormat="1" applyFont="1"/>
    <xf numFmtId="2" fontId="8" fillId="0" borderId="0" xfId="0" applyNumberFormat="1" applyFont="1" applyAlignment="1">
      <alignment horizontal="right" vertical="center"/>
    </xf>
    <xf numFmtId="11" fontId="8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2" fontId="8" fillId="0" borderId="0" xfId="0" applyNumberFormat="1" applyFont="1" applyAlignment="1">
      <alignment horizontal="left" vertical="center"/>
    </xf>
    <xf numFmtId="0" fontId="0" fillId="3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7" borderId="0" xfId="0" applyFill="1"/>
    <xf numFmtId="0" fontId="0" fillId="7" borderId="0" xfId="0" applyFill="1" applyAlignment="1">
      <alignment horizontal="left" vertical="top"/>
    </xf>
    <xf numFmtId="0" fontId="1" fillId="7" borderId="0" xfId="0" applyFont="1" applyFill="1"/>
    <xf numFmtId="0" fontId="9" fillId="7" borderId="0" xfId="0" applyFont="1" applyFill="1"/>
    <xf numFmtId="0" fontId="17" fillId="0" borderId="0" xfId="0" applyFont="1"/>
    <xf numFmtId="3" fontId="7" fillId="0" borderId="0" xfId="0" applyNumberFormat="1" applyFont="1"/>
    <xf numFmtId="167" fontId="7" fillId="0" borderId="0" xfId="0" applyNumberFormat="1" applyFont="1"/>
    <xf numFmtId="0" fontId="7" fillId="0" borderId="0" xfId="0" applyFont="1" applyAlignment="1">
      <alignment vertical="center"/>
    </xf>
    <xf numFmtId="0" fontId="14" fillId="0" borderId="0" xfId="0" applyFont="1"/>
    <xf numFmtId="0" fontId="18" fillId="0" borderId="0" xfId="0" applyFont="1"/>
    <xf numFmtId="0" fontId="0" fillId="8" borderId="0" xfId="0" applyFill="1" applyAlignment="1">
      <alignment horizontal="left" vertical="center"/>
    </xf>
    <xf numFmtId="166" fontId="0" fillId="8" borderId="0" xfId="0" applyNumberFormat="1" applyFill="1" applyAlignment="1">
      <alignment horizontal="center" vertical="center" wrapText="1"/>
    </xf>
    <xf numFmtId="166" fontId="13" fillId="0" borderId="0" xfId="0" applyNumberFormat="1" applyFont="1"/>
    <xf numFmtId="169" fontId="13" fillId="0" borderId="0" xfId="0" applyNumberFormat="1" applyFont="1"/>
    <xf numFmtId="11" fontId="13" fillId="0" borderId="0" xfId="0" applyNumberFormat="1" applyFont="1"/>
    <xf numFmtId="0" fontId="8" fillId="5" borderId="3" xfId="0" applyFont="1" applyFill="1" applyBorder="1" applyAlignment="1">
      <alignment horizontal="left"/>
    </xf>
    <xf numFmtId="166" fontId="0" fillId="6" borderId="0" xfId="0" applyNumberFormat="1" applyFill="1" applyAlignment="1">
      <alignment horizontal="center" vertical="center"/>
    </xf>
    <xf numFmtId="166" fontId="2" fillId="6" borderId="0" xfId="0" applyNumberFormat="1" applyFont="1" applyFill="1" applyAlignment="1">
      <alignment horizontal="center" vertical="center" wrapText="1"/>
    </xf>
    <xf numFmtId="164" fontId="1" fillId="0" borderId="0" xfId="0" applyNumberFormat="1" applyFont="1"/>
    <xf numFmtId="164" fontId="8" fillId="0" borderId="0" xfId="0" applyNumberFormat="1" applyFont="1" applyAlignment="1">
      <alignment horizontal="right" vertical="center"/>
    </xf>
    <xf numFmtId="170" fontId="0" fillId="0" borderId="0" xfId="0" applyNumberFormat="1"/>
    <xf numFmtId="0" fontId="0" fillId="6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2" fillId="0" borderId="0" xfId="0" applyFont="1" applyAlignment="1">
      <alignment horizontal="left"/>
    </xf>
    <xf numFmtId="2" fontId="8" fillId="4" borderId="0" xfId="0" applyNumberFormat="1" applyFont="1" applyFill="1"/>
    <xf numFmtId="0" fontId="13" fillId="0" borderId="0" xfId="0" applyFont="1" applyAlignment="1">
      <alignment horizontal="right"/>
    </xf>
    <xf numFmtId="0" fontId="13" fillId="0" borderId="0" xfId="0" applyFont="1" applyAlignment="1">
      <alignment horizontal="right" vertical="center"/>
    </xf>
    <xf numFmtId="2" fontId="13" fillId="0" borderId="0" xfId="0" applyNumberFormat="1" applyFont="1" applyAlignment="1">
      <alignment vertical="center"/>
    </xf>
    <xf numFmtId="0" fontId="0" fillId="4" borderId="0" xfId="0" applyFill="1"/>
    <xf numFmtId="2" fontId="8" fillId="0" borderId="0" xfId="0" applyNumberFormat="1" applyFont="1" applyAlignment="1">
      <alignment horizontal="right"/>
    </xf>
    <xf numFmtId="166" fontId="8" fillId="0" borderId="0" xfId="0" applyNumberFormat="1" applyFont="1" applyAlignment="1">
      <alignment horizontal="right"/>
    </xf>
    <xf numFmtId="2" fontId="8" fillId="0" borderId="0" xfId="0" applyNumberFormat="1" applyFont="1" applyAlignment="1">
      <alignment horizontal="right" vertical="center" wrapText="1"/>
    </xf>
    <xf numFmtId="1" fontId="8" fillId="0" borderId="0" xfId="0" applyNumberFormat="1" applyFont="1" applyAlignment="1">
      <alignment vertical="center"/>
    </xf>
    <xf numFmtId="165" fontId="8" fillId="0" borderId="0" xfId="0" applyNumberFormat="1" applyFont="1" applyAlignment="1">
      <alignment vertical="center"/>
    </xf>
    <xf numFmtId="165" fontId="8" fillId="0" borderId="0" xfId="0" applyNumberFormat="1" applyFont="1"/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vertical="center"/>
    </xf>
    <xf numFmtId="1" fontId="0" fillId="0" borderId="0" xfId="0" applyNumberFormat="1"/>
    <xf numFmtId="0" fontId="0" fillId="9" borderId="0" xfId="0" applyFill="1"/>
    <xf numFmtId="11" fontId="8" fillId="0" borderId="0" xfId="0" applyNumberFormat="1" applyFont="1" applyAlignment="1">
      <alignment horizontal="right"/>
    </xf>
    <xf numFmtId="1" fontId="8" fillId="0" borderId="0" xfId="0" applyNumberFormat="1" applyFont="1"/>
    <xf numFmtId="0" fontId="0" fillId="0" borderId="1" xfId="0" applyBorder="1"/>
    <xf numFmtId="3" fontId="0" fillId="0" borderId="1" xfId="0" applyNumberFormat="1" applyBorder="1"/>
    <xf numFmtId="0" fontId="19" fillId="0" borderId="0" xfId="0" applyFont="1" applyAlignment="1">
      <alignment horizontal="left" vertical="center" wrapText="1"/>
    </xf>
    <xf numFmtId="0" fontId="0" fillId="8" borderId="0" xfId="0" applyFill="1"/>
    <xf numFmtId="4" fontId="0" fillId="4" borderId="0" xfId="0" applyNumberFormat="1" applyFill="1"/>
    <xf numFmtId="0" fontId="0" fillId="4" borderId="3" xfId="0" applyFill="1" applyBorder="1" applyAlignment="1">
      <alignment horizontal="left" vertical="top"/>
    </xf>
    <xf numFmtId="0" fontId="8" fillId="4" borderId="3" xfId="0" applyFont="1" applyFill="1" applyBorder="1"/>
    <xf numFmtId="3" fontId="0" fillId="4" borderId="3" xfId="0" applyNumberFormat="1" applyFill="1" applyBorder="1"/>
    <xf numFmtId="11" fontId="8" fillId="4" borderId="3" xfId="0" applyNumberFormat="1" applyFont="1" applyFill="1" applyBorder="1" applyAlignment="1">
      <alignment horizontal="left" vertical="top"/>
    </xf>
    <xf numFmtId="164" fontId="8" fillId="4" borderId="3" xfId="0" applyNumberFormat="1" applyFont="1" applyFill="1" applyBorder="1"/>
    <xf numFmtId="0" fontId="0" fillId="0" borderId="1" xfId="0" applyBorder="1" applyAlignment="1">
      <alignment horizontal="left" vertical="top"/>
    </xf>
    <xf numFmtId="0" fontId="8" fillId="0" borderId="1" xfId="0" applyFont="1" applyBorder="1"/>
    <xf numFmtId="3" fontId="0" fillId="0" borderId="1" xfId="0" applyNumberFormat="1" applyBorder="1" applyAlignment="1">
      <alignment horizontal="left" vertical="top"/>
    </xf>
    <xf numFmtId="0" fontId="9" fillId="0" borderId="1" xfId="0" applyFont="1" applyBorder="1"/>
    <xf numFmtId="164" fontId="0" fillId="0" borderId="1" xfId="0" applyNumberFormat="1" applyBorder="1"/>
    <xf numFmtId="2" fontId="0" fillId="0" borderId="1" xfId="0" applyNumberFormat="1" applyBorder="1"/>
    <xf numFmtId="11" fontId="8" fillId="4" borderId="4" xfId="0" applyNumberFormat="1" applyFont="1" applyFill="1" applyBorder="1" applyAlignment="1">
      <alignment horizontal="left" vertical="top"/>
    </xf>
    <xf numFmtId="2" fontId="8" fillId="4" borderId="5" xfId="0" applyNumberFormat="1" applyFont="1" applyFill="1" applyBorder="1"/>
    <xf numFmtId="171" fontId="13" fillId="0" borderId="0" xfId="0" applyNumberFormat="1" applyFont="1"/>
    <xf numFmtId="170" fontId="13" fillId="0" borderId="0" xfId="0" applyNumberFormat="1" applyFont="1"/>
    <xf numFmtId="0" fontId="20" fillId="0" borderId="0" xfId="0" applyFont="1" applyAlignment="1">
      <alignment horizontal="left" vertical="center" wrapText="1"/>
    </xf>
    <xf numFmtId="11" fontId="20" fillId="0" borderId="0" xfId="0" applyNumberFormat="1" applyFont="1" applyAlignment="1">
      <alignment horizontal="left" vertical="center" wrapText="1"/>
    </xf>
    <xf numFmtId="0" fontId="0" fillId="6" borderId="0" xfId="0" applyFill="1" applyAlignment="1">
      <alignment horizontal="center" vertical="center"/>
    </xf>
    <xf numFmtId="166" fontId="2" fillId="6" borderId="0" xfId="0" applyNumberFormat="1" applyFont="1" applyFill="1" applyAlignment="1">
      <alignment horizontal="center" vertical="center"/>
    </xf>
    <xf numFmtId="166" fontId="0" fillId="6" borderId="0" xfId="0" applyNumberForma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 wrapText="1"/>
    </xf>
    <xf numFmtId="0" fontId="0" fillId="5" borderId="3" xfId="0" applyFill="1" applyBorder="1"/>
    <xf numFmtId="2" fontId="17" fillId="0" borderId="0" xfId="0" applyNumberFormat="1" applyFont="1"/>
    <xf numFmtId="0" fontId="21" fillId="5" borderId="3" xfId="0" applyFont="1" applyFill="1" applyBorder="1"/>
    <xf numFmtId="0" fontId="2" fillId="6" borderId="0" xfId="0" applyFont="1" applyFill="1" applyAlignment="1">
      <alignment vertical="center"/>
    </xf>
    <xf numFmtId="2" fontId="0" fillId="10" borderId="0" xfId="0" applyNumberFormat="1" applyFill="1"/>
    <xf numFmtId="0" fontId="0" fillId="4" borderId="3" xfId="0" applyFill="1" applyBorder="1"/>
    <xf numFmtId="0" fontId="2" fillId="6" borderId="0" xfId="0" applyFont="1" applyFill="1"/>
    <xf numFmtId="0" fontId="0" fillId="6" borderId="0" xfId="0" applyFill="1"/>
    <xf numFmtId="2" fontId="2" fillId="6" borderId="0" xfId="0" applyNumberFormat="1" applyFont="1" applyFill="1" applyAlignment="1">
      <alignment horizontal="left" vertical="center"/>
    </xf>
    <xf numFmtId="11" fontId="2" fillId="6" borderId="0" xfId="0" applyNumberFormat="1" applyFont="1" applyFill="1" applyAlignment="1">
      <alignment horizontal="left" vertical="center"/>
    </xf>
    <xf numFmtId="166" fontId="2" fillId="6" borderId="0" xfId="0" applyNumberFormat="1" applyFont="1" applyFill="1"/>
    <xf numFmtId="0" fontId="0" fillId="8" borderId="0" xfId="0" applyFill="1" applyAlignment="1">
      <alignment horizontal="center" vertical="center"/>
    </xf>
    <xf numFmtId="0" fontId="7" fillId="4" borderId="0" xfId="0" applyFont="1" applyFill="1"/>
    <xf numFmtId="0" fontId="18" fillId="0" borderId="0" xfId="0" applyFont="1" applyAlignment="1">
      <alignment horizontal="left"/>
    </xf>
    <xf numFmtId="168" fontId="8" fillId="0" borderId="0" xfId="0" applyNumberFormat="1" applyFont="1" applyAlignment="1">
      <alignment horizontal="right" vertical="center"/>
    </xf>
    <xf numFmtId="1" fontId="8" fillId="8" borderId="0" xfId="0" applyNumberFormat="1" applyFont="1" applyFill="1" applyAlignment="1">
      <alignment horizontal="center" vertical="center" wrapText="1"/>
    </xf>
    <xf numFmtId="2" fontId="8" fillId="8" borderId="0" xfId="0" applyNumberFormat="1" applyFont="1" applyFill="1" applyAlignment="1">
      <alignment horizontal="center" vertical="center" wrapText="1"/>
    </xf>
    <xf numFmtId="168" fontId="0" fillId="8" borderId="0" xfId="0" applyNumberFormat="1" applyFill="1" applyAlignment="1">
      <alignment horizontal="center" vertical="center" wrapText="1"/>
    </xf>
    <xf numFmtId="11" fontId="0" fillId="8" borderId="0" xfId="0" applyNumberFormat="1" applyFill="1" applyAlignment="1">
      <alignment horizontal="center" vertical="center" wrapText="1"/>
    </xf>
    <xf numFmtId="4" fontId="8" fillId="0" borderId="0" xfId="0" applyNumberFormat="1" applyFont="1"/>
    <xf numFmtId="0" fontId="2" fillId="0" borderId="0" xfId="0" applyFont="1"/>
    <xf numFmtId="1" fontId="8" fillId="2" borderId="0" xfId="0" applyNumberFormat="1" applyFont="1" applyFill="1" applyAlignment="1">
      <alignment horizontal="left" vertical="top" wrapText="1"/>
    </xf>
    <xf numFmtId="1" fontId="0" fillId="2" borderId="0" xfId="0" applyNumberFormat="1" applyFill="1" applyAlignment="1">
      <alignment horizontal="left" vertical="top" wrapText="1"/>
    </xf>
    <xf numFmtId="0" fontId="2" fillId="3" borderId="0" xfId="0" applyFont="1" applyFill="1"/>
    <xf numFmtId="0" fontId="22" fillId="0" borderId="0" xfId="0" applyFont="1" applyAlignment="1">
      <alignment horizontal="right" vertical="center" wrapText="1"/>
    </xf>
    <xf numFmtId="0" fontId="23" fillId="0" borderId="0" xfId="0" applyFont="1"/>
    <xf numFmtId="0" fontId="18" fillId="11" borderId="0" xfId="0" applyFont="1" applyFill="1"/>
    <xf numFmtId="3" fontId="23" fillId="0" borderId="0" xfId="0" applyNumberFormat="1" applyFont="1"/>
    <xf numFmtId="0" fontId="18" fillId="8" borderId="0" xfId="0" applyFont="1" applyFill="1"/>
    <xf numFmtId="0" fontId="23" fillId="8" borderId="0" xfId="0" applyFont="1" applyFill="1"/>
    <xf numFmtId="0" fontId="17" fillId="0" borderId="2" xfId="1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24" fillId="0" borderId="0" xfId="0" applyFont="1"/>
    <xf numFmtId="3" fontId="8" fillId="0" borderId="0" xfId="0" applyNumberFormat="1" applyFont="1"/>
    <xf numFmtId="4" fontId="8" fillId="4" borderId="0" xfId="0" applyNumberFormat="1" applyFont="1" applyFill="1"/>
    <xf numFmtId="3" fontId="8" fillId="4" borderId="0" xfId="0" applyNumberFormat="1" applyFont="1" applyFill="1"/>
    <xf numFmtId="167" fontId="8" fillId="0" borderId="0" xfId="0" applyNumberFormat="1" applyFont="1"/>
    <xf numFmtId="166" fontId="9" fillId="0" borderId="0" xfId="0" applyNumberFormat="1" applyFont="1"/>
    <xf numFmtId="0" fontId="22" fillId="0" borderId="0" xfId="0" applyFont="1"/>
    <xf numFmtId="0" fontId="8" fillId="9" borderId="0" xfId="0" applyFont="1" applyFill="1"/>
    <xf numFmtId="0" fontId="13" fillId="8" borderId="0" xfId="0" applyFont="1" applyFill="1"/>
    <xf numFmtId="0" fontId="17" fillId="0" borderId="8" xfId="1" applyFont="1" applyBorder="1" applyAlignment="1">
      <alignment horizontal="left" vertical="center"/>
    </xf>
    <xf numFmtId="2" fontId="13" fillId="0" borderId="2" xfId="1" applyNumberFormat="1" applyFont="1" applyBorder="1" applyAlignment="1">
      <alignment horizontal="right" vertical="center"/>
    </xf>
    <xf numFmtId="2" fontId="13" fillId="0" borderId="8" xfId="1" applyNumberFormat="1" applyFont="1" applyBorder="1" applyAlignment="1">
      <alignment horizontal="right" vertical="center"/>
    </xf>
    <xf numFmtId="0" fontId="0" fillId="0" borderId="2" xfId="0" applyBorder="1"/>
    <xf numFmtId="0" fontId="0" fillId="0" borderId="8" xfId="0" applyBorder="1"/>
    <xf numFmtId="0" fontId="23" fillId="4" borderId="2" xfId="0" applyFont="1" applyFill="1" applyBorder="1"/>
    <xf numFmtId="0" fontId="23" fillId="4" borderId="8" xfId="0" applyFont="1" applyFill="1" applyBorder="1"/>
    <xf numFmtId="164" fontId="13" fillId="0" borderId="2" xfId="1" applyNumberFormat="1" applyFont="1" applyBorder="1" applyAlignment="1">
      <alignment horizontal="right" vertical="center"/>
    </xf>
    <xf numFmtId="2" fontId="13" fillId="0" borderId="2" xfId="0" applyNumberFormat="1" applyFont="1" applyBorder="1" applyAlignment="1">
      <alignment horizontal="right" vertical="center"/>
    </xf>
    <xf numFmtId="0" fontId="13" fillId="0" borderId="2" xfId="0" applyFont="1" applyBorder="1"/>
    <xf numFmtId="0" fontId="13" fillId="0" borderId="8" xfId="0" applyFont="1" applyBorder="1"/>
    <xf numFmtId="0" fontId="0" fillId="4" borderId="2" xfId="0" applyFill="1" applyBorder="1"/>
    <xf numFmtId="0" fontId="0" fillId="4" borderId="8" xfId="0" applyFill="1" applyBorder="1"/>
    <xf numFmtId="1" fontId="0" fillId="0" borderId="2" xfId="0" applyNumberFormat="1" applyBorder="1"/>
    <xf numFmtId="1" fontId="0" fillId="0" borderId="8" xfId="0" applyNumberFormat="1" applyBorder="1"/>
    <xf numFmtId="2" fontId="0" fillId="0" borderId="2" xfId="0" applyNumberFormat="1" applyBorder="1"/>
    <xf numFmtId="2" fontId="0" fillId="0" borderId="8" xfId="0" applyNumberFormat="1" applyBorder="1"/>
    <xf numFmtId="164" fontId="0" fillId="0" borderId="8" xfId="0" applyNumberFormat="1" applyBorder="1"/>
    <xf numFmtId="165" fontId="13" fillId="0" borderId="2" xfId="1" applyNumberFormat="1" applyFont="1" applyBorder="1" applyAlignment="1">
      <alignment horizontal="right" vertical="center"/>
    </xf>
    <xf numFmtId="165" fontId="13" fillId="0" borderId="8" xfId="1" applyNumberFormat="1" applyFont="1" applyBorder="1" applyAlignment="1">
      <alignment horizontal="right" vertical="center"/>
    </xf>
    <xf numFmtId="165" fontId="0" fillId="0" borderId="2" xfId="0" applyNumberFormat="1" applyBorder="1"/>
    <xf numFmtId="165" fontId="0" fillId="0" borderId="8" xfId="0" applyNumberFormat="1" applyBorder="1"/>
    <xf numFmtId="1" fontId="8" fillId="0" borderId="2" xfId="0" applyNumberFormat="1" applyFont="1" applyBorder="1"/>
    <xf numFmtId="2" fontId="13" fillId="0" borderId="2" xfId="0" applyNumberFormat="1" applyFont="1" applyBorder="1"/>
    <xf numFmtId="2" fontId="13" fillId="0" borderId="8" xfId="0" applyNumberFormat="1" applyFont="1" applyBorder="1"/>
    <xf numFmtId="0" fontId="1" fillId="0" borderId="8" xfId="0" applyFont="1" applyBorder="1"/>
    <xf numFmtId="1" fontId="8" fillId="4" borderId="2" xfId="0" applyNumberFormat="1" applyFont="1" applyFill="1" applyBorder="1"/>
    <xf numFmtId="165" fontId="8" fillId="0" borderId="2" xfId="0" applyNumberFormat="1" applyFont="1" applyBorder="1"/>
    <xf numFmtId="164" fontId="0" fillId="0" borderId="2" xfId="0" applyNumberFormat="1" applyBorder="1"/>
    <xf numFmtId="1" fontId="13" fillId="0" borderId="0" xfId="0" applyNumberFormat="1" applyFont="1"/>
    <xf numFmtId="170" fontId="13" fillId="0" borderId="2" xfId="0" applyNumberFormat="1" applyFont="1" applyBorder="1"/>
    <xf numFmtId="170" fontId="13" fillId="0" borderId="8" xfId="0" applyNumberFormat="1" applyFont="1" applyBorder="1"/>
    <xf numFmtId="165" fontId="0" fillId="4" borderId="2" xfId="0" applyNumberFormat="1" applyFill="1" applyBorder="1"/>
    <xf numFmtId="165" fontId="0" fillId="4" borderId="0" xfId="0" applyNumberFormat="1" applyFill="1"/>
    <xf numFmtId="165" fontId="0" fillId="4" borderId="8" xfId="0" applyNumberFormat="1" applyFill="1" applyBorder="1"/>
    <xf numFmtId="2" fontId="7" fillId="0" borderId="2" xfId="0" applyNumberFormat="1" applyFont="1" applyBorder="1"/>
    <xf numFmtId="2" fontId="7" fillId="0" borderId="8" xfId="0" applyNumberFormat="1" applyFont="1" applyBorder="1"/>
    <xf numFmtId="0" fontId="23" fillId="0" borderId="2" xfId="0" applyFont="1" applyBorder="1"/>
    <xf numFmtId="0" fontId="0" fillId="0" borderId="9" xfId="0" applyBorder="1"/>
    <xf numFmtId="0" fontId="0" fillId="0" borderId="3" xfId="0" applyBorder="1"/>
    <xf numFmtId="0" fontId="0" fillId="0" borderId="10" xfId="0" applyBorder="1"/>
    <xf numFmtId="0" fontId="0" fillId="0" borderId="11" xfId="0" applyBorder="1"/>
    <xf numFmtId="0" fontId="17" fillId="0" borderId="11" xfId="0" applyFont="1" applyBorder="1"/>
    <xf numFmtId="0" fontId="8" fillId="6" borderId="11" xfId="1" applyFont="1" applyFill="1" applyBorder="1" applyAlignment="1">
      <alignment horizontal="left" vertical="center"/>
    </xf>
    <xf numFmtId="0" fontId="0" fillId="4" borderId="11" xfId="0" applyFill="1" applyBorder="1"/>
    <xf numFmtId="0" fontId="7" fillId="0" borderId="11" xfId="0" applyFont="1" applyBorder="1" applyAlignment="1">
      <alignment horizontal="left" vertical="center"/>
    </xf>
    <xf numFmtId="0" fontId="17" fillId="0" borderId="11" xfId="1" applyFont="1" applyBorder="1" applyAlignment="1">
      <alignment horizontal="left" vertical="center"/>
    </xf>
    <xf numFmtId="0" fontId="7" fillId="4" borderId="11" xfId="0" applyFont="1" applyFill="1" applyBorder="1" applyAlignment="1">
      <alignment horizontal="left" vertical="center"/>
    </xf>
    <xf numFmtId="0" fontId="17" fillId="4" borderId="11" xfId="1" applyFont="1" applyFill="1" applyBorder="1" applyAlignment="1">
      <alignment horizontal="left" vertical="center"/>
    </xf>
    <xf numFmtId="0" fontId="7" fillId="0" borderId="11" xfId="0" applyFont="1" applyBorder="1"/>
    <xf numFmtId="0" fontId="25" fillId="0" borderId="11" xfId="1" applyFont="1" applyBorder="1" applyAlignment="1">
      <alignment horizontal="left" vertical="center"/>
    </xf>
    <xf numFmtId="0" fontId="7" fillId="4" borderId="11" xfId="0" applyFont="1" applyFill="1" applyBorder="1"/>
    <xf numFmtId="0" fontId="0" fillId="0" borderId="12" xfId="0" applyBorder="1"/>
    <xf numFmtId="0" fontId="8" fillId="0" borderId="0" xfId="0" applyFont="1" applyAlignment="1">
      <alignment horizontal="right" vertical="center" wrapText="1"/>
    </xf>
    <xf numFmtId="2" fontId="22" fillId="0" borderId="0" xfId="0" applyNumberFormat="1" applyFont="1" applyAlignment="1">
      <alignment horizontal="right" vertical="center" wrapText="1"/>
    </xf>
    <xf numFmtId="0" fontId="0" fillId="6" borderId="2" xfId="0" applyFill="1" applyBorder="1"/>
    <xf numFmtId="165" fontId="22" fillId="0" borderId="0" xfId="0" applyNumberFormat="1" applyFont="1" applyAlignment="1">
      <alignment horizontal="right" vertical="center" wrapText="1"/>
    </xf>
    <xf numFmtId="0" fontId="19" fillId="0" borderId="0" xfId="0" applyFont="1" applyAlignment="1">
      <alignment horizontal="left" vertical="center"/>
    </xf>
    <xf numFmtId="2" fontId="8" fillId="0" borderId="2" xfId="0" applyNumberFormat="1" applyFont="1" applyBorder="1"/>
    <xf numFmtId="166" fontId="8" fillId="0" borderId="0" xfId="0" applyNumberFormat="1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79" fillId="0" borderId="0" xfId="0" applyFont="1"/>
    <xf numFmtId="0" fontId="0" fillId="8" borderId="54" xfId="0" applyFill="1" applyBorder="1"/>
    <xf numFmtId="0" fontId="0" fillId="8" borderId="55" xfId="0" applyFill="1" applyBorder="1"/>
    <xf numFmtId="0" fontId="0" fillId="8" borderId="56" xfId="0" applyFill="1" applyBorder="1"/>
    <xf numFmtId="0" fontId="17" fillId="0" borderId="0" xfId="1" applyFont="1" applyAlignment="1">
      <alignment horizontal="left" vertical="center"/>
    </xf>
    <xf numFmtId="2" fontId="13" fillId="0" borderId="0" xfId="1" applyNumberFormat="1" applyFont="1" applyAlignment="1">
      <alignment horizontal="right" vertical="center"/>
    </xf>
    <xf numFmtId="0" fontId="0" fillId="6" borderId="8" xfId="0" applyFill="1" applyBorder="1"/>
    <xf numFmtId="0" fontId="23" fillId="4" borderId="0" xfId="0" applyFont="1" applyFill="1"/>
    <xf numFmtId="1" fontId="8" fillId="4" borderId="0" xfId="0" applyNumberFormat="1" applyFont="1" applyFill="1"/>
    <xf numFmtId="165" fontId="13" fillId="0" borderId="0" xfId="1" applyNumberFormat="1" applyFont="1" applyAlignment="1">
      <alignment horizontal="right" vertical="center"/>
    </xf>
    <xf numFmtId="2" fontId="7" fillId="0" borderId="0" xfId="0" applyNumberFormat="1" applyFont="1"/>
    <xf numFmtId="0" fontId="3" fillId="4" borderId="0" xfId="0" applyFont="1" applyFill="1"/>
    <xf numFmtId="0" fontId="2" fillId="61" borderId="0" xfId="0" applyFont="1" applyFill="1"/>
    <xf numFmtId="0" fontId="0" fillId="61" borderId="0" xfId="0" applyFill="1"/>
    <xf numFmtId="166" fontId="2" fillId="61" borderId="0" xfId="0" applyNumberFormat="1" applyFont="1" applyFill="1" applyAlignment="1">
      <alignment horizontal="left" vertical="center"/>
    </xf>
    <xf numFmtId="166" fontId="0" fillId="61" borderId="0" xfId="0" applyNumberFormat="1" applyFill="1" applyAlignment="1">
      <alignment horizontal="center" vertical="center" wrapText="1"/>
    </xf>
    <xf numFmtId="166" fontId="0" fillId="61" borderId="0" xfId="0" applyNumberFormat="1" applyFill="1"/>
    <xf numFmtId="166" fontId="2" fillId="61" borderId="0" xfId="0" applyNumberFormat="1" applyFont="1" applyFill="1"/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left" vertical="top" wrapText="1"/>
    </xf>
    <xf numFmtId="0" fontId="2" fillId="2" borderId="0" xfId="0" applyFont="1" applyFill="1" applyAlignment="1">
      <alignment horizontal="left" vertical="center" wrapText="1"/>
    </xf>
    <xf numFmtId="166" fontId="0" fillId="0" borderId="0" xfId="0" applyNumberFormat="1" applyAlignment="1">
      <alignment horizontal="left" vertical="center" wrapText="1"/>
    </xf>
    <xf numFmtId="174" fontId="0" fillId="0" borderId="0" xfId="0" applyNumberFormat="1"/>
    <xf numFmtId="0" fontId="0" fillId="0" borderId="57" xfId="0" applyBorder="1"/>
    <xf numFmtId="0" fontId="0" fillId="0" borderId="58" xfId="0" applyBorder="1"/>
    <xf numFmtId="164" fontId="0" fillId="0" borderId="58" xfId="0" applyNumberFormat="1" applyBorder="1"/>
    <xf numFmtId="164" fontId="0" fillId="0" borderId="59" xfId="0" applyNumberFormat="1" applyBorder="1"/>
    <xf numFmtId="168" fontId="0" fillId="0" borderId="0" xfId="0" applyNumberFormat="1"/>
    <xf numFmtId="168" fontId="0" fillId="0" borderId="8" xfId="0" applyNumberFormat="1" applyBorder="1"/>
    <xf numFmtId="168" fontId="0" fillId="0" borderId="3" xfId="0" applyNumberFormat="1" applyBorder="1"/>
    <xf numFmtId="168" fontId="0" fillId="0" borderId="10" xfId="0" applyNumberFormat="1" applyBorder="1"/>
    <xf numFmtId="166" fontId="2" fillId="0" borderId="0" xfId="0" applyNumberFormat="1" applyFont="1"/>
    <xf numFmtId="166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0" fillId="0" borderId="60" xfId="0" applyNumberFormat="1" applyBorder="1"/>
    <xf numFmtId="0" fontId="0" fillId="0" borderId="61" xfId="0" applyBorder="1"/>
    <xf numFmtId="2" fontId="0" fillId="0" borderId="61" xfId="0" applyNumberFormat="1" applyBorder="1"/>
    <xf numFmtId="170" fontId="0" fillId="0" borderId="61" xfId="0" applyNumberFormat="1" applyBorder="1"/>
    <xf numFmtId="11" fontId="0" fillId="0" borderId="61" xfId="0" applyNumberFormat="1" applyBorder="1"/>
    <xf numFmtId="0" fontId="0" fillId="0" borderId="60" xfId="0" applyBorder="1"/>
    <xf numFmtId="170" fontId="8" fillId="0" borderId="0" xfId="0" applyNumberFormat="1" applyFont="1"/>
    <xf numFmtId="166" fontId="16" fillId="6" borderId="0" xfId="0" applyNumberFormat="1" applyFont="1" applyFill="1" applyAlignment="1">
      <alignment horizontal="center" vertical="center"/>
    </xf>
    <xf numFmtId="0" fontId="16" fillId="8" borderId="0" xfId="0" applyFont="1" applyFill="1" applyAlignment="1">
      <alignment horizontal="left" vertical="center" wrapText="1"/>
    </xf>
    <xf numFmtId="0" fontId="80" fillId="0" borderId="0" xfId="0" applyFont="1"/>
    <xf numFmtId="11" fontId="80" fillId="0" borderId="0" xfId="0" applyNumberFormat="1" applyFont="1" applyAlignment="1">
      <alignment horizontal="right" vertical="center"/>
    </xf>
    <xf numFmtId="0" fontId="81" fillId="0" borderId="0" xfId="1814"/>
    <xf numFmtId="1" fontId="82" fillId="0" borderId="0" xfId="0" applyNumberFormat="1" applyFont="1"/>
    <xf numFmtId="1" fontId="0" fillId="8" borderId="0" xfId="0" applyNumberFormat="1" applyFill="1" applyAlignment="1">
      <alignment horizontal="left" vertical="top" wrapText="1"/>
    </xf>
    <xf numFmtId="0" fontId="8" fillId="8" borderId="0" xfId="0" applyFont="1" applyFill="1" applyAlignment="1">
      <alignment horizontal="center" vertical="top" wrapText="1"/>
    </xf>
    <xf numFmtId="1" fontId="8" fillId="8" borderId="0" xfId="0" applyNumberFormat="1" applyFont="1" applyFill="1" applyAlignment="1">
      <alignment horizontal="left" vertical="top" wrapText="1"/>
    </xf>
    <xf numFmtId="0" fontId="0" fillId="8" borderId="0" xfId="0" applyFill="1" applyAlignment="1">
      <alignment horizontal="left" vertical="top" wrapText="1"/>
    </xf>
    <xf numFmtId="11" fontId="0" fillId="8" borderId="0" xfId="0" applyNumberFormat="1" applyFill="1" applyAlignment="1">
      <alignment horizontal="left" vertical="top" wrapText="1"/>
    </xf>
    <xf numFmtId="1" fontId="0" fillId="5" borderId="0" xfId="0" applyNumberFormat="1" applyFill="1" applyAlignment="1">
      <alignment horizontal="left" vertical="top" wrapText="1"/>
    </xf>
    <xf numFmtId="1" fontId="8" fillId="5" borderId="0" xfId="0" applyNumberFormat="1" applyFont="1" applyFill="1" applyAlignment="1">
      <alignment horizontal="left" vertical="top" wrapText="1"/>
    </xf>
    <xf numFmtId="2" fontId="8" fillId="5" borderId="0" xfId="0" applyNumberFormat="1" applyFont="1" applyFill="1" applyAlignment="1">
      <alignment horizontal="left" vertical="top" wrapText="1"/>
    </xf>
    <xf numFmtId="168" fontId="0" fillId="5" borderId="0" xfId="0" applyNumberFormat="1" applyFill="1" applyAlignment="1">
      <alignment horizontal="left" vertical="top" wrapText="1"/>
    </xf>
    <xf numFmtId="0" fontId="0" fillId="5" borderId="0" xfId="0" applyFill="1" applyAlignment="1">
      <alignment horizontal="left" vertical="top" wrapText="1"/>
    </xf>
    <xf numFmtId="11" fontId="0" fillId="5" borderId="0" xfId="0" applyNumberFormat="1" applyFill="1" applyAlignment="1">
      <alignment horizontal="left" vertical="top" wrapText="1"/>
    </xf>
    <xf numFmtId="11" fontId="82" fillId="0" borderId="0" xfId="0" applyNumberFormat="1" applyFont="1" applyAlignment="1">
      <alignment vertical="top"/>
    </xf>
    <xf numFmtId="171" fontId="0" fillId="0" borderId="0" xfId="0" applyNumberFormat="1"/>
    <xf numFmtId="0" fontId="84" fillId="4" borderId="0" xfId="0" applyFont="1" applyFill="1" applyAlignment="1">
      <alignment vertical="center"/>
    </xf>
    <xf numFmtId="0" fontId="18" fillId="4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164" fontId="8" fillId="0" borderId="0" xfId="0" applyNumberFormat="1" applyFont="1" applyAlignment="1">
      <alignment horizontal="right"/>
    </xf>
    <xf numFmtId="170" fontId="8" fillId="0" borderId="0" xfId="0" applyNumberFormat="1" applyFont="1" applyAlignment="1">
      <alignment horizontal="right"/>
    </xf>
    <xf numFmtId="2" fontId="80" fillId="0" borderId="0" xfId="0" applyNumberFormat="1" applyFont="1"/>
    <xf numFmtId="164" fontId="80" fillId="0" borderId="0" xfId="0" applyNumberFormat="1" applyFont="1"/>
    <xf numFmtId="164" fontId="80" fillId="0" borderId="0" xfId="0" applyNumberFormat="1" applyFont="1" applyAlignment="1">
      <alignment horizontal="right" vertical="center"/>
    </xf>
    <xf numFmtId="170" fontId="15" fillId="0" borderId="0" xfId="0" applyNumberFormat="1" applyFont="1"/>
    <xf numFmtId="170" fontId="80" fillId="0" borderId="0" xfId="0" applyNumberFormat="1" applyFont="1"/>
    <xf numFmtId="170" fontId="8" fillId="0" borderId="0" xfId="0" applyNumberFormat="1" applyFont="1" applyAlignment="1">
      <alignment horizontal="right" vertical="center"/>
    </xf>
    <xf numFmtId="2" fontId="8" fillId="5" borderId="3" xfId="0" applyNumberFormat="1" applyFont="1" applyFill="1" applyBorder="1"/>
    <xf numFmtId="0" fontId="0" fillId="5" borderId="0" xfId="0" applyFill="1"/>
    <xf numFmtId="3" fontId="2" fillId="5" borderId="0" xfId="0" applyNumberFormat="1" applyFont="1" applyFill="1"/>
    <xf numFmtId="0" fontId="8" fillId="5" borderId="0" xfId="0" applyFont="1" applyFill="1"/>
    <xf numFmtId="0" fontId="8" fillId="5" borderId="0" xfId="0" applyFont="1" applyFill="1" applyAlignment="1">
      <alignment horizontal="left"/>
    </xf>
    <xf numFmtId="2" fontId="8" fillId="5" borderId="0" xfId="0" applyNumberFormat="1" applyFont="1" applyFill="1"/>
    <xf numFmtId="164" fontId="8" fillId="5" borderId="0" xfId="0" applyNumberFormat="1" applyFont="1" applyFill="1"/>
    <xf numFmtId="11" fontId="8" fillId="5" borderId="0" xfId="0" applyNumberFormat="1" applyFont="1" applyFill="1"/>
    <xf numFmtId="0" fontId="21" fillId="5" borderId="0" xfId="0" applyFont="1" applyFill="1"/>
    <xf numFmtId="2" fontId="21" fillId="5" borderId="0" xfId="0" applyNumberFormat="1" applyFont="1" applyFill="1"/>
    <xf numFmtId="164" fontId="22" fillId="0" borderId="0" xfId="0" applyNumberFormat="1" applyFont="1" applyAlignment="1">
      <alignment horizontal="right" vertical="center"/>
    </xf>
    <xf numFmtId="11" fontId="22" fillId="0" borderId="0" xfId="0" applyNumberFormat="1" applyFont="1" applyAlignment="1">
      <alignment horizontal="right" vertical="center"/>
    </xf>
    <xf numFmtId="2" fontId="15" fillId="64" borderId="0" xfId="0" applyNumberFormat="1" applyFont="1" applyFill="1"/>
    <xf numFmtId="1" fontId="7" fillId="0" borderId="0" xfId="0" applyNumberFormat="1" applyFont="1" applyAlignment="1">
      <alignment vertical="center"/>
    </xf>
    <xf numFmtId="2" fontId="7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165" fontId="25" fillId="0" borderId="0" xfId="0" applyNumberFormat="1" applyFont="1"/>
    <xf numFmtId="168" fontId="8" fillId="0" borderId="0" xfId="0" applyNumberFormat="1" applyFont="1"/>
    <xf numFmtId="164" fontId="0" fillId="4" borderId="3" xfId="0" applyNumberFormat="1" applyFill="1" applyBorder="1"/>
    <xf numFmtId="2" fontId="13" fillId="0" borderId="8" xfId="0" applyNumberFormat="1" applyFont="1" applyBorder="1" applyAlignment="1">
      <alignment horizontal="right" vertical="center"/>
    </xf>
    <xf numFmtId="0" fontId="0" fillId="8" borderId="207" xfId="0" applyFill="1" applyBorder="1"/>
    <xf numFmtId="0" fontId="0" fillId="8" borderId="174" xfId="0" applyFill="1" applyBorder="1"/>
    <xf numFmtId="1" fontId="8" fillId="4" borderId="8" xfId="0" applyNumberFormat="1" applyFont="1" applyFill="1" applyBorder="1"/>
    <xf numFmtId="2" fontId="8" fillId="0" borderId="8" xfId="0" applyNumberFormat="1" applyFont="1" applyBorder="1"/>
    <xf numFmtId="2" fontId="13" fillId="0" borderId="0" xfId="0" applyNumberFormat="1" applyFont="1" applyAlignment="1">
      <alignment horizontal="right" vertical="center"/>
    </xf>
    <xf numFmtId="164" fontId="13" fillId="0" borderId="0" xfId="1" applyNumberFormat="1" applyFont="1" applyAlignment="1">
      <alignment horizontal="right" vertical="center"/>
    </xf>
    <xf numFmtId="11" fontId="7" fillId="4" borderId="0" xfId="0" applyNumberFormat="1" applyFont="1" applyFill="1"/>
    <xf numFmtId="166" fontId="2" fillId="6" borderId="0" xfId="0" applyNumberFormat="1" applyFont="1" applyFill="1" applyAlignment="1">
      <alignment vertical="center"/>
    </xf>
    <xf numFmtId="164" fontId="8" fillId="0" borderId="216" xfId="0" applyNumberFormat="1" applyFont="1" applyBorder="1"/>
    <xf numFmtId="170" fontId="0" fillId="0" borderId="1" xfId="0" applyNumberFormat="1" applyBorder="1"/>
    <xf numFmtId="0" fontId="81" fillId="0" borderId="0" xfId="1814" applyAlignment="1">
      <alignment horizontal="left" vertical="center"/>
    </xf>
    <xf numFmtId="2" fontId="23" fillId="0" borderId="0" xfId="0" applyNumberFormat="1" applyFont="1"/>
    <xf numFmtId="2" fontId="13" fillId="0" borderId="8" xfId="0" applyNumberFormat="1" applyFont="1" applyBorder="1" applyAlignment="1">
      <alignment horizontal="right"/>
    </xf>
    <xf numFmtId="0" fontId="0" fillId="8" borderId="449" xfId="0" applyFill="1" applyBorder="1"/>
    <xf numFmtId="0" fontId="0" fillId="8" borderId="458" xfId="0" applyFill="1" applyBorder="1"/>
    <xf numFmtId="2" fontId="13" fillId="0" borderId="0" xfId="0" applyNumberFormat="1" applyFont="1" applyAlignment="1">
      <alignment horizontal="right"/>
    </xf>
    <xf numFmtId="168" fontId="1" fillId="0" borderId="0" xfId="0" applyNumberFormat="1" applyFont="1"/>
    <xf numFmtId="164" fontId="8" fillId="0" borderId="563" xfId="0" applyNumberFormat="1" applyFont="1" applyBorder="1"/>
    <xf numFmtId="0" fontId="21" fillId="0" borderId="11" xfId="1" applyFont="1" applyBorder="1" applyAlignment="1">
      <alignment horizontal="left" vertical="center"/>
    </xf>
    <xf numFmtId="2" fontId="34" fillId="0" borderId="0" xfId="0" applyNumberFormat="1" applyFont="1" applyAlignment="1">
      <alignment horizontal="right"/>
    </xf>
    <xf numFmtId="0" fontId="0" fillId="8" borderId="564" xfId="0" applyFill="1" applyBorder="1"/>
    <xf numFmtId="170" fontId="8" fillId="0" borderId="0" xfId="0" applyNumberFormat="1" applyFont="1" applyAlignment="1">
      <alignment horizontal="right" vertical="center" wrapText="1"/>
    </xf>
    <xf numFmtId="0" fontId="87" fillId="0" borderId="0" xfId="0" applyFont="1"/>
    <xf numFmtId="0" fontId="8" fillId="0" borderId="11" xfId="1" applyFont="1" applyBorder="1" applyAlignment="1">
      <alignment horizontal="left" vertical="center"/>
    </xf>
    <xf numFmtId="2" fontId="8" fillId="4" borderId="6" xfId="0" applyNumberFormat="1" applyFont="1" applyFill="1" applyBorder="1"/>
    <xf numFmtId="164" fontId="8" fillId="4" borderId="7" xfId="0" applyNumberFormat="1" applyFont="1" applyFill="1" applyBorder="1"/>
    <xf numFmtId="2" fontId="0" fillId="4" borderId="0" xfId="0" applyNumberFormat="1" applyFill="1"/>
    <xf numFmtId="2" fontId="88" fillId="0" borderId="0" xfId="0" applyNumberFormat="1" applyFont="1"/>
    <xf numFmtId="0" fontId="1" fillId="0" borderId="0" xfId="0" applyFont="1" applyAlignment="1">
      <alignment horizontal="left"/>
    </xf>
    <xf numFmtId="0" fontId="89" fillId="0" borderId="0" xfId="0" applyFont="1"/>
    <xf numFmtId="0" fontId="90" fillId="0" borderId="0" xfId="0" applyFont="1"/>
    <xf numFmtId="1" fontId="8" fillId="0" borderId="8" xfId="0" applyNumberFormat="1" applyFont="1" applyBorder="1"/>
    <xf numFmtId="1" fontId="24" fillId="0" borderId="0" xfId="1" applyNumberFormat="1" applyFont="1" applyAlignment="1">
      <alignment horizontal="center" vertical="center"/>
    </xf>
    <xf numFmtId="0" fontId="1" fillId="4" borderId="0" xfId="0" applyFont="1" applyFill="1"/>
    <xf numFmtId="49" fontId="2" fillId="62" borderId="0" xfId="0" applyNumberFormat="1" applyFont="1" applyFill="1"/>
    <xf numFmtId="0" fontId="8" fillId="62" borderId="0" xfId="0" applyFont="1" applyFill="1"/>
    <xf numFmtId="1" fontId="2" fillId="62" borderId="0" xfId="0" applyNumberFormat="1" applyFont="1" applyFill="1" applyAlignment="1">
      <alignment vertical="center"/>
    </xf>
    <xf numFmtId="1" fontId="2" fillId="62" borderId="0" xfId="0" applyNumberFormat="1" applyFont="1" applyFill="1" applyAlignment="1">
      <alignment horizontal="left" vertical="top"/>
    </xf>
    <xf numFmtId="2" fontId="0" fillId="62" borderId="0" xfId="0" applyNumberFormat="1" applyFill="1" applyAlignment="1">
      <alignment horizontal="left" vertical="center"/>
    </xf>
    <xf numFmtId="1" fontId="0" fillId="62" borderId="0" xfId="0" applyNumberFormat="1" applyFill="1" applyAlignment="1">
      <alignment horizontal="left" vertical="center"/>
    </xf>
    <xf numFmtId="2" fontId="2" fillId="62" borderId="0" xfId="0" applyNumberFormat="1" applyFont="1" applyFill="1" applyAlignment="1">
      <alignment horizontal="left" vertical="center"/>
    </xf>
    <xf numFmtId="11" fontId="2" fillId="62" borderId="0" xfId="0" applyNumberFormat="1" applyFont="1" applyFill="1" applyAlignment="1">
      <alignment horizontal="left" vertical="center"/>
    </xf>
    <xf numFmtId="1" fontId="2" fillId="62" borderId="0" xfId="0" applyNumberFormat="1" applyFont="1" applyFill="1" applyAlignment="1">
      <alignment horizontal="left" vertical="center"/>
    </xf>
    <xf numFmtId="11" fontId="0" fillId="62" borderId="0" xfId="0" applyNumberFormat="1" applyFill="1" applyAlignment="1">
      <alignment horizontal="left" vertical="center"/>
    </xf>
    <xf numFmtId="1" fontId="2" fillId="63" borderId="0" xfId="0" applyNumberFormat="1" applyFont="1" applyFill="1" applyAlignment="1">
      <alignment vertical="center"/>
    </xf>
    <xf numFmtId="1" fontId="2" fillId="63" borderId="0" xfId="0" applyNumberFormat="1" applyFont="1" applyFill="1" applyAlignment="1">
      <alignment horizontal="left" vertical="top"/>
    </xf>
    <xf numFmtId="2" fontId="0" fillId="63" borderId="0" xfId="0" applyNumberFormat="1" applyFill="1" applyAlignment="1">
      <alignment horizontal="left" vertical="center"/>
    </xf>
    <xf numFmtId="1" fontId="0" fillId="63" borderId="0" xfId="0" applyNumberFormat="1" applyFill="1" applyAlignment="1">
      <alignment horizontal="left" vertical="center"/>
    </xf>
    <xf numFmtId="2" fontId="2" fillId="63" borderId="0" xfId="0" applyNumberFormat="1" applyFont="1" applyFill="1" applyAlignment="1">
      <alignment horizontal="left" vertical="center"/>
    </xf>
    <xf numFmtId="11" fontId="2" fillId="63" borderId="0" xfId="0" applyNumberFormat="1" applyFont="1" applyFill="1" applyAlignment="1">
      <alignment horizontal="left" vertical="center"/>
    </xf>
    <xf numFmtId="1" fontId="2" fillId="63" borderId="0" xfId="0" applyNumberFormat="1" applyFont="1" applyFill="1" applyAlignment="1">
      <alignment horizontal="left" vertical="center"/>
    </xf>
    <xf numFmtId="11" fontId="0" fillId="63" borderId="0" xfId="0" applyNumberFormat="1" applyFill="1" applyAlignment="1">
      <alignment horizontal="left" vertical="center"/>
    </xf>
    <xf numFmtId="49" fontId="0" fillId="8" borderId="0" xfId="0" applyNumberFormat="1" applyFill="1" applyAlignment="1">
      <alignment horizontal="center" vertical="top" wrapText="1"/>
    </xf>
    <xf numFmtId="2" fontId="8" fillId="8" borderId="0" xfId="0" applyNumberFormat="1" applyFont="1" applyFill="1" applyAlignment="1">
      <alignment horizontal="left" vertical="top" wrapText="1"/>
    </xf>
    <xf numFmtId="168" fontId="0" fillId="8" borderId="0" xfId="0" applyNumberFormat="1" applyFill="1" applyAlignment="1">
      <alignment horizontal="left" vertical="top" wrapText="1"/>
    </xf>
    <xf numFmtId="3" fontId="13" fillId="0" borderId="0" xfId="0" applyNumberFormat="1" applyFont="1"/>
    <xf numFmtId="1" fontId="8" fillId="0" borderId="0" xfId="0" applyNumberFormat="1" applyFont="1" applyAlignment="1">
      <alignment horizontal="right" vertical="center" wrapText="1"/>
    </xf>
    <xf numFmtId="167" fontId="13" fillId="0" borderId="0" xfId="0" applyNumberFormat="1" applyFont="1"/>
    <xf numFmtId="0" fontId="83" fillId="0" borderId="0" xfId="0" applyFont="1"/>
    <xf numFmtId="164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 vertical="center"/>
    </xf>
    <xf numFmtId="164" fontId="0" fillId="0" borderId="0" xfId="0" applyNumberFormat="1" applyAlignment="1">
      <alignment horizontal="right" vertical="center" wrapText="1"/>
    </xf>
    <xf numFmtId="1" fontId="88" fillId="0" borderId="0" xfId="0" applyNumberFormat="1" applyFont="1"/>
    <xf numFmtId="1" fontId="8" fillId="64" borderId="0" xfId="0" applyNumberFormat="1" applyFont="1" applyFill="1"/>
    <xf numFmtId="11" fontId="88" fillId="0" borderId="0" xfId="0" applyNumberFormat="1" applyFont="1" applyAlignment="1">
      <alignment vertical="top"/>
    </xf>
    <xf numFmtId="169" fontId="0" fillId="0" borderId="0" xfId="0" applyNumberFormat="1"/>
    <xf numFmtId="169" fontId="8" fillId="0" borderId="0" xfId="0" applyNumberFormat="1" applyFont="1" applyAlignment="1">
      <alignment horizontal="right" vertical="center"/>
    </xf>
    <xf numFmtId="2" fontId="82" fillId="0" borderId="0" xfId="0" applyNumberFormat="1" applyFont="1"/>
    <xf numFmtId="0" fontId="0" fillId="0" borderId="566" xfId="0" applyBorder="1"/>
    <xf numFmtId="0" fontId="0" fillId="0" borderId="567" xfId="0" applyBorder="1"/>
    <xf numFmtId="0" fontId="18" fillId="0" borderId="2" xfId="0" applyFont="1" applyBorder="1"/>
    <xf numFmtId="164" fontId="82" fillId="0" borderId="0" xfId="0" applyNumberFormat="1" applyFont="1"/>
    <xf numFmtId="2" fontId="17" fillId="0" borderId="2" xfId="0" applyNumberFormat="1" applyFont="1" applyBorder="1"/>
    <xf numFmtId="0" fontId="17" fillId="0" borderId="2" xfId="0" applyFont="1" applyBorder="1"/>
    <xf numFmtId="2" fontId="2" fillId="8" borderId="0" xfId="0" applyNumberFormat="1" applyFont="1" applyFill="1"/>
    <xf numFmtId="0" fontId="0" fillId="0" borderId="568" xfId="0" applyBorder="1" applyAlignment="1">
      <alignment horizontal="left" vertical="top"/>
    </xf>
    <xf numFmtId="0" fontId="8" fillId="0" borderId="568" xfId="0" applyFont="1" applyBorder="1"/>
    <xf numFmtId="164" fontId="13" fillId="0" borderId="0" xfId="0" applyNumberFormat="1" applyFont="1" applyAlignment="1">
      <alignment horizontal="right"/>
    </xf>
    <xf numFmtId="164" fontId="13" fillId="0" borderId="0" xfId="0" applyNumberFormat="1" applyFont="1" applyAlignment="1">
      <alignment horizontal="right" vertical="center"/>
    </xf>
    <xf numFmtId="164" fontId="13" fillId="0" borderId="0" xfId="0" applyNumberFormat="1" applyFont="1" applyAlignment="1">
      <alignment horizontal="right" vertical="center" wrapText="1"/>
    </xf>
    <xf numFmtId="0" fontId="0" fillId="62" borderId="0" xfId="0" applyFill="1"/>
    <xf numFmtId="164" fontId="1" fillId="0" borderId="2" xfId="1" applyNumberFormat="1" applyFont="1" applyBorder="1" applyAlignment="1">
      <alignment horizontal="right" vertical="center"/>
    </xf>
    <xf numFmtId="2" fontId="1" fillId="0" borderId="2" xfId="0" applyNumberFormat="1" applyFont="1" applyBorder="1" applyAlignment="1">
      <alignment horizontal="right" vertical="center"/>
    </xf>
    <xf numFmtId="1" fontId="1" fillId="0" borderId="0" xfId="0" applyNumberFormat="1" applyFont="1"/>
    <xf numFmtId="175" fontId="1" fillId="0" borderId="0" xfId="0" applyNumberFormat="1" applyFont="1"/>
    <xf numFmtId="1" fontId="23" fillId="0" borderId="0" xfId="0" applyNumberFormat="1" applyFont="1"/>
    <xf numFmtId="2" fontId="82" fillId="0" borderId="2" xfId="1" applyNumberFormat="1" applyFont="1" applyBorder="1" applyAlignment="1">
      <alignment horizontal="right" vertical="center"/>
    </xf>
    <xf numFmtId="2" fontId="82" fillId="0" borderId="0" xfId="1" applyNumberFormat="1" applyFont="1" applyAlignment="1">
      <alignment horizontal="right" vertical="center"/>
    </xf>
    <xf numFmtId="2" fontId="82" fillId="0" borderId="8" xfId="1" applyNumberFormat="1" applyFont="1" applyBorder="1" applyAlignment="1">
      <alignment horizontal="right" vertical="center"/>
    </xf>
    <xf numFmtId="170" fontId="0" fillId="0" borderId="2" xfId="0" applyNumberFormat="1" applyBorder="1"/>
    <xf numFmtId="170" fontId="0" fillId="0" borderId="8" xfId="0" applyNumberFormat="1" applyBorder="1"/>
    <xf numFmtId="2" fontId="0" fillId="64" borderId="2" xfId="0" applyNumberFormat="1" applyFill="1" applyBorder="1"/>
    <xf numFmtId="2" fontId="0" fillId="64" borderId="0" xfId="0" applyNumberFormat="1" applyFill="1"/>
    <xf numFmtId="2" fontId="0" fillId="64" borderId="8" xfId="0" applyNumberFormat="1" applyFill="1" applyBorder="1"/>
    <xf numFmtId="165" fontId="0" fillId="64" borderId="2" xfId="0" applyNumberFormat="1" applyFill="1" applyBorder="1"/>
    <xf numFmtId="165" fontId="0" fillId="64" borderId="0" xfId="0" applyNumberFormat="1" applyFill="1"/>
    <xf numFmtId="165" fontId="0" fillId="64" borderId="8" xfId="0" applyNumberFormat="1" applyFill="1" applyBorder="1"/>
    <xf numFmtId="164" fontId="82" fillId="0" borderId="2" xfId="1" applyNumberFormat="1" applyFont="1" applyBorder="1" applyAlignment="1">
      <alignment horizontal="right" vertical="center"/>
    </xf>
    <xf numFmtId="2" fontId="82" fillId="0" borderId="2" xfId="0" applyNumberFormat="1" applyFont="1" applyBorder="1" applyAlignment="1">
      <alignment horizontal="right" vertical="center"/>
    </xf>
    <xf numFmtId="2" fontId="82" fillId="0" borderId="8" xfId="0" applyNumberFormat="1" applyFont="1" applyBorder="1"/>
    <xf numFmtId="2" fontId="82" fillId="0" borderId="8" xfId="0" applyNumberFormat="1" applyFont="1" applyBorder="1" applyAlignment="1">
      <alignment horizontal="right" vertical="center"/>
    </xf>
    <xf numFmtId="2" fontId="82" fillId="0" borderId="0" xfId="0" applyNumberFormat="1" applyFont="1" applyAlignment="1">
      <alignment horizontal="right"/>
    </xf>
    <xf numFmtId="2" fontId="82" fillId="0" borderId="8" xfId="0" applyNumberFormat="1" applyFont="1" applyBorder="1" applyAlignment="1">
      <alignment horizontal="right"/>
    </xf>
    <xf numFmtId="165" fontId="82" fillId="0" borderId="2" xfId="1" applyNumberFormat="1" applyFont="1" applyBorder="1" applyAlignment="1">
      <alignment horizontal="right" vertical="center"/>
    </xf>
    <xf numFmtId="165" fontId="82" fillId="0" borderId="8" xfId="1" applyNumberFormat="1" applyFont="1" applyBorder="1" applyAlignment="1">
      <alignment horizontal="right" vertical="center"/>
    </xf>
    <xf numFmtId="165" fontId="17" fillId="0" borderId="0" xfId="0" applyNumberFormat="1" applyFont="1" applyAlignment="1">
      <alignment vertical="center"/>
    </xf>
    <xf numFmtId="3" fontId="93" fillId="0" borderId="0" xfId="0" applyNumberFormat="1" applyFont="1"/>
    <xf numFmtId="1" fontId="93" fillId="0" borderId="0" xfId="0" applyNumberFormat="1" applyFont="1"/>
    <xf numFmtId="3" fontId="82" fillId="0" borderId="0" xfId="0" applyNumberFormat="1" applyFont="1"/>
    <xf numFmtId="166" fontId="82" fillId="0" borderId="0" xfId="0" applyNumberFormat="1" applyFont="1"/>
    <xf numFmtId="0" fontId="94" fillId="8" borderId="0" xfId="0" applyFont="1" applyFill="1"/>
    <xf numFmtId="3" fontId="95" fillId="0" borderId="0" xfId="0" applyNumberFormat="1" applyFont="1"/>
    <xf numFmtId="2" fontId="94" fillId="0" borderId="0" xfId="0" applyNumberFormat="1" applyFont="1"/>
    <xf numFmtId="0" fontId="95" fillId="0" borderId="0" xfId="0" applyFont="1"/>
    <xf numFmtId="167" fontId="95" fillId="0" borderId="0" xfId="0" applyNumberFormat="1" applyFont="1"/>
    <xf numFmtId="0" fontId="94" fillId="0" borderId="0" xfId="0" applyFont="1"/>
    <xf numFmtId="0" fontId="96" fillId="0" borderId="0" xfId="0" applyFont="1"/>
    <xf numFmtId="0" fontId="97" fillId="0" borderId="0" xfId="0" applyFont="1"/>
    <xf numFmtId="0" fontId="97" fillId="0" borderId="565" xfId="0" applyFont="1" applyBorder="1"/>
    <xf numFmtId="0" fontId="96" fillId="0" borderId="2" xfId="0" applyFont="1" applyBorder="1"/>
    <xf numFmtId="0" fontId="94" fillId="0" borderId="2" xfId="0" applyFont="1" applyBorder="1"/>
    <xf numFmtId="0" fontId="94" fillId="0" borderId="9" xfId="0" applyFont="1" applyBorder="1"/>
    <xf numFmtId="0" fontId="14" fillId="0" borderId="569" xfId="0" applyFont="1" applyBorder="1"/>
    <xf numFmtId="0" fontId="0" fillId="0" borderId="570" xfId="0" applyBorder="1"/>
    <xf numFmtId="0" fontId="0" fillId="0" borderId="571" xfId="0" applyBorder="1"/>
    <xf numFmtId="0" fontId="18" fillId="0" borderId="2" xfId="0" applyFont="1" applyBorder="1" applyAlignment="1">
      <alignment horizontal="left" vertical="center"/>
    </xf>
    <xf numFmtId="0" fontId="18" fillId="0" borderId="0" xfId="0" applyFont="1" applyAlignment="1">
      <alignment horizontal="right" vertical="center"/>
    </xf>
    <xf numFmtId="2" fontId="8" fillId="0" borderId="1" xfId="0" applyNumberFormat="1" applyFont="1" applyBorder="1"/>
    <xf numFmtId="0" fontId="0" fillId="65" borderId="0" xfId="0" applyFill="1" applyAlignment="1">
      <alignment horizontal="left"/>
    </xf>
    <xf numFmtId="0" fontId="0" fillId="65" borderId="0" xfId="0" applyFill="1"/>
    <xf numFmtId="0" fontId="0" fillId="65" borderId="0" xfId="0" applyFill="1" applyAlignment="1">
      <alignment horizontal="left" vertical="top"/>
    </xf>
    <xf numFmtId="0" fontId="1" fillId="65" borderId="0" xfId="0" applyFont="1" applyFill="1"/>
    <xf numFmtId="0" fontId="9" fillId="65" borderId="0" xfId="0" applyFont="1" applyFill="1"/>
    <xf numFmtId="49" fontId="2" fillId="66" borderId="0" xfId="0" applyNumberFormat="1" applyFont="1" applyFill="1" applyAlignment="1">
      <alignment horizontal="left"/>
    </xf>
    <xf numFmtId="0" fontId="8" fillId="66" borderId="0" xfId="0" applyFont="1" applyFill="1"/>
    <xf numFmtId="0" fontId="0" fillId="66" borderId="0" xfId="0" applyFill="1"/>
    <xf numFmtId="0" fontId="2" fillId="66" borderId="0" xfId="0" applyFont="1" applyFill="1"/>
    <xf numFmtId="2" fontId="2" fillId="66" borderId="0" xfId="0" applyNumberFormat="1" applyFont="1" applyFill="1" applyAlignment="1">
      <alignment horizontal="left" vertical="center"/>
    </xf>
    <xf numFmtId="11" fontId="2" fillId="66" borderId="0" xfId="0" applyNumberFormat="1" applyFont="1" applyFill="1" applyAlignment="1">
      <alignment horizontal="left" vertical="center"/>
    </xf>
    <xf numFmtId="166" fontId="2" fillId="66" borderId="0" xfId="0" applyNumberFormat="1" applyFont="1" applyFill="1"/>
    <xf numFmtId="49" fontId="0" fillId="64" borderId="0" xfId="0" applyNumberFormat="1" applyFill="1" applyAlignment="1">
      <alignment horizontal="center" vertical="center" wrapText="1"/>
    </xf>
    <xf numFmtId="0" fontId="8" fillId="64" borderId="0" xfId="0" applyFont="1" applyFill="1" applyAlignment="1">
      <alignment horizontal="center" vertical="center" wrapText="1"/>
    </xf>
    <xf numFmtId="0" fontId="0" fillId="64" borderId="0" xfId="0" applyFill="1" applyAlignment="1">
      <alignment horizontal="center" vertical="center"/>
    </xf>
    <xf numFmtId="0" fontId="0" fillId="64" borderId="0" xfId="0" applyFill="1" applyAlignment="1">
      <alignment horizontal="center" vertical="center" wrapText="1"/>
    </xf>
    <xf numFmtId="1" fontId="0" fillId="64" borderId="0" xfId="0" applyNumberFormat="1" applyFill="1" applyAlignment="1">
      <alignment horizontal="left" vertical="top" wrapText="1"/>
    </xf>
    <xf numFmtId="1" fontId="8" fillId="64" borderId="0" xfId="0" applyNumberFormat="1" applyFont="1" applyFill="1" applyAlignment="1">
      <alignment horizontal="left" vertical="top" wrapText="1"/>
    </xf>
    <xf numFmtId="1" fontId="8" fillId="64" borderId="0" xfId="0" applyNumberFormat="1" applyFont="1" applyFill="1" applyAlignment="1">
      <alignment horizontal="center" vertical="center" wrapText="1"/>
    </xf>
    <xf numFmtId="2" fontId="8" fillId="64" borderId="0" xfId="0" applyNumberFormat="1" applyFont="1" applyFill="1" applyAlignment="1">
      <alignment horizontal="center" vertical="center" wrapText="1"/>
    </xf>
    <xf numFmtId="168" fontId="0" fillId="64" borderId="0" xfId="0" applyNumberFormat="1" applyFill="1" applyAlignment="1">
      <alignment horizontal="center" vertical="center" wrapText="1"/>
    </xf>
    <xf numFmtId="11" fontId="0" fillId="64" borderId="0" xfId="0" applyNumberFormat="1" applyFill="1" applyAlignment="1">
      <alignment horizontal="center" vertical="center" wrapText="1"/>
    </xf>
    <xf numFmtId="166" fontId="0" fillId="64" borderId="0" xfId="0" applyNumberFormat="1" applyFill="1" applyAlignment="1">
      <alignment horizontal="center" vertical="center" wrapText="1"/>
    </xf>
    <xf numFmtId="0" fontId="12" fillId="67" borderId="0" xfId="0" applyFont="1" applyFill="1" applyAlignment="1">
      <alignment horizontal="left"/>
    </xf>
    <xf numFmtId="0" fontId="12" fillId="67" borderId="0" xfId="0" applyFont="1" applyFill="1"/>
    <xf numFmtId="0" fontId="11" fillId="67" borderId="0" xfId="0" applyFont="1" applyFill="1"/>
    <xf numFmtId="166" fontId="11" fillId="67" borderId="0" xfId="0" applyNumberFormat="1" applyFont="1" applyFill="1"/>
    <xf numFmtId="0" fontId="10" fillId="67" borderId="0" xfId="0" applyFont="1" applyFill="1"/>
    <xf numFmtId="0" fontId="0" fillId="66" borderId="0" xfId="0" applyFill="1" applyAlignment="1">
      <alignment horizontal="left" vertical="top"/>
    </xf>
    <xf numFmtId="166" fontId="2" fillId="66" borderId="0" xfId="0" applyNumberFormat="1" applyFont="1" applyFill="1" applyAlignment="1">
      <alignment horizontal="left" vertical="center"/>
    </xf>
    <xf numFmtId="166" fontId="0" fillId="66" borderId="0" xfId="0" applyNumberFormat="1" applyFill="1" applyAlignment="1">
      <alignment horizontal="center" vertical="center" wrapText="1"/>
    </xf>
    <xf numFmtId="166" fontId="0" fillId="66" borderId="0" xfId="0" applyNumberFormat="1" applyFill="1"/>
    <xf numFmtId="0" fontId="12" fillId="66" borderId="0" xfId="0" applyFont="1" applyFill="1"/>
    <xf numFmtId="0" fontId="9" fillId="66" borderId="0" xfId="0" applyFont="1" applyFill="1"/>
    <xf numFmtId="166" fontId="12" fillId="66" borderId="0" xfId="0" applyNumberFormat="1" applyFont="1" applyFill="1"/>
    <xf numFmtId="0" fontId="0" fillId="0" borderId="572" xfId="0" applyBorder="1" applyAlignment="1">
      <alignment horizontal="left" vertical="top"/>
    </xf>
    <xf numFmtId="0" fontId="8" fillId="0" borderId="572" xfId="0" applyFont="1" applyBorder="1"/>
    <xf numFmtId="3" fontId="0" fillId="0" borderId="572" xfId="0" applyNumberFormat="1" applyBorder="1"/>
    <xf numFmtId="3" fontId="0" fillId="0" borderId="572" xfId="0" applyNumberFormat="1" applyBorder="1" applyAlignment="1">
      <alignment horizontal="left" vertical="top"/>
    </xf>
    <xf numFmtId="49" fontId="0" fillId="0" borderId="0" xfId="0" applyNumberFormat="1" applyAlignment="1">
      <alignment horizontal="left" vertical="top"/>
    </xf>
    <xf numFmtId="0" fontId="0" fillId="64" borderId="3" xfId="0" applyFill="1" applyBorder="1" applyAlignment="1">
      <alignment horizontal="center" vertical="center" wrapText="1"/>
    </xf>
    <xf numFmtId="166" fontId="0" fillId="64" borderId="3" xfId="0" applyNumberFormat="1" applyFill="1" applyBorder="1" applyAlignment="1">
      <alignment horizontal="center" vertical="center" wrapText="1"/>
    </xf>
    <xf numFmtId="0" fontId="9" fillId="64" borderId="3" xfId="0" applyFont="1" applyFill="1" applyBorder="1" applyAlignment="1">
      <alignment horizontal="center" vertical="center" wrapText="1"/>
    </xf>
    <xf numFmtId="0" fontId="0" fillId="68" borderId="0" xfId="0" applyFill="1" applyAlignment="1">
      <alignment horizontal="left"/>
    </xf>
    <xf numFmtId="0" fontId="0" fillId="68" borderId="0" xfId="0" applyFill="1"/>
    <xf numFmtId="0" fontId="0" fillId="68" borderId="0" xfId="0" applyFill="1" applyAlignment="1">
      <alignment horizontal="left" vertical="top"/>
    </xf>
    <xf numFmtId="0" fontId="1" fillId="68" borderId="0" xfId="0" applyFont="1" applyFill="1"/>
    <xf numFmtId="0" fontId="9" fillId="68" borderId="0" xfId="0" applyFont="1" applyFill="1"/>
    <xf numFmtId="49" fontId="0" fillId="69" borderId="0" xfId="0" applyNumberFormat="1" applyFill="1" applyAlignment="1">
      <alignment horizontal="center" vertical="center" wrapText="1"/>
    </xf>
    <xf numFmtId="0" fontId="8" fillId="69" borderId="0" xfId="0" applyFont="1" applyFill="1" applyAlignment="1">
      <alignment horizontal="center" vertical="center" wrapText="1"/>
    </xf>
    <xf numFmtId="0" fontId="0" fillId="69" borderId="0" xfId="0" applyFill="1" applyAlignment="1">
      <alignment horizontal="center" vertical="center"/>
    </xf>
    <xf numFmtId="0" fontId="0" fillId="69" borderId="0" xfId="0" applyFill="1" applyAlignment="1">
      <alignment horizontal="center" vertical="center" wrapText="1"/>
    </xf>
    <xf numFmtId="1" fontId="0" fillId="69" borderId="0" xfId="0" applyNumberFormat="1" applyFill="1" applyAlignment="1">
      <alignment horizontal="left" vertical="top" wrapText="1"/>
    </xf>
    <xf numFmtId="1" fontId="8" fillId="69" borderId="0" xfId="0" applyNumberFormat="1" applyFont="1" applyFill="1" applyAlignment="1">
      <alignment horizontal="left" vertical="top" wrapText="1"/>
    </xf>
    <xf numFmtId="1" fontId="8" fillId="69" borderId="0" xfId="0" applyNumberFormat="1" applyFont="1" applyFill="1" applyAlignment="1">
      <alignment horizontal="center" vertical="center" wrapText="1"/>
    </xf>
    <xf numFmtId="2" fontId="8" fillId="69" borderId="0" xfId="0" applyNumberFormat="1" applyFont="1" applyFill="1" applyAlignment="1">
      <alignment horizontal="center" vertical="center" wrapText="1"/>
    </xf>
    <xf numFmtId="168" fontId="0" fillId="69" borderId="0" xfId="0" applyNumberFormat="1" applyFill="1" applyAlignment="1">
      <alignment horizontal="center" vertical="center" wrapText="1"/>
    </xf>
    <xf numFmtId="11" fontId="0" fillId="69" borderId="0" xfId="0" applyNumberFormat="1" applyFill="1" applyAlignment="1">
      <alignment horizontal="center" vertical="center" wrapText="1"/>
    </xf>
    <xf numFmtId="166" fontId="0" fillId="69" borderId="0" xfId="0" applyNumberFormat="1" applyFill="1" applyAlignment="1">
      <alignment horizontal="center" vertical="center" wrapText="1"/>
    </xf>
    <xf numFmtId="49" fontId="2" fillId="70" borderId="0" xfId="0" applyNumberFormat="1" applyFont="1" applyFill="1" applyAlignment="1">
      <alignment horizontal="left"/>
    </xf>
    <xf numFmtId="0" fontId="8" fillId="70" borderId="0" xfId="0" applyFont="1" applyFill="1"/>
    <xf numFmtId="0" fontId="0" fillId="70" borderId="0" xfId="0" applyFill="1"/>
    <xf numFmtId="0" fontId="2" fillId="70" borderId="0" xfId="0" applyFont="1" applyFill="1"/>
    <xf numFmtId="2" fontId="2" fillId="70" borderId="0" xfId="0" applyNumberFormat="1" applyFont="1" applyFill="1" applyAlignment="1">
      <alignment horizontal="left" vertical="center"/>
    </xf>
    <xf numFmtId="11" fontId="2" fillId="70" borderId="0" xfId="0" applyNumberFormat="1" applyFont="1" applyFill="1" applyAlignment="1">
      <alignment horizontal="left" vertical="center"/>
    </xf>
    <xf numFmtId="166" fontId="2" fillId="70" borderId="0" xfId="0" applyNumberFormat="1" applyFont="1" applyFill="1"/>
    <xf numFmtId="0" fontId="12" fillId="68" borderId="0" xfId="0" applyFont="1" applyFill="1" applyAlignment="1">
      <alignment horizontal="left"/>
    </xf>
    <xf numFmtId="0" fontId="12" fillId="68" borderId="0" xfId="0" applyFont="1" applyFill="1"/>
    <xf numFmtId="0" fontId="11" fillId="68" borderId="0" xfId="0" applyFont="1" applyFill="1"/>
    <xf numFmtId="166" fontId="11" fillId="68" borderId="0" xfId="0" applyNumberFormat="1" applyFont="1" applyFill="1"/>
    <xf numFmtId="0" fontId="10" fillId="68" borderId="0" xfId="0" applyFont="1" applyFill="1"/>
    <xf numFmtId="0" fontId="0" fillId="70" borderId="0" xfId="0" applyFill="1" applyAlignment="1">
      <alignment horizontal="left" vertical="top"/>
    </xf>
    <xf numFmtId="166" fontId="2" fillId="70" borderId="0" xfId="0" applyNumberFormat="1" applyFont="1" applyFill="1" applyAlignment="1">
      <alignment horizontal="left" vertical="center"/>
    </xf>
    <xf numFmtId="166" fontId="0" fillId="70" borderId="0" xfId="0" applyNumberFormat="1" applyFill="1" applyAlignment="1">
      <alignment horizontal="center" vertical="center" wrapText="1"/>
    </xf>
    <xf numFmtId="166" fontId="0" fillId="70" borderId="0" xfId="0" applyNumberFormat="1" applyFill="1"/>
    <xf numFmtId="0" fontId="12" fillId="70" borderId="0" xfId="0" applyFont="1" applyFill="1"/>
    <xf numFmtId="0" fontId="9" fillId="70" borderId="0" xfId="0" applyFont="1" applyFill="1"/>
    <xf numFmtId="166" fontId="12" fillId="70" borderId="0" xfId="0" applyNumberFormat="1" applyFont="1" applyFill="1"/>
    <xf numFmtId="0" fontId="9" fillId="69" borderId="0" xfId="0" applyFont="1" applyFill="1" applyAlignment="1">
      <alignment horizontal="center" vertical="center" wrapText="1"/>
    </xf>
    <xf numFmtId="2" fontId="0" fillId="0" borderId="0" xfId="0" applyNumberFormat="1" applyAlignment="1">
      <alignment horizontal="right" vertical="top"/>
    </xf>
    <xf numFmtId="164" fontId="98" fillId="0" borderId="0" xfId="0" applyNumberFormat="1" applyFont="1"/>
    <xf numFmtId="0" fontId="98" fillId="0" borderId="0" xfId="0" applyFont="1"/>
    <xf numFmtId="2" fontId="98" fillId="0" borderId="0" xfId="0" applyNumberFormat="1" applyFont="1"/>
    <xf numFmtId="11" fontId="98" fillId="0" borderId="573" xfId="0" applyNumberFormat="1" applyFont="1" applyBorder="1" applyAlignment="1">
      <alignment horizontal="right"/>
    </xf>
    <xf numFmtId="166" fontId="98" fillId="0" borderId="573" xfId="0" applyNumberFormat="1" applyFont="1" applyBorder="1"/>
    <xf numFmtId="169" fontId="98" fillId="0" borderId="573" xfId="0" applyNumberFormat="1" applyFont="1" applyBorder="1"/>
    <xf numFmtId="2" fontId="98" fillId="0" borderId="573" xfId="0" applyNumberFormat="1" applyFont="1" applyBorder="1"/>
    <xf numFmtId="0" fontId="98" fillId="0" borderId="573" xfId="0" applyFont="1" applyBorder="1"/>
    <xf numFmtId="11" fontId="98" fillId="0" borderId="573" xfId="0" applyNumberFormat="1" applyFont="1" applyBorder="1"/>
    <xf numFmtId="11" fontId="98" fillId="0" borderId="0" xfId="0" applyNumberFormat="1" applyFont="1" applyAlignment="1">
      <alignment horizontal="right"/>
    </xf>
    <xf numFmtId="166" fontId="98" fillId="0" borderId="0" xfId="0" applyNumberFormat="1" applyFont="1"/>
    <xf numFmtId="169" fontId="98" fillId="0" borderId="0" xfId="0" applyNumberFormat="1" applyFont="1"/>
    <xf numFmtId="11" fontId="98" fillId="0" borderId="0" xfId="0" applyNumberFormat="1" applyFont="1"/>
    <xf numFmtId="2" fontId="99" fillId="0" borderId="0" xfId="0" applyNumberFormat="1" applyFont="1" applyAlignment="1">
      <alignment horizontal="right"/>
    </xf>
    <xf numFmtId="164" fontId="99" fillId="0" borderId="0" xfId="0" applyNumberFormat="1" applyFont="1"/>
    <xf numFmtId="11" fontId="99" fillId="0" borderId="0" xfId="0" applyNumberFormat="1" applyFont="1"/>
    <xf numFmtId="2" fontId="99" fillId="0" borderId="0" xfId="0" applyNumberFormat="1" applyFont="1"/>
    <xf numFmtId="11" fontId="82" fillId="0" borderId="0" xfId="0" applyNumberFormat="1" applyFont="1"/>
    <xf numFmtId="164" fontId="15" fillId="64" borderId="0" xfId="0" applyNumberFormat="1" applyFont="1" applyFill="1"/>
    <xf numFmtId="11" fontId="15" fillId="64" borderId="0" xfId="0" applyNumberFormat="1" applyFont="1" applyFill="1"/>
    <xf numFmtId="11" fontId="15" fillId="0" borderId="0" xfId="0" applyNumberFormat="1" applyFont="1" applyAlignment="1">
      <alignment horizontal="right" vertical="center"/>
    </xf>
    <xf numFmtId="164" fontId="8" fillId="0" borderId="574" xfId="0" applyNumberFormat="1" applyFont="1" applyBorder="1"/>
    <xf numFmtId="164" fontId="0" fillId="0" borderId="574" xfId="0" applyNumberFormat="1" applyBorder="1"/>
    <xf numFmtId="0" fontId="0" fillId="0" borderId="574" xfId="0" applyBorder="1"/>
    <xf numFmtId="0" fontId="9" fillId="0" borderId="574" xfId="0" applyFont="1" applyBorder="1"/>
    <xf numFmtId="170" fontId="0" fillId="0" borderId="574" xfId="0" applyNumberFormat="1" applyBorder="1"/>
    <xf numFmtId="170" fontId="8" fillId="4" borderId="5" xfId="0" applyNumberFormat="1" applyFont="1" applyFill="1" applyBorder="1"/>
    <xf numFmtId="2" fontId="0" fillId="0" borderId="574" xfId="0" applyNumberFormat="1" applyBorder="1"/>
    <xf numFmtId="164" fontId="8" fillId="64" borderId="574" xfId="0" applyNumberFormat="1" applyFont="1" applyFill="1" applyBorder="1"/>
    <xf numFmtId="164" fontId="8" fillId="64" borderId="0" xfId="0" applyNumberFormat="1" applyFont="1" applyFill="1"/>
    <xf numFmtId="166" fontId="8" fillId="0" borderId="0" xfId="0" applyNumberFormat="1" applyFont="1" applyAlignment="1">
      <alignment horizontal="right" vertical="center"/>
    </xf>
    <xf numFmtId="11" fontId="13" fillId="0" borderId="0" xfId="0" applyNumberFormat="1" applyFont="1" applyAlignment="1">
      <alignment horizontal="right"/>
    </xf>
    <xf numFmtId="11" fontId="88" fillId="0" borderId="0" xfId="0" applyNumberFormat="1" applyFont="1"/>
    <xf numFmtId="2" fontId="8" fillId="0" borderId="0" xfId="0" applyNumberFormat="1" applyFont="1" applyAlignment="1">
      <alignment vertical="center"/>
    </xf>
  </cellXfs>
  <cellStyles count="31427">
    <cellStyle name="???????????" xfId="39" xr:uid="{8E55C96E-B6C4-42C7-8A77-1D222F139B87}"/>
    <cellStyle name="20 % - Akzent1" xfId="50" hidden="1" xr:uid="{4CF27CCE-BDB1-477C-8444-DAF4AD78D0BB}"/>
    <cellStyle name="20 % - Akzent1" xfId="897" hidden="1" xr:uid="{742B2FB3-88C1-440E-ABD5-31D2E15EAE69}"/>
    <cellStyle name="20 % - Akzent1" xfId="971" hidden="1" xr:uid="{F6C29430-E793-433B-93A3-40C478BD78FF}"/>
    <cellStyle name="20 % - Akzent1" xfId="1391" hidden="1" xr:uid="{5DB6C647-25B7-45F3-AB4B-1D3708E37156}"/>
    <cellStyle name="20 % - Akzent1" xfId="1530" hidden="1" xr:uid="{3774188B-D62F-4FD9-A5D8-637A54084CBD}"/>
    <cellStyle name="20 % - Akzent1" xfId="1874" hidden="1" xr:uid="{81367C3D-234E-4B04-A0A1-F2099FC5BCD1}"/>
    <cellStyle name="20 % - Akzent1" xfId="2163" hidden="1" xr:uid="{E46668C1-F0F5-412C-A935-95F76AA1F10A}"/>
    <cellStyle name="20 % - Akzent1" xfId="1978" hidden="1" xr:uid="{2789AF9E-E4A4-49CE-948B-DFE8FD723D79}"/>
    <cellStyle name="20 % - Akzent1" xfId="2176" hidden="1" xr:uid="{E0D63762-08D4-4E1C-81B2-9FFCB93F01DD}"/>
    <cellStyle name="20 % - Akzent1" xfId="3093" hidden="1" xr:uid="{62D216E4-A557-48AD-A453-EC223B299695}"/>
    <cellStyle name="20 % - Akzent1" xfId="2126" hidden="1" xr:uid="{20A60424-6A70-4542-AD38-0F417B62CB69}"/>
    <cellStyle name="20 % - Akzent1" xfId="1925" hidden="1" xr:uid="{E1525C48-9F8C-488E-A05D-5F10E7C22672}"/>
    <cellStyle name="20 % - Akzent1" xfId="3408" hidden="1" xr:uid="{0A154AFE-DD21-4F47-A5C2-B92EA7EB3DD3}"/>
    <cellStyle name="20 % - Akzent1" xfId="3053" hidden="1" xr:uid="{D15594E5-71B7-4754-91A1-47DE062F54E8}"/>
    <cellStyle name="20 % - Akzent1" xfId="3680" hidden="1" xr:uid="{A113AB9C-867D-4091-B81B-7663EA513AEA}"/>
    <cellStyle name="20 % - Akzent1" xfId="3281" hidden="1" xr:uid="{3B27D3C3-3124-4446-8ECA-02E0C0E74D9C}"/>
    <cellStyle name="20 % - Akzent1" xfId="3823" hidden="1" xr:uid="{A0F5F1FD-9188-4AD8-9605-88D382928AA5}"/>
    <cellStyle name="20 % - Akzent1" xfId="4261" hidden="1" xr:uid="{BD0E42BE-AF47-4AC7-A3C1-BDE4117C0680}"/>
    <cellStyle name="20 % - Akzent1" xfId="4960" hidden="1" xr:uid="{57524E07-300A-4F20-8EF0-4FFCB581EB8E}"/>
    <cellStyle name="20 % - Akzent1" xfId="4955" hidden="1" xr:uid="{B7487F9C-3318-4189-A2C4-F8C7C30BF615}"/>
    <cellStyle name="20 % - Akzent1" xfId="5151" hidden="1" xr:uid="{866CB7DA-B0F1-42BE-9FCB-F95151BD6A44}"/>
    <cellStyle name="20 % - Akzent1" xfId="4770" hidden="1" xr:uid="{B7342BA6-5953-4143-A0A2-AE2277A8923B}"/>
    <cellStyle name="20 % - Akzent1" xfId="4451" hidden="1" xr:uid="{5617DD95-A4E0-4D1A-BA65-B61D8A89D058}"/>
    <cellStyle name="20 % - Akzent1" xfId="5097" hidden="1" xr:uid="{44EB42CF-6503-49B3-AA26-052EC5839483}"/>
    <cellStyle name="20 % - Akzent1" xfId="5098" hidden="1" xr:uid="{EB39DFE1-8D35-41FC-B58C-1BBB615B73E0}"/>
    <cellStyle name="20 % - Akzent1" xfId="3512" hidden="1" xr:uid="{D0BC5130-C255-4A41-BB3E-83B952557AFF}"/>
    <cellStyle name="20 % - Akzent1" xfId="3010" hidden="1" xr:uid="{5430284A-C1A5-4BE2-9737-574D819E5C8D}"/>
    <cellStyle name="20 % - Akzent1" xfId="5944" hidden="1" xr:uid="{C0403B0E-4C0B-4855-86A4-21B7782B4A76}"/>
    <cellStyle name="20 % - Akzent1" xfId="5014" hidden="1" xr:uid="{D3A7AA7C-2347-4652-86F2-82E971351A1D}"/>
    <cellStyle name="20 % - Akzent1" xfId="6544" hidden="1" xr:uid="{80406ADC-2C13-4D92-B4E1-FC9F4A126D64}"/>
    <cellStyle name="20 % - Akzent1" xfId="5986" hidden="1" xr:uid="{7B75C491-8BA5-4214-A7DD-9634DF13EE3E}"/>
    <cellStyle name="20 % - Akzent1" xfId="6479" hidden="1" xr:uid="{2DF0F4E6-5E3A-41F3-9FA2-3E8615DF59A1}"/>
    <cellStyle name="20 % - Akzent1" xfId="6595" hidden="1" xr:uid="{03C3DDFF-8B36-48F6-858D-84B9AC2CE15E}"/>
    <cellStyle name="20 % - Akzent1" xfId="6064" hidden="1" xr:uid="{012A4FF4-027E-4905-BCD5-3919A38AC480}"/>
    <cellStyle name="20 % - Akzent1" xfId="5829" hidden="1" xr:uid="{91BB4F5F-25A2-42E1-9180-AB480781F400}"/>
    <cellStyle name="20 % - Akzent1" xfId="3154" hidden="1" xr:uid="{A7A0B666-7462-4D0A-B644-4FEC81EFE244}"/>
    <cellStyle name="20 % - Akzent1" xfId="6105" hidden="1" xr:uid="{ADD4B12B-C9D0-411E-8F03-00B1C4419895}"/>
    <cellStyle name="20 % - Akzent1" xfId="6788" hidden="1" xr:uid="{35A405E3-DE8E-4A8D-B239-5E6D0A563EC1}"/>
    <cellStyle name="20 % - Akzent1" xfId="7069" hidden="1" xr:uid="{7048FF46-9641-44ED-88C5-BE157D52AC80}"/>
    <cellStyle name="20 % - Akzent1" xfId="6889" hidden="1" xr:uid="{1AAAE2C1-1A04-4910-927B-7F695EB58E90}"/>
    <cellStyle name="20 % - Akzent1" xfId="7150" hidden="1" xr:uid="{F94E136C-07B9-4EDD-BA7E-CBFBE74113F7}"/>
    <cellStyle name="20 % - Akzent1" xfId="7046" hidden="1" xr:uid="{7FB38AE0-C40E-40A4-8B9D-265A5FAF6B42}"/>
    <cellStyle name="20 % - Akzent1" xfId="7624" hidden="1" xr:uid="{4202CC69-AD01-4922-B95C-37C67D7C5E88}"/>
    <cellStyle name="20 % - Akzent1" xfId="7995" hidden="1" xr:uid="{33FD2A00-640B-4F15-943B-33A26A730D35}"/>
    <cellStyle name="20 % - Akzent1" xfId="8235" hidden="1" xr:uid="{B261EC75-9CB0-4DA8-A295-DEE3E09D2B51}"/>
    <cellStyle name="20 % - Akzent1" xfId="7896" hidden="1" xr:uid="{FA375DF9-5A5F-4DB3-A31D-823CF2A1A3FD}"/>
    <cellStyle name="20 % - Akzent1" xfId="8141" hidden="1" xr:uid="{32B7ED8D-BD49-4B47-AF21-1C9EA6DE03F3}"/>
    <cellStyle name="20 % - Akzent1" xfId="7390" hidden="1" xr:uid="{2CA79D46-C98A-4896-A71C-1827E13F5F16}"/>
    <cellStyle name="20 % - Akzent1" xfId="6745" hidden="1" xr:uid="{BE46B98F-55CE-4A64-8948-19EE5611623E}"/>
    <cellStyle name="20 % - Akzent1" xfId="8191" hidden="1" xr:uid="{730FDA01-345D-4560-B8D8-BF99D8D7CA86}"/>
    <cellStyle name="20 % - Akzent1" xfId="8100" hidden="1" xr:uid="{BC4F9349-021B-4F5C-AFF3-05F8881859EC}"/>
    <cellStyle name="20 % - Akzent1" xfId="7623" hidden="1" xr:uid="{1A17BC72-E09E-44A0-A4C5-47C94B9841FB}"/>
    <cellStyle name="20 % - Akzent1" xfId="7794" hidden="1" xr:uid="{A558B9AB-DDED-4CCA-9E73-81F88A094B5E}"/>
    <cellStyle name="20 % - Akzent1" xfId="8437" hidden="1" xr:uid="{DD0185EF-1F96-4882-9DC8-CB74B117A3BC}"/>
    <cellStyle name="20 % - Akzent1" xfId="8278" hidden="1" xr:uid="{54C39DCD-5D91-427A-AA8E-379A2DCDB345}"/>
    <cellStyle name="20 % - Akzent1" xfId="7948" hidden="1" xr:uid="{EB678377-9A22-47CC-821D-4B7CB7CCCB12}"/>
    <cellStyle name="20 % - Akzent1" xfId="8656" hidden="1" xr:uid="{84D21851-D65A-46D8-A7C8-E808C363C1C5}"/>
    <cellStyle name="20 % - Akzent1" xfId="7098" hidden="1" xr:uid="{AA0ABC9D-5E6B-439F-A66A-47B284B34FE0}"/>
    <cellStyle name="20 % - Akzent1" xfId="8088" hidden="1" xr:uid="{2FD62724-DCE0-43D0-950F-2F4C10F3BCC3}"/>
    <cellStyle name="20 % - Akzent1" xfId="8721" hidden="1" xr:uid="{C68ADB80-5187-40C0-A964-E20683175CA7}"/>
    <cellStyle name="20 % - Akzent1" xfId="9000" hidden="1" xr:uid="{E53252AA-55DD-4A20-8840-F3EDDEE36B83}"/>
    <cellStyle name="20 % - Akzent1" xfId="9282" hidden="1" xr:uid="{86E544E0-8B63-4B2A-AEDF-D1AE62D42CB3}"/>
    <cellStyle name="20 % - Akzent1" xfId="9103" hidden="1" xr:uid="{66F34DE4-C1FF-425A-9280-B09D5FEC776E}"/>
    <cellStyle name="20 % - Akzent1" xfId="9365" hidden="1" xr:uid="{CD02959C-01CE-4357-A6FE-CED61F317E6C}"/>
    <cellStyle name="20 % - Akzent1" xfId="9259" hidden="1" xr:uid="{0AA4DCB4-3F5B-43EE-8B61-FFAC3E52E2FD}"/>
    <cellStyle name="20 % - Akzent1" xfId="10505" hidden="1" xr:uid="{983437BD-2DC7-4FE4-9A77-043B32B2AC34}"/>
    <cellStyle name="20 % - Akzent1" xfId="9377" hidden="1" xr:uid="{761831AE-F897-4B58-A645-50DC6B33551B}"/>
    <cellStyle name="20 % - Akzent1" xfId="10073" hidden="1" xr:uid="{BF5F0A3B-1C69-4DE8-9D31-D7B868BD2A5B}"/>
    <cellStyle name="20 % - Akzent1" xfId="10325" hidden="1" xr:uid="{919D563E-32FA-4048-9E82-D92DE9E68765}"/>
    <cellStyle name="20 % - Akzent1" xfId="11065" hidden="1" xr:uid="{5B326178-8D46-49FD-AF34-361F2E60A94F}"/>
    <cellStyle name="20 % - Akzent1" xfId="10812" hidden="1" xr:uid="{9CDB06C7-9F3F-4367-86D0-2893B68D8EDE}"/>
    <cellStyle name="20 % - Akzent1" xfId="11058" hidden="1" xr:uid="{94E4CC56-9920-48C7-BC62-19A78D97B79A}"/>
    <cellStyle name="20 % - Akzent1" xfId="10319" hidden="1" xr:uid="{032810BB-F021-47B9-85A0-304F55619E69}"/>
    <cellStyle name="20 % - Akzent1" xfId="10566" hidden="1" xr:uid="{6FA4F72E-BF29-4746-A89F-085FCC002E59}"/>
    <cellStyle name="20 % - Akzent1" xfId="10450" hidden="1" xr:uid="{3E139D29-CFE4-46FF-8304-F68E66FC8912}"/>
    <cellStyle name="20 % - Akzent1" xfId="11406" hidden="1" xr:uid="{C3CDAFC2-F8F9-4893-A532-C59F8C87A486}"/>
    <cellStyle name="20 % - Akzent1" xfId="11696" hidden="1" xr:uid="{DE01DDD1-D09B-4DDA-B69D-822838EE59F0}"/>
    <cellStyle name="20 % - Akzent1" xfId="11798" hidden="1" xr:uid="{6BE3A272-5FD1-4EDF-9CA3-AA8354517F7B}"/>
    <cellStyle name="20 % - Akzent1" xfId="12765" hidden="1" xr:uid="{FECAF590-6E89-423A-8A9C-36906A2C6DC7}"/>
    <cellStyle name="20 % - Akzent1" xfId="12521" hidden="1" xr:uid="{9C224904-6D53-4590-A290-B03E6923E449}"/>
    <cellStyle name="20 % - Akzent1" xfId="11558" hidden="1" xr:uid="{4A843904-1434-45EA-8C15-D46921DAB4F0}"/>
    <cellStyle name="20 % - Akzent1" xfId="11354" hidden="1" xr:uid="{26AFBB35-4E61-4A6E-8E6B-F496CF9D64D7}"/>
    <cellStyle name="20 % - Akzent1" xfId="13925" hidden="1" xr:uid="{37606705-084E-420B-9643-35F35A0D0467}"/>
    <cellStyle name="20 % - Akzent1" xfId="14175" hidden="1" xr:uid="{A0895750-4A85-469D-972B-81BCC6A57A32}"/>
    <cellStyle name="20 % - Akzent1" xfId="14271" hidden="1" xr:uid="{7DAA5286-D5C8-44F8-B855-DB0719D1DD16}"/>
    <cellStyle name="20 % - Akzent1" xfId="14032" hidden="1" xr:uid="{061DAE2B-7A02-444F-B82A-790A0E1C8557}"/>
    <cellStyle name="20 % - Akzent1" xfId="14770" hidden="1" xr:uid="{00CD6EB9-D00F-4D6A-A1C4-AA580FDF1C34}"/>
    <cellStyle name="20 % - Akzent1" xfId="14831" hidden="1" xr:uid="{C1A7FD99-684C-430D-B4D9-99EC483BC645}"/>
    <cellStyle name="20 % - Akzent1" xfId="15129" hidden="1" xr:uid="{12232FBA-F79D-4C2D-8AD6-E68D29107E33}"/>
    <cellStyle name="20 % - Akzent1" xfId="13810" hidden="1" xr:uid="{3CB6CA4A-9FEF-4A63-8085-D9F8F0A74CAA}"/>
    <cellStyle name="20 % - Akzent1" xfId="14740" hidden="1" xr:uid="{4AE21637-4C15-4AD3-B4A8-DA6C3D4EC29A}"/>
    <cellStyle name="20 % - Akzent1" xfId="15048" hidden="1" xr:uid="{4B4F0581-E9E7-45EC-A5DB-72C27384F788}"/>
    <cellStyle name="20 % - Akzent1" xfId="15114" hidden="1" xr:uid="{15EF122C-1A47-4CCB-864B-C7B361E6D757}"/>
    <cellStyle name="20 % - Akzent1" xfId="14338" hidden="1" xr:uid="{6716AA84-34B0-4186-AE30-74DB0418BF02}"/>
    <cellStyle name="20 % - Akzent1" xfId="15420" hidden="1" xr:uid="{8C88CC9F-2C8F-4BEB-B122-892BDF216597}"/>
    <cellStyle name="20 % - Akzent1" xfId="15544" hidden="1" xr:uid="{1DCE00A7-B761-4E56-8B7D-FFD8A0A61F7D}"/>
    <cellStyle name="20 % - Akzent1" xfId="14757" hidden="1" xr:uid="{C283EAC4-B15B-486A-8644-74588A9D2F9D}"/>
    <cellStyle name="20 % - Akzent1" xfId="15921" hidden="1" xr:uid="{348C3954-4046-4A3B-AD42-F73D20033E13}"/>
    <cellStyle name="20 % - Akzent1" xfId="15737" hidden="1" xr:uid="{CF102E2C-730D-4A39-9CF9-7BE37068846E}"/>
    <cellStyle name="20 % - Akzent1" xfId="16032" hidden="1" xr:uid="{4C837CDB-73B6-4396-96FC-87F80E4EF5D0}"/>
    <cellStyle name="20 % - Akzent1" xfId="16097" hidden="1" xr:uid="{20EB7F56-2387-4D3B-A09B-F4D275A47BB5}"/>
    <cellStyle name="20 % - Akzent1" xfId="16391" hidden="1" xr:uid="{B21C92D7-592E-430C-921A-E758A8B328D5}"/>
    <cellStyle name="20 % - Akzent1" xfId="16205" hidden="1" xr:uid="{9701A089-638D-4CD1-AA2E-7DB0F4D0D207}"/>
    <cellStyle name="20 % - Akzent1" xfId="16471" hidden="1" xr:uid="{377180E7-3CBA-4846-A5D1-3F009E095050}"/>
    <cellStyle name="20 % - Akzent1" xfId="16368" hidden="1" xr:uid="{835146FC-210C-4097-AAA0-6721459244FD}"/>
    <cellStyle name="20 % - Akzent1" xfId="17654" hidden="1" xr:uid="{DFB9C302-700F-4632-B5A7-EE89E11BE43D}"/>
    <cellStyle name="20 % - Akzent1" xfId="16144" hidden="1" xr:uid="{ADF73FF1-D043-4887-ABE6-82ACA8C8DFC8}"/>
    <cellStyle name="20 % - Akzent1" xfId="17579" hidden="1" xr:uid="{27D4641F-6E46-4495-8C5E-D9CC0331A731}"/>
    <cellStyle name="20 % - Akzent1" xfId="17530" hidden="1" xr:uid="{D31EDBAF-E717-4281-A616-237FD3BE98B0}"/>
    <cellStyle name="20 % - Akzent1" xfId="17922" hidden="1" xr:uid="{BE2390E7-C1F2-48F4-94D1-E1504B51F32D}"/>
    <cellStyle name="20 % - Akzent1" xfId="17916" hidden="1" xr:uid="{6737D948-6FB9-47CD-A3A9-7C9ABB138AF3}"/>
    <cellStyle name="20 % - Akzent1" xfId="18369" hidden="1" xr:uid="{C44FBA2A-375C-4B2B-8298-C320190B9089}"/>
    <cellStyle name="20 % - Akzent1" xfId="17907" hidden="1" xr:uid="{BB3AC98F-4E51-417A-A8C1-5DEB190EA0A5}"/>
    <cellStyle name="20 % - Akzent1" xfId="17102" hidden="1" xr:uid="{86A35A44-CA31-4DF6-BC7C-A6363B9E9301}"/>
    <cellStyle name="20 % - Akzent1" xfId="18059" hidden="1" xr:uid="{8A0C5695-81AA-4148-B020-CDD14D65B7A2}"/>
    <cellStyle name="20 % - Akzent1" xfId="17892" hidden="1" xr:uid="{78FC365D-2BAF-496C-A5FF-3D510536EDBE}"/>
    <cellStyle name="20 % - Akzent1" xfId="18006" hidden="1" xr:uid="{FB6A405F-10F9-4A77-AAD0-396116EE2B88}"/>
    <cellStyle name="20 % - Akzent1" xfId="17830" hidden="1" xr:uid="{BE16FCA4-6C56-4E9A-AB99-C1FA6CDA6D14}"/>
    <cellStyle name="20 % - Akzent1" xfId="19430" hidden="1" xr:uid="{7A7C3148-C5CD-47FB-A287-4CDACE615474}"/>
    <cellStyle name="20 % - Akzent1" xfId="19725" hidden="1" xr:uid="{E7B72257-8690-49E2-8FB6-51FABFFFC212}"/>
    <cellStyle name="20 % - Akzent1" xfId="19538" hidden="1" xr:uid="{992F856F-BAAF-420E-89D4-87FF55C47445}"/>
    <cellStyle name="20 % - Akzent1" xfId="20742" hidden="1" xr:uid="{C609D457-FDDC-496D-855F-19E54EBF6B03}"/>
    <cellStyle name="20 % - Akzent1" xfId="20368" hidden="1" xr:uid="{B42364ED-404C-4258-95A1-9E7C3C3D6D53}"/>
    <cellStyle name="20 % - Akzent1" xfId="21014" hidden="1" xr:uid="{3489BE70-2481-491A-9D56-985421092BDF}"/>
    <cellStyle name="20 % - Akzent1" xfId="20440" hidden="1" xr:uid="{1FD61E86-4899-4F3E-9E1F-DFD9841FC2A1}"/>
    <cellStyle name="20 % - Akzent1" xfId="21253" hidden="1" xr:uid="{79B597AE-1793-4FEC-A33D-A6EB9AA9C663}"/>
    <cellStyle name="20 % - Akzent1" xfId="20561" hidden="1" xr:uid="{FF3FDCDD-D307-4DCE-8444-2CDC0AB06397}"/>
    <cellStyle name="20 % - Akzent1" xfId="20331" hidden="1" xr:uid="{A03C4A1F-1EBC-4640-9EC7-92196ABA3E00}"/>
    <cellStyle name="20 % - Akzent1" xfId="21186" hidden="1" xr:uid="{87652C3C-B04D-40DF-9489-54FA42919C4F}"/>
    <cellStyle name="20 % - Akzent1" xfId="21945" hidden="1" xr:uid="{1F8087F8-3E22-47BD-80DA-39E549E12A28}"/>
    <cellStyle name="20 % - Akzent1" xfId="21463" hidden="1" xr:uid="{3DDFB5B8-9098-4609-9AA5-7FBC6A24E514}"/>
    <cellStyle name="20 % - Akzent1" xfId="22237" hidden="1" xr:uid="{F168C02B-7BCE-421A-8B5C-2FE87FE4D542}"/>
    <cellStyle name="20 % - Akzent1" xfId="22359" hidden="1" xr:uid="{67199E39-DC54-4E63-B1B9-DD2D21788026}"/>
    <cellStyle name="20 % - Akzent1" xfId="22452" hidden="1" xr:uid="{D3E344E5-09C2-4A78-B448-7316A0D4BF24}"/>
    <cellStyle name="20 % - Akzent1" xfId="22612" hidden="1" xr:uid="{9952A307-4F8E-4115-AB99-1592143C58BB}"/>
    <cellStyle name="20 % - Akzent1" xfId="22168" hidden="1" xr:uid="{22F3BED8-481F-4CFE-8DA3-204E588AA755}"/>
    <cellStyle name="20 % - Akzent1" xfId="21799" hidden="1" xr:uid="{AF223D29-ADCE-43FF-B2B9-3C21D81B1687}"/>
    <cellStyle name="20 % - Akzent1" xfId="21731" hidden="1" xr:uid="{32895DAD-8B1C-4045-9B3D-D01C0FD13026}"/>
    <cellStyle name="20 % - Akzent1" xfId="22975" hidden="1" xr:uid="{FD11CCDA-F45B-43EC-B600-21011D847391}"/>
    <cellStyle name="20 % - Akzent1" xfId="23326" hidden="1" xr:uid="{30E1BD18-180F-475B-A8E6-C1E25DB25A69}"/>
    <cellStyle name="20 % - Akzent1" xfId="23448" hidden="1" xr:uid="{E1732422-43B5-4EBC-AFEE-CD664580F80E}"/>
    <cellStyle name="20 % - Akzent1" xfId="22810" hidden="1" xr:uid="{14F48D31-6114-40BE-A5EC-4FBD2BABB7F1}"/>
    <cellStyle name="20 % - Akzent1" xfId="23701" hidden="1" xr:uid="{BEB1F298-0D9A-4D3B-8F06-B0B937BB6914}"/>
    <cellStyle name="20 % - Akzent1" xfId="23384" hidden="1" xr:uid="{700BE844-3E7F-4392-A84A-A25956917EAC}"/>
    <cellStyle name="20 % - Akzent1" xfId="23580" hidden="1" xr:uid="{B6CDEABD-536C-4193-8E43-13FD56BE163B}"/>
    <cellStyle name="20 % - Akzent1" xfId="24153" hidden="1" xr:uid="{201E721B-F608-4FE5-A315-6A0E53FDFE91}"/>
    <cellStyle name="20 % - Akzent1" xfId="24414" hidden="1" xr:uid="{90CBB152-6977-4E28-A982-05122BD77599}"/>
    <cellStyle name="20 % - Akzent1" xfId="25301" hidden="1" xr:uid="{58D15408-52B2-4A39-AA86-D8C08C56BD37}"/>
    <cellStyle name="20 % - Akzent1" xfId="24113" hidden="1" xr:uid="{672AFE0D-066B-4EB9-977E-4EF03DFC21F0}"/>
    <cellStyle name="20 % - Akzent1" xfId="25390" hidden="1" xr:uid="{26585E32-1D86-48CD-A1A1-F665B1A6F461}"/>
    <cellStyle name="20 % - Akzent1" xfId="26152" hidden="1" xr:uid="{C0A7B4B9-AAE8-4E03-8443-4A771641DB33}"/>
    <cellStyle name="20 % - Akzent1" xfId="25084" hidden="1" xr:uid="{C8AE91B0-75DA-4AE0-861D-AB6B32B23DBA}"/>
    <cellStyle name="20 % - Akzent1" xfId="25189" hidden="1" xr:uid="{4D90FEE0-CB57-43AB-AF14-3BAD8EE348FD}"/>
    <cellStyle name="20 % - Akzent1" xfId="25366" hidden="1" xr:uid="{8AB71810-6150-4004-B5B6-F283DFED8BF7}"/>
    <cellStyle name="20 % - Akzent1" xfId="26370" hidden="1" xr:uid="{CFF9AC1D-DAA6-481A-A5A0-78CFAA739823}"/>
    <cellStyle name="20 % - Akzent1" xfId="26063" hidden="1" xr:uid="{D51E272E-3252-46AC-B821-BBF482BC80F3}"/>
    <cellStyle name="20 % - Akzent1" xfId="24127" hidden="1" xr:uid="{231DFE70-469C-49C4-8D72-BD5E7462324A}"/>
    <cellStyle name="20 % - Akzent1" xfId="26443" hidden="1" xr:uid="{FD76FC24-9D09-4E9B-9C1B-949EBCA18A12}"/>
    <cellStyle name="20 % - Akzent1" xfId="26406" hidden="1" xr:uid="{0E1CC277-CC9A-48EB-97FC-85EF0AB7F2EC}"/>
    <cellStyle name="20 % - Akzent1" xfId="25065" hidden="1" xr:uid="{EA36ECD7-7375-42CD-A9A5-4C17EBD01676}"/>
    <cellStyle name="20 % - Akzent1" xfId="24594" hidden="1" xr:uid="{6F6BB70A-8441-409E-905B-2790D0BFF20F}"/>
    <cellStyle name="20 % - Akzent1" xfId="27613" hidden="1" xr:uid="{519CE584-FB57-42D7-A935-6E308927F1F6}"/>
    <cellStyle name="20 % - Akzent1" xfId="27653" hidden="1" xr:uid="{6D76F650-F0CA-4559-9CE5-40D739DCD27B}"/>
    <cellStyle name="20 % - Akzent1" xfId="27609" hidden="1" xr:uid="{059DB773-82B8-4820-90F8-944CE11A1D39}"/>
    <cellStyle name="20 % - Akzent1" xfId="27854" hidden="1" xr:uid="{A525360F-D36E-45DB-AF0B-7A482B685A31}"/>
    <cellStyle name="20 % - Akzent1" xfId="27944" hidden="1" xr:uid="{0A497394-E9A8-4D0F-81CB-578C9AAEB9CF}"/>
    <cellStyle name="20 % - Akzent1" xfId="28206" hidden="1" xr:uid="{4B748670-99FB-41A2-9470-33EB94154194}"/>
    <cellStyle name="20 % - Akzent1" xfId="28296" hidden="1" xr:uid="{8794998E-31E0-4599-B777-2D108620D8B2}"/>
    <cellStyle name="20 % - Akzent1" xfId="28218" hidden="1" xr:uid="{0B404864-6899-4E41-ACE3-736E6C61BAF7}"/>
    <cellStyle name="20 % - Akzent1" xfId="29399" hidden="1" xr:uid="{895F248C-B80B-4029-8271-BCBDA724B198}"/>
    <cellStyle name="20 % - Akzent1" xfId="29508" hidden="1" xr:uid="{0631D364-5F91-4C5A-8E4E-5B4644510938}"/>
    <cellStyle name="20 % - Akzent1" xfId="29298" hidden="1" xr:uid="{11817FDA-8E4A-4D5D-BE28-16F3E0926E8B}"/>
    <cellStyle name="20 % - Akzent1" xfId="30426" hidden="1" xr:uid="{F35A4510-5D21-421C-B924-0D7E4FA79C1C}"/>
    <cellStyle name="20 % - Akzent1" xfId="30941" hidden="1" xr:uid="{6E6611BA-F217-4057-8B70-658B8BC7F1A5}"/>
    <cellStyle name="20 % - Akzent1" xfId="30967" hidden="1" xr:uid="{83752748-6731-481A-BD1D-0050705EA52B}"/>
    <cellStyle name="20 % - Akzent1 2" xfId="373" xr:uid="{F49C62F8-48F9-4014-B7E0-85FCD17B02E0}"/>
    <cellStyle name="20 % - Akzent1 3" xfId="242" xr:uid="{AF4F0FC3-D995-4C50-A4D6-5A767FDD2CD1}"/>
    <cellStyle name="20 % - Akzent2" xfId="53" hidden="1" xr:uid="{39DC5C72-D557-4819-B763-D00C7B53D0E9}"/>
    <cellStyle name="20 % - Akzent2" xfId="900" hidden="1" xr:uid="{85D3D6AF-4AC8-41A4-ABBA-C4277DB56FC7}"/>
    <cellStyle name="20 % - Akzent2" xfId="970" hidden="1" xr:uid="{5258DB7B-5FD3-4667-9C6C-76289DA0BAD0}"/>
    <cellStyle name="20 % - Akzent2" xfId="1394" hidden="1" xr:uid="{2C1AA855-D89B-4665-8062-EF2EFC1E2CC9}"/>
    <cellStyle name="20 % - Akzent2" xfId="1585" hidden="1" xr:uid="{31213AC6-C585-41AE-A20C-77A4B326340F}"/>
    <cellStyle name="20 % - Akzent2" xfId="1878" hidden="1" xr:uid="{791F9AE1-C8BB-4FDA-836B-C32C4006AAF2}"/>
    <cellStyle name="20 % - Akzent2" xfId="2137" hidden="1" xr:uid="{CDE5A949-A370-4B88-9D3F-9240C1AA743E}"/>
    <cellStyle name="20 % - Akzent2" xfId="2736" hidden="1" xr:uid="{126F4CC9-BCF9-4498-9862-768E37E3FD96}"/>
    <cellStyle name="20 % - Akzent2" xfId="3126" hidden="1" xr:uid="{55781CC2-5D24-4A31-AAE7-CA4AD116A176}"/>
    <cellStyle name="20 % - Akzent2" xfId="2973" hidden="1" xr:uid="{F53608FC-3BD7-426C-94ED-F3E507A7CF23}"/>
    <cellStyle name="20 % - Akzent2" xfId="2909" hidden="1" xr:uid="{D44E3821-B1C4-47BD-A17C-D6B7BC0E22CB}"/>
    <cellStyle name="20 % - Akzent2" xfId="2889" hidden="1" xr:uid="{25FC6897-30B8-4E56-8D5F-1EF47AB7BFD5}"/>
    <cellStyle name="20 % - Akzent2" xfId="3494" hidden="1" xr:uid="{0772F6AC-801A-4F7E-B352-BB71C382E066}"/>
    <cellStyle name="20 % - Akzent2" xfId="3265" hidden="1" xr:uid="{F49041D2-4BEF-4E31-9BE0-5C9906381E5F}"/>
    <cellStyle name="20 % - Akzent2" xfId="2728" hidden="1" xr:uid="{9ED3DD76-3623-497F-A800-C5BC30BD2084}"/>
    <cellStyle name="20 % - Akzent2" xfId="2262" hidden="1" xr:uid="{18774090-4198-4EA6-88C8-5843F08968F1}"/>
    <cellStyle name="20 % - Akzent2" xfId="3758" hidden="1" xr:uid="{820A4411-5588-40B4-B74C-1F6FE1BE4FC7}"/>
    <cellStyle name="20 % - Akzent2" xfId="3734" hidden="1" xr:uid="{ABC10DCA-47D2-426B-AA95-66010AA17214}"/>
    <cellStyle name="20 % - Akzent2" xfId="4868" hidden="1" xr:uid="{40B6B5D4-5652-4B03-BD6F-2146B61474B2}"/>
    <cellStyle name="20 % - Akzent2" xfId="4968" hidden="1" xr:uid="{95740E1F-53DD-44DA-919C-594C915C45CD}"/>
    <cellStyle name="20 % - Akzent2" xfId="5147" hidden="1" xr:uid="{A6501BC0-4355-4271-8859-E72C61C02D77}"/>
    <cellStyle name="20 % - Akzent2" xfId="5555" hidden="1" xr:uid="{790887DC-766B-49FB-B31B-7451AEE4A0A5}"/>
    <cellStyle name="20 % - Akzent2" xfId="5705" hidden="1" xr:uid="{95E28371-A122-433F-B18B-ADC98EA52E85}"/>
    <cellStyle name="20 % - Akzent2" xfId="5890" hidden="1" xr:uid="{A50557F7-714C-44C1-AA19-F211CBF8D506}"/>
    <cellStyle name="20 % - Akzent2" xfId="4973" hidden="1" xr:uid="{2155B726-7D87-4A6F-8163-91C6C32EC521}"/>
    <cellStyle name="20 % - Akzent2" xfId="5941" hidden="1" xr:uid="{1C7F6AF4-E80E-40D9-9AA9-D67381A0BCB2}"/>
    <cellStyle name="20 % - Akzent2" xfId="3814" hidden="1" xr:uid="{D10A1362-F14B-4991-B2C0-8E4DE9BD8F10}"/>
    <cellStyle name="20 % - Akzent2" xfId="6151" hidden="1" xr:uid="{6EB8C495-F1B4-45F4-80FE-555BC6E89CD9}"/>
    <cellStyle name="20 % - Akzent2" xfId="5697" hidden="1" xr:uid="{78C9EB1F-06D8-4F64-A165-15814384BF44}"/>
    <cellStyle name="20 % - Akzent2" xfId="6351" hidden="1" xr:uid="{74E619C2-71B8-448D-964A-58F93D0F8DC8}"/>
    <cellStyle name="20 % - Akzent2" xfId="5973" hidden="1" xr:uid="{A0FD10D6-4C8B-4A7E-A86E-9C48044DBD19}"/>
    <cellStyle name="20 % - Akzent2" xfId="5148" hidden="1" xr:uid="{28E358D2-ED2D-42F0-93C8-153CFABB494C}"/>
    <cellStyle name="20 % - Akzent2" xfId="6535" hidden="1" xr:uid="{D746F132-B481-4349-9C4B-7E2FB536AEF2}"/>
    <cellStyle name="20 % - Akzent2" xfId="6627" hidden="1" xr:uid="{CB7576BA-C582-48A7-96D9-6A2FF6A0BB5A}"/>
    <cellStyle name="20 % - Akzent2" xfId="6641" hidden="1" xr:uid="{3011D115-2BE0-4A65-ADFC-0B59801184EF}"/>
    <cellStyle name="20 % - Akzent2" xfId="6651" hidden="1" xr:uid="{8562170D-5E2A-4625-87BA-2A79261D0373}"/>
    <cellStyle name="20 % - Akzent2" xfId="6663" hidden="1" xr:uid="{A495E889-FCB4-4697-A985-87DDA71D215D}"/>
    <cellStyle name="20 % - Akzent2" xfId="6791" hidden="1" xr:uid="{F0B7ABE2-6F97-4189-AB63-66D4FB08FA16}"/>
    <cellStyle name="20 % - Akzent2" xfId="7067" hidden="1" xr:uid="{ABA48F6E-0860-4643-B02D-600A0D534E24}"/>
    <cellStyle name="20 % - Akzent2" xfId="7628" hidden="1" xr:uid="{7FDA4D0F-9D2A-47C6-9F7D-D735D34F5C59}"/>
    <cellStyle name="20 % - Akzent2" xfId="7658" hidden="1" xr:uid="{E1E728FC-1478-45FB-B958-D2D9AF87A450}"/>
    <cellStyle name="20 % - Akzent2" xfId="7949" hidden="1" xr:uid="{3155257B-BF3C-45CD-8DD4-8CF1D6737BE3}"/>
    <cellStyle name="20 % - Akzent2" xfId="8113" hidden="1" xr:uid="{F40EDA03-0F24-4D79-A1E8-79AD60E5D3E3}"/>
    <cellStyle name="20 % - Akzent2" xfId="8317" hidden="1" xr:uid="{1D8288E4-EBAA-4A58-A7B4-B47C48107736}"/>
    <cellStyle name="20 % - Akzent2" xfId="7812" hidden="1" xr:uid="{689870E1-6A68-4B2D-98FD-A99C751CC986}"/>
    <cellStyle name="20 % - Akzent2" xfId="7946" hidden="1" xr:uid="{5A28F5A2-4825-4C02-A4AA-B62D323CE6C3}"/>
    <cellStyle name="20 % - Akzent2" xfId="7835" hidden="1" xr:uid="{D3486CB5-1B63-4906-98D3-F8827E9B0348}"/>
    <cellStyle name="20 % - Akzent2" xfId="7859" hidden="1" xr:uid="{7556AEAD-C0F5-4A96-B2EB-2687597FD3E7}"/>
    <cellStyle name="20 % - Akzent2" xfId="8245" hidden="1" xr:uid="{5DFB29F8-70DE-4E9D-B69E-D48D5E923C85}"/>
    <cellStyle name="20 % - Akzent2" xfId="6822" hidden="1" xr:uid="{25E5DE9E-A3C4-4FF8-866C-DD718E13A754}"/>
    <cellStyle name="20 % - Akzent2" xfId="8121" hidden="1" xr:uid="{027CBEF7-C67A-4EA5-9F52-B8BF0989FB3E}"/>
    <cellStyle name="20 % - Akzent2" xfId="7931" hidden="1" xr:uid="{AE1DFA02-647A-4E42-AB37-C68991523A3C}"/>
    <cellStyle name="20 % - Akzent2" xfId="8391" hidden="1" xr:uid="{1F02873E-F462-40C7-84A3-621910754DDF}"/>
    <cellStyle name="20 % - Akzent2" xfId="8325" hidden="1" xr:uid="{28D64119-C911-419E-A9A1-FE73B43F0B67}"/>
    <cellStyle name="20 % - Akzent2" xfId="8481" hidden="1" xr:uid="{660FF25C-FA50-474E-BD5F-FF1F29B1A431}"/>
    <cellStyle name="20 % - Akzent2" xfId="7754" hidden="1" xr:uid="{A8E2F95F-7486-487D-8092-6F49BDD2E14E}"/>
    <cellStyle name="20 % - Akzent2" xfId="6787" hidden="1" xr:uid="{9D167158-0A5D-4ACE-ACF6-E18D7D541198}"/>
    <cellStyle name="20 % - Akzent2" xfId="7769" hidden="1" xr:uid="{978F4A0F-260F-4FFF-8B0B-4A16EC402199}"/>
    <cellStyle name="20 % - Akzent2" xfId="8403" hidden="1" xr:uid="{32C684A0-51F9-4259-A188-7A641F02E344}"/>
    <cellStyle name="20 % - Akzent2" xfId="8571" hidden="1" xr:uid="{AA9ED39E-A530-419F-B854-2FE8B5D46892}"/>
    <cellStyle name="20 % - Akzent2" xfId="9004" hidden="1" xr:uid="{5807A150-77D5-4FD0-A2A2-9037386408C3}"/>
    <cellStyle name="20 % - Akzent2" xfId="9280" hidden="1" xr:uid="{6807931A-6650-4788-9E8A-D28E299DFE23}"/>
    <cellStyle name="20 % - Akzent2" xfId="9838" hidden="1" xr:uid="{BED9F3E4-ABD2-450D-AB68-F6490BEA5698}"/>
    <cellStyle name="20 % - Akzent2" xfId="9869" hidden="1" xr:uid="{E5ADAD55-DF55-468C-8C02-CE96784BFF46}"/>
    <cellStyle name="20 % - Akzent2" xfId="9886" hidden="1" xr:uid="{F4C1F956-DAEB-4877-A991-C970619ACC59}"/>
    <cellStyle name="20 % - Akzent2" xfId="9256" hidden="1" xr:uid="{368FC2A7-9E24-409D-9536-FE4F357C3D5C}"/>
    <cellStyle name="20 % - Akzent2" xfId="10882" hidden="1" xr:uid="{5DD8555D-6CF0-403D-A250-2E217CDA4C1B}"/>
    <cellStyle name="20 % - Akzent2" xfId="10892" hidden="1" xr:uid="{82232495-8BB2-4EB9-A22E-F00BE528F611}"/>
    <cellStyle name="20 % - Akzent2" xfId="10089" hidden="1" xr:uid="{E3A574FE-95AF-47B0-A32B-A3149F4429CB}"/>
    <cellStyle name="20 % - Akzent2" xfId="11170" hidden="1" xr:uid="{4B9AD731-0DC9-41EA-9110-6F057577A7E2}"/>
    <cellStyle name="20 % - Akzent2" xfId="10780" hidden="1" xr:uid="{314F13A5-1726-4087-97CF-6931A827D61E}"/>
    <cellStyle name="20 % - Akzent2" xfId="11055" hidden="1" xr:uid="{C9B4D95E-AE7A-4916-976D-09DB9723B59A}"/>
    <cellStyle name="20 % - Akzent2" xfId="10398" hidden="1" xr:uid="{0D064C35-7B32-4431-8165-56A370864E6A}"/>
    <cellStyle name="20 % - Akzent2" xfId="11212" hidden="1" xr:uid="{DE94DFA7-AF6C-493D-9D86-CD03803F31C5}"/>
    <cellStyle name="20 % - Akzent2" xfId="9258" hidden="1" xr:uid="{EE3BABAF-2149-47DE-B76B-F55865FDECC5}"/>
    <cellStyle name="20 % - Akzent2" xfId="11410" hidden="1" xr:uid="{0E367D8F-372B-4C50-9C2E-78858EAFCA99}"/>
    <cellStyle name="20 % - Akzent2" xfId="11694" hidden="1" xr:uid="{3F552579-0CB4-40A0-B5A5-F453FECF78FF}"/>
    <cellStyle name="20 % - Akzent2" xfId="12255" hidden="1" xr:uid="{AFDECB40-B477-433B-B0CB-B49FAA097657}"/>
    <cellStyle name="20 % - Akzent2" xfId="11495" hidden="1" xr:uid="{3D017B2B-55C1-4542-8033-E6279CD180C7}"/>
    <cellStyle name="20 % - Akzent2" xfId="12267" hidden="1" xr:uid="{7B2F5AB0-5854-4F9C-A4B0-562115D91C8C}"/>
    <cellStyle name="20 % - Akzent2" xfId="11724" hidden="1" xr:uid="{8D9806CB-4614-44D6-8EF9-0A0D4EDD7DCF}"/>
    <cellStyle name="20 % - Akzent2" xfId="13957" hidden="1" xr:uid="{6E73FB6A-0557-467B-9B85-58683E16B792}"/>
    <cellStyle name="20 % - Akzent2" xfId="13807" hidden="1" xr:uid="{30A6D6EF-9F6B-4B8E-8FEA-BFADA9EB60AA}"/>
    <cellStyle name="20 % - Akzent2" xfId="14436" hidden="1" xr:uid="{6463CBB8-D386-4EA1-B26A-28FD70457595}"/>
    <cellStyle name="20 % - Akzent2" xfId="14170" hidden="1" xr:uid="{3CA643D6-837D-4883-BA69-2D1F56BCB12D}"/>
    <cellStyle name="20 % - Akzent2" xfId="14162" hidden="1" xr:uid="{BDCF76F2-0918-4C45-8E15-1DE798E08C2A}"/>
    <cellStyle name="20 % - Akzent2" xfId="14214" hidden="1" xr:uid="{2C39E633-A1DC-465D-9BF1-38B46F5F788F}"/>
    <cellStyle name="20 % - Akzent2" xfId="14672" hidden="1" xr:uid="{B2FA0079-386F-48B0-A809-870BCB298982}"/>
    <cellStyle name="20 % - Akzent2" xfId="14971" hidden="1" xr:uid="{BE034AE8-57C7-4AFD-95FF-1E07FB3C8712}"/>
    <cellStyle name="20 % - Akzent2" xfId="14186" hidden="1" xr:uid="{DFF22D0C-F637-4DFF-8116-D6AAEE74FBFA}"/>
    <cellStyle name="20 % - Akzent2" xfId="14517" hidden="1" xr:uid="{0EF5CE03-1D4D-4994-94DC-105C6B955A82}"/>
    <cellStyle name="20 % - Akzent2" xfId="12332" hidden="1" xr:uid="{B43611E1-85A7-426C-ACEC-7FCB780B385F}"/>
    <cellStyle name="20 % - Akzent2" xfId="14941" hidden="1" xr:uid="{2BA247E2-1767-48C3-952B-F5385AAE2FAC}"/>
    <cellStyle name="20 % - Akzent2" xfId="15529" hidden="1" xr:uid="{114FD9D5-3D94-474C-899E-07132230C14E}"/>
    <cellStyle name="20 % - Akzent2" xfId="14827" hidden="1" xr:uid="{BA97046B-422E-42CA-B3A0-A69A4DD77E0E}"/>
    <cellStyle name="20 % - Akzent2" xfId="15127" hidden="1" xr:uid="{F5DC9E84-011F-4304-AB54-413545F29DB7}"/>
    <cellStyle name="20 % - Akzent2" xfId="14917" hidden="1" xr:uid="{9001D5F4-DCDA-4CDD-8761-A349A4A6D979}"/>
    <cellStyle name="20 % - Akzent2" xfId="15754" hidden="1" xr:uid="{96EEB4EF-3BF8-40A7-90D6-70E41B330E6A}"/>
    <cellStyle name="20 % - Akzent2" xfId="15828" hidden="1" xr:uid="{D91037B2-CA36-4E9D-A66D-B9EB2E61F5E4}"/>
    <cellStyle name="20 % - Akzent2" xfId="15691" hidden="1" xr:uid="{4DEDF318-F1A2-431B-AC82-B2B98A67359B}"/>
    <cellStyle name="20 % - Akzent2" xfId="16101" hidden="1" xr:uid="{F5EC6C5A-2CEF-4370-87D6-FF8DCEC6F3DC}"/>
    <cellStyle name="20 % - Akzent2" xfId="16389" hidden="1" xr:uid="{51267E0A-F635-4731-B43E-E42242BF972A}"/>
    <cellStyle name="20 % - Akzent2" xfId="16953" hidden="1" xr:uid="{CED624B7-7345-4568-96D5-81F2EA84BFD0}"/>
    <cellStyle name="20 % - Akzent2" xfId="16984" hidden="1" xr:uid="{0325B303-C21C-401F-9E7E-5B91C7F8A7B3}"/>
    <cellStyle name="20 % - Akzent2" xfId="17283" hidden="1" xr:uid="{B31D94ED-A35D-4A34-8F1B-EB3D4DA3DB06}"/>
    <cellStyle name="20 % - Akzent2" xfId="16366" hidden="1" xr:uid="{B5DE9E45-EDF4-4719-AFFA-38419F670AB7}"/>
    <cellStyle name="20 % - Akzent2" xfId="16555" hidden="1" xr:uid="{980AB5A5-AE75-4103-B6AC-69103AA8AC58}"/>
    <cellStyle name="20 % - Akzent2" xfId="18194" hidden="1" xr:uid="{CBDF61C2-79A2-405F-B549-F50BE9BB0780}"/>
    <cellStyle name="20 % - Akzent2" xfId="17921" hidden="1" xr:uid="{60534E41-9767-4D22-A3FA-A7064E2D680C}"/>
    <cellStyle name="20 % - Akzent2" xfId="18070" hidden="1" xr:uid="{45060E2B-B752-4D8D-BB9C-6444D21FAD4A}"/>
    <cellStyle name="20 % - Akzent2" xfId="18046" hidden="1" xr:uid="{36D9BF91-7987-46F0-8CA0-740283C8D32D}"/>
    <cellStyle name="20 % - Akzent2" xfId="17941" hidden="1" xr:uid="{407A3CB8-F7F6-4376-BF28-6256E220A83E}"/>
    <cellStyle name="20 % - Akzent2" xfId="18292" hidden="1" xr:uid="{D7FE24F1-0241-4942-9024-CAFA4B7BA310}"/>
    <cellStyle name="20 % - Akzent2" xfId="19042" hidden="1" xr:uid="{849A54A1-8240-42CE-9A74-F84DCD041B87}"/>
    <cellStyle name="20 % - Akzent2" xfId="18817" hidden="1" xr:uid="{DEF3AEB4-BFAB-4D07-B11F-395EED3592DE}"/>
    <cellStyle name="20 % - Akzent2" xfId="18988" hidden="1" xr:uid="{4F2380F8-09A8-4BFF-9204-1B997FB8C965}"/>
    <cellStyle name="20 % - Akzent2" xfId="19145" hidden="1" xr:uid="{E17F03BD-5FDD-411F-81E9-4B77C094EF96}"/>
    <cellStyle name="20 % - Akzent2" xfId="19267" hidden="1" xr:uid="{EA049BB3-AC76-484A-AC5A-6B9E0BDE739A}"/>
    <cellStyle name="20 % - Akzent2" xfId="19434" hidden="1" xr:uid="{47F5852D-793B-4610-99AB-1344E05C906C}"/>
    <cellStyle name="20 % - Akzent2" xfId="19723" hidden="1" xr:uid="{AE29E81C-B251-4871-B89E-DCFD9C74E4CD}"/>
    <cellStyle name="20 % - Akzent2" xfId="20298" hidden="1" xr:uid="{A2BC7265-0D2E-4A4B-9CC5-BE3A85195BCE}"/>
    <cellStyle name="20 % - Akzent2" xfId="19664" hidden="1" xr:uid="{D87F74A8-EAD5-4AB2-84D3-F85DF112424A}"/>
    <cellStyle name="20 % - Akzent2" xfId="20327" hidden="1" xr:uid="{ACE24574-AA1F-4CAD-AD74-32871FBA013F}"/>
    <cellStyle name="20 % - Akzent2" xfId="19704" hidden="1" xr:uid="{B5040986-7896-41A8-BBEC-9BE7E9ED5D90}"/>
    <cellStyle name="20 % - Akzent2" xfId="21276" hidden="1" xr:uid="{D45C2796-BD85-4A20-A338-D795C25530F0}"/>
    <cellStyle name="20 % - Akzent2" xfId="21291" hidden="1" xr:uid="{2A385ED9-3FF7-44BD-B61A-E84DA9444036}"/>
    <cellStyle name="20 % - Akzent2" xfId="20585" hidden="1" xr:uid="{FE88A26D-28F8-48A0-87FD-CDAF589C43AE}"/>
    <cellStyle name="20 % - Akzent2" xfId="21002" hidden="1" xr:uid="{4C588DF7-4689-4590-A06F-9D73079D91F0}"/>
    <cellStyle name="20 % - Akzent2" xfId="21226" hidden="1" xr:uid="{EBA8D740-8066-467A-93D3-ACEF951CC1D2}"/>
    <cellStyle name="20 % - Akzent2" xfId="21572" hidden="1" xr:uid="{5F55EA4C-DD00-4663-8C9A-2917886FDA2B}"/>
    <cellStyle name="20 % - Akzent2" xfId="21555" hidden="1" xr:uid="{621F8715-7BAE-4A25-BB1F-7BCCBE511AE1}"/>
    <cellStyle name="20 % - Akzent2" xfId="22394" hidden="1" xr:uid="{4C44E7E6-986A-422F-AD2B-07A7E8044C90}"/>
    <cellStyle name="20 % - Akzent2" xfId="20335" hidden="1" xr:uid="{897AB9E8-EFC0-4A98-8DDB-8300BDED6040}"/>
    <cellStyle name="20 % - Akzent2" xfId="22931" hidden="1" xr:uid="{894E77FA-0ED4-470A-AE89-0FE664CBECD6}"/>
    <cellStyle name="20 % - Akzent2" xfId="21507" hidden="1" xr:uid="{602FE1BF-C34E-4D2C-A0A1-3F3B28A597EE}"/>
    <cellStyle name="20 % - Akzent2" xfId="22928" hidden="1" xr:uid="{FBF72E36-1C9A-44BF-8122-10BEB2367704}"/>
    <cellStyle name="20 % - Akzent2" xfId="23319" hidden="1" xr:uid="{B60A9554-5360-4576-AB83-3797EF029DE9}"/>
    <cellStyle name="20 % - Akzent2" xfId="23090" hidden="1" xr:uid="{1B300368-9C37-44AC-9C7D-EB52F2C04D33}"/>
    <cellStyle name="20 % - Akzent2" xfId="23338" hidden="1" xr:uid="{DD3FD981-6E2A-4E6E-A796-C97BB0CB02AD}"/>
    <cellStyle name="20 % - Akzent2" xfId="23457" hidden="1" xr:uid="{59025ADB-3991-4B49-B9C1-CFECE4594C8F}"/>
    <cellStyle name="20 % - Akzent2" xfId="23465" hidden="1" xr:uid="{9F0C082E-8999-4BC3-B40C-0F36F4F2F6EC}"/>
    <cellStyle name="20 % - Akzent2" xfId="23563" hidden="1" xr:uid="{B460557C-AD64-4BE1-854F-D9F0B2DD191D}"/>
    <cellStyle name="20 % - Akzent2" xfId="23046" hidden="1" xr:uid="{4C5FB436-8285-41DB-A10E-2E2DDE3DB250}"/>
    <cellStyle name="20 % - Akzent2" xfId="23546" hidden="1" xr:uid="{78279D09-6521-4BBD-AD1E-B0E109E45E1A}"/>
    <cellStyle name="20 % - Akzent2" xfId="24094" hidden="1" xr:uid="{BAD62BA4-0D3F-4E93-8D36-01439F2010BB}"/>
    <cellStyle name="20 % - Akzent2" xfId="24156" hidden="1" xr:uid="{6269D520-859B-4EF0-98E7-1F1AF81CA80A}"/>
    <cellStyle name="20 % - Akzent2" xfId="24520" hidden="1" xr:uid="{9B90C609-8B76-4685-AD96-321212B826A3}"/>
    <cellStyle name="20 % - Akzent2" xfId="24496" hidden="1" xr:uid="{82BA50DB-855B-412F-8CD6-97C259C0898B}"/>
    <cellStyle name="20 % - Akzent2" xfId="25123" hidden="1" xr:uid="{AB66ED7E-B096-4842-859D-04A4BAB1FCC6}"/>
    <cellStyle name="20 % - Akzent2" xfId="25289" hidden="1" xr:uid="{42ADFCD6-5B9C-4D90-8841-A1421DE31354}"/>
    <cellStyle name="20 % - Akzent2" xfId="25335" hidden="1" xr:uid="{A866E46F-CC8B-4BAA-99D7-D41F10594823}"/>
    <cellStyle name="20 % - Akzent2" xfId="25198" hidden="1" xr:uid="{40BE7735-EFBB-4536-874E-33EBB3474F64}"/>
    <cellStyle name="20 % - Akzent2" xfId="26101" hidden="1" xr:uid="{278E42DE-BF5A-44BB-973C-A7ED665FBEEA}"/>
    <cellStyle name="20 % - Akzent2" xfId="26271" hidden="1" xr:uid="{409CE69B-5009-46CD-A1D8-E99DC6EF52B7}"/>
    <cellStyle name="20 % - Akzent2" xfId="26576" hidden="1" xr:uid="{219219A8-7B88-495A-BAAA-181CAEA29960}"/>
    <cellStyle name="20 % - Akzent2" xfId="26410" hidden="1" xr:uid="{4E067660-E911-4BF8-9116-075CED14FB08}"/>
    <cellStyle name="20 % - Akzent2" xfId="25961" hidden="1" xr:uid="{B9888E27-D245-49D7-89F0-DB5C51A51BC4}"/>
    <cellStyle name="20 % - Akzent2" xfId="24510" hidden="1" xr:uid="{FE0291FF-AE18-4F74-A7FF-C9F859618581}"/>
    <cellStyle name="20 % - Akzent2" xfId="26155" hidden="1" xr:uid="{4BC39424-20B5-459F-9C43-16B3A2020F89}"/>
    <cellStyle name="20 % - Akzent2" xfId="25971" hidden="1" xr:uid="{6D96CC59-DC8A-42D5-9AC3-F3E8B0DFB9B1}"/>
    <cellStyle name="20 % - Akzent2" xfId="26070" hidden="1" xr:uid="{248A42A3-CECC-463A-80E4-5583F85A40E1}"/>
    <cellStyle name="20 % - Akzent2" xfId="26991" hidden="1" xr:uid="{A09C3C64-D49D-4B86-B0CC-A31DD80BC9ED}"/>
    <cellStyle name="20 % - Akzent2" xfId="27885" hidden="1" xr:uid="{FA755AA3-9854-466B-835A-E39B1B875FE7}"/>
    <cellStyle name="20 % - Akzent2" xfId="27853" hidden="1" xr:uid="{96D2F2DE-EE2A-49C1-AA37-D56244DA5249}"/>
    <cellStyle name="20 % - Akzent2" xfId="27870" hidden="1" xr:uid="{D86BAD0F-5364-480D-A8B2-F2823C360BC2}"/>
    <cellStyle name="20 % - Akzent2" xfId="27948" hidden="1" xr:uid="{62BEA7A0-8283-48AE-B5C0-64A2B7F71917}"/>
    <cellStyle name="20 % - Akzent2" xfId="28205" hidden="1" xr:uid="{9D2FE586-2F7F-4762-9C85-BC83AF93843E}"/>
    <cellStyle name="20 % - Akzent2" xfId="28742" hidden="1" xr:uid="{A1B931B4-44A0-478F-B47C-EC3E0672C9D2}"/>
    <cellStyle name="20 % - Akzent2" xfId="28275" hidden="1" xr:uid="{97C4B306-C848-429C-A4F7-52CE43F2664A}"/>
    <cellStyle name="20 % - Akzent2" xfId="28776" hidden="1" xr:uid="{24282F0B-A7E5-4733-B5EA-57A8495D3C5B}"/>
    <cellStyle name="20 % - Akzent2" xfId="29202" hidden="1" xr:uid="{A144977B-B9EA-40E6-A84F-3E6423931950}"/>
    <cellStyle name="20 % - Akzent2" xfId="30012" hidden="1" xr:uid="{FC1448E1-6F2B-4788-A1EC-F126EC9313D6}"/>
    <cellStyle name="20 % - Akzent2" xfId="29443" hidden="1" xr:uid="{E9A041DA-7CB6-41DC-966E-C354283F5B26}"/>
    <cellStyle name="20 % - Akzent2" xfId="28327" hidden="1" xr:uid="{D77075B2-DA03-4B3F-B2FA-5DC44E8951C4}"/>
    <cellStyle name="20 % - Akzent2" xfId="30861" hidden="1" xr:uid="{DD49515C-89DF-4090-9617-2AE18499BCC8}"/>
    <cellStyle name="20 % - Akzent2 2" xfId="374" xr:uid="{D0A7CE44-B584-433D-9B5F-14CAB15EB167}"/>
    <cellStyle name="20 % - Akzent2 3" xfId="243" xr:uid="{72BCC5F1-7136-42FE-B124-F0ACE54CD89C}"/>
    <cellStyle name="20 % - Akzent3" xfId="56" hidden="1" xr:uid="{C27A76FA-7E9C-4E10-A5AF-08C219EFA868}"/>
    <cellStyle name="20 % - Akzent3" xfId="903" hidden="1" xr:uid="{D551EB9B-1586-4B61-BA40-1EC9D8A92158}"/>
    <cellStyle name="20 % - Akzent3" xfId="965" hidden="1" xr:uid="{D508CE07-7ACF-4FC3-89D4-6AC0B205677C}"/>
    <cellStyle name="20 % - Akzent3" xfId="1397" hidden="1" xr:uid="{24C08171-01EB-44D5-BF70-8B5C082C8FCB}"/>
    <cellStyle name="20 % - Akzent3" xfId="1650" hidden="1" xr:uid="{7FC266BF-9BDF-4ECC-B8D5-3BA78D5BE69F}"/>
    <cellStyle name="20 % - Akzent3" xfId="1882" hidden="1" xr:uid="{3191DF58-BCA7-44A4-B7E4-1E0E82E803FA}"/>
    <cellStyle name="20 % - Akzent3" xfId="2249" hidden="1" xr:uid="{A0AB7DD6-93C0-4673-92CA-E5FEBB7E9F6D}"/>
    <cellStyle name="20 % - Akzent3" xfId="3030" hidden="1" xr:uid="{1C595C3E-2056-47D5-AC67-044A62D3752C}"/>
    <cellStyle name="20 % - Akzent3" xfId="2079" hidden="1" xr:uid="{25A1AB21-BA1A-4A38-829F-F402BDE6D47A}"/>
    <cellStyle name="20 % - Akzent3" xfId="2879" hidden="1" xr:uid="{47FB3436-2A87-45F4-8EA7-08E151B4209A}"/>
    <cellStyle name="20 % - Akzent3" xfId="3510" hidden="1" xr:uid="{0CFF15E4-91FE-4672-A835-545BAF17C923}"/>
    <cellStyle name="20 % - Akzent3" xfId="3098" hidden="1" xr:uid="{94F58D08-2943-4987-B9A5-99D32CFF2EC0}"/>
    <cellStyle name="20 % - Akzent3" xfId="3032" hidden="1" xr:uid="{5D728896-5FD0-4453-8956-E88C1BBCB103}"/>
    <cellStyle name="20 % - Akzent3" xfId="3189" hidden="1" xr:uid="{9DA7A86D-D226-48A9-88AE-7A57FCF28DD4}"/>
    <cellStyle name="20 % - Akzent3" xfId="2324" hidden="1" xr:uid="{FD9C9834-479C-4D91-B5BB-EDAF1575055E}"/>
    <cellStyle name="20 % - Akzent3" xfId="3605" hidden="1" xr:uid="{B60CD363-C92E-48D5-8C15-2234B267FC4F}"/>
    <cellStyle name="20 % - Akzent3" xfId="3822" hidden="1" xr:uid="{EB1CEA86-2FC2-4696-A774-A68E8EB6A6FB}"/>
    <cellStyle name="20 % - Akzent3" xfId="4260" hidden="1" xr:uid="{11025AEF-16B1-4247-85F0-1CB613BD3ABF}"/>
    <cellStyle name="20 % - Akzent3" xfId="4771" hidden="1" xr:uid="{3223C37F-8E21-4C13-A8F0-9B52CE4AC8DC}"/>
    <cellStyle name="20 % - Akzent3" xfId="2158" hidden="1" xr:uid="{5B6651AF-4E0C-4816-AE93-FA95BCDD2043}"/>
    <cellStyle name="20 % - Akzent3" xfId="5149" hidden="1" xr:uid="{2CE5060C-4496-4EE5-8C9D-EAD721B962B4}"/>
    <cellStyle name="20 % - Akzent3" xfId="5726" hidden="1" xr:uid="{F3566920-BA32-462C-9064-5A522FAEB847}"/>
    <cellStyle name="20 % - Akzent3" xfId="5792" hidden="1" xr:uid="{46B19848-2EE6-4A27-997E-92450DB6DCAE}"/>
    <cellStyle name="20 % - Akzent3" xfId="5785" hidden="1" xr:uid="{C1648C99-F24E-43F6-A6F2-9FBD6F2BC796}"/>
    <cellStyle name="20 % - Akzent3" xfId="5912" hidden="1" xr:uid="{B00CAB26-38D4-4350-98C9-CDE539E856E7}"/>
    <cellStyle name="20 % - Akzent3" xfId="5707" hidden="1" xr:uid="{4E958BCB-ABB5-4789-B740-9A7F063C105A}"/>
    <cellStyle name="20 % - Akzent3" xfId="6173" hidden="1" xr:uid="{DE14FAC5-BD97-4ABD-8361-8D69B19E93F6}"/>
    <cellStyle name="20 % - Akzent3" xfId="6228" hidden="1" xr:uid="{2E880998-BCEE-424E-B8A7-6D8241A9623F}"/>
    <cellStyle name="20 % - Akzent3" xfId="6230" hidden="1" xr:uid="{46C63954-8B37-4FCD-BA06-E518C010C7D9}"/>
    <cellStyle name="20 % - Akzent3" xfId="6078" hidden="1" xr:uid="{D26A772D-2074-4CCB-8064-E7F7BC9E10AE}"/>
    <cellStyle name="20 % - Akzent3" xfId="6439" hidden="1" xr:uid="{D083372A-7257-4F69-9BDE-CF5AB686C53E}"/>
    <cellStyle name="20 % - Akzent3" xfId="6574" hidden="1" xr:uid="{54928460-BD0E-4312-955D-42FEFDF8C269}"/>
    <cellStyle name="20 % - Akzent3" xfId="5845" hidden="1" xr:uid="{2FB157CF-1151-4A35-8DC6-936F462483B5}"/>
    <cellStyle name="20 % - Akzent3" xfId="6336" hidden="1" xr:uid="{3305272E-F00E-4CC7-BB34-8321910D8179}"/>
    <cellStyle name="20 % - Akzent3" xfId="5721" hidden="1" xr:uid="{08A67AEC-1CE9-443F-BE93-9AA85175C3EA}"/>
    <cellStyle name="20 % - Akzent3" xfId="6415" hidden="1" xr:uid="{07185490-E8DA-487E-BAC6-B0F1FC80B42C}"/>
    <cellStyle name="20 % - Akzent3" xfId="6271" hidden="1" xr:uid="{A8F4657F-C26B-42A7-8FC7-2D788F5AEB63}"/>
    <cellStyle name="20 % - Akzent3" xfId="6794" hidden="1" xr:uid="{CC2F00C4-C1AC-40C6-AB40-249AD7A6D76E}"/>
    <cellStyle name="20 % - Akzent3" xfId="7041" hidden="1" xr:uid="{D4C0C9A5-390E-4F22-B119-4BAFB59A1BE0}"/>
    <cellStyle name="20 % - Akzent3" xfId="7909" hidden="1" xr:uid="{D915458A-D7D3-4EAA-93B7-11D7A99E162A}"/>
    <cellStyle name="20 % - Akzent3" xfId="6894" hidden="1" xr:uid="{CD40AB63-84E1-49CD-BEFD-73AC750DE3BE}"/>
    <cellStyle name="20 % - Akzent3" xfId="8294" hidden="1" xr:uid="{3E97578E-F596-41B3-9BE3-755AC28F5815}"/>
    <cellStyle name="20 % - Akzent3" xfId="8140" hidden="1" xr:uid="{24E42DCE-72AE-409A-A857-F74085974688}"/>
    <cellStyle name="20 % - Akzent3" xfId="7997" hidden="1" xr:uid="{A6FECD2A-3EDD-4DA1-B88E-3EC251B0992A}"/>
    <cellStyle name="20 % - Akzent3" xfId="7739" hidden="1" xr:uid="{71308886-C7A4-4B95-9599-9CE0303DC68A}"/>
    <cellStyle name="20 % - Akzent3" xfId="8366" hidden="1" xr:uid="{2B699F7D-DD0B-429C-8178-4AA14001CD56}"/>
    <cellStyle name="20 % - Akzent3" xfId="6849" hidden="1" xr:uid="{14198D70-8A5B-4047-8CBC-1E2DA42CF410}"/>
    <cellStyle name="20 % - Akzent3" xfId="7799" hidden="1" xr:uid="{47E4B1D8-1641-4B4B-98DC-E066AD210A10}"/>
    <cellStyle name="20 % - Akzent3" xfId="7746" hidden="1" xr:uid="{FBDC64CF-4DBB-44FC-A3B4-0DFF955A54C4}"/>
    <cellStyle name="20 % - Akzent3" xfId="7866" hidden="1" xr:uid="{F17D6F26-8B8B-4EA7-8735-F0E1BCA0C5A9}"/>
    <cellStyle name="20 % - Akzent3" xfId="7775" hidden="1" xr:uid="{F8E006F0-3450-4005-8E6F-F52EBD01832E}"/>
    <cellStyle name="20 % - Akzent3" xfId="8385" hidden="1" xr:uid="{F9BCC647-62E2-4401-8AEB-FD53B625C61E}"/>
    <cellStyle name="20 % - Akzent3" xfId="7705" hidden="1" xr:uid="{F876AAA7-4D93-4C57-95C7-E394A01A0D25}"/>
    <cellStyle name="20 % - Akzent3" xfId="8307" hidden="1" xr:uid="{C43137A7-3F88-44D9-90CE-FB267B4AB8D0}"/>
    <cellStyle name="20 % - Akzent3" xfId="7804" hidden="1" xr:uid="{F6631F1A-D72A-4360-9A13-A065C1B38338}"/>
    <cellStyle name="20 % - Akzent3" xfId="8482" hidden="1" xr:uid="{702B2575-1A30-49A2-9AD9-A609D77A4844}"/>
    <cellStyle name="20 % - Akzent3" xfId="8822" hidden="1" xr:uid="{0358C937-14CB-4804-8E2C-6979F0BFA25C}"/>
    <cellStyle name="20 % - Akzent3" xfId="8093" hidden="1" xr:uid="{652F935C-1B6F-46D9-9B9C-852E996E7412}"/>
    <cellStyle name="20 % - Akzent3" xfId="8813" hidden="1" xr:uid="{D71E2800-384C-4026-A8C3-03C7BD6D7EB1}"/>
    <cellStyle name="20 % - Akzent3" xfId="8920" hidden="1" xr:uid="{6E31ABE0-78BF-4B01-8DE5-EF4BD1A8DB82}"/>
    <cellStyle name="20 % - Akzent3" xfId="9008" hidden="1" xr:uid="{E6CA80DE-ED4A-4843-9833-AF4C9A6B79DF}"/>
    <cellStyle name="20 % - Akzent3" xfId="9254" hidden="1" xr:uid="{C78C7BA9-5311-4E0C-85C9-00A2F82386DC}"/>
    <cellStyle name="20 % - Akzent3" xfId="10122" hidden="1" xr:uid="{62F68414-C756-49A8-80D3-C9E37448B6C7}"/>
    <cellStyle name="20 % - Akzent3" xfId="9108" hidden="1" xr:uid="{3576EC2E-92CC-4456-8F9A-3CBE9F6EAC10}"/>
    <cellStyle name="20 % - Akzent3" xfId="10533" hidden="1" xr:uid="{CE32D03D-3487-4CFC-839D-B8B21767CB69}"/>
    <cellStyle name="20 % - Akzent3" xfId="10309" hidden="1" xr:uid="{B6356EA4-9720-4ED8-A670-2357A0644C3E}"/>
    <cellStyle name="20 % - Akzent3" xfId="10588" hidden="1" xr:uid="{DC9A9695-7431-4E82-A20A-1AF21C7A030E}"/>
    <cellStyle name="20 % - Akzent3" xfId="10596" hidden="1" xr:uid="{E82876E7-D848-4520-B516-7105BCCBA254}"/>
    <cellStyle name="20 % - Akzent3" xfId="10829" hidden="1" xr:uid="{4415E735-3B9C-405B-8556-22A93FFBF680}"/>
    <cellStyle name="20 % - Akzent3" xfId="10763" hidden="1" xr:uid="{1AE6902E-DAC5-4A7C-896C-841DF5473D40}"/>
    <cellStyle name="20 % - Akzent3" xfId="11253" hidden="1" xr:uid="{62BD662E-D3F0-487E-B5A1-B22A091B2880}"/>
    <cellStyle name="20 % - Akzent3" xfId="10968" hidden="1" xr:uid="{867A87AE-884C-4A43-87F3-CE3743B12F3E}"/>
    <cellStyle name="20 % - Akzent3" xfId="10460" hidden="1" xr:uid="{A5B93A8B-FE26-4E49-813A-F3A06FD86C9F}"/>
    <cellStyle name="20 % - Akzent3" xfId="11219" hidden="1" xr:uid="{8FDD18E0-3744-45F6-AC05-232A2232653E}"/>
    <cellStyle name="20 % - Akzent3" xfId="11082" hidden="1" xr:uid="{B05E8D31-667A-4AC7-BE51-D4D271193446}"/>
    <cellStyle name="20 % - Akzent3" xfId="11414" hidden="1" xr:uid="{E471E529-80C5-4C49-88E7-D99B898E4AE6}"/>
    <cellStyle name="20 % - Akzent3" xfId="11668" hidden="1" xr:uid="{B9E2EADA-5688-4D35-B46A-25E73C868ED7}"/>
    <cellStyle name="20 % - Akzent3" xfId="12314" hidden="1" xr:uid="{B23BAEE5-691C-4FD2-BD1C-C27B5E644924}"/>
    <cellStyle name="20 % - Akzent3" xfId="12764" hidden="1" xr:uid="{AF693BBC-D5C8-4F88-8272-B400CBBACD00}"/>
    <cellStyle name="20 % - Akzent3" xfId="11706" hidden="1" xr:uid="{BB98B0DE-3E8F-4CC0-B3F9-53478F8B4F49}"/>
    <cellStyle name="20 % - Akzent3" xfId="13864" hidden="1" xr:uid="{5031E16E-FA5A-49C9-8228-C4AE380B61A5}"/>
    <cellStyle name="20 % - Akzent3" xfId="11578" hidden="1" xr:uid="{B5630324-6FB7-466F-B468-743DD4900DA4}"/>
    <cellStyle name="20 % - Akzent3" xfId="13714" hidden="1" xr:uid="{4DB32AD9-BB1D-4466-8C31-17175B90D4A3}"/>
    <cellStyle name="20 % - Akzent3" xfId="12316" hidden="1" xr:uid="{A10D76EC-3500-49B1-9AC1-D293893B2627}"/>
    <cellStyle name="20 % - Akzent3" xfId="14183" hidden="1" xr:uid="{DCC94BC8-489F-46ED-B9B8-A692F1239127}"/>
    <cellStyle name="20 % - Akzent3" xfId="14686" hidden="1" xr:uid="{E8EBDDBF-0082-4473-A0DC-33DAD5E8E957}"/>
    <cellStyle name="20 % - Akzent3" xfId="14467" hidden="1" xr:uid="{0F59F184-3B1A-44EF-96CC-5FB2ACE35CC8}"/>
    <cellStyle name="20 % - Akzent3" xfId="15103" hidden="1" xr:uid="{6F6A6CBA-C362-45FD-82B8-B86EC2D7C7B3}"/>
    <cellStyle name="20 % - Akzent3" xfId="12720" hidden="1" xr:uid="{1154E79D-A68B-4AFC-8FA2-693EB4D7D24E}"/>
    <cellStyle name="20 % - Akzent3" xfId="14464" hidden="1" xr:uid="{4605678D-FD56-4B30-92FD-95D42422E1EB}"/>
    <cellStyle name="20 % - Akzent3" xfId="14549" hidden="1" xr:uid="{27CED997-F786-4E19-935E-68C338293CE8}"/>
    <cellStyle name="20 % - Akzent3" xfId="14085" hidden="1" xr:uid="{18ED8121-3547-46BE-A094-3068B2047D15}"/>
    <cellStyle name="20 % - Akzent3" xfId="15549" hidden="1" xr:uid="{76431944-FC4A-4498-80BE-38D0C36DA3C6}"/>
    <cellStyle name="20 % - Akzent3" xfId="15599" hidden="1" xr:uid="{7A461819-CDCD-4909-A41E-A9B6966EF64C}"/>
    <cellStyle name="20 % - Akzent3" xfId="15387" hidden="1" xr:uid="{887C61BB-FAF1-49F0-88F6-26B4D188B72C}"/>
    <cellStyle name="20 % - Akzent3" xfId="15173" hidden="1" xr:uid="{B482B833-479C-415B-B48C-32969693C084}"/>
    <cellStyle name="20 % - Akzent3" xfId="14546" hidden="1" xr:uid="{DB1E4E62-4B45-4A41-B960-7BE30D6E46F6}"/>
    <cellStyle name="20 % - Akzent3" xfId="15131" hidden="1" xr:uid="{7FA55A3B-9C94-445F-8274-E086E5073C4A}"/>
    <cellStyle name="20 % - Akzent3" xfId="15916" hidden="1" xr:uid="{8BA78021-4641-413E-BF9E-DDAC9D3CFB0B}"/>
    <cellStyle name="20 % - Akzent3" xfId="15893" hidden="1" xr:uid="{4DBED2FA-3CAC-4349-9424-0A0A12A5A6EE}"/>
    <cellStyle name="20 % - Akzent3" xfId="16105" hidden="1" xr:uid="{D2791AD6-14F5-413B-9457-A5FC7A0D0F96}"/>
    <cellStyle name="20 % - Akzent3" xfId="16364" hidden="1" xr:uid="{7255356B-3ECE-491B-89AC-8E59BF02553B}"/>
    <cellStyle name="20 % - Akzent3" xfId="17241" hidden="1" xr:uid="{45761BBB-05DA-4C41-B66D-3933EF270521}"/>
    <cellStyle name="20 % - Akzent3" xfId="16210" hidden="1" xr:uid="{BD062F7E-E499-437C-9988-351F9A0BBFF4}"/>
    <cellStyle name="20 % - Akzent3" xfId="17685" hidden="1" xr:uid="{3B787D25-70B4-4E9C-9746-0C237C9122AB}"/>
    <cellStyle name="20 % - Akzent3" xfId="17434" hidden="1" xr:uid="{9627D391-29EC-4343-B616-C75F951BC679}"/>
    <cellStyle name="20 % - Akzent3" xfId="18103" hidden="1" xr:uid="{C9C87587-0320-4F7B-8C32-F34DD8B46581}"/>
    <cellStyle name="20 % - Akzent3" xfId="17510" hidden="1" xr:uid="{42A19A4B-9B9B-4FDD-B78F-1F46B07C1332}"/>
    <cellStyle name="20 % - Akzent3" xfId="18000" hidden="1" xr:uid="{200B9C92-EE00-4D13-B4FF-A53B502C9958}"/>
    <cellStyle name="20 % - Akzent3" xfId="18188" hidden="1" xr:uid="{9C114B35-DB06-479B-989B-29B92C9B227B}"/>
    <cellStyle name="20 % - Akzent3" xfId="18310" hidden="1" xr:uid="{4FA97A66-BCCF-49C7-BAD1-D5A3A41D5F1A}"/>
    <cellStyle name="20 % - Akzent3" xfId="18368" hidden="1" xr:uid="{277BFF72-6C0C-4650-98D4-D60C3C8B2628}"/>
    <cellStyle name="20 % - Akzent3" xfId="18959" hidden="1" xr:uid="{507800CF-F146-48AC-BE59-6E0B31825F47}"/>
    <cellStyle name="20 % - Akzent3" xfId="17440" hidden="1" xr:uid="{3DCE4EB2-C41B-44E2-BA14-7361D4C2EE0D}"/>
    <cellStyle name="20 % - Akzent3" xfId="18879" hidden="1" xr:uid="{60CB7DCA-8D2A-4B70-B263-18A9E44F2C6E}"/>
    <cellStyle name="20 % - Akzent3" xfId="18337" hidden="1" xr:uid="{96798F2F-58FA-4646-BF4B-8B61E1499F51}"/>
    <cellStyle name="20 % - Akzent3" xfId="19275" hidden="1" xr:uid="{3752BC4D-E83F-4B5A-80BE-3D303586C93A}"/>
    <cellStyle name="20 % - Akzent3" xfId="18937" hidden="1" xr:uid="{C32973B1-2B6F-475D-AAF3-454A02FBAE46}"/>
    <cellStyle name="20 % - Akzent3" xfId="19438" hidden="1" xr:uid="{0CA1131D-238B-416B-871F-B1BC7DBCCCE3}"/>
    <cellStyle name="20 % - Akzent3" xfId="19697" hidden="1" xr:uid="{E5304F5C-3925-42BC-AEEC-A0969805BF8A}"/>
    <cellStyle name="20 % - Akzent3" xfId="20591" hidden="1" xr:uid="{5570FC1A-A8EF-4475-A48A-B6AD293608EE}"/>
    <cellStyle name="20 % - Akzent3" xfId="20278" hidden="1" xr:uid="{39B2974A-FAF7-4D86-811B-8B55F03CA843}"/>
    <cellStyle name="20 % - Akzent3" xfId="21046" hidden="1" xr:uid="{24EF10F6-16C7-41FC-A486-CD7E11D7448A}"/>
    <cellStyle name="20 % - Akzent3" xfId="20788" hidden="1" xr:uid="{9F0E90A4-CF9A-448B-B79D-D0124CDD6061}"/>
    <cellStyle name="20 % - Akzent3" xfId="21478" hidden="1" xr:uid="{DCE7D05D-98A9-4EE3-A1F8-04E2C8624B33}"/>
    <cellStyle name="20 % - Akzent3" xfId="20829" hidden="1" xr:uid="{9E7F7849-1E59-4328-9B5D-417C0002E6E6}"/>
    <cellStyle name="20 % - Akzent3" xfId="20802" hidden="1" xr:uid="{A198298A-33EA-4136-A11A-6EE90DE42B54}"/>
    <cellStyle name="20 % - Akzent3" xfId="21632" hidden="1" xr:uid="{8F567E97-609A-41C6-A5E9-0A71F377093E}"/>
    <cellStyle name="20 % - Akzent3" xfId="21977" hidden="1" xr:uid="{5B0DD305-9D41-48A6-8877-F55921680563}"/>
    <cellStyle name="20 % - Akzent3" xfId="21719" hidden="1" xr:uid="{EC4295F4-4B2F-4230-9EA8-14086844268C}"/>
    <cellStyle name="20 % - Akzent3" xfId="22408" hidden="1" xr:uid="{8D33056F-865E-41D8-A878-5D1BC0C9B4BA}"/>
    <cellStyle name="20 % - Akzent3" xfId="21728" hidden="1" xr:uid="{11E537DA-C307-4B85-B383-3F37E7C4E4B8}"/>
    <cellStyle name="20 % - Akzent3" xfId="22847" hidden="1" xr:uid="{FD049818-2E9A-4E67-9BF4-F70E934BAFD2}"/>
    <cellStyle name="20 % - Akzent3" xfId="21737" hidden="1" xr:uid="{73272210-A0E2-4572-B61A-83066ECDE957}"/>
    <cellStyle name="20 % - Akzent3" xfId="23004" hidden="1" xr:uid="{B6D4CBA3-DB3B-437D-8A85-DB1296B5D173}"/>
    <cellStyle name="20 % - Akzent3" xfId="23247" hidden="1" xr:uid="{D5FBD916-7CF9-4138-8CA4-2FAA451E72B3}"/>
    <cellStyle name="20 % - Akzent3" xfId="22758" hidden="1" xr:uid="{F7C421C9-AB8D-4829-B079-712A1705D993}"/>
    <cellStyle name="20 % - Akzent3" xfId="23155" hidden="1" xr:uid="{792DEC7C-CAF3-4025-BE0F-E010D8152A51}"/>
    <cellStyle name="20 % - Akzent3" xfId="23085" hidden="1" xr:uid="{9627FC83-F69D-4E5C-B6AE-2B589856B531}"/>
    <cellStyle name="20 % - Akzent3" xfId="23565" hidden="1" xr:uid="{4487837E-6458-4A77-B9AC-B7A0F4A15CE2}"/>
    <cellStyle name="20 % - Akzent3" xfId="22766" hidden="1" xr:uid="{E34E505B-E025-46F6-A9A0-5E12F828EA91}"/>
    <cellStyle name="20 % - Akzent3" xfId="23656" hidden="1" xr:uid="{816529D7-D0C0-4F51-B152-6E4C8DF75393}"/>
    <cellStyle name="20 % - Akzent3" xfId="23700" hidden="1" xr:uid="{49F3D721-B7B9-4504-AF52-D69114515E52}"/>
    <cellStyle name="20 % - Akzent3" xfId="24088" hidden="1" xr:uid="{F9B0A20C-A189-4B55-9153-FA4649E51950}"/>
    <cellStyle name="20 % - Akzent3" xfId="23532" hidden="1" xr:uid="{3D2014DA-CF47-462F-8B3D-F82C605F41B6}"/>
    <cellStyle name="20 % - Akzent3" xfId="24160" hidden="1" xr:uid="{43603302-25F6-49FD-AA5F-EFE101B11372}"/>
    <cellStyle name="20 % - Akzent3" xfId="24585" hidden="1" xr:uid="{16755DC6-79AD-4E2F-83C1-77DF4A8AF313}"/>
    <cellStyle name="20 % - Akzent3" xfId="25012" hidden="1" xr:uid="{CC704760-A102-4FFA-8D6F-EA7A32465F76}"/>
    <cellStyle name="20 % - Akzent3" xfId="25287" hidden="1" xr:uid="{27C8F083-4922-4771-BFEE-54BFCA1C3117}"/>
    <cellStyle name="20 % - Akzent3" xfId="25124" hidden="1" xr:uid="{DD27ADBE-50AC-434C-87C7-0F4AFFBC85C1}"/>
    <cellStyle name="20 % - Akzent3" xfId="25429" hidden="1" xr:uid="{1A7984D5-2A48-4BB2-8440-619D94BF2CE0}"/>
    <cellStyle name="20 % - Akzent3" xfId="25979" hidden="1" xr:uid="{6D4B9356-5018-4A09-A91E-BB64718F54F3}"/>
    <cellStyle name="20 % - Akzent3" xfId="24194" hidden="1" xr:uid="{A2EEEDC5-72A0-4C94-8470-B558833D616C}"/>
    <cellStyle name="20 % - Akzent3" xfId="26491" hidden="1" xr:uid="{92773734-63CF-4E24-A534-8A2406A4AC74}"/>
    <cellStyle name="20 % - Akzent3" xfId="24580" hidden="1" xr:uid="{A31CBE39-5FD5-44CD-8C88-A7D6CADD5D19}"/>
    <cellStyle name="20 % - Akzent3" xfId="26260" hidden="1" xr:uid="{C51DFCBC-3C80-49E1-9CD3-83BA1863B016}"/>
    <cellStyle name="20 % - Akzent3" xfId="26597" hidden="1" xr:uid="{F2D860A9-CB71-41CC-9657-E9250AD3973C}"/>
    <cellStyle name="20 % - Akzent3" xfId="26077" hidden="1" xr:uid="{C0569D54-21CD-4204-A0D4-1DB40E18A15B}"/>
    <cellStyle name="20 % - Akzent3" xfId="24498" hidden="1" xr:uid="{9C723BDF-EF4D-47AB-8DC6-3B53461F575B}"/>
    <cellStyle name="20 % - Akzent3" xfId="27739" hidden="1" xr:uid="{33DB4221-F9BE-4B5F-894B-4FD726CCD113}"/>
    <cellStyle name="20 % - Akzent3" xfId="27716" hidden="1" xr:uid="{0DE38FCF-71D9-4F86-B1BC-1B9B5B88243E}"/>
    <cellStyle name="20 % - Akzent3" xfId="27873" hidden="1" xr:uid="{D2793DCF-B717-463B-A6CA-1CFC34718B94}"/>
    <cellStyle name="20 % - Akzent3" xfId="27611" hidden="1" xr:uid="{44428596-4DBF-43D9-8680-8FE5983226E6}"/>
    <cellStyle name="20 % - Akzent3" xfId="27861" hidden="1" xr:uid="{3C1ED79B-33AF-4A2B-87B2-470A9FE2B025}"/>
    <cellStyle name="20 % - Akzent3" xfId="27883" hidden="1" xr:uid="{D7AF86C0-E7AC-46C7-BE2D-547353D4619A}"/>
    <cellStyle name="20 % - Akzent3" xfId="27952" hidden="1" xr:uid="{E31041DD-2B58-428D-A402-9FC4B242967B}"/>
    <cellStyle name="20 % - Akzent3" xfId="28184" hidden="1" xr:uid="{F4B966D5-5B40-4998-B79A-F84149607EEB}"/>
    <cellStyle name="20 % - Akzent3" xfId="28797" hidden="1" xr:uid="{DC83EB59-136E-4E00-A9B1-4B5AD88AE90B}"/>
    <cellStyle name="20 % - Akzent3" xfId="29424" hidden="1" xr:uid="{5BC42465-64A5-4C81-9CF5-51C71A6A1CC1}"/>
    <cellStyle name="20 % - Akzent3" xfId="29209" hidden="1" xr:uid="{E5F089E4-5643-4391-A5BC-A1872CD801A7}"/>
    <cellStyle name="20 % - Akzent3" xfId="29592" hidden="1" xr:uid="{AEF6BB58-965B-4E45-B50B-0204454826C0}"/>
    <cellStyle name="20 % - Akzent3" xfId="29266" hidden="1" xr:uid="{F0935C7C-440D-48BC-9D70-D73E788105BE}"/>
    <cellStyle name="20 % - Akzent3" xfId="30425" hidden="1" xr:uid="{70EA625F-0F85-45DF-AA6E-BF41EE0F902A}"/>
    <cellStyle name="20 % - Akzent3" xfId="30004" hidden="1" xr:uid="{DDE725F6-E257-431D-AABF-A19274093B59}"/>
    <cellStyle name="20 % - Akzent3" xfId="30933" hidden="1" xr:uid="{F57E5426-AB7B-44DC-83F2-0DF27679D7C1}"/>
    <cellStyle name="20 % - Akzent3 2" xfId="375" xr:uid="{8BA6554F-8CFD-4164-A288-9998545F1E67}"/>
    <cellStyle name="20 % - Akzent3 3" xfId="244" xr:uid="{7AAAB643-86B0-4984-BB8C-A24913301F6C}"/>
    <cellStyle name="20 % - Akzent4" xfId="59" hidden="1" xr:uid="{A89BFD5D-55EA-43BF-9A8C-6B404439BE69}"/>
    <cellStyle name="20 % - Akzent4" xfId="906" hidden="1" xr:uid="{5C751A74-5F92-4AD4-B1C3-ACD6CAE5CFB5}"/>
    <cellStyle name="20 % - Akzent4" xfId="981" hidden="1" xr:uid="{92C276FE-9F83-4AFB-A132-7F734CE2A588}"/>
    <cellStyle name="20 % - Akzent4" xfId="1400" hidden="1" xr:uid="{D7A7CE3E-98EB-4B9B-826E-B7F576CE5792}"/>
    <cellStyle name="20 % - Akzent4" xfId="1670" hidden="1" xr:uid="{849B187B-ADBC-41E7-A7E5-4C33B7E1C31A}"/>
    <cellStyle name="20 % - Akzent4" xfId="1886" hidden="1" xr:uid="{9DD71FAE-8F65-451D-B846-CF743E2C976F}"/>
    <cellStyle name="20 % - Akzent4" xfId="2317" hidden="1" xr:uid="{DC178AFC-E9C6-49E3-AD93-C2CEF0473B84}"/>
    <cellStyle name="20 % - Akzent4" xfId="1943" hidden="1" xr:uid="{2A14BA09-B8F5-496A-A577-021A1AC68769}"/>
    <cellStyle name="20 % - Akzent4" xfId="2748" hidden="1" xr:uid="{26F6CA55-5A19-4BA1-A81B-9834DE1954A4}"/>
    <cellStyle name="20 % - Akzent4" xfId="2309" hidden="1" xr:uid="{34AAB5B6-141B-4ED9-8205-C2AF09E155F4}"/>
    <cellStyle name="20 % - Akzent4" xfId="3180" hidden="1" xr:uid="{2726E5B4-5BA7-4275-AD41-4F1D6AA743FB}"/>
    <cellStyle name="20 % - Akzent4" xfId="3482" hidden="1" xr:uid="{9A3448E0-C1C6-4C25-BF25-D1342DD345C3}"/>
    <cellStyle name="20 % - Akzent4" xfId="2726" hidden="1" xr:uid="{A4BE47BD-2077-466D-B953-37E005F17380}"/>
    <cellStyle name="20 % - Akzent4" xfId="3524" hidden="1" xr:uid="{4562AF96-1A9D-4654-B7F1-FE2CC5E113CA}"/>
    <cellStyle name="20 % - Akzent4" xfId="3591" hidden="1" xr:uid="{CC4A800F-7683-4256-AF2B-FD2B5D53279C}"/>
    <cellStyle name="20 % - Akzent4" xfId="3115" hidden="1" xr:uid="{F18F558B-50B4-4E27-B240-42AA961443CF}"/>
    <cellStyle name="20 % - Akzent4" xfId="2043" hidden="1" xr:uid="{0B877C56-1A94-49E3-A0D2-28B88A39F960}"/>
    <cellStyle name="20 % - Akzent4" xfId="3262" hidden="1" xr:uid="{AC53AF7C-72FA-46CF-94F0-419D2FA6525E}"/>
    <cellStyle name="20 % - Akzent4" xfId="4836" hidden="1" xr:uid="{091A9D0F-E03F-49C4-A192-D660E0C417F9}"/>
    <cellStyle name="20 % - Akzent4" xfId="4775" hidden="1" xr:uid="{F250B5BB-4D42-426A-8377-9C6D2A380004}"/>
    <cellStyle name="20 % - Akzent4" xfId="5138" hidden="1" xr:uid="{443AF74E-1B71-4070-8404-BEC54D46C9C5}"/>
    <cellStyle name="20 % - Akzent4" xfId="5766" hidden="1" xr:uid="{79F5A948-8E78-4DA2-84F1-C4BD954EE96B}"/>
    <cellStyle name="20 % - Akzent4" xfId="5883" hidden="1" xr:uid="{6ECBFA2D-85C9-4AC6-80AA-1D054441DAD2}"/>
    <cellStyle name="20 % - Akzent4" xfId="5129" hidden="1" xr:uid="{15935F27-0502-48BB-9B3B-C58D6E3946DC}"/>
    <cellStyle name="20 % - Akzent4" xfId="4907" hidden="1" xr:uid="{D6405686-CB5A-4539-9A71-6A2228B9095B}"/>
    <cellStyle name="20 % - Akzent4" xfId="5822" hidden="1" xr:uid="{FA85B141-5444-4B5C-97DC-86F9397E5FDA}"/>
    <cellStyle name="20 % - Akzent4" xfId="6206" hidden="1" xr:uid="{6ABD19C6-B908-4DD7-AE54-C083B8DBEF2A}"/>
    <cellStyle name="20 % - Akzent4" xfId="6296" hidden="1" xr:uid="{41ECAEA9-DB62-4D4F-B7BA-B454E83FFC1D}"/>
    <cellStyle name="20 % - Akzent4" xfId="6231" hidden="1" xr:uid="{1254B1FC-20D1-4361-A6BE-0664409592A0}"/>
    <cellStyle name="20 % - Akzent4" xfId="6493" hidden="1" xr:uid="{6704A149-3EB6-4E35-A6DA-4A9C5CBFD6F9}"/>
    <cellStyle name="20 % - Akzent4" xfId="6473" hidden="1" xr:uid="{D6BE5607-8D7F-43D1-8336-494F8EE1E952}"/>
    <cellStyle name="20 % - Akzent4" xfId="6560" hidden="1" xr:uid="{E66EEEB3-90B8-44E9-ACD7-6309298BA68A}"/>
    <cellStyle name="20 % - Akzent4" xfId="6334" hidden="1" xr:uid="{D6ACE53D-AF93-4C5E-B6BC-3335640693A0}"/>
    <cellStyle name="20 % - Akzent4" xfId="6182" hidden="1" xr:uid="{8716C89F-09DF-459A-90D6-8734DD2BD600}"/>
    <cellStyle name="20 % - Akzent4" xfId="2127" hidden="1" xr:uid="{20ED18E0-D279-4B1B-8AA2-BABAC86C89CC}"/>
    <cellStyle name="20 % - Akzent4" xfId="5590" hidden="1" xr:uid="{FD9858C6-48E9-4D1B-88C4-018B0DCE236F}"/>
    <cellStyle name="20 % - Akzent4" xfId="6193" hidden="1" xr:uid="{4F6E2FD8-7552-49FF-8A03-FEF40637E025}"/>
    <cellStyle name="20 % - Akzent4" xfId="6798" hidden="1" xr:uid="{6620F68B-8C43-402D-9DAC-4CA4569CBACB}"/>
    <cellStyle name="20 % - Akzent4" xfId="7152" hidden="1" xr:uid="{DAF28EF7-C3A3-45FD-9C73-AA9057F95B01}"/>
    <cellStyle name="20 % - Akzent4" xfId="7134" hidden="1" xr:uid="{FD461012-C641-43EB-BB41-6A000C828E0E}"/>
    <cellStyle name="20 % - Akzent4" xfId="7834" hidden="1" xr:uid="{0F219D1E-7CA1-4AC7-B352-0FC5F098F474}"/>
    <cellStyle name="20 % - Akzent4" xfId="6758" hidden="1" xr:uid="{59458187-D716-4203-9630-178B753399BD}"/>
    <cellStyle name="20 % - Akzent4" xfId="8242" hidden="1" xr:uid="{D6F05F9F-E8CA-4B74-A0AC-4017577D1D81}"/>
    <cellStyle name="20 % - Akzent4" xfId="7612" hidden="1" xr:uid="{2150D635-2385-4CC7-858C-D1D010D847A3}"/>
    <cellStyle name="20 % - Akzent4" xfId="7684" hidden="1" xr:uid="{6BF97484-5774-45C6-9511-75C2426D6097}"/>
    <cellStyle name="20 % - Akzent4" xfId="8339" hidden="1" xr:uid="{210B3595-3DE1-4754-87A2-CF61C47E3F69}"/>
    <cellStyle name="20 % - Akzent4" xfId="8360" hidden="1" xr:uid="{BB9CBB58-F531-485E-AD6F-603742C0E867}"/>
    <cellStyle name="20 % - Akzent4" xfId="8319" hidden="1" xr:uid="{15549A2F-B00D-4DDF-BFCE-C9F3C4EA01D1}"/>
    <cellStyle name="20 % - Akzent4" xfId="8362" hidden="1" xr:uid="{E1F77F99-9CB3-4459-9E3D-6BDD8A33F74F}"/>
    <cellStyle name="20 % - Akzent4" xfId="8402" hidden="1" xr:uid="{CF8D9D7C-2619-4563-BB17-7CF42871B661}"/>
    <cellStyle name="20 % - Akzent4" xfId="8395" hidden="1" xr:uid="{365774AC-57A5-4B41-AD81-0C992EF19A32}"/>
    <cellStyle name="20 % - Akzent4" xfId="8446" hidden="1" xr:uid="{FF03CA56-B3B7-4F92-B525-3D96BF09009E}"/>
    <cellStyle name="20 % - Akzent4" xfId="8466" hidden="1" xr:uid="{7B4EEDE3-07AE-4D63-88CB-82DCF898C53D}"/>
    <cellStyle name="20 % - Akzent4" xfId="8484" hidden="1" xr:uid="{DC36257E-81AE-4299-880C-C8FCF01BDDB6}"/>
    <cellStyle name="20 % - Akzent4" xfId="8279" hidden="1" xr:uid="{F0E09FE6-A315-4FE6-8528-0E96BA7B4199}"/>
    <cellStyle name="20 % - Akzent4" xfId="8270" hidden="1" xr:uid="{C93E66E4-0A1E-49D4-ADF8-627D06CD8430}"/>
    <cellStyle name="20 % - Akzent4" xfId="8165" hidden="1" xr:uid="{B315B228-AD3C-4994-9EE8-502C5810D789}"/>
    <cellStyle name="20 % - Akzent4" xfId="8686" hidden="1" xr:uid="{BEB58EF7-056C-48D0-9021-5A5792F0BA23}"/>
    <cellStyle name="20 % - Akzent4" xfId="8801" hidden="1" xr:uid="{215275A2-AC60-46D1-8768-FCAA5BAFC134}"/>
    <cellStyle name="20 % - Akzent4" xfId="8417" hidden="1" xr:uid="{1ECA29B4-1594-44DA-BFC0-0BF1E9FB73CA}"/>
    <cellStyle name="20 % - Akzent4" xfId="9012" hidden="1" xr:uid="{304EBBA0-D7F7-4689-B2B2-D76483E37D9B}"/>
    <cellStyle name="20 % - Akzent4" xfId="9367" hidden="1" xr:uid="{AD94372A-295B-4C10-AB8B-9F30DDCBF700}"/>
    <cellStyle name="20 % - Akzent4" xfId="8968" hidden="1" xr:uid="{2B4A1CB4-6C49-48EF-9EAD-0DE4F88ECC60}"/>
    <cellStyle name="20 % - Akzent4" xfId="10046" hidden="1" xr:uid="{FDBE7C8D-C070-455E-A9FE-BF72520448DC}"/>
    <cellStyle name="20 % - Akzent4" xfId="10110" hidden="1" xr:uid="{F9D469DB-6231-4AEB-87A5-A22608C3E4B9}"/>
    <cellStyle name="20 % - Akzent4" xfId="9957" hidden="1" xr:uid="{9731CA96-7522-4D5E-88C9-178A1C11F356}"/>
    <cellStyle name="20 % - Akzent4" xfId="10220" hidden="1" xr:uid="{E2F3992D-ED4D-418E-98DA-B4E2DEC8EEA0}"/>
    <cellStyle name="20 % - Akzent4" xfId="10551" hidden="1" xr:uid="{435E1CEB-36B3-451A-8A66-C615891FBFCB}"/>
    <cellStyle name="20 % - Akzent4" xfId="10873" hidden="1" xr:uid="{A8B80AEF-2236-4281-AD5B-1CBC8ADCF4A9}"/>
    <cellStyle name="20 % - Akzent4" xfId="11214" hidden="1" xr:uid="{6097D9FC-4485-4D15-8DDD-580D9FB7A7C4}"/>
    <cellStyle name="20 % - Akzent4" xfId="10945" hidden="1" xr:uid="{DCD2BF5F-A406-43D9-B925-52D1B2BC9CE9}"/>
    <cellStyle name="20 % - Akzent4" xfId="11240" hidden="1" xr:uid="{F8EC2812-88E3-4D57-8D72-F0461FC9A885}"/>
    <cellStyle name="20 % - Akzent4" xfId="11111" hidden="1" xr:uid="{C866E9C0-791C-49EC-9B0B-D4677AF5F8DF}"/>
    <cellStyle name="20 % - Akzent4" xfId="10710" hidden="1" xr:uid="{6AB043A9-E6A8-4834-9A45-DD958BA7D248}"/>
    <cellStyle name="20 % - Akzent4" xfId="10770" hidden="1" xr:uid="{A4DA43CB-E63F-48D8-8073-6D6658CFA202}"/>
    <cellStyle name="20 % - Akzent4" xfId="11418" hidden="1" xr:uid="{71CD6B13-3C50-407F-A49E-105E684CC7E1}"/>
    <cellStyle name="20 % - Akzent4" xfId="11780" hidden="1" xr:uid="{72F80734-866B-440D-A892-E61D84F51F90}"/>
    <cellStyle name="20 % - Akzent4" xfId="12328" hidden="1" xr:uid="{9139A9BD-B9A9-4F4B-AD82-EB0603A34EC4}"/>
    <cellStyle name="20 % - Akzent4" xfId="11395" hidden="1" xr:uid="{74617672-78E9-4BB8-AEE2-8280A46ADF70}"/>
    <cellStyle name="20 % - Akzent4" xfId="13200" hidden="1" xr:uid="{FD77C855-891D-4A1E-8A2E-8872944A21B5}"/>
    <cellStyle name="20 % - Akzent4" xfId="11801" hidden="1" xr:uid="{29589DAB-2E79-4BA9-8298-B77650C770F6}"/>
    <cellStyle name="20 % - Akzent4" xfId="11572" hidden="1" xr:uid="{9E13EC4B-BD56-4E9E-9901-80FCE3713007}"/>
    <cellStyle name="20 % - Akzent4" xfId="11450" hidden="1" xr:uid="{D5F9E9FF-C031-464D-B4BF-B6BB59DE6589}"/>
    <cellStyle name="20 % - Akzent4" xfId="14360" hidden="1" xr:uid="{3025F664-7EB2-4504-A539-EB73AF2FBD5C}"/>
    <cellStyle name="20 % - Akzent4" xfId="13961" hidden="1" xr:uid="{D6FFBA70-F803-475B-94D5-CC69A2F59597}"/>
    <cellStyle name="20 % - Akzent4" xfId="14730" hidden="1" xr:uid="{0E9CCF2F-FC6D-45B5-836E-BAE0568926CB}"/>
    <cellStyle name="20 % - Akzent4" xfId="11383" hidden="1" xr:uid="{AA1AD52D-5EEB-445C-B59C-AD6C4CBA0203}"/>
    <cellStyle name="20 % - Akzent4" xfId="15145" hidden="1" xr:uid="{3AD7E4CC-08CC-4ECA-99FF-5CF57A5C770F}"/>
    <cellStyle name="20 % - Akzent4" xfId="15334" hidden="1" xr:uid="{431FEC09-F4CF-445B-8602-DB4198DA5189}"/>
    <cellStyle name="20 % - Akzent4" xfId="15152" hidden="1" xr:uid="{99C93C88-909F-4EFE-BD9D-9A28D11F1299}"/>
    <cellStyle name="20 % - Akzent4" xfId="11712" hidden="1" xr:uid="{4AF884C3-7283-4216-A2EB-034E667FBBC6}"/>
    <cellStyle name="20 % - Akzent4" xfId="15261" hidden="1" xr:uid="{2A943CA6-93AC-4960-9E65-77C1859D9CEE}"/>
    <cellStyle name="20 % - Akzent4" xfId="15580" hidden="1" xr:uid="{22FFBE69-03D9-4ED6-ACAE-55E3B3B3B405}"/>
    <cellStyle name="20 % - Akzent4" xfId="15670" hidden="1" xr:uid="{6549C789-6109-42A2-855A-DF8672F4927A}"/>
    <cellStyle name="20 % - Akzent4" xfId="15562" hidden="1" xr:uid="{30A3AB05-8990-4353-A563-4BB15077CA12}"/>
    <cellStyle name="20 % - Akzent4" xfId="13806" hidden="1" xr:uid="{FF0D9057-C47A-4044-B87D-C29EE8354955}"/>
    <cellStyle name="20 % - Akzent4" xfId="15668" hidden="1" xr:uid="{6EE1F6CC-3A3A-437C-B2F6-9B0043E76852}"/>
    <cellStyle name="20 % - Akzent4" xfId="15867" hidden="1" xr:uid="{88DD846B-EC68-4CB0-963F-5B6708C49C0A}"/>
    <cellStyle name="20 % - Akzent4" xfId="15339" hidden="1" xr:uid="{B25A910E-A45E-48C8-BB3D-B022DF848F16}"/>
    <cellStyle name="20 % - Akzent4" xfId="16026" hidden="1" xr:uid="{1C49DD73-0503-4B57-A217-CB130713698D}"/>
    <cellStyle name="20 % - Akzent4" xfId="16109" hidden="1" xr:uid="{96166B77-DB9C-4950-B51E-D78905B0520F}"/>
    <cellStyle name="20 % - Akzent4" xfId="16473" hidden="1" xr:uid="{3A98DD6C-E796-41F1-B74D-E1F531E9766A}"/>
    <cellStyle name="20 % - Akzent4" xfId="16456" hidden="1" xr:uid="{DC294F6F-0CA4-4376-8AC6-0B94B8B9540F}"/>
    <cellStyle name="20 % - Akzent4" xfId="17164" hidden="1" xr:uid="{D85EE8D7-6B84-4261-89F8-6CDF15AF8450}"/>
    <cellStyle name="20 % - Akzent4" xfId="16067" hidden="1" xr:uid="{F647B891-BBD9-4924-B92C-F4E2E8ED935D}"/>
    <cellStyle name="20 % - Akzent4" xfId="17070" hidden="1" xr:uid="{A3577A07-0D39-4039-9104-0609177EA896}"/>
    <cellStyle name="20 % - Akzent4" xfId="17624" hidden="1" xr:uid="{241DD152-C983-4D02-95AA-DA7F7E3FC4D8}"/>
    <cellStyle name="20 % - Akzent4" xfId="16497" hidden="1" xr:uid="{87A4DAD4-D6A2-4E0B-BCB4-C17B28BB9EBD}"/>
    <cellStyle name="20 % - Akzent4" xfId="17784" hidden="1" xr:uid="{95F1DD13-FF08-49D8-9919-A1FD2BE0BAEC}"/>
    <cellStyle name="20 % - Akzent4" xfId="17671" hidden="1" xr:uid="{9F5A1355-5F52-4813-B690-138856ACE7C3}"/>
    <cellStyle name="20 % - Akzent4" xfId="16270" hidden="1" xr:uid="{A46E7636-E95A-4C41-BA27-B44EDEE054F6}"/>
    <cellStyle name="20 % - Akzent4" xfId="17179" hidden="1" xr:uid="{F48B4CAA-EDA7-4C73-B61E-3807051D7BF7}"/>
    <cellStyle name="20 % - Akzent4" xfId="17123" hidden="1" xr:uid="{776E46EA-27DF-416C-818F-4A4664D73B05}"/>
    <cellStyle name="20 % - Akzent4" xfId="17072" hidden="1" xr:uid="{8FAEC1F5-38C3-4CD7-8830-05AF436A8CE3}"/>
    <cellStyle name="20 % - Akzent4" xfId="18270" hidden="1" xr:uid="{2691CD1F-664C-4065-8A8C-DB06ABBF4C39}"/>
    <cellStyle name="20 % - Akzent4" xfId="18997" hidden="1" xr:uid="{531E8D6C-7ABD-499E-AD01-9BBDFA253300}"/>
    <cellStyle name="20 % - Akzent4" xfId="18071" hidden="1" xr:uid="{433315C7-5627-4153-AA94-E1B2E4176A0F}"/>
    <cellStyle name="20 % - Akzent4" xfId="19149" hidden="1" xr:uid="{33454183-2FD6-4463-A5FF-D2F49A5B4F15}"/>
    <cellStyle name="20 % - Akzent4" xfId="19442" hidden="1" xr:uid="{7E5CF0AD-2C09-46E9-A32A-A4E2C4FC5DD8}"/>
    <cellStyle name="20 % - Akzent4" xfId="19809" hidden="1" xr:uid="{4E20F53D-ABA3-4780-833B-CC79DFB15EBC}"/>
    <cellStyle name="20 % - Akzent4" xfId="19790" hidden="1" xr:uid="{8C4DE5CA-0866-4396-A512-B2BDC5AE35E0}"/>
    <cellStyle name="20 % - Akzent4" xfId="19891" hidden="1" xr:uid="{AE173A78-6C6C-47E9-9528-759A9E1440B6}"/>
    <cellStyle name="20 % - Akzent4" xfId="20489" hidden="1" xr:uid="{00F9B377-B129-4CAB-A8AB-493CFE00460F}"/>
    <cellStyle name="20 % - Akzent4" xfId="19832" hidden="1" xr:uid="{0D5A261F-B66C-4A78-BF4A-734E0FE1A520}"/>
    <cellStyle name="20 % - Akzent4" xfId="20967" hidden="1" xr:uid="{D33E0B57-6083-4B23-B81F-135654B9DA6D}"/>
    <cellStyle name="20 % - Akzent4" xfId="21144" hidden="1" xr:uid="{59B2603F-A09C-4174-85BA-BA049E1794AF}"/>
    <cellStyle name="20 % - Akzent4" xfId="21554" hidden="1" xr:uid="{C455A28B-1A11-41D3-A88A-60930B5573E9}"/>
    <cellStyle name="20 % - Akzent4" xfId="21069" hidden="1" xr:uid="{8E84330A-D5A3-4FC8-89B8-34D590E3C7ED}"/>
    <cellStyle name="20 % - Akzent4" xfId="20839" hidden="1" xr:uid="{A7C279E3-CCA7-41B1-A0C9-28E0B2236B3F}"/>
    <cellStyle name="20 % - Akzent4" xfId="21422" hidden="1" xr:uid="{A4298D32-0AB7-4C75-9D4F-5957C5F57B34}"/>
    <cellStyle name="20 % - Akzent4" xfId="22040" hidden="1" xr:uid="{DDC26660-9990-4EAE-86AE-56D95833519D}"/>
    <cellStyle name="20 % - Akzent4" xfId="22023" hidden="1" xr:uid="{9596C24D-2F76-43C3-9FB6-A287F86B6BCE}"/>
    <cellStyle name="20 % - Akzent4" xfId="22440" hidden="1" xr:uid="{698F9025-D083-4ADA-B566-1551BB94D4A9}"/>
    <cellStyle name="20 % - Akzent4" xfId="22592" hidden="1" xr:uid="{540F66E9-05C4-4AA1-AF9E-82F9B48ED2A7}"/>
    <cellStyle name="20 % - Akzent4" xfId="22952" hidden="1" xr:uid="{E9F35000-535F-45EC-9FB5-66489682400A}"/>
    <cellStyle name="20 % - Akzent4" xfId="22776" hidden="1" xr:uid="{CBFD63E9-40DA-4396-9C44-A1ECC19FF3E4}"/>
    <cellStyle name="20 % - Akzent4" xfId="21586" hidden="1" xr:uid="{D852977F-BD17-4CBD-97B3-71262E281805}"/>
    <cellStyle name="20 % - Akzent4" xfId="22936" hidden="1" xr:uid="{F6F0C898-7AA7-40E3-ABE9-F0D6B82544BE}"/>
    <cellStyle name="20 % - Akzent4" xfId="23313" hidden="1" xr:uid="{D77587BA-48BE-4A5C-ADE1-4E9F5CB5C48E}"/>
    <cellStyle name="20 % - Akzent4" xfId="22909" hidden="1" xr:uid="{3E24EF78-94A1-456D-9DD4-B6AEFEB7ADB9}"/>
    <cellStyle name="20 % - Akzent4" xfId="22444" hidden="1" xr:uid="{7B2C28FA-3EAC-46A7-9C1C-78C42709FFD9}"/>
    <cellStyle name="20 % - Akzent4" xfId="23576" hidden="1" xr:uid="{17394CB3-A78E-44D6-A300-CA379E58D1D4}"/>
    <cellStyle name="20 % - Akzent4" xfId="19703" hidden="1" xr:uid="{9F5086AC-052A-4F1C-9EC2-CFF989B61802}"/>
    <cellStyle name="20 % - Akzent4" xfId="22964" hidden="1" xr:uid="{64289D25-FC0F-4080-9949-F60602239BD5}"/>
    <cellStyle name="20 % - Akzent4" xfId="23286" hidden="1" xr:uid="{B8B6D86C-A483-4849-90C1-6D34ED3B55B6}"/>
    <cellStyle name="20 % - Akzent4" xfId="24164" hidden="1" xr:uid="{5AAEC4CD-8D22-4BFD-8D71-09BC305728F8}"/>
    <cellStyle name="20 % - Akzent4" xfId="24583" hidden="1" xr:uid="{74C899A3-A5A3-4B8B-ADE4-615CF825C91E}"/>
    <cellStyle name="20 % - Akzent4" xfId="25210" hidden="1" xr:uid="{ADAE4907-7149-4EB5-BBDD-9904B5CD2064}"/>
    <cellStyle name="20 % - Akzent4" xfId="24993" hidden="1" xr:uid="{42555436-80CE-487C-A403-EA1DE9D0CEE5}"/>
    <cellStyle name="20 % - Akzent4" xfId="25395" hidden="1" xr:uid="{56AC6557-70E7-4966-83C5-4BF19CB5CCE7}"/>
    <cellStyle name="20 % - Akzent4" xfId="26069" hidden="1" xr:uid="{024CAA3E-2FC2-49FD-891C-6A39DA8B42C3}"/>
    <cellStyle name="20 % - Akzent4" xfId="26038" hidden="1" xr:uid="{E833BB24-150F-47F8-BAA5-C0A76E4A5471}"/>
    <cellStyle name="20 % - Akzent4" xfId="26006" hidden="1" xr:uid="{9E843BFF-A39D-46EB-8A5D-277AC540D76D}"/>
    <cellStyle name="20 % - Akzent4" xfId="26527" hidden="1" xr:uid="{134BFF61-34CA-491C-9DD7-52B2D3B16CF5}"/>
    <cellStyle name="20 % - Akzent4" xfId="25515" hidden="1" xr:uid="{AAEA937B-FDAC-41EC-BF4A-CE3BF2DC9F0E}"/>
    <cellStyle name="20 % - Akzent4" xfId="26100" hidden="1" xr:uid="{2731E8A2-E2BA-407A-ACED-A9AFF0763C4B}"/>
    <cellStyle name="20 % - Akzent4" xfId="24261" hidden="1" xr:uid="{A63572C7-BB97-4902-BE57-3BE118E23B47}"/>
    <cellStyle name="20 % - Akzent4" xfId="26802" hidden="1" xr:uid="{CE4E92F1-51A0-4C69-AFD0-8A2C658F337E}"/>
    <cellStyle name="20 % - Akzent4" xfId="26596" hidden="1" xr:uid="{F143ADEE-4959-4324-98B7-1E88650133ED}"/>
    <cellStyle name="20 % - Akzent4" xfId="25936" hidden="1" xr:uid="{7C8D9266-6CD2-4125-B32B-35D97E220533}"/>
    <cellStyle name="20 % - Akzent4" xfId="27827" hidden="1" xr:uid="{E0ABC41B-F278-439B-9D7A-2ADFF8A83E9D}"/>
    <cellStyle name="20 % - Akzent4" xfId="26708" hidden="1" xr:uid="{CC42E3B8-E6D3-41CD-ABE8-A250A9175900}"/>
    <cellStyle name="20 % - Akzent4" xfId="27824" hidden="1" xr:uid="{E4DA4568-1B42-4BB8-BA04-9C53CE59FBF8}"/>
    <cellStyle name="20 % - Akzent4" xfId="27794" hidden="1" xr:uid="{0AB99F41-B695-4D29-B70C-12AF74BA83B2}"/>
    <cellStyle name="20 % - Akzent4" xfId="27669" hidden="1" xr:uid="{6D141EFB-8622-4A58-89F6-B1DB6FB976A2}"/>
    <cellStyle name="20 % - Akzent4" xfId="27956" hidden="1" xr:uid="{E6F0B86E-D9EB-45C1-B8C5-AD476F8ACD52}"/>
    <cellStyle name="20 % - Akzent4" xfId="28282" hidden="1" xr:uid="{D25AAA68-8B88-4A75-9D76-486F08CB121B}"/>
    <cellStyle name="20 % - Akzent4" xfId="28810" hidden="1" xr:uid="{D8137819-BE34-4ACE-82AE-CF36E59BAAAD}"/>
    <cellStyle name="20 % - Akzent4" xfId="28012" hidden="1" xr:uid="{5241D46F-3C90-4F84-BA32-ACF92902B4C8}"/>
    <cellStyle name="20 % - Akzent4" xfId="28215" hidden="1" xr:uid="{0F764CEB-2954-4E31-82D0-9C85BA924285}"/>
    <cellStyle name="20 % - Akzent4" xfId="29602" hidden="1" xr:uid="{08C73F28-474D-4207-8978-163730056EFF}"/>
    <cellStyle name="20 % - Akzent4" xfId="30011" hidden="1" xr:uid="{B4D39100-65AB-48AC-88C6-14FC93979122}"/>
    <cellStyle name="20 % - Akzent4" xfId="28217" hidden="1" xr:uid="{9BB062BD-4718-47FE-8D22-519629C36457}"/>
    <cellStyle name="20 % - Akzent4" xfId="30888" hidden="1" xr:uid="{7743AEA8-4F74-426E-B589-BED5E2D5D0A2}"/>
    <cellStyle name="20 % - Akzent4" xfId="29241" hidden="1" xr:uid="{353240B8-517B-4B48-8BCF-B5CDFA0D0E14}"/>
    <cellStyle name="20 % - Akzent4 2" xfId="376" xr:uid="{736169A7-F9F5-4D56-B800-29FDC2F8A4F5}"/>
    <cellStyle name="20 % - Akzent4 3" xfId="245" xr:uid="{CFDBA1EE-01B8-49EC-9542-2DACD8A3FBF3}"/>
    <cellStyle name="20 % - Akzent5" xfId="62" hidden="1" xr:uid="{BAF91388-AED1-454A-9281-509DD4251F2D}"/>
    <cellStyle name="20 % - Akzent5" xfId="909" hidden="1" xr:uid="{8C8B9AE8-1980-4AE1-A86D-2917FC8C24B9}"/>
    <cellStyle name="20 % - Akzent5" xfId="988" hidden="1" xr:uid="{3E5490D8-496B-473C-B535-9C671E63ACC8}"/>
    <cellStyle name="20 % - Akzent5" xfId="1403" hidden="1" xr:uid="{4EA89299-1FEE-4A54-8CCE-CCDEDD870803}"/>
    <cellStyle name="20 % - Akzent5" xfId="1616" hidden="1" xr:uid="{4B058411-B134-489E-95B0-37BBCEF4A77B}"/>
    <cellStyle name="20 % - Akzent5" xfId="1890" hidden="1" xr:uid="{D37F5143-A3B6-4389-9E31-590B7EC7949A}"/>
    <cellStyle name="20 % - Akzent5" xfId="2315" hidden="1" xr:uid="{70CFE1E8-19D6-443A-8D29-5BD5E60DC1CD}"/>
    <cellStyle name="20 % - Akzent5" xfId="2735" hidden="1" xr:uid="{3ED0AAD0-C330-4E16-A065-07B1EACF4093}"/>
    <cellStyle name="20 % - Akzent5" xfId="2840" hidden="1" xr:uid="{F02D0E4F-F056-4504-8C8E-3DE3BD201FC4}"/>
    <cellStyle name="20 % - Akzent5" xfId="2026" hidden="1" xr:uid="{7E3927D2-792C-4766-825F-94EAC57E0B7E}"/>
    <cellStyle name="20 % - Akzent5" xfId="2229" hidden="1" xr:uid="{3E2A23FA-B02E-45D0-8989-85242375CECC}"/>
    <cellStyle name="20 % - Akzent5" xfId="3308" hidden="1" xr:uid="{3689E394-9F4C-4DF8-81F0-7BBFC6B849C1}"/>
    <cellStyle name="20 % - Akzent5" xfId="2962" hidden="1" xr:uid="{85AA6636-0F7A-4CA1-8A74-00908D747D5B}"/>
    <cellStyle name="20 % - Akzent5" xfId="3366" hidden="1" xr:uid="{00488530-62AC-497F-8096-5E2F5F2BAE07}"/>
    <cellStyle name="20 % - Akzent5" xfId="2944" hidden="1" xr:uid="{603A733C-C29C-4A66-8B4D-6ED1F9C6CE00}"/>
    <cellStyle name="20 % - Akzent5" xfId="3639" hidden="1" xr:uid="{3FFAFF4E-5482-4AE2-8F18-F3E9DF028F9E}"/>
    <cellStyle name="20 % - Akzent5" xfId="3119" hidden="1" xr:uid="{94ECD778-7B75-4B74-B84E-4595452A587B}"/>
    <cellStyle name="20 % - Akzent5" xfId="3339" hidden="1" xr:uid="{8E022940-54EF-4344-91BF-CFA264568F68}"/>
    <cellStyle name="20 % - Akzent5" xfId="4862" hidden="1" xr:uid="{D4966FBA-BC60-40DF-92B1-525502907B49}"/>
    <cellStyle name="20 % - Akzent5" xfId="2198" hidden="1" xr:uid="{28491F53-3015-409A-BBCF-3B9F693AB3FE}"/>
    <cellStyle name="20 % - Akzent5" xfId="4848" hidden="1" xr:uid="{3E073968-31B0-4BCD-907D-731E90CBC57B}"/>
    <cellStyle name="20 % - Akzent5" xfId="5665" hidden="1" xr:uid="{6F128F60-0A1A-4246-AE99-C4F92B06D3C7}"/>
    <cellStyle name="20 % - Akzent5" xfId="5639" hidden="1" xr:uid="{66BF0EBE-5485-4143-8180-EB76F8093F8E}"/>
    <cellStyle name="20 % - Akzent5" xfId="5844" hidden="1" xr:uid="{222707AF-2837-4E54-A3C5-D426E300456E}"/>
    <cellStyle name="20 % - Akzent5" xfId="5126" hidden="1" xr:uid="{028A10C9-4500-4EC8-9BFF-BDC47D3006CF}"/>
    <cellStyle name="20 % - Akzent5" xfId="5609" hidden="1" xr:uid="{910A7480-F553-41CE-8BB2-30D6441A032C}"/>
    <cellStyle name="20 % - Akzent5" xfId="6108" hidden="1" xr:uid="{AEF28BF2-FE99-44E4-A1D9-B5435B2EE05E}"/>
    <cellStyle name="20 % - Akzent5" xfId="6085" hidden="1" xr:uid="{4AE2A05F-2C7C-40FE-BD74-CA5A05C3204A}"/>
    <cellStyle name="20 % - Akzent5" xfId="6123" hidden="1" xr:uid="{8AD34DA9-7D41-4310-A2F7-65EFA18BECCD}"/>
    <cellStyle name="20 % - Akzent5" xfId="6516" hidden="1" xr:uid="{0000E6D6-61A1-40C9-8334-6A413513F886}"/>
    <cellStyle name="20 % - Akzent5" xfId="6591" hidden="1" xr:uid="{733D857A-281D-4A4E-BE19-51F695D49A43}"/>
    <cellStyle name="20 % - Akzent5" xfId="2045" hidden="1" xr:uid="{718E28CB-40CF-4180-AED6-519136425044}"/>
    <cellStyle name="20 % - Akzent5" xfId="6569" hidden="1" xr:uid="{56A11D23-9C45-45DF-8BED-E75186402685}"/>
    <cellStyle name="20 % - Akzent5" xfId="6235" hidden="1" xr:uid="{3603D835-1A83-4B3A-8162-22BD558B88C5}"/>
    <cellStyle name="20 % - Akzent5" xfId="5101" hidden="1" xr:uid="{C99FC93F-32B7-415B-858F-D8A5CF6B867A}"/>
    <cellStyle name="20 % - Akzent5" xfId="6481" hidden="1" xr:uid="{4F779806-3B5B-44C8-896F-3E2D8D1E499F}"/>
    <cellStyle name="20 % - Akzent5" xfId="6226" hidden="1" xr:uid="{203B290C-9426-43A5-BDAC-13AB538A50C7}"/>
    <cellStyle name="20 % - Akzent5" xfId="6802" hidden="1" xr:uid="{8018BC94-C906-4EAF-8BCF-E3B479ED22F7}"/>
    <cellStyle name="20 % - Akzent5" xfId="7218" hidden="1" xr:uid="{48BB7E4D-1C62-4A9C-84F4-60FE8FB60418}"/>
    <cellStyle name="20 % - Akzent5" xfId="7627" hidden="1" xr:uid="{14A599AE-8DBA-4823-ABA9-0A057FA0C963}"/>
    <cellStyle name="20 % - Akzent5" xfId="7614" hidden="1" xr:uid="{D896B72D-59F5-40B7-BF52-716840846300}"/>
    <cellStyle name="20 % - Akzent5" xfId="7674" hidden="1" xr:uid="{B394E8D8-8577-4D08-95A8-EA3D91562A12}"/>
    <cellStyle name="20 % - Akzent5" xfId="8112" hidden="1" xr:uid="{BD4FA6D1-8810-4B51-8B10-05321EDF6CCB}"/>
    <cellStyle name="20 % - Akzent5" xfId="8138" hidden="1" xr:uid="{FB894B0F-2332-4807-AC72-F770141BE1CC}"/>
    <cellStyle name="20 % - Akzent5" xfId="8052" hidden="1" xr:uid="{8A3FE6E3-8C6C-4827-A265-5E8E9367848F}"/>
    <cellStyle name="20 % - Akzent5" xfId="7759" hidden="1" xr:uid="{6535BD94-BF5D-46D2-911B-A813E5AEB554}"/>
    <cellStyle name="20 % - Akzent5" xfId="8129" hidden="1" xr:uid="{C45CD7CA-8B67-436E-81C8-ECD69E375B75}"/>
    <cellStyle name="20 % - Akzent5" xfId="6741" hidden="1" xr:uid="{F3A44BBF-D9AE-4342-B1F7-BCB2C5D19D3E}"/>
    <cellStyle name="20 % - Akzent5" xfId="8306" hidden="1" xr:uid="{484CBFD3-7130-4D03-BA50-FD465521B9C9}"/>
    <cellStyle name="20 % - Akzent5" xfId="8196" hidden="1" xr:uid="{06954492-7084-465D-A6BE-0DB90B30FB45}"/>
    <cellStyle name="20 % - Akzent5" xfId="8198" hidden="1" xr:uid="{45889DAE-4715-4A89-8A7F-9C9C198390E5}"/>
    <cellStyle name="20 % - Akzent5" xfId="7902" hidden="1" xr:uid="{D1519825-716A-452C-B77D-04BCE79ED38C}"/>
    <cellStyle name="20 % - Akzent5" xfId="8080" hidden="1" xr:uid="{B35BD800-1948-4E3A-A6F1-81BB673B87B2}"/>
    <cellStyle name="20 % - Akzent5" xfId="7858" hidden="1" xr:uid="{228F0D29-7BBA-4F8C-92F5-3EAB17D32BE1}"/>
    <cellStyle name="20 % - Akzent5" xfId="8086" hidden="1" xr:uid="{38D62A04-6CFB-4B61-A1FB-7CDE59FD754F}"/>
    <cellStyle name="20 % - Akzent5" xfId="8608" hidden="1" xr:uid="{C0F53E98-54D7-4447-9C4C-DA8C25F703E9}"/>
    <cellStyle name="20 % - Akzent5" xfId="8407" hidden="1" xr:uid="{3387C87B-ED3D-4CCF-B718-20A56C53F1E8}"/>
    <cellStyle name="20 % - Akzent5" xfId="8766" hidden="1" xr:uid="{43B2D8F9-7970-4359-A7BE-FABC62694D09}"/>
    <cellStyle name="20 % - Akzent5" xfId="8818" hidden="1" xr:uid="{6ED97189-7CA8-4C08-B472-C55CC0CBF2AE}"/>
    <cellStyle name="20 % - Akzent5" xfId="8251" hidden="1" xr:uid="{37E26516-7752-422A-8B72-25EBA3D1AC35}"/>
    <cellStyle name="20 % - Akzent5" xfId="9016" hidden="1" xr:uid="{4858AB26-5A81-4738-BEB0-1A0187074864}"/>
    <cellStyle name="20 % - Akzent5" xfId="9431" hidden="1" xr:uid="{96514FC3-4492-4DFB-A7D4-8B38262B4EFD}"/>
    <cellStyle name="20 % - Akzent5" xfId="9837" hidden="1" xr:uid="{C448FE0E-A53B-4576-93F1-FE06F9383D0F}"/>
    <cellStyle name="20 % - Akzent5" xfId="9827" hidden="1" xr:uid="{B93E4479-51FB-4DF4-B3CC-58369DCF3E82}"/>
    <cellStyle name="20 % - Akzent5" xfId="9959" hidden="1" xr:uid="{7CEE2549-A138-474F-80F6-D1AC25505800}"/>
    <cellStyle name="20 % - Akzent5" xfId="10466" hidden="1" xr:uid="{795BD490-B215-4C75-B9F8-A817F3494467}"/>
    <cellStyle name="20 % - Akzent5" xfId="10817" hidden="1" xr:uid="{1984AE85-E249-4F59-A6BC-84BD6457CC5E}"/>
    <cellStyle name="20 % - Akzent5" xfId="10872" hidden="1" xr:uid="{B8595FA4-06E9-4356-8671-CA90C7489ED0}"/>
    <cellStyle name="20 % - Akzent5" xfId="10784" hidden="1" xr:uid="{E12098BF-E0F2-473B-8A25-B39E991459C5}"/>
    <cellStyle name="20 % - Akzent5" xfId="11256" hidden="1" xr:uid="{4591BF67-8451-49E3-80AE-EFB62546DC55}"/>
    <cellStyle name="20 % - Akzent5" xfId="11191" hidden="1" xr:uid="{2B2517F3-7C0A-4880-975B-6E5B2EDB1471}"/>
    <cellStyle name="20 % - Akzent5" xfId="11224" hidden="1" xr:uid="{C748B77B-C7D7-41EA-91EE-EB19F3D1F2B7}"/>
    <cellStyle name="20 % - Akzent5" xfId="10367" hidden="1" xr:uid="{5009576A-1ECF-404C-A472-1BECEF8AF8C3}"/>
    <cellStyle name="20 % - Akzent5" xfId="10530" hidden="1" xr:uid="{F4843A23-23D6-4B50-BE76-DBCC0F818B60}"/>
    <cellStyle name="20 % - Akzent5" xfId="11147" hidden="1" xr:uid="{288F01CF-B5E0-432C-9A87-9AFCDD54EDAF}"/>
    <cellStyle name="20 % - Akzent5" xfId="11422" hidden="1" xr:uid="{16D4E621-4842-42F9-A87A-9C1C3AEDADE3}"/>
    <cellStyle name="20 % - Akzent5" xfId="11848" hidden="1" xr:uid="{DCE08963-1D88-450F-8ADA-D3D8D2FA9014}"/>
    <cellStyle name="20 % - Akzent5" xfId="12324" hidden="1" xr:uid="{D7F9C4E9-8851-490D-92AF-38CFD3AE479A}"/>
    <cellStyle name="20 % - Akzent5" xfId="11508" hidden="1" xr:uid="{B0B7C5B8-CE07-4733-A232-4249A109EF44}"/>
    <cellStyle name="20 % - Akzent5" xfId="13198" hidden="1" xr:uid="{B358E7DC-693B-437B-A785-FF34931D79D0}"/>
    <cellStyle name="20 % - Akzent5" xfId="11720" hidden="1" xr:uid="{2D58A8F9-8DF5-4741-AE8F-7F3024D3698D}"/>
    <cellStyle name="20 % - Akzent5" xfId="13674" hidden="1" xr:uid="{C1A254D9-0596-402E-9F29-8C83F3C1E192}"/>
    <cellStyle name="20 % - Akzent5" xfId="11377" hidden="1" xr:uid="{C33C858C-5E8D-4E33-BA33-122AB2D3923B}"/>
    <cellStyle name="20 % - Akzent5" xfId="14389" hidden="1" xr:uid="{B2298915-215F-41E0-B03F-F60023843570}"/>
    <cellStyle name="20 % - Akzent5" xfId="11721" hidden="1" xr:uid="{473FB8F1-FC63-4202-AD34-A1BC25A78C64}"/>
    <cellStyle name="20 % - Akzent5" xfId="14610" hidden="1" xr:uid="{74F9376E-8B25-4C1A-A858-78565A645085}"/>
    <cellStyle name="20 % - Akzent5" xfId="14864" hidden="1" xr:uid="{954933F0-C72F-4905-9A1B-540CD84F7879}"/>
    <cellStyle name="20 % - Akzent5" xfId="15032" hidden="1" xr:uid="{51D9A15C-612F-4FD2-83C4-E92673E266D9}"/>
    <cellStyle name="20 % - Akzent5" xfId="14830" hidden="1" xr:uid="{C95D3BD6-E82D-47EA-9F50-C010E14723CC}"/>
    <cellStyle name="20 % - Akzent5" xfId="14220" hidden="1" xr:uid="{049F12EA-2904-4260-ACF9-09C3DF69DF13}"/>
    <cellStyle name="20 % - Akzent5" xfId="15083" hidden="1" xr:uid="{EACE96B8-2FC4-46EB-A60C-ACB5760B535B}"/>
    <cellStyle name="20 % - Akzent5" xfId="15094" hidden="1" xr:uid="{39D01AF7-D9A6-407B-B75C-5AAAB8FA06D5}"/>
    <cellStyle name="20 % - Akzent5" xfId="15488" hidden="1" xr:uid="{E1205453-A3F3-49C6-BE0F-CDA0FE767832}"/>
    <cellStyle name="20 % - Akzent5" xfId="15461" hidden="1" xr:uid="{4FA3AF04-DA9B-4A0E-92E0-771B7CE21D60}"/>
    <cellStyle name="20 % - Akzent5" xfId="15095" hidden="1" xr:uid="{956B901E-B56B-4CBF-857A-279956355B40}"/>
    <cellStyle name="20 % - Akzent5" xfId="14820" hidden="1" xr:uid="{AECA6882-4130-4980-AD56-3CA3B76B08B4}"/>
    <cellStyle name="20 % - Akzent5" xfId="14843" hidden="1" xr:uid="{E681C60A-A3B9-43C4-889C-B9CB972B83D3}"/>
    <cellStyle name="20 % - Akzent5" xfId="15895" hidden="1" xr:uid="{2C95E59A-57EF-4326-99AB-93286808C77A}"/>
    <cellStyle name="20 % - Akzent5" xfId="15470" hidden="1" xr:uid="{62231381-E28A-4166-B4A6-B6A0350F6AAA}"/>
    <cellStyle name="20 % - Akzent5" xfId="16029" hidden="1" xr:uid="{D73D1DB0-04D7-4464-8A91-3A6E2477C3D5}"/>
    <cellStyle name="20 % - Akzent5" xfId="16113" hidden="1" xr:uid="{166FF286-4567-4B5D-B5E4-2F839FB2953F}"/>
    <cellStyle name="20 % - Akzent5" xfId="16540" hidden="1" xr:uid="{D91D8942-E369-4960-8C81-9F15FE977EC2}"/>
    <cellStyle name="20 % - Akzent5" xfId="16952" hidden="1" xr:uid="{460C9C75-57E9-42B4-A026-EB02E3C5DA41}"/>
    <cellStyle name="20 % - Akzent5" xfId="16939" hidden="1" xr:uid="{7D5F21C9-EBE9-4DD0-B79B-A56B903CB2F0}"/>
    <cellStyle name="20 % - Akzent5" xfId="17001" hidden="1" xr:uid="{D756819B-987E-48D4-AF70-9145DD2B186E}"/>
    <cellStyle name="20 % - Akzent5" xfId="17609" hidden="1" xr:uid="{11CF8B2C-F904-45C2-A953-1881FAC04864}"/>
    <cellStyle name="20 % - Akzent5" xfId="16044" hidden="1" xr:uid="{8DDD7058-AF9B-49DB-B281-1F8D63578D13}"/>
    <cellStyle name="20 % - Akzent5" xfId="17930" hidden="1" xr:uid="{3E869EB5-4767-4B04-8233-1789E33813E9}"/>
    <cellStyle name="20 % - Akzent5" xfId="18150" hidden="1" xr:uid="{3A1AF571-FE9E-4AE0-9EDD-24825B6EEFA7}"/>
    <cellStyle name="20 % - Akzent5" xfId="17441" hidden="1" xr:uid="{1559B4C9-70E5-4D8E-9611-75E8369C0BA9}"/>
    <cellStyle name="20 % - Akzent5" xfId="17992" hidden="1" xr:uid="{193D34AE-F827-4E25-A57E-9CB5977E3EE2}"/>
    <cellStyle name="20 % - Akzent5" xfId="17883" hidden="1" xr:uid="{258F5F2F-657C-437D-95D9-BFC50982F9DB}"/>
    <cellStyle name="20 % - Akzent5" xfId="17938" hidden="1" xr:uid="{2B8096C5-9FE1-40B4-BBCF-55786FF4634D}"/>
    <cellStyle name="20 % - Akzent5" xfId="18824" hidden="1" xr:uid="{FE4DD465-7162-450C-827F-054F180C3ED5}"/>
    <cellStyle name="20 % - Akzent5" xfId="19000" hidden="1" xr:uid="{0C90FF2F-C227-4713-BA13-0611A07195D6}"/>
    <cellStyle name="20 % - Akzent5" xfId="19105" hidden="1" xr:uid="{FE4905C7-D1D8-4AE0-83DF-78BE9F6A83B9}"/>
    <cellStyle name="20 % - Akzent5" xfId="19144" hidden="1" xr:uid="{7B8570AE-06CE-47B9-8802-B8FBC998C872}"/>
    <cellStyle name="20 % - Akzent5" xfId="18139" hidden="1" xr:uid="{44AC7057-C18C-4117-BC7D-F1308135344A}"/>
    <cellStyle name="20 % - Akzent5" xfId="19446" hidden="1" xr:uid="{3098BC25-4CA2-4618-8D8E-A1727DFC2A98}"/>
    <cellStyle name="20 % - Akzent5" xfId="19877" hidden="1" xr:uid="{011A0F65-3729-47CE-AC96-0A89FC4E026F}"/>
    <cellStyle name="20 % - Akzent5" xfId="20297" hidden="1" xr:uid="{2231066D-B0E4-45E8-8B98-C5242740525F}"/>
    <cellStyle name="20 % - Akzent5" xfId="20536" hidden="1" xr:uid="{F9844637-60AC-469B-ADBA-CD8460A0ABC8}"/>
    <cellStyle name="20 % - Akzent5" xfId="20485" hidden="1" xr:uid="{7E06CFC0-6AB1-4576-846A-763DE6B05CDA}"/>
    <cellStyle name="20 % - Akzent5" xfId="20969" hidden="1" xr:uid="{628B5593-E7A0-4C78-9964-0BB763DD504A}"/>
    <cellStyle name="20 % - Akzent5" xfId="21560" hidden="1" xr:uid="{66139D09-9931-40B8-819B-4AD7FE293049}"/>
    <cellStyle name="20 % - Akzent5" xfId="21504" hidden="1" xr:uid="{D35B6582-F0E6-4828-9B86-F19FDB0C45AE}"/>
    <cellStyle name="20 % - Akzent5" xfId="21403" hidden="1" xr:uid="{34AE8719-6F73-43EB-9972-7909B72271DF}"/>
    <cellStyle name="20 % - Akzent5" xfId="21440" hidden="1" xr:uid="{44FC3AF8-0B21-46A2-8B25-DC7F3BB33C17}"/>
    <cellStyle name="20 % - Akzent5" xfId="21262" hidden="1" xr:uid="{F2003FE1-9299-4FA4-9DF3-66CCDDE5C1B4}"/>
    <cellStyle name="20 % - Akzent5" xfId="21900" hidden="1" xr:uid="{4774579F-6933-438B-BAB3-D36C3D6E2843}"/>
    <cellStyle name="20 % - Akzent5" xfId="21477" hidden="1" xr:uid="{2FD30AF1-AFB8-483F-B105-D72C4B85818D}"/>
    <cellStyle name="20 % - Akzent5" xfId="22540" hidden="1" xr:uid="{AB5F4541-9B00-4A9E-ACDC-FBBA48B36EF1}"/>
    <cellStyle name="20 % - Akzent5" xfId="21013" hidden="1" xr:uid="{7D19B5CD-7ECC-42B1-8A66-01D9595F6C05}"/>
    <cellStyle name="20 % - Akzent5" xfId="22675" hidden="1" xr:uid="{F7AAE21C-23B8-44A0-A9A2-1211F58BC752}"/>
    <cellStyle name="20 % - Akzent5" xfId="22900" hidden="1" xr:uid="{D1A63781-ADAD-49A5-8764-2B503E04B4EB}"/>
    <cellStyle name="20 % - Akzent5" xfId="22856" hidden="1" xr:uid="{5F8B9B05-D75A-4C67-951E-01B125306A5B}"/>
    <cellStyle name="20 % - Akzent5" xfId="23096" hidden="1" xr:uid="{C479E798-14CB-4216-9A5B-BE50FD61677A}"/>
    <cellStyle name="20 % - Akzent5" xfId="23282" hidden="1" xr:uid="{0208B7F0-D878-4AEB-B08E-CF8953E491F8}"/>
    <cellStyle name="20 % - Akzent5" xfId="23356" hidden="1" xr:uid="{508E35FB-C300-42B7-90BD-3924A451A185}"/>
    <cellStyle name="20 % - Akzent5" xfId="23618" hidden="1" xr:uid="{588FAED2-1F3E-405A-B934-1979422A47FE}"/>
    <cellStyle name="20 % - Akzent5" xfId="23585" hidden="1" xr:uid="{36FE14E5-4DA6-4451-B810-67FC1130D003}"/>
    <cellStyle name="20 % - Akzent5" xfId="23622" hidden="1" xr:uid="{FD4ACEDC-3B16-4943-824F-C21A712B0EA1}"/>
    <cellStyle name="20 % - Akzent5" xfId="22866" hidden="1" xr:uid="{03742880-F43D-4965-BBD8-FF7616790E71}"/>
    <cellStyle name="20 % - Akzent5" xfId="23507" hidden="1" xr:uid="{09F62BBD-8823-4980-966A-2A21E64EF046}"/>
    <cellStyle name="20 % - Akzent5" xfId="24079" hidden="1" xr:uid="{350D6D2C-E7F0-42D5-B754-8CB0CDBA7423}"/>
    <cellStyle name="20 % - Akzent5" xfId="24168" hidden="1" xr:uid="{3463C185-FF07-49CE-93EF-2D7FCDC7C849}"/>
    <cellStyle name="20 % - Akzent5" xfId="24436" hidden="1" xr:uid="{4E108F76-9C2D-45A6-A898-F188E093F63D}"/>
    <cellStyle name="20 % - Akzent5" xfId="25254" hidden="1" xr:uid="{7784BD06-ACEC-465C-AFF1-47AD71B0070D}"/>
    <cellStyle name="20 % - Akzent5" xfId="24159" hidden="1" xr:uid="{83F8AE35-F710-4049-A9F5-594E259916C1}"/>
    <cellStyle name="20 % - Akzent5" xfId="25509" hidden="1" xr:uid="{328CABCE-B343-452C-A610-C8D4D67DF433}"/>
    <cellStyle name="20 % - Akzent5" xfId="26107" hidden="1" xr:uid="{A88626BD-CFED-4C0E-A265-CEDF498FCDB4}"/>
    <cellStyle name="20 % - Akzent5" xfId="26224" hidden="1" xr:uid="{DEFF03A2-BA29-46AE-A69D-95F71A24CD9B}"/>
    <cellStyle name="20 % - Akzent5" xfId="25422" hidden="1" xr:uid="{CD415B7F-131C-4387-B014-7B60BC81A73B}"/>
    <cellStyle name="20 % - Akzent5" xfId="26425" hidden="1" xr:uid="{B2E48C03-8432-4A09-AB63-66443EBBB4A6}"/>
    <cellStyle name="20 % - Akzent5" xfId="26550" hidden="1" xr:uid="{573F6D0D-566A-4A2C-BA83-0FF0A7E54A3A}"/>
    <cellStyle name="20 % - Akzent5" xfId="26598" hidden="1" xr:uid="{85DBD380-EC6B-453E-A1BC-03B279C7AA45}"/>
    <cellStyle name="20 % - Akzent5" xfId="26575" hidden="1" xr:uid="{B325043B-DB8B-44F2-89FA-36C42E72BE8A}"/>
    <cellStyle name="20 % - Akzent5" xfId="26801" hidden="1" xr:uid="{F800C5DB-3635-4AB8-9DF5-A93BD1E022E1}"/>
    <cellStyle name="20 % - Akzent5" xfId="26651" hidden="1" xr:uid="{6A468099-8089-47E5-B6B3-E0E814F5F480}"/>
    <cellStyle name="20 % - Akzent5" xfId="26066" hidden="1" xr:uid="{0E6DD765-540F-409A-BEA4-ED148E21CE70}"/>
    <cellStyle name="20 % - Akzent5" xfId="27767" hidden="1" xr:uid="{8BA5FDBE-0251-42C3-99B8-67D79CACAAD9}"/>
    <cellStyle name="20 % - Akzent5" xfId="26784" hidden="1" xr:uid="{667A6AA2-7EC5-4E97-BB50-5FB4AB94D1DC}"/>
    <cellStyle name="20 % - Akzent5" xfId="27856" hidden="1" xr:uid="{AAECFCE9-11D5-44E8-9B2B-6C87D9DA74CE}"/>
    <cellStyle name="20 % - Akzent5" xfId="27879" hidden="1" xr:uid="{7388D88B-7CB0-4EF3-8A63-A72CFBC30BF0}"/>
    <cellStyle name="20 % - Akzent5" xfId="26059" hidden="1" xr:uid="{873C41CF-DD44-4F2D-8BD5-CDD1144DDFB6}"/>
    <cellStyle name="20 % - Akzent5" xfId="27960" hidden="1" xr:uid="{FBAE160C-5D43-4AC4-863F-CB1C8691A1D2}"/>
    <cellStyle name="20 % - Akzent5" xfId="28337" hidden="1" xr:uid="{04CB5A26-A80D-423A-B961-C0FA3BFCF7EA}"/>
    <cellStyle name="20 % - Akzent5" xfId="28807" hidden="1" xr:uid="{82E49FDD-F246-4510-BCFB-C792FEDF9288}"/>
    <cellStyle name="20 % - Akzent5" xfId="28326" hidden="1" xr:uid="{91D33329-5665-4E56-A7AE-8D2AF8B978CD}"/>
    <cellStyle name="20 % - Akzent5" xfId="29365" hidden="1" xr:uid="{CD907469-323F-4FA5-8F6C-268A1CDA2F00}"/>
    <cellStyle name="20 % - Akzent5" xfId="29598" hidden="1" xr:uid="{C54A5CED-54F9-477F-992D-2193F7F659F7}"/>
    <cellStyle name="20 % - Akzent5" xfId="29297" hidden="1" xr:uid="{E4B616D2-1A15-409E-844F-72EAD3D6633A}"/>
    <cellStyle name="20 % - Akzent5" xfId="29329" hidden="1" xr:uid="{4366520F-ACB3-4378-840F-4031159A79B0}"/>
    <cellStyle name="20 % - Akzent5" xfId="30913" hidden="1" xr:uid="{5BE34D89-71F0-4834-B86C-16032D30865B}"/>
    <cellStyle name="20 % - Akzent5" xfId="30991" hidden="1" xr:uid="{22ED008B-9D14-48E0-8993-863907BA2EDC}"/>
    <cellStyle name="20 % - Akzent5 2" xfId="377" xr:uid="{FE988F92-8B2C-48C0-AA2B-E3D42B954A3C}"/>
    <cellStyle name="20 % - Akzent5 3" xfId="246" xr:uid="{9D6EF741-6748-47A1-8CD4-69B83540045C}"/>
    <cellStyle name="20 % - Akzent6" xfId="65" hidden="1" xr:uid="{9C0E854E-32DF-4B95-96FB-9BDDB5BF02A7}"/>
    <cellStyle name="20 % - Akzent6" xfId="912" hidden="1" xr:uid="{DB317E85-BE48-4BA7-BD0A-D21D0E129D90}"/>
    <cellStyle name="20 % - Akzent6" xfId="987" hidden="1" xr:uid="{CBC7FD8A-87FF-4A60-9AC1-31C60BCF29B4}"/>
    <cellStyle name="20 % - Akzent6" xfId="1406" hidden="1" xr:uid="{6F2E4FAA-A4AC-473D-BE45-50BD11447781}"/>
    <cellStyle name="20 % - Akzent6" xfId="1626" hidden="1" xr:uid="{643A797F-8900-46EA-BDF3-6A943271829E}"/>
    <cellStyle name="20 % - Akzent6" xfId="1894" hidden="1" xr:uid="{A30C03ED-6F1C-4C52-92CD-575134BAB74D}"/>
    <cellStyle name="20 % - Akzent6" xfId="2161" hidden="1" xr:uid="{F22565FE-998B-43B4-BD76-DE19F64C7F01}"/>
    <cellStyle name="20 % - Akzent6" xfId="2938" hidden="1" xr:uid="{50E7C037-14A8-44F9-BEE8-F508B10AB86D}"/>
    <cellStyle name="20 % - Akzent6" xfId="2903" hidden="1" xr:uid="{D288E4E1-7108-4DD3-95C5-50FD13DA3A66}"/>
    <cellStyle name="20 % - Akzent6" xfId="2833" hidden="1" xr:uid="{9E8115A6-FB07-4A20-AA88-47A018BFB05B}"/>
    <cellStyle name="20 % - Akzent6" xfId="3420" hidden="1" xr:uid="{A0A2E647-AB03-4713-8251-10AE756F07E3}"/>
    <cellStyle name="20 % - Akzent6" xfId="3557" hidden="1" xr:uid="{1E694AB2-E701-4E46-8733-28B8FF7447EE}"/>
    <cellStyle name="20 % - Akzent6" xfId="3296" hidden="1" xr:uid="{D8FF96E5-2D22-4349-A546-C585BF9DFF5B}"/>
    <cellStyle name="20 % - Akzent6" xfId="2238" hidden="1" xr:uid="{B2E9EEF9-1E63-4114-9E6C-E6F40896F11C}"/>
    <cellStyle name="20 % - Akzent6" xfId="3017" hidden="1" xr:uid="{F6C8AC4D-DF61-4F47-A4E5-C5CBFF3EAC35}"/>
    <cellStyle name="20 % - Akzent6" xfId="3744" hidden="1" xr:uid="{44B70485-8620-4495-88B7-96422208C161}"/>
    <cellStyle name="20 % - Akzent6" xfId="3608" hidden="1" xr:uid="{F16B5A52-FAF0-4214-AE43-0F8F0D0D6B02}"/>
    <cellStyle name="20 % - Akzent6" xfId="2960" hidden="1" xr:uid="{E6F3AD6D-3980-4B5F-9512-14A9A20A8F91}"/>
    <cellStyle name="20 % - Akzent6" xfId="4804" hidden="1" xr:uid="{BD4D84A3-7CF4-402E-95AF-BF32F3056CA9}"/>
    <cellStyle name="20 % - Akzent6" xfId="3495" hidden="1" xr:uid="{319E3011-DEC0-415C-9D6B-FDF1071A5EFC}"/>
    <cellStyle name="20 % - Akzent6" xfId="2908" hidden="1" xr:uid="{B0F7162B-154E-470A-8238-64EBF65A9BCF}"/>
    <cellStyle name="20 % - Akzent6" xfId="5688" hidden="1" xr:uid="{290C2219-185F-4CA9-92AB-A7A4DD2F90E0}"/>
    <cellStyle name="20 % - Akzent6" xfId="5701" hidden="1" xr:uid="{8747DD71-540E-4177-B30B-86DAADCD72CB}"/>
    <cellStyle name="20 % - Akzent6" xfId="5772" hidden="1" xr:uid="{34F07E34-A113-4395-B14A-F31DAB95BE30}"/>
    <cellStyle name="20 % - Akzent6" xfId="5720" hidden="1" xr:uid="{4C329E76-D99B-40E3-8502-98E670E2E55A}"/>
    <cellStyle name="20 % - Akzent6" xfId="4214" hidden="1" xr:uid="{A72E2461-D92D-441F-BE26-95EB92C09C34}"/>
    <cellStyle name="20 % - Akzent6" xfId="6133" hidden="1" xr:uid="{21ED3EF0-DA54-4666-93AA-142AEE0F1776}"/>
    <cellStyle name="20 % - Akzent6" xfId="6148" hidden="1" xr:uid="{CB80AEA7-9284-45C2-BF0F-FD57C8EFDACC}"/>
    <cellStyle name="20 % - Akzent6" xfId="6169" hidden="1" xr:uid="{4EF4CEFB-63C0-4DFB-9AC0-46FBB55CB1E1}"/>
    <cellStyle name="20 % - Akzent6" xfId="6448" hidden="1" xr:uid="{CF6373F3-C67A-4299-953C-2FA2B6A9B159}"/>
    <cellStyle name="20 % - Akzent6" xfId="6525" hidden="1" xr:uid="{7F5B1B78-DB30-4A59-85E7-817A541010A2}"/>
    <cellStyle name="20 % - Akzent6" xfId="6350" hidden="1" xr:uid="{8B78C134-1091-4A6B-AD50-0A2AD472B3E3}"/>
    <cellStyle name="20 % - Akzent6" xfId="6352" hidden="1" xr:uid="{8BE9BC7D-49B9-4AF6-BDF1-D6B4C41E6E88}"/>
    <cellStyle name="20 % - Akzent6" xfId="6409" hidden="1" xr:uid="{569581CA-D726-4DDD-AB07-EAB55401AD9F}"/>
    <cellStyle name="20 % - Akzent6" xfId="6500" hidden="1" xr:uid="{CFA86CFD-FA82-421C-8C8F-52A043057432}"/>
    <cellStyle name="20 % - Akzent6" xfId="6572" hidden="1" xr:uid="{0343F3B8-D86E-42E9-B7CC-F9F8DC43E521}"/>
    <cellStyle name="20 % - Akzent6" xfId="5809" hidden="1" xr:uid="{BB25092B-C6E9-4D73-A57D-5F0466917D78}"/>
    <cellStyle name="20 % - Akzent6" xfId="6806" hidden="1" xr:uid="{35E2B70B-3303-49F2-BDB5-4E762BCBB3C9}"/>
    <cellStyle name="20 % - Akzent6" xfId="7216" hidden="1" xr:uid="{0F3EF017-464F-424A-B417-1022429BA1E7}"/>
    <cellStyle name="20 % - Akzent6" xfId="7819" hidden="1" xr:uid="{EA656861-C641-41F6-8F60-EA73AD8D090B}"/>
    <cellStyle name="20 % - Akzent6" xfId="7630" hidden="1" xr:uid="{8211AA73-3B53-4747-8E20-4BABE96614FB}"/>
    <cellStyle name="20 % - Akzent6" xfId="8218" hidden="1" xr:uid="{E267FB87-B30C-4A62-AC5B-17C1FCBB9798}"/>
    <cellStyle name="20 % - Akzent6" xfId="8017" hidden="1" xr:uid="{52F02931-11F5-45AC-AA06-756427A451CD}"/>
    <cellStyle name="20 % - Akzent6" xfId="6919" hidden="1" xr:uid="{F91FF1A3-5224-4FF6-BEFA-1953263A7722}"/>
    <cellStyle name="20 % - Akzent6" xfId="7615" hidden="1" xr:uid="{393531B7-2708-4035-B983-D3B55F346A22}"/>
    <cellStyle name="20 % - Akzent6" xfId="6908" hidden="1" xr:uid="{315BA727-895C-4FA8-A78A-5AAC19D15C37}"/>
    <cellStyle name="20 % - Akzent6" xfId="8305" hidden="1" xr:uid="{71D6493F-340A-4EA9-9374-29DEB715B947}"/>
    <cellStyle name="20 % - Akzent6" xfId="7622" hidden="1" xr:uid="{433A7ECB-B1D0-40B6-9F3A-B8C3A783C049}"/>
    <cellStyle name="20 % - Akzent6" xfId="7796" hidden="1" xr:uid="{92131499-7DA8-4A65-B4BD-99F16AC62BD6}"/>
    <cellStyle name="20 % - Akzent6" xfId="7156" hidden="1" xr:uid="{3E16A9C9-2531-471A-B38B-59D4E6B9A867}"/>
    <cellStyle name="20 % - Akzent6" xfId="6831" hidden="1" xr:uid="{AE490786-CB3A-4584-A08A-42967C5DD828}"/>
    <cellStyle name="20 % - Akzent6" xfId="7124" hidden="1" xr:uid="{639E3861-002C-4739-A6C4-180548142474}"/>
    <cellStyle name="20 % - Akzent6" xfId="7089" hidden="1" xr:uid="{12B58951-5E5E-49C8-BD03-5A329CA9059B}"/>
    <cellStyle name="20 % - Akzent6" xfId="7894" hidden="1" xr:uid="{AEB867CC-B89B-4ABF-A6A1-39992CFB6F40}"/>
    <cellStyle name="20 % - Akzent6" xfId="7701" hidden="1" xr:uid="{6124B15D-314E-4829-928B-0ABA8B462A72}"/>
    <cellStyle name="20 % - Akzent6" xfId="6953" hidden="1" xr:uid="{F73CD533-99BE-4ADE-883C-F6D0A71EA7C8}"/>
    <cellStyle name="20 % - Akzent6" xfId="8779" hidden="1" xr:uid="{A0084931-6215-4D44-83F0-37D10A4F34E1}"/>
    <cellStyle name="20 % - Akzent6" xfId="8812" hidden="1" xr:uid="{8745409F-9173-446E-8F0C-F6F6678A5C0A}"/>
    <cellStyle name="20 % - Akzent6" xfId="8867" hidden="1" xr:uid="{E57069CA-78B9-43DE-813C-47725FB314E5}"/>
    <cellStyle name="20 % - Akzent6" xfId="7973" hidden="1" xr:uid="{1CC611F9-4915-442A-968A-A31D78937F95}"/>
    <cellStyle name="20 % - Akzent6" xfId="9020" hidden="1" xr:uid="{58ACF011-A672-47CB-B71E-3EA0EA99E326}"/>
    <cellStyle name="20 % - Akzent6" xfId="9429" hidden="1" xr:uid="{38154590-52B6-45CB-81D1-1AADA51A6AF2}"/>
    <cellStyle name="20 % - Akzent6" xfId="10032" hidden="1" xr:uid="{F76EDE4C-002A-45EA-BDC7-157EC3561788}"/>
    <cellStyle name="20 % - Akzent6" xfId="9841" hidden="1" xr:uid="{F7E13B75-ACA5-4D94-9C32-C15B48BA409A}"/>
    <cellStyle name="20 % - Akzent6" xfId="10452" hidden="1" xr:uid="{12528008-112B-4CE6-B7F3-E4504A7F15AF}"/>
    <cellStyle name="20 % - Akzent6" xfId="9156" hidden="1" xr:uid="{CA4B0496-D2EF-4731-BB39-A877D17ED36E}"/>
    <cellStyle name="20 % - Akzent6" xfId="10851" hidden="1" xr:uid="{5DFBFF2F-F240-4DCD-A51F-3BFAC600D831}"/>
    <cellStyle name="20 % - Akzent6" xfId="10819" hidden="1" xr:uid="{02E640DF-ECDE-434B-894E-4183BBC4BC43}"/>
    <cellStyle name="20 % - Akzent6" xfId="10847" hidden="1" xr:uid="{935C58E1-78E9-4C86-9CA2-6CC6DBF42D9D}"/>
    <cellStyle name="20 % - Akzent6" xfId="8988" hidden="1" xr:uid="{0D928AF4-D134-4A13-9E64-72FA306EE930}"/>
    <cellStyle name="20 % - Akzent6" xfId="10564" hidden="1" xr:uid="{6AC3C10D-D83A-40AE-8C78-F48BA8E16214}"/>
    <cellStyle name="20 % - Akzent6" xfId="11246" hidden="1" xr:uid="{CCCCC012-0E83-42F1-98BF-7CD5375A16F2}"/>
    <cellStyle name="20 % - Akzent6" xfId="10334" hidden="1" xr:uid="{913F8725-7B89-48EF-AAD5-8365934337BC}"/>
    <cellStyle name="20 % - Akzent6" xfId="10976" hidden="1" xr:uid="{7389C8BD-054F-47A3-AD8F-24CBF2DA2FD1}"/>
    <cellStyle name="20 % - Akzent6" xfId="10507" hidden="1" xr:uid="{F93714B5-4B90-4612-8298-43902806526C}"/>
    <cellStyle name="20 % - Akzent6" xfId="11425" hidden="1" xr:uid="{C1414332-F221-4DD8-92C1-23E37094E8DB}"/>
    <cellStyle name="20 % - Akzent6" xfId="11846" hidden="1" xr:uid="{E88F4DB3-1AD2-412E-B675-8349B013A0C3}"/>
    <cellStyle name="20 % - Akzent6" xfId="12326" hidden="1" xr:uid="{C99A7388-F19E-4F74-826E-847C3D7D72B2}"/>
    <cellStyle name="20 % - Akzent6" xfId="11788" hidden="1" xr:uid="{DA3C52EE-BE32-4782-AB12-4E2DDB3D2435}"/>
    <cellStyle name="20 % - Akzent6" xfId="12302" hidden="1" xr:uid="{7625AFCB-8EFF-4EE3-A85D-4A620EE2444D}"/>
    <cellStyle name="20 % - Akzent6" xfId="13771" hidden="1" xr:uid="{02D9D627-0AC2-41D3-AFCB-20DACA0AE4D5}"/>
    <cellStyle name="20 % - Akzent6" xfId="13738" hidden="1" xr:uid="{1C33D131-F94A-484A-8974-FDF57BCF8A41}"/>
    <cellStyle name="20 % - Akzent6" xfId="13667" hidden="1" xr:uid="{3143C6B0-436B-495E-88D9-142E0839CCC6}"/>
    <cellStyle name="20 % - Akzent6" xfId="14359" hidden="1" xr:uid="{C69A0EAD-2CF3-4C49-ACBB-CFC7AA344380}"/>
    <cellStyle name="20 % - Akzent6" xfId="13848" hidden="1" xr:uid="{03A29398-C146-4619-89E2-BFBBBD5A3C76}"/>
    <cellStyle name="20 % - Akzent6" xfId="14640" hidden="1" xr:uid="{30D4B727-2CFD-4DAB-99AC-B793CF73BF6D}"/>
    <cellStyle name="20 % - Akzent6" xfId="14104" hidden="1" xr:uid="{13442106-9C1A-4368-B8C1-C9F82D28A334}"/>
    <cellStyle name="20 % - Akzent6" xfId="15060" hidden="1" xr:uid="{1F3DE76E-65A6-4A3D-A47A-9F08362424B8}"/>
    <cellStyle name="20 % - Akzent6" xfId="13800" hidden="1" xr:uid="{4D20BE25-5F16-4087-A7D9-8BC9CAFC43D0}"/>
    <cellStyle name="20 % - Akzent6" xfId="13205" hidden="1" xr:uid="{8ED69111-73B9-42C4-A79B-BA5F34703930}"/>
    <cellStyle name="20 % - Akzent6" xfId="13976" hidden="1" xr:uid="{7717662F-E57A-428E-AA3B-8A22D684F118}"/>
    <cellStyle name="20 % - Akzent6" xfId="14915" hidden="1" xr:uid="{43623469-4239-4ECD-9EF5-67C442A5E8A7}"/>
    <cellStyle name="20 % - Akzent6" xfId="15509" hidden="1" xr:uid="{5002A2E2-C912-4CF7-8A83-6B7FD1DB84A4}"/>
    <cellStyle name="20 % - Akzent6" xfId="15524" hidden="1" xr:uid="{E9516EB1-89ED-43E9-8408-D94F6C458CDF}"/>
    <cellStyle name="20 % - Akzent6" xfId="13832" hidden="1" xr:uid="{6483347D-8402-415A-AE8A-60DD2D8F049F}"/>
    <cellStyle name="20 % - Akzent6" xfId="15362" hidden="1" xr:uid="{1214974B-7478-47E4-914C-68EA4908689D}"/>
    <cellStyle name="20 % - Akzent6" xfId="15421" hidden="1" xr:uid="{BDF94513-C545-44A7-A2AD-365A73C9800C}"/>
    <cellStyle name="20 % - Akzent6" xfId="15831" hidden="1" xr:uid="{8D6F639A-492B-49CB-B535-015062FD582E}"/>
    <cellStyle name="20 % - Akzent6" xfId="15989" hidden="1" xr:uid="{55E7482E-623E-4BE6-829A-27D83716A6F6}"/>
    <cellStyle name="20 % - Akzent6" xfId="16024" hidden="1" xr:uid="{E87658C2-B9D6-4A8C-A062-CB76DCF9C940}"/>
    <cellStyle name="20 % - Akzent6" xfId="16117" hidden="1" xr:uid="{0AD84828-E946-49E1-9C51-CE7B068F8C8B}"/>
    <cellStyle name="20 % - Akzent6" xfId="16538" hidden="1" xr:uid="{06C9F732-E262-4575-888A-496C6ECB57D7}"/>
    <cellStyle name="20 % - Akzent6" xfId="17149" hidden="1" xr:uid="{11C36865-6C94-49BA-BDF9-63B466D08B39}"/>
    <cellStyle name="20 % - Akzent6" xfId="16956" hidden="1" xr:uid="{F16CAE80-8EB0-4F01-8052-4D166629B4F6}"/>
    <cellStyle name="20 % - Akzent6" xfId="17595" hidden="1" xr:uid="{E2BC6293-F6F4-46DA-908B-9D1A75329532}"/>
    <cellStyle name="20 % - Akzent6" xfId="16157" hidden="1" xr:uid="{DAF7ED46-1E76-444C-812A-A0194FFD058E}"/>
    <cellStyle name="20 % - Akzent6" xfId="18019" hidden="1" xr:uid="{6421BFAB-7B68-4750-ACEE-D0D5CA8623F3}"/>
    <cellStyle name="20 % - Akzent6" xfId="17990" hidden="1" xr:uid="{22253DA3-A0DE-4186-A81E-D39FAE51F08B}"/>
    <cellStyle name="20 % - Akzent6" xfId="18131" hidden="1" xr:uid="{8CD08DB8-6ABF-4660-8416-60D8C96B0882}"/>
    <cellStyle name="20 % - Akzent6" xfId="17336" hidden="1" xr:uid="{C7ED779E-BB35-4F9C-AB6A-FABCF4B63F97}"/>
    <cellStyle name="20 % - Akzent6" xfId="17075" hidden="1" xr:uid="{15A32525-4FB7-44C8-960C-1B158C86EF0C}"/>
    <cellStyle name="20 % - Akzent6" xfId="17358" hidden="1" xr:uid="{3EC8FDE1-A52F-40C8-A83C-A4720B1DF516}"/>
    <cellStyle name="20 % - Akzent6" xfId="18896" hidden="1" xr:uid="{C5F48B63-8DFF-48B6-9F60-D931ED410A6C}"/>
    <cellStyle name="20 % - Akzent6" xfId="18869" hidden="1" xr:uid="{2D82089E-21AE-4C9A-860C-CE4D18933CEE}"/>
    <cellStyle name="20 % - Akzent6" xfId="18985" hidden="1" xr:uid="{D4A0F389-F43D-4CCC-B1BF-7DAD8987FA34}"/>
    <cellStyle name="20 % - Akzent6" xfId="18968" hidden="1" xr:uid="{A3BC5B98-A272-41A0-A796-7506EC0CC4CC}"/>
    <cellStyle name="20 % - Akzent6" xfId="19238" hidden="1" xr:uid="{DB1F9579-03A2-4928-A942-FD100EDCF350}"/>
    <cellStyle name="20 % - Akzent6" xfId="19239" hidden="1" xr:uid="{CCE64596-859B-4E50-ACB7-8CDCE38E9CDE}"/>
    <cellStyle name="20 % - Akzent6" xfId="19450" hidden="1" xr:uid="{1F6B8B07-D626-4A05-A303-53A5AB3ECB90}"/>
    <cellStyle name="20 % - Akzent6" xfId="19875" hidden="1" xr:uid="{56DF2E64-515C-4A4F-AB1B-FB1D69CEAEA7}"/>
    <cellStyle name="20 % - Akzent6" xfId="20501" hidden="1" xr:uid="{8D7EC019-584F-4020-A2F2-B2F092FEC04A}"/>
    <cellStyle name="20 % - Akzent6" xfId="19792" hidden="1" xr:uid="{A7532804-6EAB-49A5-9978-FD340ECEE773}"/>
    <cellStyle name="20 % - Akzent6" xfId="20956" hidden="1" xr:uid="{3A9A7E4F-A819-411F-AAFF-CCAC0A28123D}"/>
    <cellStyle name="20 % - Akzent6" xfId="20418" hidden="1" xr:uid="{F9678441-9E03-4D58-84F5-44BE51BC166B}"/>
    <cellStyle name="20 % - Akzent6" xfId="21627" hidden="1" xr:uid="{2DE328C7-D98B-4823-8DFB-7D749351B400}"/>
    <cellStyle name="20 % - Akzent6" xfId="20942" hidden="1" xr:uid="{C487CBD3-BA07-44E8-A2A4-7B1A5F5E3E91}"/>
    <cellStyle name="20 % - Akzent6" xfId="21088" hidden="1" xr:uid="{AE8D7C90-817C-444E-BB72-C71212D754A5}"/>
    <cellStyle name="20 % - Akzent6" xfId="21603" hidden="1" xr:uid="{F1C810F4-6A80-4486-B125-AC27E7B5E227}"/>
    <cellStyle name="20 % - Akzent6" xfId="21885" hidden="1" xr:uid="{C760355D-8B85-440A-8538-16847B5CF1B7}"/>
    <cellStyle name="20 % - Akzent6" xfId="21649" hidden="1" xr:uid="{558555D9-196F-4EC6-BB55-E6A3E63D66CA}"/>
    <cellStyle name="20 % - Akzent6" xfId="22321" hidden="1" xr:uid="{226350A5-4197-4577-AA04-20E2659C78CE}"/>
    <cellStyle name="20 % - Akzent6" xfId="22084" hidden="1" xr:uid="{28878644-FB40-4AA0-B0D1-B8B1E0DCDAEA}"/>
    <cellStyle name="20 % - Akzent6" xfId="22764" hidden="1" xr:uid="{137FFB11-636C-4D5C-B68E-FA4C476AB90A}"/>
    <cellStyle name="20 % - Akzent6" xfId="22733" hidden="1" xr:uid="{6C2796CC-F4BE-4969-8176-8AF98D384989}"/>
    <cellStyle name="20 % - Akzent6" xfId="22502" hidden="1" xr:uid="{EE8E2ABA-CF61-4DF8-BAA1-9E45B0E5401F}"/>
    <cellStyle name="20 % - Akzent6" xfId="23172" hidden="1" xr:uid="{79C5FBF4-9878-4BE2-9D8C-36751E400E5E}"/>
    <cellStyle name="20 % - Akzent6" xfId="23145" hidden="1" xr:uid="{1F4E4E20-C575-44F4-B1CC-31B95D005E54}"/>
    <cellStyle name="20 % - Akzent6" xfId="23271" hidden="1" xr:uid="{CE39B517-37C6-4E7A-B94A-AB4371C11349}"/>
    <cellStyle name="20 % - Akzent6" xfId="22998" hidden="1" xr:uid="{E130C07D-69EB-4487-8431-25C9625D362C}"/>
    <cellStyle name="20 % - Akzent6" xfId="23649" hidden="1" xr:uid="{63440B00-7C05-4530-88F0-0371A03D7BBF}"/>
    <cellStyle name="20 % - Akzent6" xfId="20984" hidden="1" xr:uid="{C28F556B-2401-4B54-BF9C-5A69EF98902D}"/>
    <cellStyle name="20 % - Akzent6" xfId="23654" hidden="1" xr:uid="{2DD7D9C2-7BE4-49FD-A0F2-C6DDAA1461FF}"/>
    <cellStyle name="20 % - Akzent6" xfId="20559" hidden="1" xr:uid="{05402DC0-65A0-482F-8FCC-396AFC79AC1B}"/>
    <cellStyle name="20 % - Akzent6" xfId="24082" hidden="1" xr:uid="{78082C69-CD23-41C0-9093-551671679836}"/>
    <cellStyle name="20 % - Akzent6" xfId="24081" hidden="1" xr:uid="{B7F7046C-F3C1-44C7-8ACA-B2A1B06193CF}"/>
    <cellStyle name="20 % - Akzent6" xfId="24171" hidden="1" xr:uid="{736F8123-BD73-40C5-9FD8-1D9E11BC5012}"/>
    <cellStyle name="20 % - Akzent6" xfId="24128" hidden="1" xr:uid="{8AED1208-E7EC-4329-8A92-FA885AAAC504}"/>
    <cellStyle name="20 % - Akzent6" xfId="25134" hidden="1" xr:uid="{DFECD38D-B58D-45E0-AE77-8CC78C7755D6}"/>
    <cellStyle name="20 % - Akzent6" xfId="25428" hidden="1" xr:uid="{B1311F11-CD7A-408F-AA74-A2F820C3EED9}"/>
    <cellStyle name="20 % - Akzent6" xfId="25275" hidden="1" xr:uid="{9496E3D5-43BD-4EB2-B1AD-350C2598D226}"/>
    <cellStyle name="20 % - Akzent6" xfId="25997" hidden="1" xr:uid="{CBB98F8D-DEFE-4BD9-929D-6E71FF5F8724}"/>
    <cellStyle name="20 % - Akzent6" xfId="26125" hidden="1" xr:uid="{E8B4C493-8D6E-48C5-9455-F88DB579399E}"/>
    <cellStyle name="20 % - Akzent6" xfId="26295" hidden="1" xr:uid="{08CBA5D0-2EB7-4E9E-B99F-F45657C8C2AD}"/>
    <cellStyle name="20 % - Akzent6" xfId="26448" hidden="1" xr:uid="{22CB048F-63EF-4956-A58D-82670B919495}"/>
    <cellStyle name="20 % - Akzent6" xfId="26495" hidden="1" xr:uid="{107DF55A-FEED-4B92-B1B1-F6062196BDBF}"/>
    <cellStyle name="20 % - Akzent6" xfId="26424" hidden="1" xr:uid="{0332BF96-4268-4A43-9198-2BC2BC1C1AE3}"/>
    <cellStyle name="20 % - Akzent6" xfId="26465" hidden="1" xr:uid="{EDA7DBE7-361C-430E-929E-0A8F0F8F47B0}"/>
    <cellStyle name="20 % - Akzent6" xfId="26587" hidden="1" xr:uid="{1AF6C02E-500D-4B6A-AEB3-108AEBB6EFD4}"/>
    <cellStyle name="20 % - Akzent6" xfId="27219" hidden="1" xr:uid="{BB0B95C7-EF16-4721-81CF-89032DCE48F3}"/>
    <cellStyle name="20 % - Akzent6" xfId="27680" hidden="1" xr:uid="{6D1A3CBD-7AAF-4F01-9DD6-B84F10CC556D}"/>
    <cellStyle name="20 % - Akzent6" xfId="27815" hidden="1" xr:uid="{FAD2673E-1246-4AFC-8031-54488836DAB6}"/>
    <cellStyle name="20 % - Akzent6" xfId="27863" hidden="1" xr:uid="{739947DF-DF40-4FE3-863F-B8B63F78EC62}"/>
    <cellStyle name="20 % - Akzent6" xfId="27860" hidden="1" xr:uid="{E7245439-B66A-458A-A8FE-C90D0AF891F5}"/>
    <cellStyle name="20 % - Akzent6" xfId="27877" hidden="1" xr:uid="{85A7E5A6-12E7-4824-B64F-6F0417E2F53F}"/>
    <cellStyle name="20 % - Akzent6" xfId="27225" hidden="1" xr:uid="{C4441FEF-1829-4ED7-B358-E79EBDC61C4C}"/>
    <cellStyle name="20 % - Akzent6" xfId="27964" hidden="1" xr:uid="{1751BE74-B029-4879-AD6D-17E78AC81265}"/>
    <cellStyle name="20 % - Akzent6" xfId="28336" hidden="1" xr:uid="{7E88F180-D38A-4F78-AEF7-95B031FFCE54}"/>
    <cellStyle name="20 % - Akzent6" xfId="28808" hidden="1" xr:uid="{3ADB008D-7117-40EE-9D95-46B2E9A19FD6}"/>
    <cellStyle name="20 % - Akzent6" xfId="29351" hidden="1" xr:uid="{27E6D2D8-5744-47AD-B884-739D3E6B8F87}"/>
    <cellStyle name="20 % - Akzent6" xfId="28123" hidden="1" xr:uid="{5296B7CC-5685-4BD6-9B4B-672061F801BD}"/>
    <cellStyle name="20 % - Akzent6" xfId="29600" hidden="1" xr:uid="{50F3B08C-0BA7-4341-8F96-18143B65353A}"/>
    <cellStyle name="20 % - Akzent6" xfId="28347" hidden="1" xr:uid="{880A8ED1-2536-4025-B5D6-0D07600AE7CC}"/>
    <cellStyle name="20 % - Akzent6" xfId="30198" hidden="1" xr:uid="{73776D95-C4A6-4D6F-9E27-055E592D8E75}"/>
    <cellStyle name="20 % - Akzent6" xfId="30848" hidden="1" xr:uid="{3CAE0948-C355-4790-929E-91EA6E24A91E}"/>
    <cellStyle name="20 % - Akzent6" xfId="28192" hidden="1" xr:uid="{B6F4F460-43E7-4B32-959A-CCC77C67D372}"/>
    <cellStyle name="20 % - Akzent6 2" xfId="378" xr:uid="{5850BF70-A2EC-4AB5-95C4-B74DA708EC03}"/>
    <cellStyle name="20 % - Akzent6 3" xfId="247" xr:uid="{A69A9D41-3CEC-4757-885B-E7827CF64CE4}"/>
    <cellStyle name="20% - Accent1 2" xfId="79" xr:uid="{4193717C-FFEC-4794-B249-323D150DEAAA}"/>
    <cellStyle name="20% - Accent1 3" xfId="199" xr:uid="{C9BAA905-758C-402F-815B-FCB0EA621BD3}"/>
    <cellStyle name="20% - Accent2 2" xfId="80" xr:uid="{3367C226-7B3A-4974-8F7E-518C6BCCFE09}"/>
    <cellStyle name="20% - Accent2 3" xfId="200" xr:uid="{36A78BAE-F5B7-4734-83A0-73A323ED0297}"/>
    <cellStyle name="20% - Accent3 2" xfId="81" xr:uid="{4751DC7A-BC27-43A2-A539-96B6D33685C7}"/>
    <cellStyle name="20% - Accent3 3" xfId="201" xr:uid="{0673E65C-C905-4031-8715-EFAEEB4105D7}"/>
    <cellStyle name="20% - Accent4 2" xfId="82" xr:uid="{1E7667DA-48AB-4E15-9321-A6A4761322F5}"/>
    <cellStyle name="20% - Accent4 3" xfId="202" xr:uid="{3E488966-8BE0-4181-8362-093FE6F82FB4}"/>
    <cellStyle name="20% - Accent5 2" xfId="83" xr:uid="{BE21D9F4-8FCB-43B7-94B9-5249D0C6B312}"/>
    <cellStyle name="20% - Accent5 3" xfId="203" xr:uid="{DC1A1614-93E3-4297-94ED-87DE3966017A}"/>
    <cellStyle name="20% - Accent6 2" xfId="84" xr:uid="{D96070ED-B653-4242-A32D-79B8B2727994}"/>
    <cellStyle name="20% - Accent6 3" xfId="204" xr:uid="{E843DBC9-5725-4D85-957B-433B18F3384A}"/>
    <cellStyle name="2x indented GHG Textfiels" xfId="9" xr:uid="{F7089D7B-3400-4E54-98E4-547CC2BEF91B}"/>
    <cellStyle name="2x indented GHG Textfiels 2" xfId="85" xr:uid="{CCF6551B-D6A7-4865-B7D6-4B5D864DFEC0}"/>
    <cellStyle name="2x indented GHG Textfiels 2 2" xfId="86" xr:uid="{73E2564E-CF61-409B-8CE5-AFEB2E3DE202}"/>
    <cellStyle name="2x indented GHG Textfiels 3" xfId="87" xr:uid="{F1C25705-7861-488C-92E9-B89B38F602C0}"/>
    <cellStyle name="2x indented GHG Textfiels 3 2" xfId="400" xr:uid="{C1F5881A-58D9-4F1B-BD47-1B7547073139}"/>
    <cellStyle name="2x indented GHG Textfiels 3 2 2" xfId="530" xr:uid="{D8876BF9-2D4D-4834-9234-5BDB78A13398}"/>
    <cellStyle name="2x indented GHG Textfiels 3 2 2 10" xfId="4905" xr:uid="{768429E1-809E-428B-A7CA-B2BC5264242A}"/>
    <cellStyle name="2x indented GHG Textfiels 3 2 2 11" xfId="5178" xr:uid="{5674B5FA-E48F-4149-B834-263F6907C633}"/>
    <cellStyle name="2x indented GHG Textfiels 3 2 2 12" xfId="4919" xr:uid="{5FA34038-AF08-478C-8A05-87D2E7CB21AF}"/>
    <cellStyle name="2x indented GHG Textfiels 3 2 2 13" xfId="6332" xr:uid="{CD188BD3-2D71-4F80-93FC-B0D4C730CEFA}"/>
    <cellStyle name="2x indented GHG Textfiels 3 2 2 14" xfId="6443" xr:uid="{850EA140-7BC2-4E2C-8C7A-4ED6E8D1A085}"/>
    <cellStyle name="2x indented GHG Textfiels 3 2 2 15" xfId="7250" xr:uid="{4A7CD1C7-FC63-4670-AF82-7D66C068C64D}"/>
    <cellStyle name="2x indented GHG Textfiels 3 2 2 16" xfId="7839" xr:uid="{62842630-CB9C-4EEE-B496-5F2B4A624C46}"/>
    <cellStyle name="2x indented GHG Textfiels 3 2 2 17" xfId="7686" xr:uid="{54D10889-AD31-4638-8F02-DB35F6CEEBE0}"/>
    <cellStyle name="2x indented GHG Textfiels 3 2 2 18" xfId="7875" xr:uid="{2351C8E1-DF9D-4A16-B9E3-6D400C876091}"/>
    <cellStyle name="2x indented GHG Textfiels 3 2 2 19" xfId="9464" xr:uid="{72EEFBE8-EC2D-486E-9B57-CEE4DD711127}"/>
    <cellStyle name="2x indented GHG Textfiels 3 2 2 2" xfId="745" xr:uid="{04BDF264-ACC0-49B0-96B5-52A5AA632BE7}"/>
    <cellStyle name="2x indented GHG Textfiels 3 2 2 2 10" xfId="5393" xr:uid="{0E619B84-0258-471E-81A6-6C0A3D7D6A77}"/>
    <cellStyle name="2x indented GHG Textfiels 3 2 2 2 11" xfId="3272" xr:uid="{816CACEC-D624-4204-8DFD-E3123F568C3E}"/>
    <cellStyle name="2x indented GHG Textfiels 3 2 2 2 12" xfId="6316" xr:uid="{A444C82B-9C42-4D6A-895A-7E5DC05203EC}"/>
    <cellStyle name="2x indented GHG Textfiels 3 2 2 2 13" xfId="6346" xr:uid="{413EF819-FE6C-4BF0-80AF-E2114DC467BD}"/>
    <cellStyle name="2x indented GHG Textfiels 3 2 2 2 14" xfId="7465" xr:uid="{AE76F034-E03F-41E3-B1CA-0495F938FA19}"/>
    <cellStyle name="2x indented GHG Textfiels 3 2 2 2 15" xfId="7193" xr:uid="{A2EF56D2-FF27-4504-BD67-E5F6BF22C5CB}"/>
    <cellStyle name="2x indented GHG Textfiels 3 2 2 2 16" xfId="7149" xr:uid="{1C38DBD5-F0FD-41C0-84D2-C8841F2E0038}"/>
    <cellStyle name="2x indented GHG Textfiels 3 2 2 2 17" xfId="8713" xr:uid="{CDFBB120-81E5-4E44-B9FB-A03D1BE2485B}"/>
    <cellStyle name="2x indented GHG Textfiels 3 2 2 2 18" xfId="9679" xr:uid="{EB827221-E097-4084-A4FE-6144B3805308}"/>
    <cellStyle name="2x indented GHG Textfiels 3 2 2 2 19" xfId="9406" xr:uid="{818F7DFE-D978-4934-B384-5A621D66CC59}"/>
    <cellStyle name="2x indented GHG Textfiels 3 2 2 2 2" xfId="1219" xr:uid="{AFBCC0A0-C51E-4E7C-86C3-CA5214DFC989}"/>
    <cellStyle name="2x indented GHG Textfiels 3 2 2 2 20" xfId="9914" xr:uid="{E133C78B-9506-4BFC-B3C7-F8E6AC3A8ACB}"/>
    <cellStyle name="2x indented GHG Textfiels 3 2 2 2 21" xfId="10646" xr:uid="{060BFF85-1B73-488B-A683-C635ABEBB63F}"/>
    <cellStyle name="2x indented GHG Textfiels 3 2 2 2 22" xfId="11054" xr:uid="{59D85CC7-E04D-4D7E-883E-2B0B55CA0329}"/>
    <cellStyle name="2x indented GHG Textfiels 3 2 2 2 23" xfId="12098" xr:uid="{0CC69A71-4407-4FF4-A411-A71ACC199C02}"/>
    <cellStyle name="2x indented GHG Textfiels 3 2 2 2 24" xfId="12571" xr:uid="{996F3583-9ED9-4560-8569-CB878F1A7C51}"/>
    <cellStyle name="2x indented GHG Textfiels 3 2 2 2 25" xfId="13005" xr:uid="{1107BBB5-4C49-4A01-B845-C337CA8C1EFC}"/>
    <cellStyle name="2x indented GHG Textfiels 3 2 2 2 26" xfId="13442" xr:uid="{5D79BA41-6A06-47ED-964B-CCA7FA6B6AB7}"/>
    <cellStyle name="2x indented GHG Textfiels 3 2 2 2 27" xfId="11824" xr:uid="{7850D400-40C7-4102-A03D-2864F9ECC3E7}"/>
    <cellStyle name="2x indented GHG Textfiels 3 2 2 2 28" xfId="11790" xr:uid="{61C98993-CCA0-4F39-871F-B541A3D86AA6}"/>
    <cellStyle name="2x indented GHG Textfiels 3 2 2 2 29" xfId="13392" xr:uid="{78886C00-518C-4C44-A219-D6200BE01511}"/>
    <cellStyle name="2x indented GHG Textfiels 3 2 2 2 3" xfId="1434" xr:uid="{646DDDA3-F706-4F6D-A9E3-BFC07DDE008C}"/>
    <cellStyle name="2x indented GHG Textfiels 3 2 2 2 30" xfId="15030" xr:uid="{B53E8F4B-9762-4214-9C58-B1AC52D64026}"/>
    <cellStyle name="2x indented GHG Textfiels 3 2 2 2 31" xfId="15368" xr:uid="{F7AB9582-B14E-4FFC-A68E-B6AFA8FEBBBC}"/>
    <cellStyle name="2x indented GHG Textfiels 3 2 2 2 32" xfId="15714" xr:uid="{B7449844-BA3A-4792-8AE0-2F99D4BC08C6}"/>
    <cellStyle name="2x indented GHG Textfiels 3 2 2 2 33" xfId="16790" xr:uid="{8F3DA545-9072-49E1-A051-48DAC4023AC5}"/>
    <cellStyle name="2x indented GHG Textfiels 3 2 2 2 34" xfId="16515" xr:uid="{6EB2116D-A33A-44C1-B6B8-056760CA7D37}"/>
    <cellStyle name="2x indented GHG Textfiels 3 2 2 2 35" xfId="17027" xr:uid="{BE0FE6AC-BAD1-4A92-97DF-5B9FF079D90D}"/>
    <cellStyle name="2x indented GHG Textfiels 3 2 2 2 36" xfId="16986" xr:uid="{8C101223-6816-40F3-B149-B34534385179}"/>
    <cellStyle name="2x indented GHG Textfiels 3 2 2 2 37" xfId="18608" xr:uid="{6B157A06-E4FF-4A8C-B3ED-C3E64A897ABB}"/>
    <cellStyle name="2x indented GHG Textfiels 3 2 2 2 38" xfId="18794" xr:uid="{176ED35B-27EC-4BB8-872B-B4FEA12990F7}"/>
    <cellStyle name="2x indented GHG Textfiels 3 2 2 2 39" xfId="16293" xr:uid="{08B526F1-8FF7-4F6D-A88C-C26682368DC5}"/>
    <cellStyle name="2x indented GHG Textfiels 3 2 2 2 4" xfId="2567" xr:uid="{96A874E8-F3CE-4048-BAF4-372F4E0B065C}"/>
    <cellStyle name="2x indented GHG Textfiels 3 2 2 2 40" xfId="20127" xr:uid="{9D6CD23A-B0A2-4A71-8248-3316CEBCC29D}"/>
    <cellStyle name="2x indented GHG Textfiels 3 2 2 2 41" xfId="19851" xr:uid="{5EF2770C-557D-4B98-8CA2-8A69331677FE}"/>
    <cellStyle name="2x indented GHG Textfiels 3 2 2 2 42" xfId="20518" xr:uid="{FA4C21B8-2FF9-4266-945D-DB71F84A3E2E}"/>
    <cellStyle name="2x indented GHG Textfiels 3 2 2 2 43" xfId="21258" xr:uid="{5579572A-0F6D-434A-8AF4-14B6216EA62A}"/>
    <cellStyle name="2x indented GHG Textfiels 3 2 2 2 44" xfId="20857" xr:uid="{9294A271-8D5D-42CE-89DE-AED4B1D7D9AF}"/>
    <cellStyle name="2x indented GHG Textfiels 3 2 2 2 45" xfId="21068" xr:uid="{6FF6AF64-24A7-4FFC-903C-D5F024551C89}"/>
    <cellStyle name="2x indented GHG Textfiels 3 2 2 2 46" xfId="22334" xr:uid="{45EF7F09-651B-467D-BFA7-8BA42E17B24D}"/>
    <cellStyle name="2x indented GHG Textfiels 3 2 2 2 47" xfId="23066" xr:uid="{0B3A0C92-0C95-42B7-982B-2025D229681B}"/>
    <cellStyle name="2x indented GHG Textfiels 3 2 2 2 48" xfId="23635" xr:uid="{EB6B2216-272D-4935-A05D-FF08B5959A82}"/>
    <cellStyle name="2x indented GHG Textfiels 3 2 2 2 49" xfId="23927" xr:uid="{329B6D2E-4D5B-4B8F-ADE4-A1FDC69F7BBE}"/>
    <cellStyle name="2x indented GHG Textfiels 3 2 2 2 5" xfId="1984" xr:uid="{06D9439A-F6EE-4768-B298-1323059E82D9}"/>
    <cellStyle name="2x indented GHG Textfiels 3 2 2 2 50" xfId="24835" xr:uid="{8563DA94-0DEA-470B-863B-EB8C61B661C5}"/>
    <cellStyle name="2x indented GHG Textfiels 3 2 2 2 51" xfId="24552" xr:uid="{44C47E97-423F-4542-833B-16136F452C76}"/>
    <cellStyle name="2x indented GHG Textfiels 3 2 2 2 52" xfId="25751" xr:uid="{79A86BED-E175-4452-8F46-48C1ED492CC7}"/>
    <cellStyle name="2x indented GHG Textfiels 3 2 2 2 53" xfId="24318" xr:uid="{FDA52B80-2196-42CD-A822-F969B36B8316}"/>
    <cellStyle name="2x indented GHG Textfiels 3 2 2 2 54" xfId="26593" xr:uid="{22A66E5E-16AF-464B-B63C-18067A48C43A}"/>
    <cellStyle name="2x indented GHG Textfiels 3 2 2 2 55" xfId="27039" xr:uid="{8C535A71-7582-4D11-A297-D2115B348327}"/>
    <cellStyle name="2x indented GHG Textfiels 3 2 2 2 56" xfId="27458" xr:uid="{562CEDD6-0C7B-4BEB-81C6-7CF353781365}"/>
    <cellStyle name="2x indented GHG Textfiels 3 2 2 2 57" xfId="26348" xr:uid="{1E5E0BED-D6EC-4D9A-820E-6B104C1CC3A2}"/>
    <cellStyle name="2x indented GHG Textfiels 3 2 2 2 58" xfId="28585" xr:uid="{9C2F783B-ADA0-46F8-9C07-92E158C02318}"/>
    <cellStyle name="2x indented GHG Textfiels 3 2 2 2 59" xfId="29052" xr:uid="{1EE7C055-F724-40AF-8F6A-6D7578C45597}"/>
    <cellStyle name="2x indented GHG Textfiels 3 2 2 2 6" xfId="3361" xr:uid="{6F6A582A-2735-4E0B-BBC7-69D758DEDC84}"/>
    <cellStyle name="2x indented GHG Textfiels 3 2 2 2 60" xfId="28784" xr:uid="{2B858F80-326F-4C83-ADE6-07CC12DB8CA1}"/>
    <cellStyle name="2x indented GHG Textfiels 3 2 2 2 61" xfId="29841" xr:uid="{40447C05-82FD-48EC-9196-72E323F19B01}"/>
    <cellStyle name="2x indented GHG Textfiels 3 2 2 2 62" xfId="30247" xr:uid="{369A8193-00C2-43B1-9C8D-C180E5A0E1BA}"/>
    <cellStyle name="2x indented GHG Textfiels 3 2 2 2 63" xfId="30664" xr:uid="{DA4AA68E-0D94-4480-9DAA-69B6E05D634E}"/>
    <cellStyle name="2x indented GHG Textfiels 3 2 2 2 64" xfId="29989" xr:uid="{D49B37CE-EDC1-4D89-A933-F09E14C229A7}"/>
    <cellStyle name="2x indented GHG Textfiels 3 2 2 2 65" xfId="31280" xr:uid="{6C6CFE19-7635-48D1-A1B4-95F419F01580}"/>
    <cellStyle name="2x indented GHG Textfiels 3 2 2 2 7" xfId="4063" xr:uid="{4690F0F7-A58B-4BDB-99EA-C27CC37EE8CA}"/>
    <cellStyle name="2x indented GHG Textfiels 3 2 2 2 8" xfId="4500" xr:uid="{F585C6A6-73B3-4028-B28F-8BC8D95E8C6B}"/>
    <cellStyle name="2x indented GHG Textfiels 3 2 2 2 9" xfId="2995" xr:uid="{E7F79009-0885-4159-B2C0-6E193FFBFD97}"/>
    <cellStyle name="2x indented GHG Textfiels 3 2 2 20" xfId="10051" xr:uid="{04583B95-CB91-4DC0-9527-56F65C68E595}"/>
    <cellStyle name="2x indented GHG Textfiels 3 2 2 21" xfId="10471" xr:uid="{DB4FB35E-7693-4DFD-8A62-442DB5A57E8B}"/>
    <cellStyle name="2x indented GHG Textfiels 3 2 2 22" xfId="10975" xr:uid="{ABB7DDFF-21C8-4715-8DB4-DC4223521E21}"/>
    <cellStyle name="2x indented GHG Textfiels 3 2 2 23" xfId="10743" xr:uid="{BD53A43C-B24A-41A8-8291-46818249F6FB}"/>
    <cellStyle name="2x indented GHG Textfiels 3 2 2 24" xfId="11883" xr:uid="{8F1B398D-101F-46DC-B795-04CF1D3BC92E}"/>
    <cellStyle name="2x indented GHG Textfiels 3 2 2 25" xfId="12356" xr:uid="{C429C9AA-5C42-4F8F-9961-9ED2A22CA583}"/>
    <cellStyle name="2x indented GHG Textfiels 3 2 2 26" xfId="12790" xr:uid="{7BCC632F-0ED9-425E-AA84-9245974A307B}"/>
    <cellStyle name="2x indented GHG Textfiels 3 2 2 27" xfId="13227" xr:uid="{91292DA8-01AD-4D8A-97C1-55A305F9D06D}"/>
    <cellStyle name="2x indented GHG Textfiels 3 2 2 28" xfId="13946" xr:uid="{38F325D2-1865-4EDC-B258-4CF4E0E969CA}"/>
    <cellStyle name="2x indented GHG Textfiels 3 2 2 29" xfId="14116" xr:uid="{9DBBF6A1-99E4-479C-959E-2A74AC26C6B3}"/>
    <cellStyle name="2x indented GHG Textfiels 3 2 2 3" xfId="1013" xr:uid="{5875B3B2-D470-469F-A45B-074D534063F7}"/>
    <cellStyle name="2x indented GHG Textfiels 3 2 2 30" xfId="14593" xr:uid="{D6EF98BB-220D-4C21-B7BB-72ED821E22ED}"/>
    <cellStyle name="2x indented GHG Textfiels 3 2 2 31" xfId="14806" xr:uid="{14B90343-E087-44E9-A14C-693FBDB6EDCD}"/>
    <cellStyle name="2x indented GHG Textfiels 3 2 2 32" xfId="15471" xr:uid="{B834D765-4197-462F-8813-58AD4BDA7AFD}"/>
    <cellStyle name="2x indented GHG Textfiels 3 2 2 33" xfId="15881" xr:uid="{52864783-C1A8-4E8D-8EA5-C7355144CFEA}"/>
    <cellStyle name="2x indented GHG Textfiels 3 2 2 34" xfId="16575" xr:uid="{68DA7862-A6D1-4CC0-A496-9B9EA0F0E7DF}"/>
    <cellStyle name="2x indented GHG Textfiels 3 2 2 35" xfId="17169" xr:uid="{5BC4BF3E-B869-408C-A742-6C8357BDBDB6}"/>
    <cellStyle name="2x indented GHG Textfiels 3 2 2 36" xfId="17614" xr:uid="{53153037-3780-46EC-85B2-4E7B0EC85581}"/>
    <cellStyle name="2x indented GHG Textfiels 3 2 2 37" xfId="16411" xr:uid="{82298AC3-6B3A-40C6-BBED-A0560CE7A55C}"/>
    <cellStyle name="2x indented GHG Textfiels 3 2 2 38" xfId="18393" xr:uid="{E749B8C5-9210-4881-B7F2-6C9E11AE3A43}"/>
    <cellStyle name="2x indented GHG Textfiels 3 2 2 39" xfId="17578" xr:uid="{D258B36E-2C33-46A7-8FDF-FEFACC41B5E8}"/>
    <cellStyle name="2x indented GHG Textfiels 3 2 2 4" xfId="1660" xr:uid="{436315F3-75CC-4577-9116-E04845517F8A}"/>
    <cellStyle name="2x indented GHG Textfiels 3 2 2 40" xfId="19240" xr:uid="{44256B67-6FDD-41A4-A627-333845E81250}"/>
    <cellStyle name="2x indented GHG Textfiels 3 2 2 41" xfId="19912" xr:uid="{7CA5C860-2437-439C-801B-CA1E33455DEE}"/>
    <cellStyle name="2x indented GHG Textfiels 3 2 2 42" xfId="20521" xr:uid="{5347F695-9288-4FAA-BC36-5C020C3C09CD}"/>
    <cellStyle name="2x indented GHG Textfiels 3 2 2 43" xfId="20974" xr:uid="{68E24A1A-1FB1-4044-BD74-2C4660E9685F}"/>
    <cellStyle name="2x indented GHG Textfiels 3 2 2 44" xfId="21050" xr:uid="{7D20BF35-6438-421E-8B73-B867F473112C}"/>
    <cellStyle name="2x indented GHG Textfiels 3 2 2 45" xfId="21905" xr:uid="{6C12D41D-3AAE-49EA-8BF6-25D665CBA524}"/>
    <cellStyle name="2x indented GHG Textfiels 3 2 2 46" xfId="22339" xr:uid="{F6617481-5406-470F-903C-C95765E674C8}"/>
    <cellStyle name="2x indented GHG Textfiels 3 2 2 47" xfId="22920" xr:uid="{C5D09541-0CFF-4CC1-ACFF-70BA8E465B74}"/>
    <cellStyle name="2x indented GHG Textfiels 3 2 2 48" xfId="21379" xr:uid="{97DD4E68-3637-46FA-91CD-03D45BAE9404}"/>
    <cellStyle name="2x indented GHG Textfiels 3 2 2 49" xfId="23528" xr:uid="{7BC4F42A-5521-43B7-9880-BB26816E097E}"/>
    <cellStyle name="2x indented GHG Textfiels 3 2 2 5" xfId="2352" xr:uid="{FD061628-F954-40EF-BAB0-75A1A177DBEF}"/>
    <cellStyle name="2x indented GHG Textfiels 3 2 2 50" xfId="23721" xr:uid="{CB3B2CFF-5CDF-4CAB-973B-8B0B4E1240F5}"/>
    <cellStyle name="2x indented GHG Textfiels 3 2 2 51" xfId="24620" xr:uid="{C3EDFA23-C387-44B3-8D14-71A6A704D987}"/>
    <cellStyle name="2x indented GHG Textfiels 3 2 2 52" xfId="25230" xr:uid="{13F34DDB-3F45-41F6-9777-BC66D4FE00BC}"/>
    <cellStyle name="2x indented GHG Textfiels 3 2 2 53" xfId="25538" xr:uid="{3BB4953C-3DAE-40C8-B8CC-E52E5D54619A}"/>
    <cellStyle name="2x indented GHG Textfiels 3 2 2 54" xfId="26226" xr:uid="{B017DF86-C2CC-4A83-94C5-42D59BA1BC44}"/>
    <cellStyle name="2x indented GHG Textfiels 3 2 2 55" xfId="25944" xr:uid="{5698F68D-8CCA-47A4-95F1-BD5297664C50}"/>
    <cellStyle name="2x indented GHG Textfiels 3 2 2 56" xfId="26828" xr:uid="{2250F9A7-2783-4A12-BD41-4079FDF58F47}"/>
    <cellStyle name="2x indented GHG Textfiels 3 2 2 57" xfId="27247" xr:uid="{7775A8A0-0905-46CB-85AE-43A1E49B1D0E}"/>
    <cellStyle name="2x indented GHG Textfiels 3 2 2 58" xfId="27754" xr:uid="{27E00CF0-86F2-4992-B734-B0A1071EF757}"/>
    <cellStyle name="2x indented GHG Textfiels 3 2 2 59" xfId="28370" xr:uid="{5FA621CB-167D-4109-8B3A-3BB0D40CA43E}"/>
    <cellStyle name="2x indented GHG Textfiels 3 2 2 6" xfId="3114" xr:uid="{E9CC071E-4A46-4419-BA73-B1667419CFC0}"/>
    <cellStyle name="2x indented GHG Textfiels 3 2 2 60" xfId="28838" xr:uid="{7DCD7DEB-E7D1-457F-86B4-93F671849B7C}"/>
    <cellStyle name="2x indented GHG Textfiels 3 2 2 61" xfId="29369" xr:uid="{0C35F649-28F0-4F2F-942A-21E372F19F15}"/>
    <cellStyle name="2x indented GHG Textfiels 3 2 2 62" xfId="29628" xr:uid="{C27B4F12-522B-4B36-A50D-0E54FBFD151D}"/>
    <cellStyle name="2x indented GHG Textfiels 3 2 2 63" xfId="30036" xr:uid="{EB85FD37-5F6D-460A-B4DD-D4F1422A0A0B}"/>
    <cellStyle name="2x indented GHG Textfiels 3 2 2 64" xfId="30450" xr:uid="{74DBD34B-5D3F-42A7-B2C3-8FAD26C05812}"/>
    <cellStyle name="2x indented GHG Textfiels 3 2 2 65" xfId="30989" xr:uid="{735A7CE7-1188-4470-A46E-A01F25CD778F}"/>
    <cellStyle name="2x indented GHG Textfiels 3 2 2 66" xfId="31074" xr:uid="{5D6C148A-2F22-4D05-BD16-DFD9585C5BFD}"/>
    <cellStyle name="2x indented GHG Textfiels 3 2 2 7" xfId="3293" xr:uid="{C8F13DE8-7BFC-4342-928C-A547C81BDF8E}"/>
    <cellStyle name="2x indented GHG Textfiels 3 2 2 8" xfId="3848" xr:uid="{86DC81DB-7F97-45A3-8AEC-CC355C39A93D}"/>
    <cellStyle name="2x indented GHG Textfiels 3 2 2 9" xfId="4286" xr:uid="{2B7AE233-FABB-4C66-A45D-AB398A283414}"/>
    <cellStyle name="2x indented GHG Textfiels 3 2 3" xfId="708" xr:uid="{701C347E-6889-48D3-B21D-28CBDD86F52B}"/>
    <cellStyle name="2x indented GHG Textfiels 3 2 3 10" xfId="5356" xr:uid="{07037DEE-4468-464B-A0F7-7C147EA73BDE}"/>
    <cellStyle name="2x indented GHG Textfiels 3 2 3 11" xfId="2055" xr:uid="{A64ECEB6-0BD7-4669-890E-73A86E532D19}"/>
    <cellStyle name="2x indented GHG Textfiels 3 2 3 12" xfId="6286" xr:uid="{E4D78378-8616-4E44-8326-0B7269FEA037}"/>
    <cellStyle name="2x indented GHG Textfiels 3 2 3 13" xfId="6456" xr:uid="{A7F85992-A4F7-470F-A022-4E7DBBB0F309}"/>
    <cellStyle name="2x indented GHG Textfiels 3 2 3 14" xfId="7428" xr:uid="{91533197-D26A-4C49-B1E1-6AEA3BB0118F}"/>
    <cellStyle name="2x indented GHG Textfiels 3 2 3 15" xfId="7209" xr:uid="{E72D8843-8E2A-454F-B9C6-841102323953}"/>
    <cellStyle name="2x indented GHG Textfiels 3 2 3 16" xfId="8426" xr:uid="{D6F911C1-F9EB-473F-AC66-B2840F4BBC23}"/>
    <cellStyle name="2x indented GHG Textfiels 3 2 3 17" xfId="8275" xr:uid="{D2F16A18-5A15-4384-90ED-DEDC6D266A5D}"/>
    <cellStyle name="2x indented GHG Textfiels 3 2 3 18" xfId="9642" xr:uid="{BA5C20EE-7E7B-4C7C-B9FF-09ADE4DC011F}"/>
    <cellStyle name="2x indented GHG Textfiels 3 2 3 19" xfId="9423" xr:uid="{821D3A82-041D-4498-9E28-24DB02EFB6AA}"/>
    <cellStyle name="2x indented GHG Textfiels 3 2 3 2" xfId="1182" xr:uid="{02AD6ADA-C412-4F31-B66D-62EE26B7A28E}"/>
    <cellStyle name="2x indented GHG Textfiels 3 2 3 20" xfId="10175" xr:uid="{623EF209-1211-45F1-8C14-3B3F27645511}"/>
    <cellStyle name="2x indented GHG Textfiels 3 2 3 21" xfId="10912" xr:uid="{0A6D4F7A-E78E-4D94-B670-DED1FE53EB6F}"/>
    <cellStyle name="2x indented GHG Textfiels 3 2 3 22" xfId="10938" xr:uid="{8CA1904E-7F5B-4842-99CC-C2E49325F6D9}"/>
    <cellStyle name="2x indented GHG Textfiels 3 2 3 23" xfId="12061" xr:uid="{A54CA93E-77B6-4663-86A0-5778BE384CFD}"/>
    <cellStyle name="2x indented GHG Textfiels 3 2 3 24" xfId="12534" xr:uid="{8BE23C49-4838-47CA-85BF-596CA06D0208}"/>
    <cellStyle name="2x indented GHG Textfiels 3 2 3 25" xfId="12968" xr:uid="{48C2D4EC-8F58-407E-9688-8676824FA325}"/>
    <cellStyle name="2x indented GHG Textfiels 3 2 3 26" xfId="13405" xr:uid="{076584AF-8FA5-4006-8E6A-106FEE829DFD}"/>
    <cellStyle name="2x indented GHG Textfiels 3 2 3 27" xfId="13936" xr:uid="{B17BF812-0103-4A81-9CCC-0903B729A943}"/>
    <cellStyle name="2x indented GHG Textfiels 3 2 3 28" xfId="14261" xr:uid="{66597B96-7778-433C-97E6-CBE0B6A0CE5A}"/>
    <cellStyle name="2x indented GHG Textfiels 3 2 3 29" xfId="12739" xr:uid="{674AEF9D-F84A-4BDB-893E-CECCBBA19F18}"/>
    <cellStyle name="2x indented GHG Textfiels 3 2 3 3" xfId="1472" xr:uid="{93E584BA-BD6F-4A25-B5AF-125E4C1F9D53}"/>
    <cellStyle name="2x indented GHG Textfiels 3 2 3 30" xfId="14838" xr:uid="{301548AC-6874-40EB-84A4-B061DBBE44E6}"/>
    <cellStyle name="2x indented GHG Textfiels 3 2 3 31" xfId="14177" xr:uid="{2B78D8B3-9A36-45C7-8775-E9D53CC83ECF}"/>
    <cellStyle name="2x indented GHG Textfiels 3 2 3 32" xfId="15074" xr:uid="{6C53C014-FF9A-4C7F-A173-A54C5549F078}"/>
    <cellStyle name="2x indented GHG Textfiels 3 2 3 33" xfId="16753" xr:uid="{C3E9A4DA-2730-4F38-B6D9-4C8CBA7FB118}"/>
    <cellStyle name="2x indented GHG Textfiels 3 2 3 34" xfId="16532" xr:uid="{9C53D182-9AEC-4033-91CA-7CF9CA70DCD3}"/>
    <cellStyle name="2x indented GHG Textfiels 3 2 3 35" xfId="17296" xr:uid="{B22974CF-BC72-41B4-A3F0-8D82112E11C1}"/>
    <cellStyle name="2x indented GHG Textfiels 3 2 3 36" xfId="18104" xr:uid="{C8B25AFB-9FE6-488B-B110-75D2FF782337}"/>
    <cellStyle name="2x indented GHG Textfiels 3 2 3 37" xfId="18571" xr:uid="{FC48E087-E9F2-49D4-8B83-0F8596DF19E1}"/>
    <cellStyle name="2x indented GHG Textfiels 3 2 3 38" xfId="18353" xr:uid="{84282FDB-D1AA-4AE1-A7C0-121591E4F840}"/>
    <cellStyle name="2x indented GHG Textfiels 3 2 3 39" xfId="19308" xr:uid="{CB2F690D-BF1C-47CF-976A-7B1BBD9365A9}"/>
    <cellStyle name="2x indented GHG Textfiels 3 2 3 4" xfId="2530" xr:uid="{C328E282-9333-4227-8767-507CBE91CE17}"/>
    <cellStyle name="2x indented GHG Textfiels 3 2 3 40" xfId="20090" xr:uid="{2B7D184E-98DC-4D32-971C-083A64996A44}"/>
    <cellStyle name="2x indented GHG Textfiels 3 2 3 41" xfId="19868" xr:uid="{9A8B9CEA-FF50-4332-A7D5-BD1B34C7F0F2}"/>
    <cellStyle name="2x indented GHG Textfiels 3 2 3 42" xfId="19762" xr:uid="{20C5BBFA-4209-4041-B84A-9DA184F5463A}"/>
    <cellStyle name="2x indented GHG Textfiels 3 2 3 43" xfId="20973" xr:uid="{A4594782-9BD4-429D-B9CD-DEE4443A9B3E}"/>
    <cellStyle name="2x indented GHG Textfiels 3 2 3 44" xfId="21691" xr:uid="{0E3BEA2A-1690-4E4E-892D-3330EB27C474}"/>
    <cellStyle name="2x indented GHG Textfiels 3 2 3 45" xfId="22130" xr:uid="{FB6F58A9-D129-45BE-8199-58B156AEB388}"/>
    <cellStyle name="2x indented GHG Textfiels 3 2 3 46" xfId="22911" xr:uid="{023FCD06-56EB-4FB3-93E0-EF7F40791DF6}"/>
    <cellStyle name="2x indented GHG Textfiels 3 2 3 47" xfId="22082" xr:uid="{E39DD038-3586-4513-B487-6A5EFC036ED2}"/>
    <cellStyle name="2x indented GHG Textfiels 3 2 3 48" xfId="23481" xr:uid="{917BE6F4-13EE-4CC5-A2C8-0293202A26C2}"/>
    <cellStyle name="2x indented GHG Textfiels 3 2 3 49" xfId="23890" xr:uid="{D9A367E4-9E33-4046-B0FF-E0F3FB249247}"/>
    <cellStyle name="2x indented GHG Textfiels 3 2 3 5" xfId="3104" xr:uid="{06B95D56-B814-433B-BCE2-45F549AD55C1}"/>
    <cellStyle name="2x indented GHG Textfiels 3 2 3 50" xfId="24798" xr:uid="{37A8DE65-A460-4AD5-AE15-3D0EC2DE83BB}"/>
    <cellStyle name="2x indented GHG Textfiels 3 2 3 51" xfId="24432" xr:uid="{0E1871C2-66BC-4130-8F4F-A4FA0F9E6960}"/>
    <cellStyle name="2x indented GHG Textfiels 3 2 3 52" xfId="25714" xr:uid="{E819620A-95AA-402E-A085-0B2933CAFDF4}"/>
    <cellStyle name="2x indented GHG Textfiels 3 2 3 53" xfId="26199" xr:uid="{14FFBD1A-1AE0-4AB0-A86A-D743AC676C31}"/>
    <cellStyle name="2x indented GHG Textfiels 3 2 3 54" xfId="26723" xr:uid="{AE08B6F4-F287-41BA-82EF-C380921E46FF}"/>
    <cellStyle name="2x indented GHG Textfiels 3 2 3 55" xfId="27002" xr:uid="{B86F26D6-FC5F-48AD-B702-C4863C4DC621}"/>
    <cellStyle name="2x indented GHG Textfiels 3 2 3 56" xfId="27421" xr:uid="{84528676-66AD-49AC-B100-ED906F926133}"/>
    <cellStyle name="2x indented GHG Textfiels 3 2 3 57" xfId="27726" xr:uid="{5233CB97-F2ED-4365-BD6B-B7054BEAC712}"/>
    <cellStyle name="2x indented GHG Textfiels 3 2 3 58" xfId="28548" xr:uid="{0D39E470-839B-4571-9601-B2E7895E2C17}"/>
    <cellStyle name="2x indented GHG Textfiels 3 2 3 59" xfId="29015" xr:uid="{D93B9574-CE06-4601-AB1D-C120745200C0}"/>
    <cellStyle name="2x indented GHG Textfiels 3 2 3 6" xfId="3071" xr:uid="{C6EDA51B-4FAC-4301-A199-EF6865ED92B4}"/>
    <cellStyle name="2x indented GHG Textfiels 3 2 3 60" xfId="27994" xr:uid="{DD8D9110-19BF-40EB-ABC5-8F1D2047594A}"/>
    <cellStyle name="2x indented GHG Textfiels 3 2 3 61" xfId="29804" xr:uid="{C2F07175-754D-4F4A-B840-861F77B29B83}"/>
    <cellStyle name="2x indented GHG Textfiels 3 2 3 62" xfId="30210" xr:uid="{88B40D9D-1B15-4603-8D88-8725C1D0A3B1}"/>
    <cellStyle name="2x indented GHG Textfiels 3 2 3 63" xfId="30627" xr:uid="{5E5C987E-9E34-4F78-9D11-8F64B3D08D8B}"/>
    <cellStyle name="2x indented GHG Textfiels 3 2 3 64" xfId="30925" xr:uid="{20E0CD72-105D-4BB0-9CCA-99D53D130F3A}"/>
    <cellStyle name="2x indented GHG Textfiels 3 2 3 65" xfId="31243" xr:uid="{C13D5A7D-DB27-4D37-ADCD-DEDA714760F0}"/>
    <cellStyle name="2x indented GHG Textfiels 3 2 3 7" xfId="4026" xr:uid="{52900C8F-3613-4C08-994D-E59D4083337A}"/>
    <cellStyle name="2x indented GHG Textfiels 3 2 3 8" xfId="4463" xr:uid="{1D4A7ECF-4A29-40E6-95E9-662C82CF6E42}"/>
    <cellStyle name="2x indented GHG Textfiels 3 2 3 9" xfId="5048" xr:uid="{14F75BE7-7F65-466F-9919-661E5A135B3D}"/>
    <cellStyle name="2x indented GHG Textfiels 3 3" xfId="348" xr:uid="{69BB0C6B-D3B0-4FB0-B883-650C5371FDB3}"/>
    <cellStyle name="2x indented GHG Textfiels 3 3 10" xfId="3716" xr:uid="{46961871-7DED-4AC6-904D-15CE5460A0F9}"/>
    <cellStyle name="2x indented GHG Textfiels 3 3 11" xfId="3431" xr:uid="{CE31FDE3-1304-4174-A2C5-7A0D78BBF91B}"/>
    <cellStyle name="2x indented GHG Textfiels 3 3 12" xfId="4970" xr:uid="{7775E796-A89D-4DB8-8ACD-720432834D52}"/>
    <cellStyle name="2x indented GHG Textfiels 3 3 13" xfId="4450" xr:uid="{C636ADF0-42D9-4F73-A307-57B8643AA09F}"/>
    <cellStyle name="2x indented GHG Textfiels 3 3 14" xfId="3662" xr:uid="{6473E5A0-5C8B-4DCA-99E1-F43D79D4EBB8}"/>
    <cellStyle name="2x indented GHG Textfiels 3 3 15" xfId="5767" xr:uid="{A46E8C80-3EFC-421D-9B67-04167E92B175}"/>
    <cellStyle name="2x indented GHG Textfiels 3 3 16" xfId="6509" xr:uid="{AE524C53-45B3-41A5-8D3E-0DB8D1E12CFA}"/>
    <cellStyle name="2x indented GHG Textfiels 3 3 17" xfId="7076" xr:uid="{CB81CA91-1B02-480E-8252-E121F0F484E7}"/>
    <cellStyle name="2x indented GHG Textfiels 3 3 18" xfId="7976" xr:uid="{79F928DE-6F85-46C3-B839-4CE2C62472BC}"/>
    <cellStyle name="2x indented GHG Textfiels 3 3 19" xfId="6740" xr:uid="{66CB0916-1141-4A95-8EA4-3773A263EB38}"/>
    <cellStyle name="2x indented GHG Textfiels 3 3 2" xfId="635" xr:uid="{AF4E6AB3-3048-4EB7-AEF9-B5F81380EC44}"/>
    <cellStyle name="2x indented GHG Textfiels 3 3 2 10" xfId="3363" xr:uid="{14E6EA77-1090-40A6-9C3C-ADD8880A45A6}"/>
    <cellStyle name="2x indented GHG Textfiels 3 3 2 11" xfId="5283" xr:uid="{1C180293-0E46-4E43-B0AF-E106B9AE7F35}"/>
    <cellStyle name="2x indented GHG Textfiels 3 3 2 12" xfId="5019" xr:uid="{B961ABC6-1980-4E06-A997-00975D1BF3D3}"/>
    <cellStyle name="2x indented GHG Textfiels 3 3 2 13" xfId="6176" xr:uid="{7E6FF5A5-EDE9-4D1E-AAEF-C9ADE040FD2D}"/>
    <cellStyle name="2x indented GHG Textfiels 3 3 2 14" xfId="6113" xr:uid="{ECC6F638-CA7C-4275-8AF0-A34E75E6F044}"/>
    <cellStyle name="2x indented GHG Textfiels 3 3 2 15" xfId="7355" xr:uid="{973EBC27-7F1B-4CE4-8798-EA54442F082F}"/>
    <cellStyle name="2x indented GHG Textfiels 3 3 2 16" xfId="6976" xr:uid="{7DB0C34C-F53E-4530-8C00-E39A58CB4604}"/>
    <cellStyle name="2x indented GHG Textfiels 3 3 2 17" xfId="8652" xr:uid="{2DD25E8D-C832-40A2-981B-3077A3F33003}"/>
    <cellStyle name="2x indented GHG Textfiels 3 3 2 18" xfId="8762" xr:uid="{FC26883B-B816-4A7A-AE3A-247EA94A3732}"/>
    <cellStyle name="2x indented GHG Textfiels 3 3 2 19" xfId="9569" xr:uid="{F130F1D4-8BD6-42E2-BFD3-69AF0A1EC6A2}"/>
    <cellStyle name="2x indented GHG Textfiels 3 3 2 2" xfId="850" xr:uid="{F87089C7-60FC-403E-A939-C56BA2BC3A95}"/>
    <cellStyle name="2x indented GHG Textfiels 3 3 2 2 10" xfId="5498" xr:uid="{05C750D1-03E6-48D4-9641-0BE3417F08EC}"/>
    <cellStyle name="2x indented GHG Textfiels 3 3 2 2 11" xfId="5733" xr:uid="{3A1CC8C5-855D-4F2C-AF98-CE5AB071E498}"/>
    <cellStyle name="2x indented GHG Textfiels 3 3 2 2 12" xfId="6047" xr:uid="{02B0D26E-5D9B-4C13-A07E-9EEE17FBB2A8}"/>
    <cellStyle name="2x indented GHG Textfiels 3 3 2 2 13" xfId="6504" xr:uid="{E1A3BC1D-CC28-4E0E-AEBF-FD72CE70E125}"/>
    <cellStyle name="2x indented GHG Textfiels 3 3 2 2 14" xfId="7570" xr:uid="{D6265B8B-A987-4E21-8829-607385333DD1}"/>
    <cellStyle name="2x indented GHG Textfiels 3 3 2 2 15" xfId="7144" xr:uid="{5B153EC6-3D25-450D-A13D-261E5C2BE536}"/>
    <cellStyle name="2x indented GHG Textfiels 3 3 2 2 16" xfId="8520" xr:uid="{EB6BD827-5484-4876-9ED3-D485EE9F1AF4}"/>
    <cellStyle name="2x indented GHG Textfiels 3 3 2 2 17" xfId="8792" xr:uid="{98E77616-3890-4BD0-9095-B006818D39D8}"/>
    <cellStyle name="2x indented GHG Textfiels 3 3 2 2 18" xfId="9784" xr:uid="{EE6C7410-80BF-4579-AF9F-BE97384FDC5B}"/>
    <cellStyle name="2x indented GHG Textfiels 3 3 2 2 19" xfId="9359" xr:uid="{D342A65D-843A-4AAC-A77D-C7F383F06551}"/>
    <cellStyle name="2x indented GHG Textfiels 3 3 2 2 2" xfId="1324" xr:uid="{A8751235-AB7F-40C4-AA7D-43284C17EBFC}"/>
    <cellStyle name="2x indented GHG Textfiels 3 3 2 2 20" xfId="9931" xr:uid="{A7FC4C46-14A9-4057-8BE2-85D6BFB949BE}"/>
    <cellStyle name="2x indented GHG Textfiels 3 3 2 2 21" xfId="10622" xr:uid="{E752D557-46A5-436D-94DA-36753D419F87}"/>
    <cellStyle name="2x indented GHG Textfiels 3 3 2 2 22" xfId="10378" xr:uid="{6F01A493-7FDF-4563-B621-AE8EDEC8154B}"/>
    <cellStyle name="2x indented GHG Textfiels 3 3 2 2 23" xfId="12203" xr:uid="{F8333940-353F-4636-9C0D-EF3C49900D56}"/>
    <cellStyle name="2x indented GHG Textfiels 3 3 2 2 24" xfId="12676" xr:uid="{1132ABCA-1709-4980-8434-A5926C723510}"/>
    <cellStyle name="2x indented GHG Textfiels 3 3 2 2 25" xfId="13110" xr:uid="{D617C5BD-7F31-4204-9612-CF86BA23DDF5}"/>
    <cellStyle name="2x indented GHG Textfiels 3 3 2 2 26" xfId="13547" xr:uid="{D9670325-CFE6-4967-93FC-02471F0C9654}"/>
    <cellStyle name="2x indented GHG Textfiels 3 3 2 2 27" xfId="13401" xr:uid="{53ED7056-BE88-4934-8756-383EDBC202C1}"/>
    <cellStyle name="2x indented GHG Textfiels 3 3 2 2 28" xfId="13938" xr:uid="{A2E36660-EE49-4188-A384-BD2EBA9808F5}"/>
    <cellStyle name="2x indented GHG Textfiels 3 3 2 2 29" xfId="14193" xr:uid="{59A59872-0FF9-4E04-8A46-577B6540677A}"/>
    <cellStyle name="2x indented GHG Textfiels 3 3 2 2 3" xfId="1773" xr:uid="{FB1E4E39-9D8A-4561-8ADD-877C85142DAB}"/>
    <cellStyle name="2x indented GHG Textfiels 3 3 2 2 30" xfId="13958" xr:uid="{A855880C-0FB8-4AC5-B528-C7F4257AD13A}"/>
    <cellStyle name="2x indented GHG Textfiels 3 3 2 2 31" xfId="15748" xr:uid="{6781C5A8-2639-4B0C-BBED-688364C14406}"/>
    <cellStyle name="2x indented GHG Textfiels 3 3 2 2 32" xfId="15610" xr:uid="{F449EB06-6DEC-4141-9D3B-73E3B55C19F7}"/>
    <cellStyle name="2x indented GHG Textfiels 3 3 2 2 33" xfId="16895" xr:uid="{9E112744-CBBC-4A16-9412-F0DB647F751C}"/>
    <cellStyle name="2x indented GHG Textfiels 3 3 2 2 34" xfId="16466" xr:uid="{3D3EC564-4B2B-4995-A4A2-5DB08464A980}"/>
    <cellStyle name="2x indented GHG Textfiels 3 3 2 2 35" xfId="17045" xr:uid="{FAD3E8C2-C667-4463-98F2-02A7794CD03C}"/>
    <cellStyle name="2x indented GHG Textfiels 3 3 2 2 36" xfId="17447" xr:uid="{285CF404-6A50-43B2-8E2C-1A0EC4C8FE84}"/>
    <cellStyle name="2x indented GHG Textfiels 3 3 2 2 37" xfId="18713" xr:uid="{6338B2B1-40C9-4200-A58A-97B9A462EB3D}"/>
    <cellStyle name="2x indented GHG Textfiels 3 3 2 2 38" xfId="17427" xr:uid="{C38D43D4-6F7E-4BC9-9DCB-D789EA91D1B5}"/>
    <cellStyle name="2x indented GHG Textfiels 3 3 2 2 39" xfId="18850" xr:uid="{1CCA091C-6323-4E41-9B1D-86D356E5BB2B}"/>
    <cellStyle name="2x indented GHG Textfiels 3 3 2 2 4" xfId="2672" xr:uid="{A1078773-3012-4C98-B1A1-DE57022E8201}"/>
    <cellStyle name="2x indented GHG Textfiels 3 3 2 2 40" xfId="20232" xr:uid="{710CF30B-3A78-4155-A968-D3A8362224EB}"/>
    <cellStyle name="2x indented GHG Textfiels 3 3 2 2 41" xfId="19802" xr:uid="{C67DCA08-27E1-4277-99A9-20700B0181BA}"/>
    <cellStyle name="2x indented GHG Textfiels 3 3 2 2 42" xfId="20498" xr:uid="{1A87BFAC-9647-4A58-8F62-EACAE81D5538}"/>
    <cellStyle name="2x indented GHG Textfiels 3 3 2 2 43" xfId="21597" xr:uid="{2C98D549-443B-4729-AB47-F3643A8935A5}"/>
    <cellStyle name="2x indented GHG Textfiels 3 3 2 2 44" xfId="20783" xr:uid="{41D9095D-ED44-4C32-99FF-02DE3A5D6571}"/>
    <cellStyle name="2x indented GHG Textfiels 3 3 2 2 45" xfId="21969" xr:uid="{27EDB740-BB41-473E-9DD6-B2FD09395BDE}"/>
    <cellStyle name="2x indented GHG Textfiels 3 3 2 2 46" xfId="22081" xr:uid="{56352BE7-2CCE-4F24-A740-84CE7D29AF60}"/>
    <cellStyle name="2x indented GHG Textfiels 3 3 2 2 47" xfId="22649" xr:uid="{8655F11F-3683-4DFA-9545-2F67B20247C1}"/>
    <cellStyle name="2x indented GHG Textfiels 3 3 2 2 48" xfId="23442" xr:uid="{F5B804FF-37AE-44CF-8E66-5518EAF68C95}"/>
    <cellStyle name="2x indented GHG Textfiels 3 3 2 2 49" xfId="24032" xr:uid="{2E136F4C-231B-4B43-B6A5-19D5314DB9B7}"/>
    <cellStyle name="2x indented GHG Textfiels 3 3 2 2 5" xfId="2025" xr:uid="{D7DC9651-8E1A-4FA2-874C-27A9DA2CE74A}"/>
    <cellStyle name="2x indented GHG Textfiels 3 3 2 2 50" xfId="24940" xr:uid="{8FC7ABA8-9A7B-4FCE-A4CE-06AA3C8D8300}"/>
    <cellStyle name="2x indented GHG Textfiels 3 3 2 2 51" xfId="24106" xr:uid="{E418A7C2-52FD-44C1-A4E7-7EACDA6A2D75}"/>
    <cellStyle name="2x indented GHG Textfiels 3 3 2 2 52" xfId="25856" xr:uid="{EA9D5B63-BDE2-424F-8051-BC084960B67E}"/>
    <cellStyle name="2x indented GHG Textfiels 3 3 2 2 53" xfId="25930" xr:uid="{6CBEC142-A498-426D-B4FC-1535CCF1EEF1}"/>
    <cellStyle name="2x indented GHG Textfiels 3 3 2 2 54" xfId="26467" xr:uid="{B11C0368-4AE9-4DB6-9EF4-61BDBF12BE35}"/>
    <cellStyle name="2x indented GHG Textfiels 3 3 2 2 55" xfId="27144" xr:uid="{5B40EB38-2A3B-467C-9ECD-35C28A8C754D}"/>
    <cellStyle name="2x indented GHG Textfiels 3 3 2 2 56" xfId="27563" xr:uid="{1E92E20E-F6D2-4A40-B6A3-E1699B7FBF33}"/>
    <cellStyle name="2x indented GHG Textfiels 3 3 2 2 57" xfId="25977" xr:uid="{47B997D7-D721-49E6-9CA5-25AF05A1EB59}"/>
    <cellStyle name="2x indented GHG Textfiels 3 3 2 2 58" xfId="28690" xr:uid="{16D12BE7-B36A-4BB3-9CD1-EAF849434B46}"/>
    <cellStyle name="2x indented GHG Textfiels 3 3 2 2 59" xfId="29157" xr:uid="{4A2EF300-5584-4487-81A1-81A05A27C3AD}"/>
    <cellStyle name="2x indented GHG Textfiels 3 3 2 2 6" xfId="2263" xr:uid="{F4456848-14E5-43B0-A280-BA30446F3FDB}"/>
    <cellStyle name="2x indented GHG Textfiels 3 3 2 2 60" xfId="28755" xr:uid="{4EBA0EF8-3610-44AB-BADF-4185FA8A6B4E}"/>
    <cellStyle name="2x indented GHG Textfiels 3 3 2 2 61" xfId="29946" xr:uid="{6CBB49EC-03AA-4621-8CA8-3081B894383B}"/>
    <cellStyle name="2x indented GHG Textfiels 3 3 2 2 62" xfId="30352" xr:uid="{B80ACC18-85FE-49E9-BA93-6999B51D9CC2}"/>
    <cellStyle name="2x indented GHG Textfiels 3 3 2 2 63" xfId="30769" xr:uid="{B9B592D4-6D08-4586-AC8E-FE9C2091E47E}"/>
    <cellStyle name="2x indented GHG Textfiels 3 3 2 2 64" xfId="29991" xr:uid="{EAA1D78B-6A85-4C30-AB52-C86BB31F6F17}"/>
    <cellStyle name="2x indented GHG Textfiels 3 3 2 2 65" xfId="31385" xr:uid="{599032A6-BC93-46EC-8772-9C58E9E205DA}"/>
    <cellStyle name="2x indented GHG Textfiels 3 3 2 2 7" xfId="4168" xr:uid="{F00E6444-4106-4310-8D88-8A310CD5562A}"/>
    <cellStyle name="2x indented GHG Textfiels 3 3 2 2 8" xfId="4605" xr:uid="{D635462C-91EB-4780-BD19-A69BFAA0E2D8}"/>
    <cellStyle name="2x indented GHG Textfiels 3 3 2 2 9" xfId="2931" xr:uid="{10A1AF22-A8A5-47C7-80E8-59ABF4E64AE1}"/>
    <cellStyle name="2x indented GHG Textfiels 3 3 2 20" xfId="9317" xr:uid="{F5144F81-8EE2-4029-8DE5-CBD517475C49}"/>
    <cellStyle name="2x indented GHG Textfiels 3 3 2 21" xfId="9165" xr:uid="{A3F8A77E-B719-4408-89CB-31EF84CE5E86}"/>
    <cellStyle name="2x indented GHG Textfiels 3 3 2 22" xfId="10867" xr:uid="{90CE4A82-42AC-47EA-81BB-AE9AF6C099C0}"/>
    <cellStyle name="2x indented GHG Textfiels 3 3 2 23" xfId="11118" xr:uid="{C26CC97C-F409-41BA-BF59-D44821EB8414}"/>
    <cellStyle name="2x indented GHG Textfiels 3 3 2 24" xfId="11988" xr:uid="{F5378A8E-EBCB-4A25-8EE8-B47BF01471F4}"/>
    <cellStyle name="2x indented GHG Textfiels 3 3 2 25" xfId="12461" xr:uid="{741EA4C5-5726-4D51-A7A8-F6328EB3589D}"/>
    <cellStyle name="2x indented GHG Textfiels 3 3 2 26" xfId="12895" xr:uid="{CA73DC1B-9AB6-48C5-841C-A326EC8E9B7C}"/>
    <cellStyle name="2x indented GHG Textfiels 3 3 2 27" xfId="13332" xr:uid="{992E8178-AEE8-44F4-8CC5-409341C83B5B}"/>
    <cellStyle name="2x indented GHG Textfiels 3 3 2 28" xfId="13670" xr:uid="{9A95E35F-9A9E-4741-AB15-91CB084FE660}"/>
    <cellStyle name="2x indented GHG Textfiels 3 3 2 29" xfId="13153" xr:uid="{9009A53D-EDF0-4D14-854E-B2E0989B7435}"/>
    <cellStyle name="2x indented GHG Textfiels 3 3 2 3" xfId="1118" xr:uid="{00EA6642-7FA3-4B26-B99D-8D1D2CC98DAB}"/>
    <cellStyle name="2x indented GHG Textfiels 3 3 2 30" xfId="14710" xr:uid="{A12EFB32-EC86-44C8-8662-CE9F12444D28}"/>
    <cellStyle name="2x indented GHG Textfiels 3 3 2 31" xfId="15092" xr:uid="{E3EDEC1B-131E-44BD-B4E3-F0372750AFB9}"/>
    <cellStyle name="2x indented GHG Textfiels 3 3 2 32" xfId="15624" xr:uid="{A527C3D6-046B-4603-85DB-3D0F6D68D4DA}"/>
    <cellStyle name="2x indented GHG Textfiels 3 3 2 33" xfId="14667" xr:uid="{2C333808-602D-483A-A030-E4F91CD2465A}"/>
    <cellStyle name="2x indented GHG Textfiels 3 3 2 34" xfId="16680" xr:uid="{8B033B58-6E52-468F-94DF-8580C78DD3B6}"/>
    <cellStyle name="2x indented GHG Textfiels 3 3 2 35" xfId="16296" xr:uid="{0AEB8334-39E7-4D6C-92D1-A4077FF8B07C}"/>
    <cellStyle name="2x indented GHG Textfiels 3 3 2 36" xfId="17308" xr:uid="{DC8428FA-6B50-4EFF-97C5-A4C7486F7D09}"/>
    <cellStyle name="2x indented GHG Textfiels 3 3 2 37" xfId="18026" xr:uid="{6AA1F315-B2DE-4B4C-8BBD-DD0D97AEDB25}"/>
    <cellStyle name="2x indented GHG Textfiels 3 3 2 38" xfId="18498" xr:uid="{42D0E121-D6B6-4F04-BFBD-F41FEE946E17}"/>
    <cellStyle name="2x indented GHG Textfiels 3 3 2 39" xfId="18827" xr:uid="{EFE07F46-A7D3-414C-9087-6373D45B53A4}"/>
    <cellStyle name="2x indented GHG Textfiels 3 3 2 4" xfId="1745" xr:uid="{20052DA6-32FF-4430-AD19-873C30C48E27}"/>
    <cellStyle name="2x indented GHG Textfiels 3 3 2 40" xfId="18274" xr:uid="{E4DA7C7E-E6D0-4581-A0B1-87008907741E}"/>
    <cellStyle name="2x indented GHG Textfiels 3 3 2 41" xfId="20017" xr:uid="{D52D3D70-91F3-4536-92AA-0513950A3806}"/>
    <cellStyle name="2x indented GHG Textfiels 3 3 2 42" xfId="19626" xr:uid="{7882F42A-E553-4274-A641-ABA1403CB0EC}"/>
    <cellStyle name="2x indented GHG Textfiels 3 3 2 43" xfId="20322" xr:uid="{4D60B109-3294-496B-8A77-8B92375495FF}"/>
    <cellStyle name="2x indented GHG Textfiels 3 3 2 44" xfId="21539" xr:uid="{29AF47B7-1B43-4612-B0CE-7496D0708463}"/>
    <cellStyle name="2x indented GHG Textfiels 3 3 2 45" xfId="21320" xr:uid="{05CBDC0B-D3D1-4373-89CF-DBF7D6239731}"/>
    <cellStyle name="2x indented GHG Textfiels 3 3 2 46" xfId="21538" xr:uid="{BDC0BF16-FF90-4679-8E86-144AE3C4C298}"/>
    <cellStyle name="2x indented GHG Textfiels 3 3 2 47" xfId="22670" xr:uid="{3ED6F0F1-0B52-4C12-B820-055DFDF7FBEB}"/>
    <cellStyle name="2x indented GHG Textfiels 3 3 2 48" xfId="23099" xr:uid="{AD3C4401-71B8-4B04-AE97-6B71F834E608}"/>
    <cellStyle name="2x indented GHG Textfiels 3 3 2 49" xfId="23608" xr:uid="{D3F23F3A-5E1E-48BE-855D-BE8B0CC4BF2E}"/>
    <cellStyle name="2x indented GHG Textfiels 3 3 2 5" xfId="2457" xr:uid="{43DF861B-9B76-4666-BCDD-8AFC91156720}"/>
    <cellStyle name="2x indented GHG Textfiels 3 3 2 50" xfId="23826" xr:uid="{3862FC6F-2BBB-45C6-B377-A00EB0FA8700}"/>
    <cellStyle name="2x indented GHG Textfiels 3 3 2 51" xfId="24725" xr:uid="{98F3E305-0620-4BCE-823D-03C0A8C1BAE0}"/>
    <cellStyle name="2x indented GHG Textfiels 3 3 2 52" xfId="24987" xr:uid="{792BB416-E500-4BE9-BFD6-557ED9A1AD97}"/>
    <cellStyle name="2x indented GHG Textfiels 3 3 2 53" xfId="25643" xr:uid="{A30E6149-EF6F-42C3-A596-2CB1AEAFAC41}"/>
    <cellStyle name="2x indented GHG Textfiels 3 3 2 54" xfId="25974" xr:uid="{77678CFB-48D2-42E5-8CA6-AC6B5C7696F7}"/>
    <cellStyle name="2x indented GHG Textfiels 3 3 2 55" xfId="26652" xr:uid="{9ED35562-DF8A-4D0F-ACE8-A1DBD19CA699}"/>
    <cellStyle name="2x indented GHG Textfiels 3 3 2 56" xfId="26933" xr:uid="{0F730353-C625-4CB4-AD96-D9729EE30AFB}"/>
    <cellStyle name="2x indented GHG Textfiels 3 3 2 57" xfId="27352" xr:uid="{EFB872C2-2C95-4585-9A95-9C1713E33E4B}"/>
    <cellStyle name="2x indented GHG Textfiels 3 3 2 58" xfId="27758" xr:uid="{2F90D605-B538-4128-8C52-9BA6AAC886A9}"/>
    <cellStyle name="2x indented GHG Textfiels 3 3 2 59" xfId="28475" xr:uid="{41FC847A-1676-4A58-8729-429D5A849BF1}"/>
    <cellStyle name="2x indented GHG Textfiels 3 3 2 6" xfId="2836" xr:uid="{65B5FE89-79CC-458E-B68D-918ACE37B199}"/>
    <cellStyle name="2x indented GHG Textfiels 3 3 2 60" xfId="28943" xr:uid="{842EA4B8-7243-4FA7-9CB4-860C4E6F3D60}"/>
    <cellStyle name="2x indented GHG Textfiels 3 3 2 61" xfId="28077" xr:uid="{F603E8DF-7192-47C3-8CC1-ED4EBA748A98}"/>
    <cellStyle name="2x indented GHG Textfiels 3 3 2 62" xfId="29733" xr:uid="{ED8AA3DC-4453-4C53-ACF7-57A5EB5D366A}"/>
    <cellStyle name="2x indented GHG Textfiels 3 3 2 63" xfId="30141" xr:uid="{221E9144-CADD-409E-9D1A-DE8A2BA413CE}"/>
    <cellStyle name="2x indented GHG Textfiels 3 3 2 64" xfId="30555" xr:uid="{DC39CD7C-8E19-4FC1-AD1D-5736A15DD172}"/>
    <cellStyle name="2x indented GHG Textfiels 3 3 2 65" xfId="30932" xr:uid="{4AD2C636-2474-4E2F-A36B-2CD48DE35567}"/>
    <cellStyle name="2x indented GHG Textfiels 3 3 2 66" xfId="31179" xr:uid="{F810247D-F35F-4368-8FEA-D683F0485036}"/>
    <cellStyle name="2x indented GHG Textfiels 3 3 2 7" xfId="3754" xr:uid="{B5E8EC2E-8EE1-4B99-A948-B987C0E39466}"/>
    <cellStyle name="2x indented GHG Textfiels 3 3 2 8" xfId="3953" xr:uid="{5FA9E6F5-AF78-4800-90E3-6FE11A752727}"/>
    <cellStyle name="2x indented GHG Textfiels 3 3 2 9" xfId="4391" xr:uid="{9B76633D-40AF-4AB9-B7E2-124C8BBAFF6F}"/>
    <cellStyle name="2x indented GHG Textfiels 3 3 20" xfId="8300" xr:uid="{2F33EF67-36DA-431A-AAEE-6D50518919EA}"/>
    <cellStyle name="2x indented GHG Textfiels 3 3 21" xfId="9289" xr:uid="{45011D35-5642-42D4-A255-CAEEB7130045}"/>
    <cellStyle name="2x indented GHG Textfiels 3 3 22" xfId="10192" xr:uid="{E4AC5667-B879-487E-9D81-4310CB664E10}"/>
    <cellStyle name="2x indented GHG Textfiels 3 3 23" xfId="10597" xr:uid="{247862BB-CE1B-4778-BA69-46FD327A9E5B}"/>
    <cellStyle name="2x indented GHG Textfiels 3 3 24" xfId="10470" xr:uid="{17CD9CC3-A12F-466B-8506-C0DF4DFE4C24}"/>
    <cellStyle name="2x indented GHG Textfiels 3 3 25" xfId="10838" xr:uid="{BCBFE763-0351-4159-B94E-7152F045A7C9}"/>
    <cellStyle name="2x indented GHG Textfiels 3 3 26" xfId="11703" xr:uid="{12B73A57-D40F-4EEA-8D5A-B7E485385053}"/>
    <cellStyle name="2x indented GHG Textfiels 3 3 27" xfId="11743" xr:uid="{ECD0CD62-2974-431C-81EA-7BFD23DCE3A1}"/>
    <cellStyle name="2x indented GHG Textfiels 3 3 28" xfId="11372" xr:uid="{F11499F5-E571-493B-8CDC-9F3A4FE877F6}"/>
    <cellStyle name="2x indented GHG Textfiels 3 3 29" xfId="12303" xr:uid="{2E0ED66C-D3C2-4A4B-BDBD-45066A1BF1B8}"/>
    <cellStyle name="2x indented GHG Textfiels 3 3 3" xfId="637" xr:uid="{B882AD9F-4B0E-4D2C-9A9A-5583AF43EDE2}"/>
    <cellStyle name="2x indented GHG Textfiels 3 3 3 10" xfId="3726" xr:uid="{8E582A2D-EA37-46BD-AA2C-6E12ADC3B3D0}"/>
    <cellStyle name="2x indented GHG Textfiels 3 3 3 11" xfId="5285" xr:uid="{22BF4D87-37F9-4189-BB3C-F42AAFDEB83E}"/>
    <cellStyle name="2x indented GHG Textfiels 3 3 3 12" xfId="5605" xr:uid="{479D8223-2837-464F-922B-1CC6383D741D}"/>
    <cellStyle name="2x indented GHG Textfiels 3 3 3 13" xfId="5053" xr:uid="{FCA31E74-5E66-4C88-AE6F-BF97888541A6}"/>
    <cellStyle name="2x indented GHG Textfiels 3 3 3 14" xfId="6131" xr:uid="{53623914-1ED9-4E9F-9C3A-7B1897F0D77F}"/>
    <cellStyle name="2x indented GHG Textfiels 3 3 3 15" xfId="7357" xr:uid="{AEABE2E8-ED75-4D26-9B78-EA84E806520E}"/>
    <cellStyle name="2x indented GHG Textfiels 3 3 3 16" xfId="7844" xr:uid="{847C4F44-9293-4E39-AFEF-3AE2BACAFF0B}"/>
    <cellStyle name="2x indented GHG Textfiels 3 3 3 17" xfId="8523" xr:uid="{43BD7DE1-2DF8-4C59-BC30-CE10BF242E50}"/>
    <cellStyle name="2x indented GHG Textfiels 3 3 3 18" xfId="8389" xr:uid="{98ADB2F5-BCE6-4C4D-B445-0612D3A539C3}"/>
    <cellStyle name="2x indented GHG Textfiels 3 3 3 19" xfId="9571" xr:uid="{CB62A95E-3100-4AC3-AAC4-66ED1B1EB644}"/>
    <cellStyle name="2x indented GHG Textfiels 3 3 3 2" xfId="852" xr:uid="{979DDFEA-D618-4817-8F1C-6DE0B5D1DAC3}"/>
    <cellStyle name="2x indented GHG Textfiels 3 3 3 2 10" xfId="5500" xr:uid="{189D98D8-E2E9-4E67-A4A0-37021A2213F2}"/>
    <cellStyle name="2x indented GHG Textfiels 3 3 3 2 11" xfId="5095" xr:uid="{5D2E8655-4A76-4FB6-AF26-4C88C16C0003}"/>
    <cellStyle name="2x indented GHG Textfiels 3 3 3 2 12" xfId="5755" xr:uid="{7E03CD50-F320-45BF-BACB-4478B92E1988}"/>
    <cellStyle name="2x indented GHG Textfiels 3 3 3 2 13" xfId="6229" xr:uid="{D2E2054C-E9F9-41AB-A312-652E8D664121}"/>
    <cellStyle name="2x indented GHG Textfiels 3 3 3 2 14" xfId="7572" xr:uid="{5C60200F-822D-4817-B757-934760B972A5}"/>
    <cellStyle name="2x indented GHG Textfiels 3 3 3 2 15" xfId="6754" xr:uid="{8742F07C-4FEE-4989-BA4D-2ADFECD4A353}"/>
    <cellStyle name="2x indented GHG Textfiels 3 3 3 2 16" xfId="7142" xr:uid="{D2FE7FBF-1E71-445D-AC13-9BB194E4D5C8}"/>
    <cellStyle name="2x indented GHG Textfiels 3 3 3 2 17" xfId="8901" xr:uid="{9CFE1DD6-1453-4B88-A49A-5CA0D95B1C3C}"/>
    <cellStyle name="2x indented GHG Textfiels 3 3 3 2 18" xfId="9786" xr:uid="{2116EBD1-FC45-4A04-89BA-61C46769A840}"/>
    <cellStyle name="2x indented GHG Textfiels 3 3 3 2 19" xfId="8966" xr:uid="{C432BCB7-A9E6-4038-948C-09B12850D403}"/>
    <cellStyle name="2x indented GHG Textfiels 3 3 3 2 2" xfId="1326" xr:uid="{3AC65A83-D817-4E70-8F7E-0ABEC31C1BE8}"/>
    <cellStyle name="2x indented GHG Textfiels 3 3 3 2 20" xfId="10025" xr:uid="{6C221A12-6071-4154-A9B0-BF528B34F0F7}"/>
    <cellStyle name="2x indented GHG Textfiels 3 3 3 2 21" xfId="10703" xr:uid="{BAF69C9A-FBE9-4A06-9EF6-FFDD92B58162}"/>
    <cellStyle name="2x indented GHG Textfiels 3 3 3 2 22" xfId="11217" xr:uid="{ABDF9AB8-E5C4-4894-821B-63A5D4DB1F11}"/>
    <cellStyle name="2x indented GHG Textfiels 3 3 3 2 23" xfId="12205" xr:uid="{DF32B41B-6E54-486F-91F0-DAA5F67E3F3C}"/>
    <cellStyle name="2x indented GHG Textfiels 3 3 3 2 24" xfId="12678" xr:uid="{0D4D693B-CE61-4B0C-AFE7-D526D9EA1579}"/>
    <cellStyle name="2x indented GHG Textfiels 3 3 3 2 25" xfId="13112" xr:uid="{F20490AB-D83F-4175-96E7-9A653087C50B}"/>
    <cellStyle name="2x indented GHG Textfiels 3 3 3 2 26" xfId="13549" xr:uid="{374B462B-74DD-4C61-995A-F5B263FE2B87}"/>
    <cellStyle name="2x indented GHG Textfiels 3 3 3 2 27" xfId="13619" xr:uid="{77CC8B8D-BAD8-4042-98F3-CB00FAC7FCCA}"/>
    <cellStyle name="2x indented GHG Textfiels 3 3 3 2 28" xfId="12273" xr:uid="{FE9362B8-E2E3-445B-9374-74CA36C52E8C}"/>
    <cellStyle name="2x indented GHG Textfiels 3 3 3 2 29" xfId="11841" xr:uid="{098B4458-EF7D-44E7-B419-12D036AB87DC}"/>
    <cellStyle name="2x indented GHG Textfiels 3 3 3 2 3" xfId="1775" xr:uid="{45A58CE4-67DA-43FB-8117-4C2804D70100}"/>
    <cellStyle name="2x indented GHG Textfiels 3 3 3 2 30" xfId="14084" xr:uid="{1AF15F61-6AB5-4B43-A1EB-481A1D6019F7}"/>
    <cellStyle name="2x indented GHG Textfiels 3 3 3 2 31" xfId="14768" xr:uid="{7247558D-29CD-4A40-AAD1-B2948B5F5D4E}"/>
    <cellStyle name="2x indented GHG Textfiels 3 3 3 2 32" xfId="15756" xr:uid="{0AFCABB2-DE7C-4F17-AD3C-2025E987B15F}"/>
    <cellStyle name="2x indented GHG Textfiels 3 3 3 2 33" xfId="16897" xr:uid="{DB228C4F-8E0D-45D2-8907-240CEB0F3032}"/>
    <cellStyle name="2x indented GHG Textfiels 3 3 3 2 34" xfId="16063" xr:uid="{A281FA42-18C7-4180-A800-1FD99643B902}"/>
    <cellStyle name="2x indented GHG Textfiels 3 3 3 2 35" xfId="17142" xr:uid="{E20405F0-2A56-40B9-B3F9-63A4CC245EA3}"/>
    <cellStyle name="2x indented GHG Textfiels 3 3 3 2 36" xfId="18067" xr:uid="{69219657-F4DA-484D-A594-D582470E2039}"/>
    <cellStyle name="2x indented GHG Textfiels 3 3 3 2 37" xfId="18715" xr:uid="{DFDC0933-2E49-4778-920A-D96E80D72C97}"/>
    <cellStyle name="2x indented GHG Textfiels 3 3 3 2 38" xfId="18874" xr:uid="{9F7001D8-B641-4254-A4AD-9B98DF553AD4}"/>
    <cellStyle name="2x indented GHG Textfiels 3 3 3 2 39" xfId="19175" xr:uid="{84C2E51D-8D36-4864-89B8-A5F686E76CCC}"/>
    <cellStyle name="2x indented GHG Textfiels 3 3 3 2 4" xfId="2674" xr:uid="{2E1B68A2-71FF-4EC2-8A86-0ADD8B1AE018}"/>
    <cellStyle name="2x indented GHG Textfiels 3 3 3 2 40" xfId="20234" xr:uid="{1CDE2391-9D01-45C4-883B-B4CCCE0D9AC1}"/>
    <cellStyle name="2x indented GHG Textfiels 3 3 3 2 41" xfId="19396" xr:uid="{EE1CFA4C-AD20-4ACB-85B4-6BF08E158B10}"/>
    <cellStyle name="2x indented GHG Textfiels 3 3 3 2 42" xfId="20324" xr:uid="{CC558561-E7CC-4C68-9C50-23B19749AFCA}"/>
    <cellStyle name="2x indented GHG Textfiels 3 3 3 2 43" xfId="21332" xr:uid="{5367A473-F963-4B01-BB63-84781333282F}"/>
    <cellStyle name="2x indented GHG Textfiels 3 3 3 2 44" xfId="21546" xr:uid="{0DFBFDC7-19ED-4D1C-AED5-B7397D9A1D99}"/>
    <cellStyle name="2x indented GHG Textfiels 3 3 3 2 45" xfId="21493" xr:uid="{91A93C5A-D3E8-496F-B6B3-4107FDE96DF0}"/>
    <cellStyle name="2x indented GHG Textfiels 3 3 3 2 46" xfId="22628" xr:uid="{C216CED0-A91B-4A03-BE28-C30FDB9987AD}"/>
    <cellStyle name="2x indented GHG Textfiels 3 3 3 2 47" xfId="23151" xr:uid="{469985C1-995A-4B2D-AE8B-6715C0DE9747}"/>
    <cellStyle name="2x indented GHG Textfiels 3 3 3 2 48" xfId="23189" xr:uid="{AF3D1F7E-FFB4-4126-AEE5-021E631F2BDB}"/>
    <cellStyle name="2x indented GHG Textfiels 3 3 3 2 49" xfId="24034" xr:uid="{CF6D9079-D60F-4347-8024-10CBBC5741D1}"/>
    <cellStyle name="2x indented GHG Textfiels 3 3 3 2 5" xfId="2786" xr:uid="{F8E04711-F765-44C5-8A86-202687C88D1F}"/>
    <cellStyle name="2x indented GHG Textfiels 3 3 3 2 50" xfId="24942" xr:uid="{20147870-2043-434F-B296-3A494890C17F}"/>
    <cellStyle name="2x indented GHG Textfiels 3 3 3 2 51" xfId="24248" xr:uid="{3CF54FD2-3509-44A2-B37D-FD6758584B79}"/>
    <cellStyle name="2x indented GHG Textfiels 3 3 3 2 52" xfId="25858" xr:uid="{B45579AF-D48E-4834-BFD1-A5102ECE4DF1}"/>
    <cellStyle name="2x indented GHG Textfiels 3 3 3 2 53" xfId="25129" xr:uid="{E7BFA57B-97EE-49F4-B4A2-A77FC1F0043D}"/>
    <cellStyle name="2x indented GHG Textfiels 3 3 3 2 54" xfId="26382" xr:uid="{B0D50F25-34B0-4926-B4B5-DD2E24124655}"/>
    <cellStyle name="2x indented GHG Textfiels 3 3 3 2 55" xfId="27146" xr:uid="{DA35BD52-C512-476D-9087-9416D79853DF}"/>
    <cellStyle name="2x indented GHG Textfiels 3 3 3 2 56" xfId="27565" xr:uid="{5B0D65F9-FFFC-42F0-A5C1-7F736AC853DA}"/>
    <cellStyle name="2x indented GHG Textfiels 3 3 3 2 57" xfId="26496" xr:uid="{6AF28A52-5B75-4033-8CDE-CA4195F378AE}"/>
    <cellStyle name="2x indented GHG Textfiels 3 3 3 2 58" xfId="28692" xr:uid="{6434A962-1C5A-47B2-847A-00B064995132}"/>
    <cellStyle name="2x indented GHG Textfiels 3 3 3 2 59" xfId="29159" xr:uid="{3A5ED6D0-3466-44C7-A6E5-C8D5D1D54BAE}"/>
    <cellStyle name="2x indented GHG Textfiels 3 3 3 2 6" xfId="3321" xr:uid="{A47908A4-DD9B-404C-98A8-2521CFFABB6C}"/>
    <cellStyle name="2x indented GHG Textfiels 3 3 3 2 60" xfId="28818" xr:uid="{9E57E5F3-FDEB-410B-948B-3039070BAFEE}"/>
    <cellStyle name="2x indented GHG Textfiels 3 3 3 2 61" xfId="29948" xr:uid="{ABD0A129-9667-4AB2-AE67-D66EDA141A4C}"/>
    <cellStyle name="2x indented GHG Textfiels 3 3 3 2 62" xfId="30354" xr:uid="{C570296D-A1EE-4EAC-BEE4-6DFD0873C9CE}"/>
    <cellStyle name="2x indented GHG Textfiels 3 3 3 2 63" xfId="30771" xr:uid="{5C73B0BE-7914-4D0A-8317-97A705B454D3}"/>
    <cellStyle name="2x indented GHG Textfiels 3 3 3 2 64" xfId="29232" xr:uid="{4C0DC6B2-8427-40B8-BD93-E4A032CABA24}"/>
    <cellStyle name="2x indented GHG Textfiels 3 3 3 2 65" xfId="31387" xr:uid="{A1E5259B-B141-41BF-BF59-77A9F565992C}"/>
    <cellStyle name="2x indented GHG Textfiels 3 3 3 2 7" xfId="4170" xr:uid="{6CAF643A-11ED-470D-A22E-131FC216E936}"/>
    <cellStyle name="2x indented GHG Textfiels 3 3 3 2 8" xfId="4607" xr:uid="{6B51AEA5-94B9-4A2C-A336-C7969F8615D9}"/>
    <cellStyle name="2x indented GHG Textfiels 3 3 3 2 9" xfId="3176" xr:uid="{170E17C3-30F3-4B3A-A0CB-9CD44D6168A3}"/>
    <cellStyle name="2x indented GHG Textfiels 3 3 3 20" xfId="10056" xr:uid="{E9987135-9AA0-4C0D-B139-DB9F04267C16}"/>
    <cellStyle name="2x indented GHG Textfiels 3 3 3 21" xfId="10476" xr:uid="{E05FFC4E-64F5-40ED-BDCA-E34842B06D84}"/>
    <cellStyle name="2x indented GHG Textfiels 3 3 3 22" xfId="10878" xr:uid="{52C339DC-9EAD-436B-9584-025DAB28275E}"/>
    <cellStyle name="2x indented GHG Textfiels 3 3 3 23" xfId="9948" xr:uid="{6A769384-D87A-470D-A8B5-B72738670312}"/>
    <cellStyle name="2x indented GHG Textfiels 3 3 3 24" xfId="11990" xr:uid="{A8B2C793-4955-432C-87C4-3D662010B241}"/>
    <cellStyle name="2x indented GHG Textfiels 3 3 3 25" xfId="12463" xr:uid="{93C1FD1C-9B52-4A1D-893D-5DFE72FB520B}"/>
    <cellStyle name="2x indented GHG Textfiels 3 3 3 26" xfId="12897" xr:uid="{51090FC1-CBA0-432E-92BE-B33F86AAA14A}"/>
    <cellStyle name="2x indented GHG Textfiels 3 3 3 27" xfId="13334" xr:uid="{18E80909-A975-4172-8D75-C82C71811AD2}"/>
    <cellStyle name="2x indented GHG Textfiels 3 3 3 28" xfId="13776" xr:uid="{0D1716D7-6641-4D68-B40A-49D350E40003}"/>
    <cellStyle name="2x indented GHG Textfiels 3 3 3 29" xfId="13163" xr:uid="{B93E8BB1-F19F-4DB3-9E3F-85189FA2432B}"/>
    <cellStyle name="2x indented GHG Textfiels 3 3 3 3" xfId="1120" xr:uid="{3B4631F1-1885-4A3A-88BE-47052D74B0A4}"/>
    <cellStyle name="2x indented GHG Textfiels 3 3 3 30" xfId="14696" xr:uid="{A8ED6247-CE0B-45AC-BE50-CB79EAA6D931}"/>
    <cellStyle name="2x indented GHG Textfiels 3 3 3 31" xfId="14106" xr:uid="{511B4870-C8F9-4EC8-8F05-996A65B645E9}"/>
    <cellStyle name="2x indented GHG Textfiels 3 3 3 32" xfId="15329" xr:uid="{45B6DE5B-805A-4A17-BEF9-2A7FDD499735}"/>
    <cellStyle name="2x indented GHG Textfiels 3 3 3 33" xfId="15886" xr:uid="{AD60B72B-4282-41F8-99C8-32E375181494}"/>
    <cellStyle name="2x indented GHG Textfiels 3 3 3 34" xfId="16682" xr:uid="{C0660C65-9C07-4783-B407-B11A33D5D724}"/>
    <cellStyle name="2x indented GHG Textfiels 3 3 3 35" xfId="17174" xr:uid="{7C74A658-8A4B-4DC9-8568-F491F00C2C4E}"/>
    <cellStyle name="2x indented GHG Textfiels 3 3 3 36" xfId="17619" xr:uid="{5D2AF9A4-7C94-4724-AF40-C5DAAD0960C9}"/>
    <cellStyle name="2x indented GHG Textfiels 3 3 3 37" xfId="18202" xr:uid="{C24EFA20-2957-4BCF-9A34-5ED358680DFF}"/>
    <cellStyle name="2x indented GHG Textfiels 3 3 3 38" xfId="18500" xr:uid="{6979BD1C-381E-458E-B9B0-5EF22EE216D2}"/>
    <cellStyle name="2x indented GHG Textfiels 3 3 3 39" xfId="18250" xr:uid="{F8465FE2-4523-4C6A-89D7-9AC46181D0B3}"/>
    <cellStyle name="2x indented GHG Textfiels 3 3 3 4" xfId="1576" xr:uid="{5F35E4F0-4B86-4E87-AA07-5BE247D234B6}"/>
    <cellStyle name="2x indented GHG Textfiels 3 3 3 40" xfId="19181" xr:uid="{970ED8F6-D08A-4AB1-9D41-B03D7050BEDC}"/>
    <cellStyle name="2x indented GHG Textfiels 3 3 3 41" xfId="20019" xr:uid="{53941AFA-E202-406C-86BE-8833B3E0A8D4}"/>
    <cellStyle name="2x indented GHG Textfiels 3 3 3 42" xfId="20526" xr:uid="{69C28E8F-B7F4-499E-A722-52E3A459ADA1}"/>
    <cellStyle name="2x indented GHG Textfiels 3 3 3 43" xfId="20979" xr:uid="{0786A740-59F2-4A53-A772-1F54FCC11B5D}"/>
    <cellStyle name="2x indented GHG Textfiels 3 3 3 44" xfId="21176" xr:uid="{C0AB2D72-4A98-4234-9412-27DBEC5D30F4}"/>
    <cellStyle name="2x indented GHG Textfiels 3 3 3 45" xfId="21910" xr:uid="{CEFC1B4E-3630-4CE2-B8BC-8497619B1539}"/>
    <cellStyle name="2x indented GHG Textfiels 3 3 3 46" xfId="22344" xr:uid="{9F7DA8EB-A3C0-4162-BF41-8E2358A9EC9C}"/>
    <cellStyle name="2x indented GHG Textfiels 3 3 3 47" xfId="22769" xr:uid="{9320E197-0341-4B81-A8B9-FBD39DA76CD0}"/>
    <cellStyle name="2x indented GHG Textfiels 3 3 3 48" xfId="21064" xr:uid="{8EDF1EBC-CA0F-423F-8ADE-08250EA4969B}"/>
    <cellStyle name="2x indented GHG Textfiels 3 3 3 49" xfId="23456" xr:uid="{B799D3C2-FEE5-4521-9182-8056F99C7444}"/>
    <cellStyle name="2x indented GHG Textfiels 3 3 3 5" xfId="2459" xr:uid="{8B7D15E5-BA70-4138-9BFA-EEE81E9B233B}"/>
    <cellStyle name="2x indented GHG Textfiels 3 3 3 50" xfId="23828" xr:uid="{0AA6BA22-6830-4FDB-9AF4-EB54CAB05400}"/>
    <cellStyle name="2x indented GHG Textfiels 3 3 3 51" xfId="24727" xr:uid="{DA446C72-29C1-4334-84ED-85F4674B9C87}"/>
    <cellStyle name="2x indented GHG Textfiels 3 3 3 52" xfId="25235" xr:uid="{7C580688-238B-4001-BC7F-6E293FA99C27}"/>
    <cellStyle name="2x indented GHG Textfiels 3 3 3 53" xfId="25645" xr:uid="{D18E12E4-3964-4C73-9FED-2DFA7DB6BA4B}"/>
    <cellStyle name="2x indented GHG Textfiels 3 3 3 54" xfId="26074" xr:uid="{64A11366-5A7F-4242-A852-347BFC78F781}"/>
    <cellStyle name="2x indented GHG Textfiels 3 3 3 55" xfId="26344" xr:uid="{284EEA52-4C1F-4DB5-A43F-0BEAAE199600}"/>
    <cellStyle name="2x indented GHG Textfiels 3 3 3 56" xfId="26935" xr:uid="{00F3EEDB-FDFB-4B1B-8C83-C1FBBC92FC57}"/>
    <cellStyle name="2x indented GHG Textfiels 3 3 3 57" xfId="27354" xr:uid="{1815F5AF-8471-41E8-9532-BB47794FB4E0}"/>
    <cellStyle name="2x indented GHG Textfiels 3 3 3 58" xfId="27783" xr:uid="{55387439-A34B-4C9F-9F81-BFFDA909F645}"/>
    <cellStyle name="2x indented GHG Textfiels 3 3 3 59" xfId="28477" xr:uid="{90BBAFA0-B842-491C-AEB5-0D18C578097D}"/>
    <cellStyle name="2x indented GHG Textfiels 3 3 3 6" xfId="2943" xr:uid="{ABD20A8B-F7B8-4ADA-94C2-C03E60EF23E9}"/>
    <cellStyle name="2x indented GHG Textfiels 3 3 3 60" xfId="28945" xr:uid="{F7412A83-8B50-4B78-8D51-53FD48347FEA}"/>
    <cellStyle name="2x indented GHG Textfiels 3 3 3 61" xfId="29374" xr:uid="{CF69B49A-3A74-468B-BF03-0F0562D6958B}"/>
    <cellStyle name="2x indented GHG Textfiels 3 3 3 62" xfId="29735" xr:uid="{803B461F-2D56-4855-B2E1-1475640E06FA}"/>
    <cellStyle name="2x indented GHG Textfiels 3 3 3 63" xfId="30143" xr:uid="{62A73116-30A2-4701-BF9F-C798ECA8D533}"/>
    <cellStyle name="2x indented GHG Textfiels 3 3 3 64" xfId="30557" xr:uid="{59221562-0101-4FEC-826D-5C909F1DD366}"/>
    <cellStyle name="2x indented GHG Textfiels 3 3 3 65" xfId="30891" xr:uid="{92D74FC5-9474-4EA2-BEA6-78ABC23983F8}"/>
    <cellStyle name="2x indented GHG Textfiels 3 3 3 66" xfId="31181" xr:uid="{BF08475A-1006-4002-9338-12EF6EC750D4}"/>
    <cellStyle name="2x indented GHG Textfiels 3 3 3 7" xfId="3086" xr:uid="{9A42D46D-233D-450C-8377-CC5F29E0A810}"/>
    <cellStyle name="2x indented GHG Textfiels 3 3 3 8" xfId="3955" xr:uid="{48593823-AB90-4C6D-83A5-193E4F6EE0D6}"/>
    <cellStyle name="2x indented GHG Textfiels 3 3 3 9" xfId="4393" xr:uid="{E2325432-E61B-4DB1-9A5B-0F888EE194C8}"/>
    <cellStyle name="2x indented GHG Textfiels 3 3 30" xfId="11535" xr:uid="{458AF167-A856-46B2-9BE4-8BDF4E9818F6}"/>
    <cellStyle name="2x indented GHG Textfiels 3 3 31" xfId="14185" xr:uid="{BA39511F-81EC-4F46-AE86-3E8DA6A068C7}"/>
    <cellStyle name="2x indented GHG Textfiels 3 3 32" xfId="11742" xr:uid="{F802A24F-5AAC-4791-ADF8-A279C6950CC2}"/>
    <cellStyle name="2x indented GHG Textfiels 3 3 33" xfId="14251" xr:uid="{46C2C7F6-25ED-45F4-A776-63F3B41E1D65}"/>
    <cellStyle name="2x indented GHG Textfiels 3 3 34" xfId="14357" xr:uid="{475AB399-5DF7-4060-B375-378CA4E70D94}"/>
    <cellStyle name="2x indented GHG Textfiels 3 3 35" xfId="15956" xr:uid="{D3D1FF1C-0503-41D0-B26F-A07D12B3C052}"/>
    <cellStyle name="2x indented GHG Textfiels 3 3 36" xfId="16397" xr:uid="{83BDB56E-55E0-4F69-9EFF-8C1DDBB70202}"/>
    <cellStyle name="2x indented GHG Textfiels 3 3 37" xfId="17313" xr:uid="{CD4A1E42-9724-47AD-939B-3F899502DB22}"/>
    <cellStyle name="2x indented GHG Textfiels 3 3 38" xfId="17756" xr:uid="{261BB441-DD17-4F52-8542-200962ABF1AE}"/>
    <cellStyle name="2x indented GHG Textfiels 3 3 39" xfId="18195" xr:uid="{68E51A6B-12DC-483C-9492-A68B69132759}"/>
    <cellStyle name="2x indented GHG Textfiels 3 3 4" xfId="533" xr:uid="{EA5FAD9A-31EB-4955-9C1F-AC47E7F333B7}"/>
    <cellStyle name="2x indented GHG Textfiels 3 3 4 10" xfId="4826" xr:uid="{DDEC0E65-FD8B-4876-B76C-4F0E32147AF9}"/>
    <cellStyle name="2x indented GHG Textfiels 3 3 4 11" xfId="5181" xr:uid="{ABBAA4A2-0F0D-4570-8E22-75E1DDA26457}"/>
    <cellStyle name="2x indented GHG Textfiels 3 3 4 12" xfId="5798" xr:uid="{508E21A8-15DF-4365-A1CE-00EF4D4D5C4F}"/>
    <cellStyle name="2x indented GHG Textfiels 3 3 4 13" xfId="6154" xr:uid="{F7A74837-7062-4D07-AC75-245381169101}"/>
    <cellStyle name="2x indented GHG Textfiels 3 3 4 14" xfId="6392" xr:uid="{A0F4062C-76FE-44D8-AA5F-9414D662A8F8}"/>
    <cellStyle name="2x indented GHG Textfiels 3 3 4 15" xfId="7253" xr:uid="{E3B1630A-8BDE-486C-B3AC-09323B206600}"/>
    <cellStyle name="2x indented GHG Textfiels 3 3 4 16" xfId="7872" xr:uid="{51B82A1B-00B1-4794-9E9F-9316C55BD49D}"/>
    <cellStyle name="2x indented GHG Textfiels 3 3 4 17" xfId="8045" xr:uid="{DC5D1D7A-8BA2-4305-8BF1-498693372C7C}"/>
    <cellStyle name="2x indented GHG Textfiels 3 3 4 18" xfId="8124" xr:uid="{996C4889-90A5-41FB-9BD0-662238A074E6}"/>
    <cellStyle name="2x indented GHG Textfiels 3 3 4 19" xfId="9467" xr:uid="{D01EB2BF-A274-43F9-94E7-C17A0A211184}"/>
    <cellStyle name="2x indented GHG Textfiels 3 3 4 2" xfId="748" xr:uid="{F4E1E718-131E-44F2-8B84-A54C06AE7149}"/>
    <cellStyle name="2x indented GHG Textfiels 3 3 4 2 10" xfId="5396" xr:uid="{58A39709-E593-42B5-AF21-6C05F92FD145}"/>
    <cellStyle name="2x indented GHG Textfiels 3 3 4 2 11" xfId="4658" xr:uid="{3CBFC223-A2F6-472B-AEBD-7CBA425FE894}"/>
    <cellStyle name="2x indented GHG Textfiels 3 3 4 2 12" xfId="3828" xr:uid="{C5D44712-A439-4D4A-AD48-115114113794}"/>
    <cellStyle name="2x indented GHG Textfiels 3 3 4 2 13" xfId="6057" xr:uid="{10E2D24A-2C7F-459C-918B-A7F203C6B90D}"/>
    <cellStyle name="2x indented GHG Textfiels 3 3 4 2 14" xfId="7468" xr:uid="{B2F6A459-5EE5-409F-8F10-6DCAB32FA972}"/>
    <cellStyle name="2x indented GHG Textfiels 3 3 4 2 15" xfId="7021" xr:uid="{DB6D61A5-CF71-486C-8DC1-37839F3D2FA0}"/>
    <cellStyle name="2x indented GHG Textfiels 3 3 4 2 16" xfId="8174" xr:uid="{461CEB42-9B70-456C-9227-47B1A21C3004}"/>
    <cellStyle name="2x indented GHG Textfiels 3 3 4 2 17" xfId="8855" xr:uid="{D7F87220-3535-43ED-A539-522D6134B130}"/>
    <cellStyle name="2x indented GHG Textfiels 3 3 4 2 18" xfId="9682" xr:uid="{11DA4195-A679-4240-A48F-743F8E58CACF}"/>
    <cellStyle name="2x indented GHG Textfiels 3 3 4 2 19" xfId="9235" xr:uid="{44A8C2DD-414C-4C4C-9A9C-7879091E933E}"/>
    <cellStyle name="2x indented GHG Textfiels 3 3 4 2 2" xfId="1222" xr:uid="{E310CF6B-655F-4DA4-8E8F-F499A598836A}"/>
    <cellStyle name="2x indented GHG Textfiels 3 3 4 2 20" xfId="10065" xr:uid="{6C59E9C3-6196-40A0-A53E-A0863D3FA1B2}"/>
    <cellStyle name="2x indented GHG Textfiels 3 3 4 2 21" xfId="10645" xr:uid="{F8088F4E-E975-43F3-A6B5-07D2A1564A44}"/>
    <cellStyle name="2x indented GHG Textfiels 3 3 4 2 22" xfId="11060" xr:uid="{B4C050DD-4190-46E2-978C-1AFA6C191946}"/>
    <cellStyle name="2x indented GHG Textfiels 3 3 4 2 23" xfId="12101" xr:uid="{A3E69F0E-4778-4BCE-B301-0CC5B0036A20}"/>
    <cellStyle name="2x indented GHG Textfiels 3 3 4 2 24" xfId="12574" xr:uid="{979872B1-FFF9-437B-9E1F-E0F9E9AB23CE}"/>
    <cellStyle name="2x indented GHG Textfiels 3 3 4 2 25" xfId="13008" xr:uid="{AD60777F-B996-4669-AC8B-AC233F736AB6}"/>
    <cellStyle name="2x indented GHG Textfiels 3 3 4 2 26" xfId="13445" xr:uid="{1669533C-9939-441B-A02B-8BC6CE0D1B8B}"/>
    <cellStyle name="2x indented GHG Textfiels 3 3 4 2 27" xfId="11800" xr:uid="{E0D06202-0056-4146-8AB6-D3B24DF2DD7F}"/>
    <cellStyle name="2x indented GHG Textfiels 3 3 4 2 28" xfId="13856" xr:uid="{6ABB81DA-7E53-4962-968F-DFE1EC8595A1}"/>
    <cellStyle name="2x indented GHG Textfiels 3 3 4 2 29" xfId="12280" xr:uid="{D0BEEDFA-31BD-4355-837A-BEB2D5013A5D}"/>
    <cellStyle name="2x indented GHG Textfiels 3 3 4 2 3" xfId="1515" xr:uid="{49DE6E74-2734-4DCC-BAD7-7F6226E80AC5}"/>
    <cellStyle name="2x indented GHG Textfiels 3 3 4 2 30" xfId="12732" xr:uid="{23FF5133-491E-4FF7-A041-386810C15508}"/>
    <cellStyle name="2x indented GHG Textfiels 3 3 4 2 31" xfId="15468" xr:uid="{26A92B82-EAAC-4771-9265-300D1BC33700}"/>
    <cellStyle name="2x indented GHG Textfiels 3 3 4 2 32" xfId="14353" xr:uid="{9BF9A9A5-E895-4235-9770-BC44944425BC}"/>
    <cellStyle name="2x indented GHG Textfiels 3 3 4 2 33" xfId="16793" xr:uid="{02D50A8D-4796-48D8-9F95-9661BB39A31F}"/>
    <cellStyle name="2x indented GHG Textfiels 3 3 4 2 34" xfId="16343" xr:uid="{E7541D84-6ADE-4C10-9C2F-CC49424DE678}"/>
    <cellStyle name="2x indented GHG Textfiels 3 3 4 2 35" xfId="17182" xr:uid="{B7E6CC9C-1046-4E62-970C-9A1DB2FBCA85}"/>
    <cellStyle name="2x indented GHG Textfiels 3 3 4 2 36" xfId="17642" xr:uid="{1066C435-B31F-4C95-9DD3-B8EF278BEB01}"/>
    <cellStyle name="2x indented GHG Textfiels 3 3 4 2 37" xfId="18611" xr:uid="{744D7614-A220-4B22-B6E1-E043B3AA438B}"/>
    <cellStyle name="2x indented GHG Textfiels 3 3 4 2 38" xfId="19016" xr:uid="{A03FD3E9-E288-4B84-A954-29F424E2D25D}"/>
    <cellStyle name="2x indented GHG Textfiels 3 3 4 2 39" xfId="18944" xr:uid="{438F5376-4CFC-4914-A9D7-7A0CFFB7AA11}"/>
    <cellStyle name="2x indented GHG Textfiels 3 3 4 2 4" xfId="2570" xr:uid="{3C925E64-D5DB-447C-8332-3DDBDB7D7A52}"/>
    <cellStyle name="2x indented GHG Textfiels 3 3 4 2 40" xfId="20130" xr:uid="{7DDF359F-70A1-488B-897E-C71FF91665C4}"/>
    <cellStyle name="2x indented GHG Textfiels 3 3 4 2 41" xfId="19676" xr:uid="{2DD72911-5AE3-47C3-89D3-FA9CE1968EA3}"/>
    <cellStyle name="2x indented GHG Textfiels 3 3 4 2 42" xfId="19403" xr:uid="{C656E904-A621-4AE4-9275-A54F20236D14}"/>
    <cellStyle name="2x indented GHG Textfiels 3 3 4 2 43" xfId="21438" xr:uid="{0B99084A-2F2B-4954-98BE-46D531E7A340}"/>
    <cellStyle name="2x indented GHG Textfiels 3 3 4 2 44" xfId="20296" xr:uid="{860A11B2-40B3-41F0-A557-8B460AC04B33}"/>
    <cellStyle name="2x indented GHG Textfiels 3 3 4 2 45" xfId="21460" xr:uid="{0AC4EF60-9BF9-43D2-9748-20AB1520C559}"/>
    <cellStyle name="2x indented GHG Textfiels 3 3 4 2 46" xfId="22012" xr:uid="{A551D9A5-B2F7-455D-8AEA-312A106D87AF}"/>
    <cellStyle name="2x indented GHG Textfiels 3 3 4 2 47" xfId="23295" xr:uid="{978E633E-36B1-4118-A320-AD6BE5B5A790}"/>
    <cellStyle name="2x indented GHG Textfiels 3 3 4 2 48" xfId="22609" xr:uid="{4820DE8F-70AE-40A7-803C-5A970AF93594}"/>
    <cellStyle name="2x indented GHG Textfiels 3 3 4 2 49" xfId="23930" xr:uid="{DC5624AE-56E1-40F2-8339-176D0882ED58}"/>
    <cellStyle name="2x indented GHG Textfiels 3 3 4 2 5" xfId="2033" xr:uid="{061246CB-9929-403D-A205-B390DEAC5A83}"/>
    <cellStyle name="2x indented GHG Textfiels 3 3 4 2 50" xfId="24838" xr:uid="{A0419D83-029D-41C8-B256-DFF6DAD549A3}"/>
    <cellStyle name="2x indented GHG Textfiels 3 3 4 2 51" xfId="24425" xr:uid="{876E1A23-A40C-4DED-BD3C-A231D81DE27A}"/>
    <cellStyle name="2x indented GHG Textfiels 3 3 4 2 52" xfId="25754" xr:uid="{AAFD4BD2-0D43-4843-BEF5-8BD64E4E6E11}"/>
    <cellStyle name="2x indented GHG Textfiels 3 3 4 2 53" xfId="25518" xr:uid="{372CBE16-09A5-4FA6-93A8-98A880305A1E}"/>
    <cellStyle name="2x indented GHG Textfiels 3 3 4 2 54" xfId="26688" xr:uid="{CFD21D0C-B776-4AF1-B6A9-8C3ADD4AE50F}"/>
    <cellStyle name="2x indented GHG Textfiels 3 3 4 2 55" xfId="27042" xr:uid="{E509CE45-4CC7-4077-ACBF-86956D1F5C6C}"/>
    <cellStyle name="2x indented GHG Textfiels 3 3 4 2 56" xfId="27461" xr:uid="{2F39EAED-D3E0-4FBB-93E2-F4D7D726348C}"/>
    <cellStyle name="2x indented GHG Textfiels 3 3 4 2 57" xfId="27198" xr:uid="{B80D29BD-F4BA-48B6-8693-1F8B76B2B3B2}"/>
    <cellStyle name="2x indented GHG Textfiels 3 3 4 2 58" xfId="28588" xr:uid="{78136D91-B369-4E3B-91FE-495F003EF29F}"/>
    <cellStyle name="2x indented GHG Textfiels 3 3 4 2 59" xfId="29055" xr:uid="{A41D0F4A-66A1-4058-8C2B-EB5773EC0289}"/>
    <cellStyle name="2x indented GHG Textfiels 3 3 4 2 6" xfId="3498" xr:uid="{CB9216A2-FCA1-4CDE-9496-422BD63DF97A}"/>
    <cellStyle name="2x indented GHG Textfiels 3 3 4 2 60" xfId="28786" xr:uid="{67D5EC27-7C61-43FD-9717-E42493BDEC57}"/>
    <cellStyle name="2x indented GHG Textfiels 3 3 4 2 61" xfId="29844" xr:uid="{C79F6563-C718-44A2-9758-6CB95A6B611C}"/>
    <cellStyle name="2x indented GHG Textfiels 3 3 4 2 62" xfId="30250" xr:uid="{B1DE0F1E-5DE0-40E4-89B3-9B946A9B2C36}"/>
    <cellStyle name="2x indented GHG Textfiels 3 3 4 2 63" xfId="30667" xr:uid="{C83A018E-3A74-46EC-B554-ED4A4C6BF877}"/>
    <cellStyle name="2x indented GHG Textfiels 3 3 4 2 64" xfId="29418" xr:uid="{9E0B9B8F-F910-44BD-B488-E6ECDFD1FD26}"/>
    <cellStyle name="2x indented GHG Textfiels 3 3 4 2 65" xfId="31283" xr:uid="{645AC805-EDCC-4581-86C4-D3DA9C0F74D3}"/>
    <cellStyle name="2x indented GHG Textfiels 3 3 4 2 7" xfId="4066" xr:uid="{92DD2877-E25E-4EE9-B016-1CA71BC2D936}"/>
    <cellStyle name="2x indented GHG Textfiels 3 3 4 2 8" xfId="4503" xr:uid="{C98DFB9F-6217-49C5-849B-43C160D31064}"/>
    <cellStyle name="2x indented GHG Textfiels 3 3 4 2 9" xfId="2855" xr:uid="{0EF9D1D3-EDC9-4F36-9F11-A8A18B746606}"/>
    <cellStyle name="2x indented GHG Textfiels 3 3 4 20" xfId="10086" xr:uid="{D1986280-2245-4972-BB8D-0CCAFDE57ED9}"/>
    <cellStyle name="2x indented GHG Textfiels 3 3 4 21" xfId="10501" xr:uid="{95C2E5DD-52A6-4C00-A51F-6AEED8FAB35A}"/>
    <cellStyle name="2x indented GHG Textfiels 3 3 4 22" xfId="10943" xr:uid="{2F4ED273-9722-4472-B6E6-A9DCEED41544}"/>
    <cellStyle name="2x indented GHG Textfiels 3 3 4 23" xfId="10449" xr:uid="{5776575E-6E19-499B-B9B9-CCDBF71EA476}"/>
    <cellStyle name="2x indented GHG Textfiels 3 3 4 24" xfId="11886" xr:uid="{8984838B-DFCA-4FFD-938E-1F6DE122085D}"/>
    <cellStyle name="2x indented GHG Textfiels 3 3 4 25" xfId="12359" xr:uid="{9BF53670-FBD0-4C03-9CEA-35C4BB2963FD}"/>
    <cellStyle name="2x indented GHG Textfiels 3 3 4 26" xfId="12793" xr:uid="{CB0839C7-B83E-4097-A092-6E09E2E4A04E}"/>
    <cellStyle name="2x indented GHG Textfiels 3 3 4 27" xfId="13230" xr:uid="{161A8C1B-ADEF-4C8E-9F96-723568242641}"/>
    <cellStyle name="2x indented GHG Textfiels 3 3 4 28" xfId="13945" xr:uid="{1E9B9878-6600-4A14-9DF8-3D04BF276084}"/>
    <cellStyle name="2x indented GHG Textfiels 3 3 4 29" xfId="13187" xr:uid="{73357C9B-2164-4461-84B1-103244C80D82}"/>
    <cellStyle name="2x indented GHG Textfiels 3 3 4 3" xfId="1016" xr:uid="{C063B459-1749-4B08-A9A5-228C539BFC71}"/>
    <cellStyle name="2x indented GHG Textfiels 3 3 4 30" xfId="14606" xr:uid="{774BA1E0-6396-47CF-A255-5E92E3216344}"/>
    <cellStyle name="2x indented GHG Textfiels 3 3 4 31" xfId="15253" xr:uid="{2E8BD615-1990-4EC9-9F86-880FF97503A5}"/>
    <cellStyle name="2x indented GHG Textfiels 3 3 4 32" xfId="15671" xr:uid="{9506F6FA-D23F-4639-9938-CC577EC9C004}"/>
    <cellStyle name="2x indented GHG Textfiels 3 3 4 33" xfId="15901" xr:uid="{45B92A77-40B6-45F7-A1F3-77D46316EE98}"/>
    <cellStyle name="2x indented GHG Textfiels 3 3 4 34" xfId="16578" xr:uid="{B91F416B-3BD5-4329-930F-09F801AA2F9C}"/>
    <cellStyle name="2x indented GHG Textfiels 3 3 4 35" xfId="17204" xr:uid="{A12246AD-1AE4-4CBC-BDD9-733CD5F18A43}"/>
    <cellStyle name="2x indented GHG Textfiels 3 3 4 36" xfId="17650" xr:uid="{87AD1A52-CBC1-4BE1-8D5E-3DD4BE0633FC}"/>
    <cellStyle name="2x indented GHG Textfiels 3 3 4 37" xfId="17431" xr:uid="{60834A2B-266E-4D3C-8CB5-6CB87C27A2D8}"/>
    <cellStyle name="2x indented GHG Textfiels 3 3 4 38" xfId="18396" xr:uid="{5CBE871A-E1B1-4738-83B3-C147018FC510}"/>
    <cellStyle name="2x indented GHG Textfiels 3 3 4 39" xfId="18098" xr:uid="{F38F3BB5-E4CC-4A58-A8EB-4FF5656B0DCF}"/>
    <cellStyle name="2x indented GHG Textfiels 3 3 4 4" xfId="1677" xr:uid="{0A87A948-29CE-499B-B305-400215ABFE32}"/>
    <cellStyle name="2x indented GHG Textfiels 3 3 4 40" xfId="19221" xr:uid="{4EDBC7DC-2935-4461-96AE-2DEA89D41278}"/>
    <cellStyle name="2x indented GHG Textfiels 3 3 4 41" xfId="19915" xr:uid="{D102173F-CFB5-40FA-A127-7E33440CE6F9}"/>
    <cellStyle name="2x indented GHG Textfiels 3 3 4 42" xfId="20557" xr:uid="{D107FCD2-4B3A-4C5A-854E-5D5846EE00A3}"/>
    <cellStyle name="2x indented GHG Textfiels 3 3 4 43" xfId="21010" xr:uid="{CF55404D-8F6D-4329-841C-D0109A44994C}"/>
    <cellStyle name="2x indented GHG Textfiels 3 3 4 44" xfId="19642" xr:uid="{CB116CE5-AF55-451E-BD16-466A9FEB6883}"/>
    <cellStyle name="2x indented GHG Textfiels 3 3 4 45" xfId="21941" xr:uid="{9750EF05-957A-4B8D-811F-FBC483A7E5EA}"/>
    <cellStyle name="2x indented GHG Textfiels 3 3 4 46" xfId="22373" xr:uid="{A5A9564B-1230-408E-B876-F1AB755D8940}"/>
    <cellStyle name="2x indented GHG Textfiels 3 3 4 47" xfId="22919" xr:uid="{484ED363-9857-4C9A-A634-94CDF01F3F52}"/>
    <cellStyle name="2x indented GHG Textfiels 3 3 4 48" xfId="22634" xr:uid="{FF486903-C82F-465D-B73E-A05F9D29D2E1}"/>
    <cellStyle name="2x indented GHG Textfiels 3 3 4 49" xfId="23504" xr:uid="{CC3BCFA2-B838-49AA-89F2-6563AB3D4AF2}"/>
    <cellStyle name="2x indented GHG Textfiels 3 3 4 5" xfId="2355" xr:uid="{C4F4F0D2-BEEB-43EF-9059-CB161743257B}"/>
    <cellStyle name="2x indented GHG Textfiels 3 3 4 50" xfId="23724" xr:uid="{22636296-B82F-4BA6-B43E-55BECEC27E88}"/>
    <cellStyle name="2x indented GHG Textfiels 3 3 4 51" xfId="24623" xr:uid="{CB962465-5A36-49EF-B900-43698DC1A39C}"/>
    <cellStyle name="2x indented GHG Textfiels 3 3 4 52" xfId="25265" xr:uid="{E37BFD98-8D5E-4831-8494-6D270FE2C4EB}"/>
    <cellStyle name="2x indented GHG Textfiels 3 3 4 53" xfId="25541" xr:uid="{3861969C-40D0-4DEB-A849-B564E9568D5B}"/>
    <cellStyle name="2x indented GHG Textfiels 3 3 4 54" xfId="26225" xr:uid="{8316B7F7-CA8A-4022-9CF9-6F03CEF51C2D}"/>
    <cellStyle name="2x indented GHG Textfiels 3 3 4 55" xfId="26247" xr:uid="{0105493A-F4CD-4497-A814-8BDEDA316580}"/>
    <cellStyle name="2x indented GHG Textfiels 3 3 4 56" xfId="26831" xr:uid="{DE4FD2B5-421E-4A0C-84D9-ED50053731DC}"/>
    <cellStyle name="2x indented GHG Textfiels 3 3 4 57" xfId="27250" xr:uid="{261B2767-2EC5-4141-90E5-6E7E1539A277}"/>
    <cellStyle name="2x indented GHG Textfiels 3 3 4 58" xfId="25951" xr:uid="{FDD29D1C-220F-4DDD-B705-37A7303FB6D4}"/>
    <cellStyle name="2x indented GHG Textfiels 3 3 4 59" xfId="28373" xr:uid="{447975E0-23C1-43A6-9C03-2471357FCBA2}"/>
    <cellStyle name="2x indented GHG Textfiels 3 3 4 6" xfId="3113" xr:uid="{992F6BB8-993F-4EFE-9295-1BA7009942D8}"/>
    <cellStyle name="2x indented GHG Textfiels 3 3 4 60" xfId="28841" xr:uid="{9061D3CF-9EAB-4D73-86E3-098BB65BD6A7}"/>
    <cellStyle name="2x indented GHG Textfiels 3 3 4 61" xfId="29396" xr:uid="{023D4933-18EB-4E0E-A144-D1FE7FFD8EDA}"/>
    <cellStyle name="2x indented GHG Textfiels 3 3 4 62" xfId="29631" xr:uid="{B8AF6655-DD70-4CE1-A4F0-A9F117831ABE}"/>
    <cellStyle name="2x indented GHG Textfiels 3 3 4 63" xfId="30039" xr:uid="{680AFFAB-BBCC-48A5-802A-CAD25B1B5BAB}"/>
    <cellStyle name="2x indented GHG Textfiels 3 3 4 64" xfId="30453" xr:uid="{07FE9C15-A41D-4828-8379-8A00CDAAC219}"/>
    <cellStyle name="2x indented GHG Textfiels 3 3 4 65" xfId="30923" xr:uid="{E218C5FF-9DBD-409E-86A7-B574DC5F2E65}"/>
    <cellStyle name="2x indented GHG Textfiels 3 3 4 66" xfId="31077" xr:uid="{46052387-E853-4C66-A206-3A12B67509EB}"/>
    <cellStyle name="2x indented GHG Textfiels 3 3 4 7" xfId="3389" xr:uid="{3A821969-05CA-48BB-84E6-5ED3669012CE}"/>
    <cellStyle name="2x indented GHG Textfiels 3 3 4 8" xfId="3851" xr:uid="{EADA87CB-EDC5-4CA5-B7BD-1E61FAE63CBE}"/>
    <cellStyle name="2x indented GHG Textfiels 3 3 4 9" xfId="4289" xr:uid="{16DDC1AD-3F3F-4BCB-9E4A-0CFF85A5E884}"/>
    <cellStyle name="2x indented GHG Textfiels 3 3 40" xfId="18008" xr:uid="{8FE1EA53-D771-4855-A76C-5F5B3D25BA7B}"/>
    <cellStyle name="2x indented GHG Textfiels 3 3 41" xfId="17832" xr:uid="{E1F0F211-6A52-448D-BEAC-DB106432ED0E}"/>
    <cellStyle name="2x indented GHG Textfiels 3 3 42" xfId="18955" xr:uid="{BF87EDF6-9656-4CC7-93D7-77672CABC8CA}"/>
    <cellStyle name="2x indented GHG Textfiels 3 3 43" xfId="19732" xr:uid="{61189DC5-AF39-471E-A6DE-B43DC2539123}"/>
    <cellStyle name="2x indented GHG Textfiels 3 3 44" xfId="20664" xr:uid="{C4BBA50C-6E5F-4154-8BDB-EE7EAD954473}"/>
    <cellStyle name="2x indented GHG Textfiels 3 3 45" xfId="21120" xr:uid="{0F911034-B1D0-44A4-BCDA-EB8577C126B7}"/>
    <cellStyle name="2x indented GHG Textfiels 3 3 46" xfId="21237" xr:uid="{A93647EA-A5AE-4114-8316-AA823FBEE0DF}"/>
    <cellStyle name="2x indented GHG Textfiels 3 3 47" xfId="22052" xr:uid="{18E76E4E-BD38-4F39-A737-F208075DA504}"/>
    <cellStyle name="2x indented GHG Textfiels 3 3 48" xfId="22480" xr:uid="{C335F467-10A4-412D-92F9-E61511C9869E}"/>
    <cellStyle name="2x indented GHG Textfiels 3 3 49" xfId="22221" xr:uid="{5ECC1A24-B45E-4578-B955-D6C3C8CB48A9}"/>
    <cellStyle name="2x indented GHG Textfiels 3 3 5" xfId="973" xr:uid="{9D812214-4BCF-4261-9DAA-8A1151378911}"/>
    <cellStyle name="2x indented GHG Textfiels 3 3 50" xfId="21732" xr:uid="{7280BB9A-10C6-41C0-8F8D-F6F3AFAE2707}"/>
    <cellStyle name="2x indented GHG Textfiels 3 3 51" xfId="23038" xr:uid="{ED148218-F95C-4775-8DA2-C73F63A40FEC}"/>
    <cellStyle name="2x indented GHG Textfiels 3 3 52" xfId="22724" xr:uid="{6A28C691-0E07-4B93-8297-11B6DB46F233}"/>
    <cellStyle name="2x indented GHG Textfiels 3 3 53" xfId="24447" xr:uid="{1B4432A1-4CB7-483B-B2B3-C49F2644E653}"/>
    <cellStyle name="2x indented GHG Textfiels 3 3 54" xfId="25367" xr:uid="{E4AA8302-FC79-45BC-BB89-AF4BC8BBA9BC}"/>
    <cellStyle name="2x indented GHG Textfiels 3 3 55" xfId="25137" xr:uid="{B48C3FFC-8E98-4506-B00C-12B23A71060A}"/>
    <cellStyle name="2x indented GHG Textfiels 3 3 56" xfId="24515" xr:uid="{29CA6A93-75A8-4BCA-9AE0-64C6D5078D33}"/>
    <cellStyle name="2x indented GHG Textfiels 3 3 57" xfId="25938" xr:uid="{9C261F7B-E3C1-4352-9129-E179A2601B7D}"/>
    <cellStyle name="2x indented GHG Textfiels 3 3 58" xfId="24281" xr:uid="{E2B7515B-AA2B-4F28-8434-4CF497899476}"/>
    <cellStyle name="2x indented GHG Textfiels 3 3 59" xfId="26404" xr:uid="{A8FFB93F-CB8D-49DE-AFEF-EB6A06373A67}"/>
    <cellStyle name="2x indented GHG Textfiels 3 3 6" xfId="1668" xr:uid="{131AC1A8-8956-474A-9BEA-7AA4BA0FA8A7}"/>
    <cellStyle name="2x indented GHG Textfiels 3 3 60" xfId="27814" xr:uid="{CE84F254-0DA8-4358-956F-2E6C0BC62143}"/>
    <cellStyle name="2x indented GHG Textfiels 3 3 61" xfId="28213" xr:uid="{D11D762F-1A80-48C4-9CFB-A605B0848A4D}"/>
    <cellStyle name="2x indented GHG Textfiels 3 3 62" xfId="28245" xr:uid="{8025CE17-79E9-47BC-96CC-5EBBF78E5B64}"/>
    <cellStyle name="2x indented GHG Textfiels 3 3 63" xfId="29490" xr:uid="{950EBB72-E7DC-4025-BAF9-2F4B7E2B36AB}"/>
    <cellStyle name="2x indented GHG Textfiels 3 3 64" xfId="28173" xr:uid="{37EB9961-4D84-4687-AF50-95D0B3903E32}"/>
    <cellStyle name="2x indented GHG Textfiels 3 3 65" xfId="28091" xr:uid="{2E9DFE77-CCF4-4F9B-A71A-43C84B0A230B}"/>
    <cellStyle name="2x indented GHG Textfiels 3 3 66" xfId="28288" xr:uid="{D463AD5F-02D8-4C2E-9838-6A4715F73F77}"/>
    <cellStyle name="2x indented GHG Textfiels 3 3 67" xfId="29223" xr:uid="{6F900D15-8BB5-4CD2-BA7E-6307A6F42134}"/>
    <cellStyle name="2x indented GHG Textfiels 3 3 68" xfId="30816" xr:uid="{B6132A78-4BA7-44B3-A1EB-D7441871C7C2}"/>
    <cellStyle name="2x indented GHG Textfiels 3 3 7" xfId="2171" xr:uid="{1C295813-4A88-4C9C-AC68-F5BA023123E5}"/>
    <cellStyle name="2x indented GHG Textfiels 3 3 8" xfId="2056" xr:uid="{B2A89F51-3B18-4488-80A2-F0D81015E796}"/>
    <cellStyle name="2x indented GHG Textfiels 3 3 9" xfId="3477" xr:uid="{5D3470A3-CBEE-440F-B5AD-787C6D76B3BD}"/>
    <cellStyle name="40 % - Akzent1" xfId="51" hidden="1" xr:uid="{1116FDB7-DEC2-4E6A-95A9-2E1321CB8E91}"/>
    <cellStyle name="40 % - Akzent1" xfId="898" hidden="1" xr:uid="{54931308-1325-490A-B3FC-CA135017E7D0}"/>
    <cellStyle name="40 % - Akzent1" xfId="963" hidden="1" xr:uid="{A8D4DD3E-F870-4E99-866B-9DEEC184A63A}"/>
    <cellStyle name="40 % - Akzent1" xfId="1392" hidden="1" xr:uid="{361C22AB-C54F-41B2-9DA2-F2E621107C08}"/>
    <cellStyle name="40 % - Akzent1" xfId="1688" hidden="1" xr:uid="{F9B9668A-2038-4FE3-B3EF-22555C631042}"/>
    <cellStyle name="40 % - Akzent1" xfId="1875" hidden="1" xr:uid="{2DBE3C90-59B0-4F95-B3D9-3A6584DC02E1}"/>
    <cellStyle name="40 % - Akzent1" xfId="2321" hidden="1" xr:uid="{A7D0ABA6-5332-455D-8FF2-FBD9DD17B5A8}"/>
    <cellStyle name="40 % - Akzent1" xfId="2012" hidden="1" xr:uid="{56E0DDA4-CEE2-412C-822A-D54B112AEDB0}"/>
    <cellStyle name="40 % - Akzent1" xfId="2520" hidden="1" xr:uid="{1F391F6E-6558-4E22-84E7-B966C1057707}"/>
    <cellStyle name="40 % - Akzent1" xfId="1922" hidden="1" xr:uid="{1F04EA8F-C1F8-4897-BA27-A18D9C0B9284}"/>
    <cellStyle name="40 % - Akzent1" xfId="1844" hidden="1" xr:uid="{92DA85E2-5E25-4E86-9E6F-B7DA5F0CCCA5}"/>
    <cellStyle name="40 % - Akzent1" xfId="3613" hidden="1" xr:uid="{34A1371C-C491-4693-A1E1-6BBE67BC086B}"/>
    <cellStyle name="40 % - Akzent1" xfId="2766" hidden="1" xr:uid="{74490DD9-02E1-4EE4-8589-238C50895BE1}"/>
    <cellStyle name="40 % - Akzent1" xfId="3602" hidden="1" xr:uid="{A2F04C6A-9DC9-4145-A890-89CA71AFFF68}"/>
    <cellStyle name="40 % - Akzent1" xfId="3699" hidden="1" xr:uid="{B0F123C5-1244-44CF-AED6-E19E9C19FEDE}"/>
    <cellStyle name="40 % - Akzent1" xfId="2747" hidden="1" xr:uid="{6DAB6AC2-0548-4464-813D-056084996D08}"/>
    <cellStyle name="40 % - Akzent1" xfId="3059" hidden="1" xr:uid="{DE8D4318-7101-4BFC-880E-B12B962362BA}"/>
    <cellStyle name="40 % - Akzent1" xfId="3722" hidden="1" xr:uid="{AA1C4C28-993D-4600-8C56-5DDACAF24DA4}"/>
    <cellStyle name="40 % - Akzent1" xfId="4759" hidden="1" xr:uid="{AC20C325-7B62-409E-8080-865FB3DAB372}"/>
    <cellStyle name="40 % - Akzent1" xfId="4766" hidden="1" xr:uid="{940AD656-C0CB-4571-BAE3-32908C9737D7}"/>
    <cellStyle name="40 % - Akzent1" xfId="5152" hidden="1" xr:uid="{74251FE7-99E2-480A-B5C4-5731F984CF2D}"/>
    <cellStyle name="40 % - Akzent1" xfId="5799" hidden="1" xr:uid="{DEB51F85-D9E0-491A-B5C5-A7CB60AD968D}"/>
    <cellStyle name="40 % - Akzent1" xfId="5753" hidden="1" xr:uid="{8FC94A32-BFB4-4CA9-83BA-3052491CAA33}"/>
    <cellStyle name="40 % - Akzent1" xfId="5633" hidden="1" xr:uid="{166C8D64-D500-4B51-9BB5-5CD77A3C7E00}"/>
    <cellStyle name="40 % - Akzent1" xfId="5756" hidden="1" xr:uid="{4FD3DF33-E4D8-4E74-B8BA-174BD4224502}"/>
    <cellStyle name="40 % - Akzent1" xfId="5597" hidden="1" xr:uid="{85F399DF-C4E5-430C-9734-D1A287761315}"/>
    <cellStyle name="40 % - Akzent1" xfId="6233" hidden="1" xr:uid="{1E60616A-71E0-4782-B33F-555C60554B5C}"/>
    <cellStyle name="40 % - Akzent1" xfId="6192" hidden="1" xr:uid="{9D7C79B2-E460-4021-809F-CD0A60C3A0C2}"/>
    <cellStyle name="40 % - Akzent1" xfId="4944" hidden="1" xr:uid="{0B0A3FB5-05AC-40FF-9FFD-325B5B946C3A}"/>
    <cellStyle name="40 % - Akzent1" xfId="6423" hidden="1" xr:uid="{2B854957-C445-4CE9-B768-DADFD0160144}"/>
    <cellStyle name="40 % - Akzent1" xfId="6436" hidden="1" xr:uid="{B979D1D4-2C20-44B2-BCF1-994075B7317A}"/>
    <cellStyle name="40 % - Akzent1" xfId="6559" hidden="1" xr:uid="{4A6F5031-F453-4DCC-AD07-6DC7C8853276}"/>
    <cellStyle name="40 % - Akzent1" xfId="5965" hidden="1" xr:uid="{6EFBFC4E-D3AE-48E9-96D8-092B574D121B}"/>
    <cellStyle name="40 % - Akzent1" xfId="6398" hidden="1" xr:uid="{13823322-7281-4761-88E9-DB71A75472BA}"/>
    <cellStyle name="40 % - Akzent1" xfId="6305" hidden="1" xr:uid="{C17835C1-A249-4C62-A12A-ED9C64073DF9}"/>
    <cellStyle name="40 % - Akzent1" xfId="6550" hidden="1" xr:uid="{6B441A4A-0941-4AF2-8D12-D31B642EDCEC}"/>
    <cellStyle name="40 % - Akzent1" xfId="6265" hidden="1" xr:uid="{2BC5D047-1FC5-431D-A4F1-188F1BBE9D4F}"/>
    <cellStyle name="40 % - Akzent1" xfId="6789" hidden="1" xr:uid="{D55B3005-BB58-4DA0-9FB9-77814F13B9BF}"/>
    <cellStyle name="40 % - Akzent1" xfId="7038" hidden="1" xr:uid="{0FDEF820-AC35-4498-85EE-0314348BDC12}"/>
    <cellStyle name="40 % - Akzent1" xfId="6920" hidden="1" xr:uid="{F6DFEE12-2E54-496E-9284-9AE785637B9A}"/>
    <cellStyle name="40 % - Akzent1" xfId="7929" hidden="1" xr:uid="{9C0D3A9C-4216-4688-9875-18C8B1417780}"/>
    <cellStyle name="40 % - Akzent1" xfId="7656" hidden="1" xr:uid="{6ACD3BD0-18D8-481E-BB98-716475BDA317}"/>
    <cellStyle name="40 % - Akzent1" xfId="7213" hidden="1" xr:uid="{A4AB700C-14B5-425A-A426-8D8DBB9EE1F8}"/>
    <cellStyle name="40 % - Akzent1" xfId="6935" hidden="1" xr:uid="{FEBA7B11-D0C9-4DB8-8A95-1E88BE2BCBF2}"/>
    <cellStyle name="40 % - Akzent1" xfId="6947" hidden="1" xr:uid="{8283993B-0544-4F53-BA59-3EF396E096FB}"/>
    <cellStyle name="40 % - Akzent1" xfId="8436" hidden="1" xr:uid="{E6C641F0-C9A2-47D8-82C8-B730CEDBFF18}"/>
    <cellStyle name="40 % - Akzent1" xfId="8416" hidden="1" xr:uid="{BC7DE36F-7F28-47BA-BC85-0CADCACEDB4B}"/>
    <cellStyle name="40 % - Akzent1" xfId="7665" hidden="1" xr:uid="{5ABB8FD8-5A21-452A-B3F7-39B5E5BCF546}"/>
    <cellStyle name="40 % - Akzent1" xfId="6913" hidden="1" xr:uid="{026F03D9-7F35-4839-878F-9663F8E1AF49}"/>
    <cellStyle name="40 % - Akzent1" xfId="7613" hidden="1" xr:uid="{F75EBB9C-68C9-4D1B-8FDF-FEB1AE4D0BB0}"/>
    <cellStyle name="40 % - Akzent1" xfId="6973" hidden="1" xr:uid="{E6B8C221-3C89-4BC6-8960-BF9AE6760BEE}"/>
    <cellStyle name="40 % - Akzent1" xfId="7926" hidden="1" xr:uid="{CE0AF9BA-9FAF-4A97-9394-2265D1C86EC5}"/>
    <cellStyle name="40 % - Akzent1" xfId="8338" hidden="1" xr:uid="{0C03F229-8231-49A4-BCA6-20F661624578}"/>
    <cellStyle name="40 % - Akzent1" xfId="8211" hidden="1" xr:uid="{B94C38C5-01E3-44F0-832F-0D3D1DA52A7C}"/>
    <cellStyle name="40 % - Akzent1" xfId="8606" hidden="1" xr:uid="{32524747-4C90-4104-96C5-FAA99DA21186}"/>
    <cellStyle name="40 % - Akzent1" xfId="8487" hidden="1" xr:uid="{92082975-18DF-43FA-BFC2-B2D37BBC7C88}"/>
    <cellStyle name="40 % - Akzent1" xfId="8540" hidden="1" xr:uid="{AC593E4B-EEC5-40F6-AA5E-0F101A559E6A}"/>
    <cellStyle name="40 % - Akzent1" xfId="7671" hidden="1" xr:uid="{D5C6BD37-324F-484C-8F56-6DA2BDDCBEC9}"/>
    <cellStyle name="40 % - Akzent1" xfId="8693" hidden="1" xr:uid="{B31B16D2-9D6A-4A0A-8A40-96421B033DB9}"/>
    <cellStyle name="40 % - Akzent1" xfId="8786" hidden="1" xr:uid="{1813D4C7-C53E-4C27-AA52-7F301B4FB1BD}"/>
    <cellStyle name="40 % - Akzent1" xfId="9001" hidden="1" xr:uid="{ECBE77F3-B62D-416C-BB9F-9E2A656D38C9}"/>
    <cellStyle name="40 % - Akzent1" xfId="9251" hidden="1" xr:uid="{5F2CF973-9526-4081-9C4E-F1E1348767A6}"/>
    <cellStyle name="40 % - Akzent1" xfId="9133" hidden="1" xr:uid="{B560C2C9-8CDF-4939-B0DA-434342152518}"/>
    <cellStyle name="40 % - Akzent1" xfId="10142" hidden="1" xr:uid="{71F9BC6E-F2BD-4249-B8DE-260A9F75DACB}"/>
    <cellStyle name="40 % - Akzent1" xfId="9867" hidden="1" xr:uid="{04551633-BCA0-4FE7-970D-C6A97A010870}"/>
    <cellStyle name="40 % - Akzent1" xfId="8962" hidden="1" xr:uid="{AA95552E-EE55-4CD8-BF5C-1FBF744EA4F0}"/>
    <cellStyle name="40 % - Akzent1" xfId="10219" hidden="1" xr:uid="{3905AA75-6E11-4526-B3CD-7B5068DAED7A}"/>
    <cellStyle name="40 % - Akzent1" xfId="9893" hidden="1" xr:uid="{5A6AB2DE-BC68-48C8-8B4D-52DB909C3F63}"/>
    <cellStyle name="40 % - Akzent1" xfId="10712" hidden="1" xr:uid="{44260691-7940-416F-A1A0-8FAC8B4F177A}"/>
    <cellStyle name="40 % - Akzent1" xfId="11235" hidden="1" xr:uid="{585DED07-6631-4811-AC12-586BC39E582C}"/>
    <cellStyle name="40 % - Akzent1" xfId="11142" hidden="1" xr:uid="{EA0E9409-52C7-4848-931A-2A2DCCCD9C3A}"/>
    <cellStyle name="40 % - Akzent1" xfId="11279" hidden="1" xr:uid="{5EC8B113-77D3-42F3-B7F2-634C163AC947}"/>
    <cellStyle name="40 % - Akzent1" xfId="10617" hidden="1" xr:uid="{897E0741-CFE9-4011-B1D3-06205109750A}"/>
    <cellStyle name="40 % - Akzent1" xfId="10746" hidden="1" xr:uid="{3425492B-3DD3-42B1-B63F-13AFDB97EA7A}"/>
    <cellStyle name="40 % - Akzent1" xfId="11186" hidden="1" xr:uid="{956AABDA-F382-458A-A1D9-87752FBBB467}"/>
    <cellStyle name="40 % - Akzent1" xfId="11407" hidden="1" xr:uid="{49C80C98-25C9-4AF9-8E4B-4CC6BF24B3DD}"/>
    <cellStyle name="40 % - Akzent1" xfId="11665" hidden="1" xr:uid="{C441F3A0-0B0B-44C9-BF2C-78D88260921C}"/>
    <cellStyle name="40 % - Akzent1" xfId="11671" hidden="1" xr:uid="{624F1909-409A-4EEA-9E87-EDEACB8FA735}"/>
    <cellStyle name="40 % - Akzent1" xfId="11457" hidden="1" xr:uid="{9BC89BB5-2AAB-4616-ACC4-5941AC955EE6}"/>
    <cellStyle name="40 % - Akzent1" xfId="13202" hidden="1" xr:uid="{E03EE7A0-5820-443D-AEE2-A3B26B9F3502}"/>
    <cellStyle name="40 % - Akzent1" xfId="11670" hidden="1" xr:uid="{1F598777-FED4-4EC2-91C8-68AD28E93EE4}"/>
    <cellStyle name="40 % - Akzent1" xfId="11856" hidden="1" xr:uid="{88C4E8D0-841A-46EB-98B2-F1A5B74D0A07}"/>
    <cellStyle name="40 % - Akzent1" xfId="11526" hidden="1" xr:uid="{6703EDBE-F629-4D2A-A054-68628E1BED0F}"/>
    <cellStyle name="40 % - Akzent1" xfId="12287" hidden="1" xr:uid="{3E750BFF-4643-4538-8C57-451B81C6E7A3}"/>
    <cellStyle name="40 % - Akzent1" xfId="14335" hidden="1" xr:uid="{2E43DC08-5B9C-4EA1-8420-7ABB6C0E047F}"/>
    <cellStyle name="40 % - Akzent1" xfId="14760" hidden="1" xr:uid="{5D92DBE6-97A9-422A-B60A-E63A6805473A}"/>
    <cellStyle name="40 % - Akzent1" xfId="14521" hidden="1" xr:uid="{18E8C3AF-6327-413F-9C8D-DCDBF50FEF06}"/>
    <cellStyle name="40 % - Akzent1" xfId="15181" hidden="1" xr:uid="{3A5C44D7-5250-4443-B6B6-3B7B6ED03EA8}"/>
    <cellStyle name="40 % - Akzent1" xfId="15162" hidden="1" xr:uid="{824A4FF2-12F4-4F29-B5E6-08105B6BB9BD}"/>
    <cellStyle name="40 % - Akzent1" xfId="14902" hidden="1" xr:uid="{BA81E35B-7777-4F6B-BBF0-9792F72D7195}"/>
    <cellStyle name="40 % - Akzent1" xfId="14699" hidden="1" xr:uid="{2A78C635-2102-4269-B800-6F2D45090C69}"/>
    <cellStyle name="40 % - Akzent1" xfId="11773" hidden="1" xr:uid="{ACF3B952-D2FB-40AC-B16A-3ADB34248A19}"/>
    <cellStyle name="40 % - Akzent1" xfId="15604" hidden="1" xr:uid="{2BAEB0D0-DB3D-424D-9B1B-92F0B1C280AB}"/>
    <cellStyle name="40 % - Akzent1" xfId="15568" hidden="1" xr:uid="{3554ED6A-6807-4143-9435-F6963A9756EF}"/>
    <cellStyle name="40 % - Akzent1" xfId="15534" hidden="1" xr:uid="{7557D6BA-DB12-4E58-8EFA-0F368FA56811}"/>
    <cellStyle name="40 % - Akzent1" xfId="15533" hidden="1" xr:uid="{DF601C9E-5446-4461-A7B1-7C45957E388F}"/>
    <cellStyle name="40 % - Akzent1" xfId="15499" hidden="1" xr:uid="{591FD7AF-3188-4551-B459-F1894A86C1F4}"/>
    <cellStyle name="40 % - Akzent1" xfId="15809" hidden="1" xr:uid="{F191BFCA-BF40-4412-B207-EDE8BBC8038B}"/>
    <cellStyle name="40 % - Akzent1" xfId="15521" hidden="1" xr:uid="{81D15DA6-7201-428B-96DE-93E18FE68EE7}"/>
    <cellStyle name="40 % - Akzent1" xfId="16023" hidden="1" xr:uid="{A476F01D-23FE-42C1-8FC6-8D3BA0720D56}"/>
    <cellStyle name="40 % - Akzent1" xfId="16098" hidden="1" xr:uid="{F08F219D-EF67-452D-94FB-24134612DD54}"/>
    <cellStyle name="40 % - Akzent1" xfId="16361" hidden="1" xr:uid="{335FBA10-ED9E-4BA9-B96B-3E15954FE649}"/>
    <cellStyle name="40 % - Akzent1" xfId="16237" hidden="1" xr:uid="{BB093AAC-0AE6-4861-B345-5ADC5CAFF2BA}"/>
    <cellStyle name="40 % - Akzent1" xfId="17262" hidden="1" xr:uid="{D63A4D90-FFAE-45EE-8C10-9206616D28B5}"/>
    <cellStyle name="40 % - Akzent1" xfId="16982" hidden="1" xr:uid="{BD252254-6C25-44EE-8AFF-6EB72C3AD073}"/>
    <cellStyle name="40 % - Akzent1" xfId="16062" hidden="1" xr:uid="{D84E7776-BD61-4406-A4F7-02B2E484861C}"/>
    <cellStyle name="40 % - Akzent1" xfId="17432" hidden="1" xr:uid="{F773A585-352B-4F8B-8DC1-F9205A0B5EEC}"/>
    <cellStyle name="40 % - Akzent1" xfId="17389" hidden="1" xr:uid="{F632EB7F-65F8-491F-821B-160B8D753DBA}"/>
    <cellStyle name="40 % - Akzent1" xfId="17859" hidden="1" xr:uid="{28843697-CF97-45A2-96FD-814BA24AA512}"/>
    <cellStyle name="40 % - Akzent1" xfId="16238" hidden="1" xr:uid="{0696E3A0-905A-4ED2-9A6F-933FE30C886D}"/>
    <cellStyle name="40 % - Akzent1" xfId="16070" hidden="1" xr:uid="{E61E243B-DAB4-4A80-AD70-BBE606EBBD24}"/>
    <cellStyle name="40 % - Akzent1" xfId="18024" hidden="1" xr:uid="{90BB7905-B557-4FB0-B96C-439795F5AE4E}"/>
    <cellStyle name="40 % - Akzent1" xfId="16291" hidden="1" xr:uid="{A18133E6-91DB-446C-A780-ECE67E1D3702}"/>
    <cellStyle name="40 % - Akzent1" xfId="17926" hidden="1" xr:uid="{5F19C4DD-6A34-4B30-8CED-99113C23603B}"/>
    <cellStyle name="40 % - Akzent1" xfId="18767" hidden="1" xr:uid="{9FB4EAC4-073C-443F-BFA9-10ADC6285521}"/>
    <cellStyle name="40 % - Akzent1" xfId="18812" hidden="1" xr:uid="{0EA56F94-CD72-430E-B87A-7F015A813CF8}"/>
    <cellStyle name="40 % - Akzent1" xfId="17835" hidden="1" xr:uid="{7A29A365-947A-4C11-9D3A-BAF880E275B2}"/>
    <cellStyle name="40 % - Akzent1" xfId="19044" hidden="1" xr:uid="{D52BC425-EDFB-4DB7-B600-09BA0CF49F18}"/>
    <cellStyle name="40 % - Akzent1" xfId="19431" hidden="1" xr:uid="{B73B6ACB-3431-42D5-B598-D1817B2ED02D}"/>
    <cellStyle name="40 % - Akzent1" xfId="19694" hidden="1" xr:uid="{34096D2E-D828-4E96-8576-39D5144DA299}"/>
    <cellStyle name="40 % - Akzent1" xfId="19570" hidden="1" xr:uid="{6E0664C6-908B-4CA5-97B0-725547C5DB6B}"/>
    <cellStyle name="40 % - Akzent1" xfId="20579" hidden="1" xr:uid="{E8CD29EA-D02E-40A1-9A84-345D32B0979F}"/>
    <cellStyle name="40 % - Akzent1" xfId="20359" hidden="1" xr:uid="{C0C1D80B-9258-478E-B33F-3E37CB803199}"/>
    <cellStyle name="40 % - Akzent1" xfId="19700" hidden="1" xr:uid="{90931597-8C0C-4383-8C96-C2437CB304F4}"/>
    <cellStyle name="40 % - Akzent1" xfId="21602" hidden="1" xr:uid="{1D85C3B1-4409-45F9-A41B-C3FBBC638A0A}"/>
    <cellStyle name="40 % - Akzent1" xfId="19558" hidden="1" xr:uid="{DD40ABBA-4747-4573-A00D-A00FB1C6D339}"/>
    <cellStyle name="40 % - Akzent1" xfId="19734" hidden="1" xr:uid="{9E86B2FF-A6A5-423E-B9F1-E0320CF6C021}"/>
    <cellStyle name="40 % - Akzent1" xfId="20375" hidden="1" xr:uid="{D585C7F0-7561-4E40-8251-14FF4355FA28}"/>
    <cellStyle name="40 % - Akzent1" xfId="20383" hidden="1" xr:uid="{AD166E23-6391-4892-9D8F-548ACAD3B91F}"/>
    <cellStyle name="40 % - Akzent1" xfId="20873" hidden="1" xr:uid="{AFA08F44-67BA-4A39-B807-9CF811091F69}"/>
    <cellStyle name="40 % - Akzent1" xfId="21498" hidden="1" xr:uid="{6EC2E7C1-D334-4B92-A9BE-9C388B00BB31}"/>
    <cellStyle name="40 % - Akzent1" xfId="22158" hidden="1" xr:uid="{8A6B0C12-FB49-423F-BA3D-70ADE27853C4}"/>
    <cellStyle name="40 % - Akzent1" xfId="21341" hidden="1" xr:uid="{0E56DC3D-A9CD-435B-A885-8FA45B619408}"/>
    <cellStyle name="40 % - Akzent1" xfId="22396" hidden="1" xr:uid="{613A3DDF-C48D-4F8E-AB02-EF3C1BA84B36}"/>
    <cellStyle name="40 % - Akzent1" xfId="22683" hidden="1" xr:uid="{D0818063-222A-4E4C-9B9E-42B3926D3EC1}"/>
    <cellStyle name="40 % - Akzent1" xfId="21659" hidden="1" xr:uid="{69F8EAE8-8E3A-4498-8FA9-FF37A5888A6A}"/>
    <cellStyle name="40 % - Akzent1" xfId="20428" hidden="1" xr:uid="{DD9BCA9C-32A5-41D8-8992-12A620904011}"/>
    <cellStyle name="40 % - Akzent1" xfId="23035" hidden="1" xr:uid="{8E46FC50-5F4D-40E3-AA87-07E16A6EBA88}"/>
    <cellStyle name="40 % - Akzent1" xfId="22762" hidden="1" xr:uid="{36D9A998-3C8D-4460-BED6-F7E35E1E50E5}"/>
    <cellStyle name="40 % - Akzent1" xfId="23639" hidden="1" xr:uid="{A0293406-EE6C-4E65-8F6E-E8101BE78AEF}"/>
    <cellStyle name="40 % - Akzent1" xfId="22761" hidden="1" xr:uid="{12C7352B-CABC-413D-8C0E-DD4ED4170A22}"/>
    <cellStyle name="40 % - Akzent1" xfId="23274" hidden="1" xr:uid="{64841463-2A11-4053-8D1A-F18B172A0A07}"/>
    <cellStyle name="40 % - Akzent1" xfId="23447" hidden="1" xr:uid="{CA6D5419-DD03-4F69-BCD2-E31753A5743F}"/>
    <cellStyle name="40 % - Akzent1" xfId="23453" hidden="1" xr:uid="{0A330873-A893-4A22-8300-A6AB5680622D}"/>
    <cellStyle name="40 % - Akzent1" xfId="23375" hidden="1" xr:uid="{5592D8FD-57F5-422E-8DA0-0EFD9B50A85C}"/>
    <cellStyle name="40 % - Akzent1" xfId="24154" hidden="1" xr:uid="{B370A41B-E3CF-462C-8610-4411FA8DDC39}"/>
    <cellStyle name="40 % - Akzent1" xfId="24398" hidden="1" xr:uid="{0486EA70-2AC9-41DD-8F2C-49738C2D26CF}"/>
    <cellStyle name="40 % - Akzent1" xfId="25093" hidden="1" xr:uid="{DBDF062D-5FB4-4207-B516-8E560C5A305B}"/>
    <cellStyle name="40 % - Akzent1" xfId="24547" hidden="1" xr:uid="{0EA39892-680C-4D2E-8D4E-49E736DB448F}"/>
    <cellStyle name="40 % - Akzent1" xfId="25397" hidden="1" xr:uid="{636C5D3A-2CDB-406E-9A9A-229B301246BA}"/>
    <cellStyle name="40 % - Akzent1" xfId="25958" hidden="1" xr:uid="{88C31CC6-D2BA-4E12-8746-F3B777D8EC70}"/>
    <cellStyle name="40 % - Akzent1" xfId="25973" hidden="1" xr:uid="{953BDADD-532E-4A46-B6A7-6BCDF6A0D170}"/>
    <cellStyle name="40 % - Akzent1" xfId="26015" hidden="1" xr:uid="{B60C0229-9B3C-42CE-ABF7-69AD3848EAF1}"/>
    <cellStyle name="40 % - Akzent1" xfId="26554" hidden="1" xr:uid="{EAE4B24C-EE68-4E3C-AE77-888103C6CD03}"/>
    <cellStyle name="40 % - Akzent1" xfId="26450" hidden="1" xr:uid="{109D9A3F-182F-470A-BBFB-B648E74EA261}"/>
    <cellStyle name="40 % - Akzent1" xfId="25038" hidden="1" xr:uid="{69555C6D-0B85-488C-8BBF-96B28BC55FA7}"/>
    <cellStyle name="40 % - Akzent1" xfId="24416" hidden="1" xr:uid="{EED981D5-631B-4EBF-B5D4-0FC1936C2D72}"/>
    <cellStyle name="40 % - Akzent1" xfId="26804" hidden="1" xr:uid="{7783CC20-1109-4E86-B379-EB94B035E1F1}"/>
    <cellStyle name="40 % - Akzent1" xfId="25013" hidden="1" xr:uid="{D3CDBA2A-4AA8-4B7B-A37C-985B4017E101}"/>
    <cellStyle name="40 % - Akzent1" xfId="26714" hidden="1" xr:uid="{8E9D6B47-F4D8-41FA-8B26-4507D2FF49E8}"/>
    <cellStyle name="40 % - Akzent1" xfId="26479" hidden="1" xr:uid="{8E716090-BDE7-4BE0-9B90-98A26FBCE644}"/>
    <cellStyle name="40 % - Akzent1" xfId="26456" hidden="1" xr:uid="{BD776127-68C9-4F5D-AECC-9685AAC4E3B3}"/>
    <cellStyle name="40 % - Akzent1" xfId="27186" hidden="1" xr:uid="{D206F28D-784A-487E-ACDE-BDEF1B4D80BA}"/>
    <cellStyle name="40 % - Akzent1" xfId="27844" hidden="1" xr:uid="{0629DA0C-C849-4F0E-8A48-E6B5F39A426A}"/>
    <cellStyle name="40 % - Akzent1" xfId="27733" hidden="1" xr:uid="{0854FF14-D449-4D0D-A0A4-F91FD5E2FCFC}"/>
    <cellStyle name="40 % - Akzent1" xfId="27945" hidden="1" xr:uid="{49E54158-3EE8-4E5B-A41A-DA187C6FB67F}"/>
    <cellStyle name="40 % - Akzent1" xfId="28181" hidden="1" xr:uid="{C8B0146D-2EEC-4275-B3DD-1F50A3B7C524}"/>
    <cellStyle name="40 % - Akzent1" xfId="28187" hidden="1" xr:uid="{00DCEE6B-1DE7-479A-9F14-5C6E2ADB83C7}"/>
    <cellStyle name="40 % - Akzent1" xfId="27970" hidden="1" xr:uid="{75FFCC59-95D0-4E9A-A46A-3771BBD16719}"/>
    <cellStyle name="40 % - Akzent1" xfId="27897" hidden="1" xr:uid="{AF069FEA-F435-47D8-82B8-B82B22F11692}"/>
    <cellStyle name="40 % - Akzent1" xfId="29304" hidden="1" xr:uid="{EB7554F8-ADBF-4501-B5C5-16A0EF1772DB}"/>
    <cellStyle name="40 % - Akzent1" xfId="28325" hidden="1" xr:uid="{A7CE8BA5-75B5-4E4B-B3AD-EADAC9187FFD}"/>
    <cellStyle name="40 % - Akzent1" xfId="28292" hidden="1" xr:uid="{6368493C-8D94-42A2-A554-D06C8DCB42B3}"/>
    <cellStyle name="40 % - Akzent1" xfId="30824" hidden="1" xr:uid="{F09FF887-2ADF-420A-A983-32484C7E097B}"/>
    <cellStyle name="40 % - Akzent1" xfId="30952" hidden="1" xr:uid="{FD2D05B8-9567-4C91-AE4A-BBF5FB1CBAB0}"/>
    <cellStyle name="40 % - Akzent1 2" xfId="379" xr:uid="{8F1AB9A1-CC89-4947-A758-850A6CBB969C}"/>
    <cellStyle name="40 % - Akzent1 3" xfId="248" xr:uid="{A9FBB85D-0636-4B79-860B-785CBBFFCB1A}"/>
    <cellStyle name="40 % - Akzent2" xfId="54" hidden="1" xr:uid="{BB7658DE-5FC8-44DA-8DD0-864E1D7978A5}"/>
    <cellStyle name="40 % - Akzent2" xfId="901" hidden="1" xr:uid="{F0FC1111-89A4-48D5-A1FC-958CFF3809F7}"/>
    <cellStyle name="40 % - Akzent2" xfId="991" hidden="1" xr:uid="{CCCAB30D-7BBE-4D58-B7E2-B1543F40DA0C}"/>
    <cellStyle name="40 % - Akzent2" xfId="1395" hidden="1" xr:uid="{B46837C1-5C12-462E-B760-0D59F3DEF737}"/>
    <cellStyle name="40 % - Akzent2" xfId="1470" hidden="1" xr:uid="{82CD9350-D756-4AB8-98AE-47A0F10199C6}"/>
    <cellStyle name="40 % - Akzent2" xfId="1879" hidden="1" xr:uid="{22CBEB6D-E4F8-4331-88B2-FE4B45E1372F}"/>
    <cellStyle name="40 % - Akzent2" xfId="2119" hidden="1" xr:uid="{FD06347C-D413-4839-9D85-996597256E79}"/>
    <cellStyle name="40 % - Akzent2" xfId="1851" hidden="1" xr:uid="{F8D20EC6-FF66-449F-A30D-8478BD18F094}"/>
    <cellStyle name="40 % - Akzent2" xfId="2800" hidden="1" xr:uid="{9B6E592E-6A8B-4C56-8D15-9F8460A13EB9}"/>
    <cellStyle name="40 % - Akzent2" xfId="2254" hidden="1" xr:uid="{DD91FE9F-5818-41E7-B8CF-24450414A512}"/>
    <cellStyle name="40 % - Akzent2" xfId="2034" hidden="1" xr:uid="{AC827DA5-F62F-4FE0-996E-FA1C4959BDA9}"/>
    <cellStyle name="40 % - Akzent2" xfId="3586" hidden="1" xr:uid="{CA47C0A5-2F1A-446A-BBB4-B2A479693ED7}"/>
    <cellStyle name="40 % - Akzent2" xfId="3455" hidden="1" xr:uid="{9DC50A31-C44B-4214-BEF4-81F76447DE48}"/>
    <cellStyle name="40 % - Akzent2" xfId="3252" hidden="1" xr:uid="{AEA5004A-D0CA-423F-B753-29BDE1AD33FA}"/>
    <cellStyle name="40 % - Akzent2" xfId="3664" hidden="1" xr:uid="{F79B3883-25D9-4625-AFC3-32043CB50E02}"/>
    <cellStyle name="40 % - Akzent2" xfId="3188" hidden="1" xr:uid="{8C318B50-2FA3-44C4-A6F2-15F1F2BC8541}"/>
    <cellStyle name="40 % - Akzent2" xfId="2166" hidden="1" xr:uid="{F5BD2B77-588D-4D30-A31C-EE9132F20727}"/>
    <cellStyle name="40 % - Akzent2" xfId="2830" hidden="1" xr:uid="{375DA708-9CE5-474E-A5D7-F96A0C3E0B78}"/>
    <cellStyle name="40 % - Akzent2" xfId="5021" hidden="1" xr:uid="{9A4965C8-E967-4C42-A677-60C25FE7FB27}"/>
    <cellStyle name="40 % - Akzent2" xfId="3051" hidden="1" xr:uid="{55EF0B17-89E4-4D0B-8096-EA1E0D129001}"/>
    <cellStyle name="40 % - Akzent2" xfId="5150" hidden="1" xr:uid="{B3595F8E-B542-4BB9-B63C-F9EEB12D20C9}"/>
    <cellStyle name="40 % - Akzent2" xfId="4220" hidden="1" xr:uid="{0F4D85AF-694C-4EA0-81C9-5193A260BAE4}"/>
    <cellStyle name="40 % - Akzent2" xfId="5604" hidden="1" xr:uid="{CABF694D-B114-4F89-A967-A207C51B4F29}"/>
    <cellStyle name="40 % - Akzent2" xfId="5675" hidden="1" xr:uid="{B25A9B43-573C-4B0E-B8C9-A17DF1ACD0C5}"/>
    <cellStyle name="40 % - Akzent2" xfId="5773" hidden="1" xr:uid="{C0B7225B-9C63-45D3-84C5-715C734F8F06}"/>
    <cellStyle name="40 % - Akzent2" xfId="2279" hidden="1" xr:uid="{36B9C703-90CC-49B7-A058-45BBAFC956B9}"/>
    <cellStyle name="40 % - Akzent2" xfId="5923" hidden="1" xr:uid="{3A67118B-1D0D-4A4D-BE05-748CBB8DFF56}"/>
    <cellStyle name="40 % - Akzent2" xfId="6053" hidden="1" xr:uid="{8F33A821-F44D-424E-8B59-36F612CE6915}"/>
    <cellStyle name="40 % - Akzent2" xfId="6199" hidden="1" xr:uid="{6B48299E-4C7B-4F19-B5E9-C268696E36E5}"/>
    <cellStyle name="40 % - Akzent2" xfId="6537" hidden="1" xr:uid="{A39D1BA0-5E09-42FB-B7E7-A320DFB1040D}"/>
    <cellStyle name="40 % - Akzent2" xfId="6506" hidden="1" xr:uid="{28A67EA3-0E4E-461A-A874-3FE59DA07DA9}"/>
    <cellStyle name="40 % - Akzent2" xfId="6428" hidden="1" xr:uid="{7004A3D1-D1D2-4E36-88D2-291B2AD5DF1A}"/>
    <cellStyle name="40 % - Akzent2" xfId="6510" hidden="1" xr:uid="{9BE607A8-2AD4-4B5F-BBCD-7F14BE850868}"/>
    <cellStyle name="40 % - Akzent2" xfId="6114" hidden="1" xr:uid="{3488554D-705A-4CBF-AEB8-9E7B9471FB72}"/>
    <cellStyle name="40 % - Akzent2" xfId="6486" hidden="1" xr:uid="{8DF5BC76-405A-40D4-8B79-57CB0F3FC26C}"/>
    <cellStyle name="40 % - Akzent2" xfId="6466" hidden="1" xr:uid="{4ABCD465-2B3E-4728-BE4B-78C449FEE986}"/>
    <cellStyle name="40 % - Akzent2" xfId="6251" hidden="1" xr:uid="{1848640F-F63E-474D-A01F-E72B3685AEB9}"/>
    <cellStyle name="40 % - Akzent2" xfId="6792" hidden="1" xr:uid="{588C2083-01AE-46C4-9CCC-246870BD39AF}"/>
    <cellStyle name="40 % - Akzent2" xfId="7221" hidden="1" xr:uid="{1B6B4AF4-AE95-4F66-8A38-2E4FE858F864}"/>
    <cellStyle name="40 % - Akzent2" xfId="6929" hidden="1" xr:uid="{4F67582E-4151-4457-AB3F-540FC682B3DD}"/>
    <cellStyle name="40 % - Akzent2" xfId="7073" hidden="1" xr:uid="{3FA5456F-48FB-413E-A4B6-7C3AD3EFF107}"/>
    <cellStyle name="40 % - Akzent2" xfId="7168" hidden="1" xr:uid="{D425DD4E-BECC-44F8-96D7-9E9AC0EDCD5B}"/>
    <cellStyle name="40 % - Akzent2" xfId="7838" hidden="1" xr:uid="{58FB7592-618F-4C8A-89E6-1C70A4543571}"/>
    <cellStyle name="40 % - Akzent2" xfId="8404" hidden="1" xr:uid="{C1ECDAE1-EC89-48CA-B710-DCB530DA559D}"/>
    <cellStyle name="40 % - Akzent2" xfId="7735" hidden="1" xr:uid="{06237197-4C9F-4D25-89CC-36B447E0C175}"/>
    <cellStyle name="40 % - Akzent2" xfId="7967" hidden="1" xr:uid="{E284E17F-F1EC-45A6-8B32-302CAF23297D}"/>
    <cellStyle name="40 % - Akzent2" xfId="7689" hidden="1" xr:uid="{F1032B0C-80B2-43FC-ADFD-4E62D219A3D7}"/>
    <cellStyle name="40 % - Akzent2" xfId="8108" hidden="1" xr:uid="{739252A6-4814-49FB-879D-E508D1D60AFF}"/>
    <cellStyle name="40 % - Akzent2" xfId="8163" hidden="1" xr:uid="{789980B8-28C7-4601-BBA3-A884B06B4D50}"/>
    <cellStyle name="40 % - Akzent2" xfId="6781" hidden="1" xr:uid="{BE01D230-6CF3-43CB-9180-5B5BC65F01D9}"/>
    <cellStyle name="40 % - Akzent2" xfId="8320" hidden="1" xr:uid="{0DBE6AB7-1DFF-4FB2-A493-D50C845FE361}"/>
    <cellStyle name="40 % - Akzent2" xfId="8363" hidden="1" xr:uid="{47F71D4E-3D9C-4143-98E7-7DA937D550B0}"/>
    <cellStyle name="40 % - Akzent2" xfId="8443" hidden="1" xr:uid="{FB33F0DC-AB82-4AD1-A96F-9637B7A254A3}"/>
    <cellStyle name="40 % - Akzent2" xfId="8462" hidden="1" xr:uid="{EE953C52-2345-4FF2-B7DA-6526716F4A94}"/>
    <cellStyle name="40 % - Akzent2" xfId="7736" hidden="1" xr:uid="{55E2636C-1E2A-4F73-B84D-322E5DBD9E59}"/>
    <cellStyle name="40 % - Akzent2" xfId="8461" hidden="1" xr:uid="{0A695A19-9011-4656-8AA1-F271DF41AF76}"/>
    <cellStyle name="40 % - Akzent2" xfId="7045" hidden="1" xr:uid="{B7381C13-096C-4F93-9AB3-2BAF894F677B}"/>
    <cellStyle name="40 % - Akzent2" xfId="8711" hidden="1" xr:uid="{9E97EE3F-55DE-4E3B-9ED9-BE71FB642B05}"/>
    <cellStyle name="40 % - Akzent2" xfId="8223" hidden="1" xr:uid="{0FEF85B1-3E32-465B-BBE1-CA219B11E194}"/>
    <cellStyle name="40 % - Akzent2" xfId="8658" hidden="1" xr:uid="{85E615B6-FC86-4F07-8FB2-4887C8357D32}"/>
    <cellStyle name="40 % - Akzent2" xfId="9005" hidden="1" xr:uid="{60DA2458-3535-4DB8-8B63-7EAB17D53229}"/>
    <cellStyle name="40 % - Akzent2" xfId="9434" hidden="1" xr:uid="{FFD829C1-829E-4890-A5CB-691CAC8EB3C1}"/>
    <cellStyle name="40 % - Akzent2" xfId="9142" hidden="1" xr:uid="{2F664292-52FF-411D-B2A3-322DC6DB4B9A}"/>
    <cellStyle name="40 % - Akzent2" xfId="8950" hidden="1" xr:uid="{91CE075C-447F-4418-ADF5-75445EDFEFE0}"/>
    <cellStyle name="40 % - Akzent2" xfId="9383" hidden="1" xr:uid="{72EB433E-4D2F-4284-8C14-CC3596500BF4}"/>
    <cellStyle name="40 % - Akzent2" xfId="10552" hidden="1" xr:uid="{A9E5D5B8-3DC8-4041-97F6-3F0E6765F4A7}"/>
    <cellStyle name="40 % - Akzent2" xfId="10728" hidden="1" xr:uid="{8DA9FFB9-5FD1-41C1-A52A-8375A3526F6D}"/>
    <cellStyle name="40 % - Akzent2" xfId="10707" hidden="1" xr:uid="{C8348C4F-7EFE-407D-868C-4EC04CA3C0F7}"/>
    <cellStyle name="40 % - Akzent2" xfId="9905" hidden="1" xr:uid="{B85147BB-0546-41C3-91A4-480B257D743A}"/>
    <cellStyle name="40 % - Akzent2" xfId="11206" hidden="1" xr:uid="{F7B4053E-6AFC-4318-8E89-E6C5B8DEE8B8}"/>
    <cellStyle name="40 % - Akzent2" xfId="9054" hidden="1" xr:uid="{B40762A4-9AEE-4763-A9F6-38ABA1D0E730}"/>
    <cellStyle name="40 % - Akzent2" xfId="11169" hidden="1" xr:uid="{6998D604-90DD-439D-9834-B060666462AF}"/>
    <cellStyle name="40 % - Akzent2" xfId="11188" hidden="1" xr:uid="{A79B5CA5-5BB1-4846-812A-378717003F8F}"/>
    <cellStyle name="40 % - Akzent2" xfId="10352" hidden="1" xr:uid="{36A3DCE8-0729-49E6-BA75-44760EE359C0}"/>
    <cellStyle name="40 % - Akzent2" xfId="9900" hidden="1" xr:uid="{F3C23ADB-335D-49ED-B559-2615570FFEBA}"/>
    <cellStyle name="40 % - Akzent2" xfId="11411" hidden="1" xr:uid="{801AE349-599C-44A9-8268-A365B55EBFEA}"/>
    <cellStyle name="40 % - Akzent2" xfId="11852" hidden="1" xr:uid="{B1557EB4-DFD1-43F6-B681-4D0B4BC86DAD}"/>
    <cellStyle name="40 % - Akzent2" xfId="12256" hidden="1" xr:uid="{2C9BEA62-50D0-416D-A24C-25891544E3F9}"/>
    <cellStyle name="40 % - Akzent2" xfId="11816" hidden="1" xr:uid="{86C41E93-CCE6-4987-98E1-F301F4C2B9DD}"/>
    <cellStyle name="40 % - Akzent2" xfId="11612" hidden="1" xr:uid="{4B40BB88-9EF5-441E-9420-AD2422BA0D15}"/>
    <cellStyle name="40 % - Akzent2" xfId="11587" hidden="1" xr:uid="{2C668FCF-2ECC-4382-9CE1-4658E002B983}"/>
    <cellStyle name="40 % - Akzent2" xfId="13633" hidden="1" xr:uid="{E856DE8E-52B7-4D91-898B-A653F1BC542D}"/>
    <cellStyle name="40 % - Akzent2" xfId="11797" hidden="1" xr:uid="{EC88C795-BA27-40BA-9BF5-C42A3769714B}"/>
    <cellStyle name="40 % - Akzent2" xfId="14235" hidden="1" xr:uid="{F79AAA26-91F5-4925-A9F2-74641ABDF98A}"/>
    <cellStyle name="40 % - Akzent2" xfId="14029" hidden="1" xr:uid="{427F2312-839D-4694-8C91-7D87B205FCE2}"/>
    <cellStyle name="40 % - Akzent2" xfId="14103" hidden="1" xr:uid="{B0FB6F7A-969F-4693-A138-DA85FFCD0C01}"/>
    <cellStyle name="40 % - Akzent2" xfId="12722" hidden="1" xr:uid="{0E8F766F-449B-4AB5-9B69-8174E20B6C6A}"/>
    <cellStyle name="40 % - Akzent2" xfId="14409" hidden="1" xr:uid="{D2C2CD53-A3B0-4637-B660-FD5BCE40BEB3}"/>
    <cellStyle name="40 % - Akzent2" xfId="15004" hidden="1" xr:uid="{D9ABCD73-3F18-48D0-8F18-DD7072E602B6}"/>
    <cellStyle name="40 % - Akzent2" xfId="14767" hidden="1" xr:uid="{3604A651-4A41-4AD3-B3DA-A9FBC6274784}"/>
    <cellStyle name="40 % - Akzent2" xfId="15332" hidden="1" xr:uid="{8AC2E0B2-0A98-4851-B01F-C7C2A3E44B02}"/>
    <cellStyle name="40 % - Akzent2" xfId="15320" hidden="1" xr:uid="{3A5014C0-7C48-4419-B83C-FDD0996F18FA}"/>
    <cellStyle name="40 % - Akzent2" xfId="14434" hidden="1" xr:uid="{91BFCFD4-2118-4ED3-88A1-F691CB916668}"/>
    <cellStyle name="40 % - Akzent2" xfId="15425" hidden="1" xr:uid="{09742B19-F1F2-46E5-A52E-D1ED9BAD6B50}"/>
    <cellStyle name="40 % - Akzent2" xfId="15664" hidden="1" xr:uid="{BB7026D3-3A3B-492B-B794-AFF4F59CCE81}"/>
    <cellStyle name="40 % - Akzent2" xfId="15438" hidden="1" xr:uid="{9EF58A31-80B4-4344-8F81-C420F46E1EFA}"/>
    <cellStyle name="40 % - Akzent2" xfId="15125" hidden="1" xr:uid="{15E283F8-DEA4-47A8-AA22-3E5AA92F4748}"/>
    <cellStyle name="40 % - Akzent2" xfId="15917" hidden="1" xr:uid="{58F4645A-8869-4B68-89EA-37605005015F}"/>
    <cellStyle name="40 % - Akzent2" xfId="15498" hidden="1" xr:uid="{A526E7A8-EE19-40CD-9A45-8F8EAA98C913}"/>
    <cellStyle name="40 % - Akzent2" xfId="16031" hidden="1" xr:uid="{BC6AD0C0-1A9D-46DA-BB33-F9956D367F41}"/>
    <cellStyle name="40 % - Akzent2" xfId="16102" hidden="1" xr:uid="{C68B45E3-98ED-4BA7-924A-9ACABDDBF01C}"/>
    <cellStyle name="40 % - Akzent2" xfId="16544" hidden="1" xr:uid="{0E82EA95-84FB-42AD-8AC7-0354846E1B12}"/>
    <cellStyle name="40 % - Akzent2" xfId="16246" hidden="1" xr:uid="{8DF2BF44-6520-4C5A-AFF9-C62CE7A6C94A}"/>
    <cellStyle name="40 % - Akzent2" xfId="16394" hidden="1" xr:uid="{7FB16D74-74EC-453D-ADF7-FB37A8000E21}"/>
    <cellStyle name="40 % - Akzent2" xfId="16489" hidden="1" xr:uid="{853E3C7F-58CA-4861-A231-D0B45DDC2D5E}"/>
    <cellStyle name="40 % - Akzent2" xfId="17706" hidden="1" xr:uid="{5A2B1D6B-D0D1-4163-B691-425011F1BCD6}"/>
    <cellStyle name="40 % - Akzent2" xfId="17341" hidden="1" xr:uid="{B6A090D6-6FE4-4C0A-B44C-41039B6FC066}"/>
    <cellStyle name="40 % - Akzent2" xfId="17891" hidden="1" xr:uid="{BC7E16CE-B473-4068-9AE8-8124D7BCE3FC}"/>
    <cellStyle name="40 % - Akzent2" xfId="17545" hidden="1" xr:uid="{BF353BC5-5561-4EB7-8CF4-FA224C56C54F}"/>
    <cellStyle name="40 % - Akzent2" xfId="16987" hidden="1" xr:uid="{0513302B-6346-4E51-AF5B-0630F9E14534}"/>
    <cellStyle name="40 % - Akzent2" xfId="18120" hidden="1" xr:uid="{601349E4-74CD-44BD-A50B-6AA5CB01ADAD}"/>
    <cellStyle name="40 % - Akzent2" xfId="16340" hidden="1" xr:uid="{CCC47005-370E-4D4D-A460-2289E0A14078}"/>
    <cellStyle name="40 % - Akzent2" xfId="16152" hidden="1" xr:uid="{F6C53834-06CF-4709-8D3E-E174FF962C21}"/>
    <cellStyle name="40 % - Akzent2" xfId="18792" hidden="1" xr:uid="{8FF6E6A3-F612-4483-97DB-53BB319229A2}"/>
    <cellStyle name="40 % - Akzent2" xfId="16370" hidden="1" xr:uid="{98187732-6F14-40F2-BD1B-F7BE9E8A60D3}"/>
    <cellStyle name="40 % - Akzent2" xfId="19036" hidden="1" xr:uid="{3893DBE2-2594-4FFE-9383-A2D20579661E}"/>
    <cellStyle name="40 % - Akzent2" xfId="18172" hidden="1" xr:uid="{01DFC95D-A761-4661-BA3F-E9242CBF4025}"/>
    <cellStyle name="40 % - Akzent2" xfId="19179" hidden="1" xr:uid="{D89BC93E-A5B5-4476-8FCD-528ABF20F738}"/>
    <cellStyle name="40 % - Akzent2" xfId="19435" hidden="1" xr:uid="{189EF10C-4964-4626-9DA4-3BA9EBF5444D}"/>
    <cellStyle name="40 % - Akzent2" xfId="19881" hidden="1" xr:uid="{149489F6-9008-42F5-B060-07A27999C986}"/>
    <cellStyle name="40 % - Akzent2" xfId="19579" hidden="1" xr:uid="{11928927-DF8D-4398-A68B-D41136B06A05}"/>
    <cellStyle name="40 % - Akzent2" xfId="20277" hidden="1" xr:uid="{08612ADD-B422-4D0F-BD05-9E17E414788B}"/>
    <cellStyle name="40 % - Akzent2" xfId="19785" hidden="1" xr:uid="{C4E2AD34-85AD-4642-93CE-45AD842FED4D}"/>
    <cellStyle name="40 % - Akzent2" xfId="21067" hidden="1" xr:uid="{0BD71590-3543-41A2-ACC6-DBC79CA9BB18}"/>
    <cellStyle name="40 % - Akzent2" xfId="21590" hidden="1" xr:uid="{0418DDC4-A01B-4191-B559-44BC812D3D17}"/>
    <cellStyle name="40 % - Akzent2" xfId="21254" hidden="1" xr:uid="{5E89475D-B8BD-4127-B411-3216B08B8E74}"/>
    <cellStyle name="40 % - Akzent2" xfId="20691" hidden="1" xr:uid="{8F954833-7564-4D8D-A19F-FA74023C158C}"/>
    <cellStyle name="40 % - Akzent2" xfId="19384" hidden="1" xr:uid="{5AEDF4E3-C3E6-4816-A70B-3A591D596069}"/>
    <cellStyle name="40 % - Akzent2" xfId="21592" hidden="1" xr:uid="{0C3C97BC-5077-4F32-98C5-B01D4217DCFD}"/>
    <cellStyle name="40 % - Akzent2" xfId="21998" hidden="1" xr:uid="{C0F57D74-FCB9-49AA-BD89-551C615EA3DF}"/>
    <cellStyle name="40 % - Akzent2" xfId="21467" hidden="1" xr:uid="{0B46CC45-1CE7-413B-A737-FC02ECA9B0D6}"/>
    <cellStyle name="40 % - Akzent2" xfId="21857" hidden="1" xr:uid="{FA735058-1499-44FD-90A7-3A46E1266422}"/>
    <cellStyle name="40 % - Akzent2" xfId="21458" hidden="1" xr:uid="{DD5D5183-A6BA-42FE-8290-C16811F26067}"/>
    <cellStyle name="40 % - Akzent2" xfId="22639" hidden="1" xr:uid="{C5C7A245-CEEB-40FD-B515-1D744A26DD5B}"/>
    <cellStyle name="40 % - Akzent2" xfId="22797" hidden="1" xr:uid="{272AD4E8-53B1-4810-930E-BE335A91419B}"/>
    <cellStyle name="40 % - Akzent2" xfId="22772" hidden="1" xr:uid="{A0803AB1-920F-49C2-8621-9CB8EA9ECEAF}"/>
    <cellStyle name="40 % - Akzent2" xfId="23064" hidden="1" xr:uid="{B54ABDA5-3059-48CD-ADE8-CE2DC5CEF484}"/>
    <cellStyle name="40 % - Akzent2" xfId="22969" hidden="1" xr:uid="{203D1BD9-B701-4F08-AB46-3D34DA6111EC}"/>
    <cellStyle name="40 % - Akzent2" xfId="22921" hidden="1" xr:uid="{45526F93-6D8F-4D13-ACC5-48BD23157D1A}"/>
    <cellStyle name="40 % - Akzent2" xfId="23630" hidden="1" xr:uid="{B45E3189-7FC5-4EFE-A41F-270BB8916F69}"/>
    <cellStyle name="40 % - Akzent2" xfId="23449" hidden="1" xr:uid="{8B987EB1-2B09-4609-B332-3D7F8453376C}"/>
    <cellStyle name="40 % - Akzent2" xfId="22302" hidden="1" xr:uid="{4E7758DE-2F09-47FD-99B7-B729A198F14C}"/>
    <cellStyle name="40 % - Akzent2" xfId="22674" hidden="1" xr:uid="{4E5829B5-ACEC-416F-9D81-A8095E8D7BB1}"/>
    <cellStyle name="40 % - Akzent2" xfId="22818" hidden="1" xr:uid="{2060A748-174C-4CE8-A9B9-83E70FDD4FC1}"/>
    <cellStyle name="40 % - Akzent2" xfId="24074" hidden="1" xr:uid="{0A988695-6934-4EC1-9FDA-BF8D8CBA92CF}"/>
    <cellStyle name="40 % - Akzent2" xfId="24157" hidden="1" xr:uid="{9F937730-0D4A-44C4-BD99-B7924B14B297}"/>
    <cellStyle name="40 % - Akzent2" xfId="24586" hidden="1" xr:uid="{B163E41E-849C-4BB2-B0E9-AA82016DCB16}"/>
    <cellStyle name="40 % - Akzent2" xfId="25290" hidden="1" xr:uid="{44509EC2-C878-4639-8DBB-9286BEAEB31A}"/>
    <cellStyle name="40 % - Akzent2" xfId="25004" hidden="1" xr:uid="{36A4DAB9-0BEA-43D4-B0F7-B1DC4C131249}"/>
    <cellStyle name="40 % - Akzent2" xfId="25500" hidden="1" xr:uid="{CFA4A405-D10D-484A-B82C-76B1C97B4F01}"/>
    <cellStyle name="40 % - Akzent2" xfId="26141" hidden="1" xr:uid="{33F3F09D-FE90-44ED-A1C8-C7B016883F60}"/>
    <cellStyle name="40 % - Akzent2" xfId="26093" hidden="1" xr:uid="{71890EB3-DB44-4408-A2FD-D295975F7D8C}"/>
    <cellStyle name="40 % - Akzent2" xfId="26250" hidden="1" xr:uid="{47D5BFBA-69A3-4F3C-A147-0BCFC11885A9}"/>
    <cellStyle name="40 % - Akzent2" xfId="26076" hidden="1" xr:uid="{46D97DB8-D681-4287-88E1-62748429AD37}"/>
    <cellStyle name="40 % - Akzent2" xfId="26371" hidden="1" xr:uid="{EEEE16EB-A8DF-41B3-9175-018AD61D3207}"/>
    <cellStyle name="40 % - Akzent2" xfId="26339" hidden="1" xr:uid="{93A98551-D528-4E62-BC96-138ED6F59CE1}"/>
    <cellStyle name="40 % - Akzent2" xfId="25978" hidden="1" xr:uid="{069439C7-B656-4546-B16B-18D67237A937}"/>
    <cellStyle name="40 % - Akzent2" xfId="26312" hidden="1" xr:uid="{BC754604-BB3F-4AA3-AA3F-2E457CC1D38A}"/>
    <cellStyle name="40 % - Akzent2" xfId="25196" hidden="1" xr:uid="{6A085349-6BCE-4EA8-91D5-236078D754AC}"/>
    <cellStyle name="40 % - Akzent2" xfId="26148" hidden="1" xr:uid="{10C6931D-13C4-4FAC-9FE4-BAF12A8E5602}"/>
    <cellStyle name="40 % - Akzent2" xfId="26626" hidden="1" xr:uid="{E0DEE657-3E9B-44D5-9240-A375B6217F2A}"/>
    <cellStyle name="40 % - Akzent2" xfId="26782" hidden="1" xr:uid="{AD53BDA5-A773-4FBB-BC76-EFF21969A575}"/>
    <cellStyle name="40 % - Akzent2" xfId="27848" hidden="1" xr:uid="{75325DA0-5871-4535-8CB1-938A1CD689B2}"/>
    <cellStyle name="40 % - Akzent2" xfId="27608" hidden="1" xr:uid="{76B6D623-8744-4975-867C-7643DD50326C}"/>
    <cellStyle name="40 % - Akzent2" xfId="27707" hidden="1" xr:uid="{29589655-0ACA-4900-845F-E6BCA02FDF44}"/>
    <cellStyle name="40 % - Akzent2" xfId="27949" hidden="1" xr:uid="{D3BD089C-0485-4096-8AB8-21975621C2F9}"/>
    <cellStyle name="40 % - Akzent2" xfId="28341" hidden="1" xr:uid="{0E3B7C3B-5C20-45C2-B48E-60A969997BB0}"/>
    <cellStyle name="40 % - Akzent2" xfId="28743" hidden="1" xr:uid="{3CC75D5D-6DC1-47D4-8EFA-1591DF3118D2}"/>
    <cellStyle name="40 % - Akzent2" xfId="28759" hidden="1" xr:uid="{A7A78597-FED9-4B8C-878F-926F3E485A96}"/>
    <cellStyle name="40 % - Akzent2" xfId="29442" hidden="1" xr:uid="{78F7EC2A-9420-445F-B3C6-95A731F93B1F}"/>
    <cellStyle name="40 % - Akzent2" xfId="28129" hidden="1" xr:uid="{AE109737-310F-44BA-BC44-E1F994A9BAB7}"/>
    <cellStyle name="40 % - Akzent2" xfId="29489" hidden="1" xr:uid="{8A5CB943-59E8-4C30-80A6-21CE1076BE81}"/>
    <cellStyle name="40 % - Akzent2" xfId="29339" hidden="1" xr:uid="{7D01AD25-6FD4-4526-B347-2F948822ED65}"/>
    <cellStyle name="40 % - Akzent2" xfId="30936" hidden="1" xr:uid="{40DD5F6D-15BE-4B94-8DC3-97EDF7BAFDC8}"/>
    <cellStyle name="40 % - Akzent2" xfId="29237" hidden="1" xr:uid="{30AA7C60-50AA-46F4-9B9E-7F2449B0E8BF}"/>
    <cellStyle name="40 % - Akzent2 2" xfId="380" xr:uid="{CAA25B9B-C8CC-40A0-9389-8BD1DA02B807}"/>
    <cellStyle name="40 % - Akzent2 3" xfId="249" xr:uid="{AE7A220D-FAE0-4FFF-9EA4-425BFB48CD15}"/>
    <cellStyle name="40 % - Akzent3" xfId="57" hidden="1" xr:uid="{753232A9-9212-4054-B79B-6D0D98E69460}"/>
    <cellStyle name="40 % - Akzent3" xfId="904" hidden="1" xr:uid="{34736E43-686E-4033-86BA-33676ABF98DF}"/>
    <cellStyle name="40 % - Akzent3" xfId="962" hidden="1" xr:uid="{A107E949-65D5-4F38-9D50-062BA5610472}"/>
    <cellStyle name="40 % - Akzent3" xfId="1398" hidden="1" xr:uid="{E867C0AE-138D-4673-AEEE-CC895ED717BA}"/>
    <cellStyle name="40 % - Akzent3" xfId="1717" hidden="1" xr:uid="{B4D0CF0B-5265-4F90-B0A8-206DB36D7AC2}"/>
    <cellStyle name="40 % - Akzent3" xfId="1883" hidden="1" xr:uid="{FC9F7541-6EBC-4993-AFC2-E4F06B445FE5}"/>
    <cellStyle name="40 % - Akzent3" xfId="2318" hidden="1" xr:uid="{A8209E48-ABC1-45E4-9561-05E03C1B7578}"/>
    <cellStyle name="40 % - Akzent3" xfId="2818" hidden="1" xr:uid="{9CF3849C-18EC-4EAB-AA40-8E1891AF9A11}"/>
    <cellStyle name="40 % - Akzent3" xfId="2835" hidden="1" xr:uid="{766D945B-B5B0-433F-B39C-4C9F251C7DD1}"/>
    <cellStyle name="40 % - Akzent3" xfId="2845" hidden="1" xr:uid="{0112AB63-26ED-4491-87EE-F478A8476296}"/>
    <cellStyle name="40 % - Akzent3" xfId="3299" hidden="1" xr:uid="{FA9514E2-6E14-4432-A224-9AC491CED373}"/>
    <cellStyle name="40 % - Akzent3" xfId="2773" hidden="1" xr:uid="{D8C41CE7-7BAE-49AA-B5AC-C4E5D1BCB8DC}"/>
    <cellStyle name="40 % - Akzent3" xfId="3192" hidden="1" xr:uid="{C8D8BB16-E7BD-4AC8-A38D-FB1E0065758E}"/>
    <cellStyle name="40 % - Akzent3" xfId="3210" hidden="1" xr:uid="{05ABAF2C-D34C-4ADD-8934-618619C9F9DA}"/>
    <cellStyle name="40 % - Akzent3" xfId="1825" hidden="1" xr:uid="{C948C156-BEBA-4169-806E-34AE95F11E39}"/>
    <cellStyle name="40 % - Akzent3" xfId="3497" hidden="1" xr:uid="{477D0058-C571-4D74-A5FE-F99A05D225EF}"/>
    <cellStyle name="40 % - Akzent3" xfId="3634" hidden="1" xr:uid="{3D8C9FB4-A4C2-4282-AAD6-8848FE1D2C90}"/>
    <cellStyle name="40 % - Akzent3" xfId="3728" hidden="1" xr:uid="{8413A616-999F-4569-BF99-6F98EC364DC6}"/>
    <cellStyle name="40 % - Akzent3" xfId="3720" hidden="1" xr:uid="{C5A9CF62-BE90-4A1E-9893-6B8CAC2C3B63}"/>
    <cellStyle name="40 % - Akzent3" xfId="4832" hidden="1" xr:uid="{B04DFFCC-2441-4391-A073-A59A53ADE6E1}"/>
    <cellStyle name="40 % - Akzent3" xfId="4799" hidden="1" xr:uid="{CE1D5699-AC33-4D92-B6B2-00F0165B370F}"/>
    <cellStyle name="40 % - Akzent3" xfId="5874" hidden="1" xr:uid="{CC2C98C0-B0EB-447A-B144-47D75AF3B2A1}"/>
    <cellStyle name="40 % - Akzent3" xfId="5055" hidden="1" xr:uid="{3959BED4-9BDA-4736-BB78-DD54B347D329}"/>
    <cellStyle name="40 % - Akzent3" xfId="3397" hidden="1" xr:uid="{902C2429-9CFF-41D7-9F4F-8682B8FFBF68}"/>
    <cellStyle name="40 % - Akzent3" xfId="5794" hidden="1" xr:uid="{ACA86CA3-18BD-4588-93E9-C758F654D1AB}"/>
    <cellStyle name="40 % - Akzent3" xfId="5877" hidden="1" xr:uid="{1A1EA9E3-B0BD-493A-84CA-58C4C018BA05}"/>
    <cellStyle name="40 % - Akzent3" xfId="6287" hidden="1" xr:uid="{55AC2867-60B1-4C46-8783-474BD2954AC5}"/>
    <cellStyle name="40 % - Akzent3" xfId="3271" hidden="1" xr:uid="{9375E10A-0A43-4571-8DC0-2CFD9A8DBBD1}"/>
    <cellStyle name="40 % - Akzent3" xfId="6186" hidden="1" xr:uid="{F4CC266F-FBE8-43C9-A5F6-919D576FD44F}"/>
    <cellStyle name="40 % - Akzent3" xfId="5942" hidden="1" xr:uid="{D407A65C-4216-42F6-97A8-D542FF384D8D}"/>
    <cellStyle name="40 % - Akzent3" xfId="6414" hidden="1" xr:uid="{DC5B8B8C-8245-4C04-9115-5172C91BA3F4}"/>
    <cellStyle name="40 % - Akzent3" xfId="6245" hidden="1" xr:uid="{2945A63F-51C7-4C64-BCD0-149A3C22FEA0}"/>
    <cellStyle name="40 % - Akzent3" xfId="6292" hidden="1" xr:uid="{F5931E68-9115-4CA5-9EA5-5A3F5F231C66}"/>
    <cellStyle name="40 % - Akzent3" xfId="6277" hidden="1" xr:uid="{9B05AEFF-0D6A-47C1-88FB-B1AA75101486}"/>
    <cellStyle name="40 % - Akzent3" xfId="4897" hidden="1" xr:uid="{8C01917B-D53B-4B0A-BB1E-383A687A66E7}"/>
    <cellStyle name="40 % - Akzent3" xfId="6523" hidden="1" xr:uid="{8C3855E8-8C9D-4072-A340-6156F534CDF9}"/>
    <cellStyle name="40 % - Akzent3" xfId="6589" hidden="1" xr:uid="{AD5FAD05-3C38-4D4B-82E3-FAC8E224201D}"/>
    <cellStyle name="40 % - Akzent3" xfId="6795" hidden="1" xr:uid="{A9AAB203-F2C3-4C41-AD98-0C93BA5B72E3}"/>
    <cellStyle name="40 % - Akzent3" xfId="7024" hidden="1" xr:uid="{647EB268-E2A3-429B-BCCB-DD26C4D72CF3}"/>
    <cellStyle name="40 % - Akzent3" xfId="7703" hidden="1" xr:uid="{F26C6BDB-3738-4A09-800E-A3F6FF45FCEE}"/>
    <cellStyle name="40 % - Akzent3" xfId="7795" hidden="1" xr:uid="{F3885F8D-8F7E-4986-A92E-3109501B1154}"/>
    <cellStyle name="40 % - Akzent3" xfId="8125" hidden="1" xr:uid="{E8DB716A-FF3F-42BF-B056-13E8A2837186}"/>
    <cellStyle name="40 % - Akzent3" xfId="6965" hidden="1" xr:uid="{FB99E4E1-B77B-4B29-A08E-DF8826B9A129}"/>
    <cellStyle name="40 % - Akzent3" xfId="7169" hidden="1" xr:uid="{C1C4F2D6-D901-4743-A9C7-54150E89DBB1}"/>
    <cellStyle name="40 % - Akzent3" xfId="8225" hidden="1" xr:uid="{22A49BEB-E3B1-473C-B8E1-FC494A9B74A2}"/>
    <cellStyle name="40 % - Akzent3" xfId="8001" hidden="1" xr:uid="{F2BD4484-0195-4239-AD63-1118865183B0}"/>
    <cellStyle name="40 % - Akzent3" xfId="7006" hidden="1" xr:uid="{BCB017C2-2EDD-48C4-9199-4E6B515C4E16}"/>
    <cellStyle name="40 % - Akzent3" xfId="8207" hidden="1" xr:uid="{0CCEA8A0-20D6-40BD-A529-9E20E1A755D2}"/>
    <cellStyle name="40 % - Akzent3" xfId="7217" hidden="1" xr:uid="{046048F7-FB62-4066-AFEC-A0A2A54F21E9}"/>
    <cellStyle name="40 % - Akzent3" xfId="6895" hidden="1" xr:uid="{18242BAC-33FE-4370-967C-3F84E9B00024}"/>
    <cellStyle name="40 % - Akzent3" xfId="8195" hidden="1" xr:uid="{8FBD7C7C-5EAF-4709-B932-881F470ABE7C}"/>
    <cellStyle name="40 % - Akzent3" xfId="8343" hidden="1" xr:uid="{B3C3E969-0885-40C5-AF62-56D3BD493B47}"/>
    <cellStyle name="40 % - Akzent3" xfId="8021" hidden="1" xr:uid="{748FBE92-B33D-4345-93E4-FA6C1FDD8219}"/>
    <cellStyle name="40 % - Akzent3" xfId="8189" hidden="1" xr:uid="{B9D89DC9-4712-484D-AA01-636C21231BA1}"/>
    <cellStyle name="40 % - Akzent3" xfId="7864" hidden="1" xr:uid="{B44F2657-AB4B-416D-B542-111093F076F9}"/>
    <cellStyle name="40 % - Akzent3" xfId="8190" hidden="1" xr:uid="{F12C02DD-6E33-4ACD-BBE2-B4D7F84A7179}"/>
    <cellStyle name="40 % - Akzent3" xfId="8720" hidden="1" xr:uid="{3A72D255-F7A1-4598-89B8-BC4AD764EB39}"/>
    <cellStyle name="40 % - Akzent3" xfId="8772" hidden="1" xr:uid="{47C728B2-9123-4C93-8D36-2AB462AD7195}"/>
    <cellStyle name="40 % - Akzent3" xfId="8869" hidden="1" xr:uid="{6FB6C50F-49B8-4CE3-BCC1-0FB7A2CAFDF5}"/>
    <cellStyle name="40 % - Akzent3" xfId="8803" hidden="1" xr:uid="{5AF1A374-BA51-49B9-A1E3-DFC73D09BFE5}"/>
    <cellStyle name="40 % - Akzent3" xfId="9009" hidden="1" xr:uid="{FC368F4F-F47F-4602-9D7A-0280A4298277}"/>
    <cellStyle name="40 % - Akzent3" xfId="9237" hidden="1" xr:uid="{5928277C-CB57-47CE-B53F-CA0B46943B6F}"/>
    <cellStyle name="40 % - Akzent3" xfId="9917" hidden="1" xr:uid="{82B69F47-47B1-454A-8FD2-907539207CDC}"/>
    <cellStyle name="40 % - Akzent3" xfId="10009" hidden="1" xr:uid="{BF264A80-F992-44C4-9B04-3D245D8A603B}"/>
    <cellStyle name="40 % - Akzent3" xfId="10347" hidden="1" xr:uid="{53FB7513-8C08-4DCC-AB56-E9B58C3F7D5D}"/>
    <cellStyle name="40 % - Akzent3" xfId="9951" hidden="1" xr:uid="{531F6B3F-9862-4589-96AE-3EAA90750BEC}"/>
    <cellStyle name="40 % - Akzent3" xfId="10875" hidden="1" xr:uid="{D6BFBED0-4519-43F2-8376-491446E3A157}"/>
    <cellStyle name="40 % - Akzent3" xfId="10749" hidden="1" xr:uid="{F86082CB-918B-4B78-AAF8-D88A79D5F72F}"/>
    <cellStyle name="40 % - Akzent3" xfId="9880" hidden="1" xr:uid="{BD09843D-68A5-4177-8777-E8ED7E08AF53}"/>
    <cellStyle name="40 % - Akzent3" xfId="11154" hidden="1" xr:uid="{59AB30DE-957E-4D9A-A4A9-70002E648E54}"/>
    <cellStyle name="40 % - Akzent3" xfId="10647" hidden="1" xr:uid="{E48DF179-3126-4B1F-BCEE-AB01AAB80DF2}"/>
    <cellStyle name="40 % - Akzent3" xfId="10753" hidden="1" xr:uid="{EB85D19D-F7AA-47A1-8F1A-7758525B81BA}"/>
    <cellStyle name="40 % - Akzent3" xfId="10836" hidden="1" xr:uid="{5FBC332E-ED9B-47B2-A5A0-CC8F0A47A00C}"/>
    <cellStyle name="40 % - Akzent3" xfId="10973" hidden="1" xr:uid="{FC103128-299D-4F69-A7AD-E65404F780C5}"/>
    <cellStyle name="40 % - Akzent3" xfId="11159" hidden="1" xr:uid="{D2ACC27F-F3C8-4635-9442-5B0BF3C16949}"/>
    <cellStyle name="40 % - Akzent3" xfId="11415" hidden="1" xr:uid="{1612CBC5-F550-49A5-AB84-C5234B952529}"/>
    <cellStyle name="40 % - Akzent3" xfId="11650" hidden="1" xr:uid="{0639D592-AE4F-48DE-82FE-5DC116140E6D}"/>
    <cellStyle name="40 % - Akzent3" xfId="11614" hidden="1" xr:uid="{295E4CAD-BDCA-488F-8769-D9BE3C5223F5}"/>
    <cellStyle name="40 % - Akzent3" xfId="11555" hidden="1" xr:uid="{74E358BF-C9CF-4998-9073-27C0DA203559}"/>
    <cellStyle name="40 % - Akzent3" xfId="13201" hidden="1" xr:uid="{2E5AA544-B4B2-4861-A40E-75E0D0841D4D}"/>
    <cellStyle name="40 % - Akzent3" xfId="13652" hidden="1" xr:uid="{90C71D06-7BD7-4F26-842E-E7D58CA63627}"/>
    <cellStyle name="40 % - Akzent3" xfId="13669" hidden="1" xr:uid="{D2593E66-A241-4771-AE62-A1B29985A5F2}"/>
    <cellStyle name="40 % - Akzent3" xfId="13680" hidden="1" xr:uid="{46F7BBEF-6323-490C-85D6-7E4670DE047A}"/>
    <cellStyle name="40 % - Akzent3" xfId="14275" hidden="1" xr:uid="{B460712C-A877-4ACC-A791-B83A2C489B65}"/>
    <cellStyle name="40 % - Akzent3" xfId="13793" hidden="1" xr:uid="{244E1DD4-A606-4D6E-8592-D916536362EA}"/>
    <cellStyle name="40 % - Akzent3" xfId="14839" hidden="1" xr:uid="{2FDD397B-3D8C-4C47-87AC-CD90D3BCF195}"/>
    <cellStyle name="40 % - Akzent3" xfId="14664" hidden="1" xr:uid="{978C03AB-3713-467B-A368-BD91F1D4A3BF}"/>
    <cellStyle name="40 % - Akzent3" xfId="15252" hidden="1" xr:uid="{A0CA7F21-B53D-4D3C-B8FB-65CC59788934}"/>
    <cellStyle name="40 % - Akzent3" xfId="15248" hidden="1" xr:uid="{F710BF05-3C7E-4A8F-B5D3-FE5FD630B9F5}"/>
    <cellStyle name="40 % - Akzent3" xfId="14551" hidden="1" xr:uid="{A8B84A67-4007-4A0B-BA35-5DCCA02EE763}"/>
    <cellStyle name="40 % - Akzent3" xfId="14529" hidden="1" xr:uid="{9C235F35-F198-4B93-AD16-D6C2CFC7AE97}"/>
    <cellStyle name="40 % - Akzent3" xfId="14623" hidden="1" xr:uid="{EC18E5D6-DCC9-45E3-B9D9-46C0097FCA7E}"/>
    <cellStyle name="40 % - Akzent3" xfId="15663" hidden="1" xr:uid="{24D751B4-AC37-4864-84F0-BDF0CDF161ED}"/>
    <cellStyle name="40 % - Akzent3" xfId="15016" hidden="1" xr:uid="{EBD0B1B6-2F3C-4C72-B900-FC2C7C7AB588}"/>
    <cellStyle name="40 % - Akzent3" xfId="13997" hidden="1" xr:uid="{F7A2BDF4-DDB0-4800-B44F-D689085AE387}"/>
    <cellStyle name="40 % - Akzent3" xfId="15648" hidden="1" xr:uid="{741D5D52-8881-4238-9B86-84AAE67EE333}"/>
    <cellStyle name="40 % - Akzent3" xfId="15777" hidden="1" xr:uid="{624A71DC-7CFA-4E5E-949E-1B2061A9A1C4}"/>
    <cellStyle name="40 % - Akzent3" xfId="15563" hidden="1" xr:uid="{36343333-DE67-4172-9889-6919B74CD6BD}"/>
    <cellStyle name="40 % - Akzent3" xfId="14716" hidden="1" xr:uid="{3B29D1EC-01A8-4DA7-A63D-856CCD3F97B0}"/>
    <cellStyle name="40 % - Akzent3" xfId="15554" hidden="1" xr:uid="{AF54A9CA-D956-495F-9A34-A8271D45A11F}"/>
    <cellStyle name="40 % - Akzent3" xfId="16106" hidden="1" xr:uid="{9F1AE3FE-65A5-4AF7-90FD-98C37F939CAE}"/>
    <cellStyle name="40 % - Akzent3" xfId="16346" hidden="1" xr:uid="{1BF3097B-796F-4A84-AD57-70F75B2003BE}"/>
    <cellStyle name="40 % - Akzent3" xfId="17030" hidden="1" xr:uid="{FC7F7688-CE3E-4C5E-B251-B77AE9AFFE5F}"/>
    <cellStyle name="40 % - Akzent3" xfId="17125" hidden="1" xr:uid="{BEB64C27-7827-474E-A0C6-5C65D04ADA5B}"/>
    <cellStyle name="40 % - Akzent3" xfId="17478" hidden="1" xr:uid="{905F9BC8-B84C-4FB9-A935-535EA92B867C}"/>
    <cellStyle name="40 % - Akzent3" xfId="17104" hidden="1" xr:uid="{992A9123-60FF-4E57-9F20-F60AB8222148}"/>
    <cellStyle name="40 % - Akzent3" xfId="17908" hidden="1" xr:uid="{EF9AD2CB-3A98-4DB3-B1BE-5992C15DC5C0}"/>
    <cellStyle name="40 % - Akzent3" xfId="17924" hidden="1" xr:uid="{6C766C03-5737-4C3B-9AE2-E05936BFADF7}"/>
    <cellStyle name="40 % - Akzent3" xfId="18129" hidden="1" xr:uid="{E6EC4442-503E-4FB9-A03A-685475D85D57}"/>
    <cellStyle name="40 % - Akzent3" xfId="16051" hidden="1" xr:uid="{79E5587C-EA7B-49E6-893F-9E8D4B49609A}"/>
    <cellStyle name="40 % - Akzent3" xfId="16187" hidden="1" xr:uid="{633F8425-BB46-4C8E-BB8C-5A0C8D8C42B8}"/>
    <cellStyle name="40 % - Akzent3" xfId="18278" hidden="1" xr:uid="{803B2FEF-C6C1-465D-B6BA-4EADF2680830}"/>
    <cellStyle name="40 % - Akzent3" xfId="18806" hidden="1" xr:uid="{8D637625-1B88-4EAE-A075-8D1F68173375}"/>
    <cellStyle name="40 % - Akzent3" xfId="18819" hidden="1" xr:uid="{7FE5E2AB-0DF8-48BE-AA17-B668374099A6}"/>
    <cellStyle name="40 % - Akzent3" xfId="18983" hidden="1" xr:uid="{F320CBC6-4204-4D28-A7D2-14E3E1DC991E}"/>
    <cellStyle name="40 % - Akzent3" xfId="19078" hidden="1" xr:uid="{14E4910E-C22D-4140-9E15-61BA806BC707}"/>
    <cellStyle name="40 % - Akzent3" xfId="19185" hidden="1" xr:uid="{48740607-7463-47EA-AC11-0548639652D6}"/>
    <cellStyle name="40 % - Akzent3" xfId="19284" hidden="1" xr:uid="{AF1F1ABF-77D7-4FBC-BF67-C568524136F1}"/>
    <cellStyle name="40 % - Akzent3" xfId="19439" hidden="1" xr:uid="{510CC9D4-5E0D-4D01-9215-4E22667064BB}"/>
    <cellStyle name="40 % - Akzent3" xfId="19679" hidden="1" xr:uid="{D89A7473-B1E9-4588-86FE-7B75242677C6}"/>
    <cellStyle name="40 % - Akzent3" xfId="20382" hidden="1" xr:uid="{50ED3079-21A9-4D0D-81EF-6D32D70845B0}"/>
    <cellStyle name="40 % - Akzent3" xfId="19437" hidden="1" xr:uid="{C8EF6686-4298-465E-8FC7-71C9C06FE6CA}"/>
    <cellStyle name="40 % - Akzent3" xfId="20835" hidden="1" xr:uid="{EA0F3CFA-E635-4619-80DC-C58B1DDD221E}"/>
    <cellStyle name="40 % - Akzent3" xfId="20692" hidden="1" xr:uid="{1E3FFB57-BDF7-4C54-9A86-3C892A4FFE31}"/>
    <cellStyle name="40 % - Akzent3" xfId="21547" hidden="1" xr:uid="{FB6F3CD7-0913-4C45-942F-53453098D454}"/>
    <cellStyle name="40 % - Akzent3" xfId="21155" hidden="1" xr:uid="{53E4B1D7-11F6-44C1-8E7C-968CAC09D198}"/>
    <cellStyle name="40 % - Akzent3" xfId="21461" hidden="1" xr:uid="{015CD232-4C20-46E5-8049-2FDB905AC175}"/>
    <cellStyle name="40 % - Akzent3" xfId="21619" hidden="1" xr:uid="{FF068743-C92A-4F39-958C-509854CD2976}"/>
    <cellStyle name="40 % - Akzent3" xfId="21768" hidden="1" xr:uid="{FBD8E015-2A88-45C7-8FDB-D47C3AA35BAD}"/>
    <cellStyle name="40 % - Akzent3" xfId="20328" hidden="1" xr:uid="{00487057-17F2-4FBE-B145-8840F0B423B7}"/>
    <cellStyle name="40 % - Akzent3" xfId="22206" hidden="1" xr:uid="{1D515006-089F-42C7-968F-E867551F1278}"/>
    <cellStyle name="40 % - Akzent3" xfId="22336" hidden="1" xr:uid="{A9BFFAED-CD9B-441E-A122-8D72EEC36F18}"/>
    <cellStyle name="40 % - Akzent3" xfId="22656" hidden="1" xr:uid="{1E17FFA1-5E5D-4769-A0AF-49CEDFB4E971}"/>
    <cellStyle name="40 % - Akzent3" xfId="22669" hidden="1" xr:uid="{A4D38762-CF20-4F8F-8AD2-24A79BEB407C}"/>
    <cellStyle name="40 % - Akzent3" xfId="20484" hidden="1" xr:uid="{871F3C4C-062E-46EF-BC23-8A6494B35D2A}"/>
    <cellStyle name="40 % - Akzent3" xfId="23079" hidden="1" xr:uid="{6AA833B6-F476-4874-B771-5640937E5271}"/>
    <cellStyle name="40 % - Akzent3" xfId="23091" hidden="1" xr:uid="{442D2111-6276-41EA-B206-3CA3F1550A8F}"/>
    <cellStyle name="40 % - Akzent3" xfId="23270" hidden="1" xr:uid="{FC1251F5-A249-4293-8B0F-75E5FED7971E}"/>
    <cellStyle name="40 % - Akzent3" xfId="22728" hidden="1" xr:uid="{19973283-9CB7-422D-9EA7-C82A440A3431}"/>
    <cellStyle name="40 % - Akzent3" xfId="23611" hidden="1" xr:uid="{0AE875BE-CBE9-4F3E-A3C1-14FA1DD4C74B}"/>
    <cellStyle name="40 % - Akzent3" xfId="23050" hidden="1" xr:uid="{E997D280-8CA4-47F9-920A-99E46F90FFF9}"/>
    <cellStyle name="40 % - Akzent3" xfId="23089" hidden="1" xr:uid="{322F6E01-9E89-4613-AAAB-DCF22EFDCC1D}"/>
    <cellStyle name="40 % - Akzent3" xfId="22955" hidden="1" xr:uid="{98B8F9F1-AA81-44AB-89CA-E6503ADA06C1}"/>
    <cellStyle name="40 % - Akzent3" xfId="24075" hidden="1" xr:uid="{B13A08EB-4BDE-49A6-B6E1-66A974632930}"/>
    <cellStyle name="40 % - Akzent3" xfId="24078" hidden="1" xr:uid="{7968CE16-1FC1-4185-9A7E-34C0C80A083C}"/>
    <cellStyle name="40 % - Akzent3" xfId="24161" hidden="1" xr:uid="{B2040FC1-007B-4319-9DA2-77AE4C078AC5}"/>
    <cellStyle name="40 % - Akzent3" xfId="24437" hidden="1" xr:uid="{547CCFCD-F05C-4DDA-83B5-4CCC0714833C}"/>
    <cellStyle name="40 % - Akzent3" xfId="24257" hidden="1" xr:uid="{5EC7FFA6-0831-4EA5-8E60-207F7A884ED3}"/>
    <cellStyle name="40 % - Akzent3" xfId="24420" hidden="1" xr:uid="{89ADF7DC-325E-4A92-BC4F-FA2F9D0C6B29}"/>
    <cellStyle name="40 % - Akzent3" xfId="25512" hidden="1" xr:uid="{24024D85-F981-421A-B36B-A1A8D4D7F3C5}"/>
    <cellStyle name="40 % - Akzent3" xfId="25298" hidden="1" xr:uid="{002658A9-68D9-48AF-8350-9F30F4C76584}"/>
    <cellStyle name="40 % - Akzent3" xfId="25942" hidden="1" xr:uid="{486B7402-6B8E-457B-B6DB-70C85FA32DF7}"/>
    <cellStyle name="40 % - Akzent3" xfId="26259" hidden="1" xr:uid="{2A8AE14A-09E0-4993-94AC-D7C07EFA3176}"/>
    <cellStyle name="40 % - Akzent3" xfId="26617" hidden="1" xr:uid="{7C911CAB-FB14-48CE-B546-EE8904460236}"/>
    <cellStyle name="40 % - Akzent3" xfId="26412" hidden="1" xr:uid="{BE608992-B5FA-43D1-93A6-C58807BEF32C}"/>
    <cellStyle name="40 % - Akzent3" xfId="26674" hidden="1" xr:uid="{E8ECE8CD-D01F-4C88-88B6-0E0A2609F713}"/>
    <cellStyle name="40 % - Akzent3" xfId="25323" hidden="1" xr:uid="{587023A0-3C82-40FC-958A-9CE5BE6BF26D}"/>
    <cellStyle name="40 % - Akzent3" xfId="26803" hidden="1" xr:uid="{28309FCE-FED1-4B27-A6E8-C85FA4DCA6AB}"/>
    <cellStyle name="40 % - Akzent3" xfId="27211" hidden="1" xr:uid="{D46D3233-73CE-4776-8CFD-630869B02758}"/>
    <cellStyle name="40 % - Akzent3" xfId="27617" hidden="1" xr:uid="{E54B20AC-5133-4A1B-948F-255B85AC3EA8}"/>
    <cellStyle name="40 % - Akzent3" xfId="26793" hidden="1" xr:uid="{02A8AF82-50DC-412F-BEFD-C18E4FCC4D5F}"/>
    <cellStyle name="40 % - Akzent3" xfId="27849" hidden="1" xr:uid="{4FE0B613-C0B8-400A-8B68-5B7A878F7B78}"/>
    <cellStyle name="40 % - Akzent3" xfId="27855" hidden="1" xr:uid="{FF8757CF-C0D7-424A-B4BB-347883816ADD}"/>
    <cellStyle name="40 % - Akzent3" xfId="27876" hidden="1" xr:uid="{5D81D56E-482E-4FB4-A71E-455EB381393B}"/>
    <cellStyle name="40 % - Akzent3" xfId="27638" hidden="1" xr:uid="{2D218CE1-5000-4F54-BF13-B781693932FC}"/>
    <cellStyle name="40 % - Akzent3" xfId="27953" hidden="1" xr:uid="{E771FF05-8D49-4468-81B1-D342FB23AA71}"/>
    <cellStyle name="40 % - Akzent3" xfId="28168" hidden="1" xr:uid="{56390897-5E8A-4558-A17C-F9D26341DEAE}"/>
    <cellStyle name="40 % - Akzent3" xfId="28131" hidden="1" xr:uid="{0BE60733-B54A-4AE4-B29C-75FFD2E7A584}"/>
    <cellStyle name="40 % - Akzent3" xfId="29246" hidden="1" xr:uid="{269F5C42-DCE9-4B51-864C-9691736687CA}"/>
    <cellStyle name="40 % - Akzent3" xfId="28234" hidden="1" xr:uid="{9DBDB78B-098E-40A5-907A-820F0CC5C165}"/>
    <cellStyle name="40 % - Akzent3" xfId="28048" hidden="1" xr:uid="{BA95AC3A-19B3-49B3-815F-9E09F509EB47}"/>
    <cellStyle name="40 % - Akzent3" xfId="29422" hidden="1" xr:uid="{0F04A3C2-6EFD-43E9-80CA-AEB64BFD402C}"/>
    <cellStyle name="40 % - Akzent3" xfId="29521" hidden="1" xr:uid="{056F5CEA-F9F6-4962-AE25-89DFA15B54A7}"/>
    <cellStyle name="40 % - Akzent3" xfId="28761" hidden="1" xr:uid="{A8285974-5CD3-4381-83F8-21FDE08CFA7C}"/>
    <cellStyle name="40 % - Akzent3" xfId="28277" hidden="1" xr:uid="{BEEEB1A4-BBC8-4C30-A111-9E16B80F9E9B}"/>
    <cellStyle name="40 % - Akzent3 2" xfId="381" xr:uid="{F74AA296-87D0-46BC-B934-2F7A2B494F0F}"/>
    <cellStyle name="40 % - Akzent3 3" xfId="250" xr:uid="{8D1F624A-A59A-421B-A3DE-D4EF9739334C}"/>
    <cellStyle name="40 % - Akzent4" xfId="60" hidden="1" xr:uid="{8C225A08-17D4-4E8B-9272-2EB92E443870}"/>
    <cellStyle name="40 % - Akzent4" xfId="907" hidden="1" xr:uid="{90E8AC1A-2FA9-45B9-99FE-C66678BBBE28}"/>
    <cellStyle name="40 % - Akzent4" xfId="989" hidden="1" xr:uid="{B230F99E-E014-47C0-AEEF-BA689B426B61}"/>
    <cellStyle name="40 % - Akzent4" xfId="1401" hidden="1" xr:uid="{465AE0F8-35C8-49DF-8401-833B67C98E46}"/>
    <cellStyle name="40 % - Akzent4" xfId="1750" hidden="1" xr:uid="{6E28945A-6DBC-4A46-A59E-3E219D7B25A8}"/>
    <cellStyle name="40 % - Akzent4" xfId="1887" hidden="1" xr:uid="{8A436DAD-3113-4AF2-B928-2C1AD876103A}"/>
    <cellStyle name="40 % - Akzent4" xfId="2162" hidden="1" xr:uid="{06E46CF7-E67D-44EE-8DB5-3BCB3F538D49}"/>
    <cellStyle name="40 % - Akzent4" xfId="3019" hidden="1" xr:uid="{04FDC4C1-5B0F-45AE-BA7B-69D144A5FD79}"/>
    <cellStyle name="40 % - Akzent4" xfId="2966" hidden="1" xr:uid="{0C028C52-2449-4D55-897F-C26997BEFFFE}"/>
    <cellStyle name="40 % - Akzent4" xfId="3166" hidden="1" xr:uid="{89FD0760-CC46-4682-8BBA-8B1582BEB3B1}"/>
    <cellStyle name="40 % - Akzent4" xfId="3501" hidden="1" xr:uid="{DB675007-1D4F-4804-8D61-4B73BF15969D}"/>
    <cellStyle name="40 % - Akzent4" xfId="3473" hidden="1" xr:uid="{4DA475EF-9AF8-4ACF-A81F-03753088A78B}"/>
    <cellStyle name="40 % - Akzent4" xfId="2327" hidden="1" xr:uid="{C096F97F-E314-4871-B51C-7441A642E754}"/>
    <cellStyle name="40 % - Akzent4" xfId="3615" hidden="1" xr:uid="{5C3393FB-4109-49F5-836E-9F3B649BC164}"/>
    <cellStyle name="40 % - Akzent4" xfId="3045" hidden="1" xr:uid="{A69622B7-5B87-4CDD-9D74-97C3A85B4A22}"/>
    <cellStyle name="40 % - Akzent4" xfId="2847" hidden="1" xr:uid="{5D393338-BCF0-45FE-995E-3FEDDFC0A9BA}"/>
    <cellStyle name="40 % - Akzent4" xfId="1918" hidden="1" xr:uid="{E95864A4-8DB2-493F-914B-866E6CADAF30}"/>
    <cellStyle name="40 % - Akzent4" xfId="3643" hidden="1" xr:uid="{EE29F5DA-FC0E-475D-9BD1-6700779C442C}"/>
    <cellStyle name="40 % - Akzent4" xfId="4949" hidden="1" xr:uid="{C5B30677-9ED5-4E7A-B3D2-8B7FB67A661C}"/>
    <cellStyle name="40 % - Akzent4" xfId="3686" hidden="1" xr:uid="{60F6B4E4-47BF-4BCC-AE4A-D0BFF8FDC091}"/>
    <cellStyle name="40 % - Akzent4" xfId="5146" hidden="1" xr:uid="{A8088A82-DBA6-47A2-86AD-2177BAF73946}"/>
    <cellStyle name="40 % - Akzent4" xfId="5936" hidden="1" xr:uid="{E308CD63-97F3-442D-8038-72C32480B42F}"/>
    <cellStyle name="40 % - Akzent4" xfId="5955" hidden="1" xr:uid="{9D917502-7F95-4C8F-AFDF-486000BE5D37}"/>
    <cellStyle name="40 % - Akzent4" xfId="5974" hidden="1" xr:uid="{F419A208-E083-4D14-9AEF-EA1CE76C6003}"/>
    <cellStyle name="40 % - Akzent4" xfId="5994" hidden="1" xr:uid="{07954A3E-2F3A-49CE-AC37-78137AAFC8CF}"/>
    <cellStyle name="40 % - Akzent4" xfId="4933" hidden="1" xr:uid="{5FF32F3A-A234-482C-80E3-E2376BE22849}"/>
    <cellStyle name="40 % - Akzent4" xfId="6341" hidden="1" xr:uid="{7BC1EC18-276B-412A-81A2-896E05388E38}"/>
    <cellStyle name="40 % - Akzent4" xfId="6356" hidden="1" xr:uid="{FD1C2454-2253-403A-9964-0DADE9D1C036}"/>
    <cellStyle name="40 % - Akzent4" xfId="5648" hidden="1" xr:uid="{931205D6-3B0E-4567-BA5C-0E55589E3BC7}"/>
    <cellStyle name="40 % - Akzent4" xfId="6583" hidden="1" xr:uid="{654D89D9-DD7D-4014-89E7-E0A5C28E10F5}"/>
    <cellStyle name="40 % - Akzent4" xfId="1963" hidden="1" xr:uid="{008BA4AA-9F8E-44CA-BA76-D760DB605DB8}"/>
    <cellStyle name="40 % - Akzent4" xfId="6402" hidden="1" xr:uid="{AB2E64F9-0650-4AC3-BF01-4292B1388ECC}"/>
    <cellStyle name="40 % - Akzent4" xfId="6566" hidden="1" xr:uid="{C8A977AA-1BE1-4740-8A91-DAC4CC9C6B79}"/>
    <cellStyle name="40 % - Akzent4" xfId="5857" hidden="1" xr:uid="{469D1263-5DA5-4C88-8D71-C26A8DDF4CFD}"/>
    <cellStyle name="40 % - Akzent4" xfId="6401" hidden="1" xr:uid="{231E0B21-A4CC-4A51-B41B-570532147C02}"/>
    <cellStyle name="40 % - Akzent4" xfId="6521" hidden="1" xr:uid="{5BC59791-08E9-4445-84E5-74E2767AC635}"/>
    <cellStyle name="40 % - Akzent4" xfId="6470" hidden="1" xr:uid="{0123B55A-5E30-4707-90FF-FAD5CDA98F5C}"/>
    <cellStyle name="40 % - Akzent4" xfId="6799" hidden="1" xr:uid="{517FF165-16EF-4807-B17F-1201F8829A07}"/>
    <cellStyle name="40 % - Akzent4" xfId="7219" hidden="1" xr:uid="{3E5AA20E-9E5D-4087-950C-574A81F512CA}"/>
    <cellStyle name="40 % - Akzent4" xfId="7898" hidden="1" xr:uid="{A5D15935-CB16-438A-99CE-E006B32589BB}"/>
    <cellStyle name="40 % - Akzent4" xfId="7694" hidden="1" xr:uid="{7F3E8FB1-B8AC-4EC8-9B38-253344044764}"/>
    <cellStyle name="40 % - Akzent4" xfId="8284" hidden="1" xr:uid="{78CC5F33-CCF0-4252-83F5-1C118376FEE2}"/>
    <cellStyle name="40 % - Akzent4" xfId="8269" hidden="1" xr:uid="{EAB5DFC1-8D92-4C1A-94AE-EFA0A4AE2EA2}"/>
    <cellStyle name="40 % - Akzent4" xfId="6833" hidden="1" xr:uid="{414D9A79-8B43-41C2-8C2F-249268F21AB6}"/>
    <cellStyle name="40 % - Akzent4" xfId="7762" hidden="1" xr:uid="{C74D8DEF-6AAD-4F05-A0F6-1BC0CCB4A9E0}"/>
    <cellStyle name="40 % - Akzent4" xfId="8434" hidden="1" xr:uid="{4997C3E8-627E-4718-BF9A-45876BD7D3A3}"/>
    <cellStyle name="40 % - Akzent4" xfId="6761" hidden="1" xr:uid="{36AA8B49-52FF-450C-85D0-E7083F5ED759}"/>
    <cellStyle name="40 % - Akzent4" xfId="8179" hidden="1" xr:uid="{1794ED2D-E319-4B78-9496-7DCBB042E3F7}"/>
    <cellStyle name="40 % - Akzent4" xfId="8162" hidden="1" xr:uid="{7A4E7FF6-F891-4272-9A2C-1156E116016A}"/>
    <cellStyle name="40 % - Akzent4" xfId="8312" hidden="1" xr:uid="{2AE5759F-D209-4FE8-AEE7-A151F38142DD}"/>
    <cellStyle name="40 % - Akzent4" xfId="8099" hidden="1" xr:uid="{EA149863-2E8C-4F32-9858-EFD5EBE7A025}"/>
    <cellStyle name="40 % - Akzent4" xfId="8384" hidden="1" xr:uid="{44DE149C-5626-4C5E-AAFE-2C7BFA233376}"/>
    <cellStyle name="40 % - Akzent4" xfId="7959" hidden="1" xr:uid="{7D53E473-CADD-47FB-A1E5-5CD3D131EB23}"/>
    <cellStyle name="40 % - Akzent4" xfId="6949" hidden="1" xr:uid="{C3C01DF1-05E4-4539-8C96-9A15CE6E2F12}"/>
    <cellStyle name="40 % - Akzent4" xfId="8551" hidden="1" xr:uid="{A0C5B314-D0D3-4A8A-83EB-2310C8B683A7}"/>
    <cellStyle name="40 % - Akzent4" xfId="8643" hidden="1" xr:uid="{8761F0F7-6119-4EFD-8604-AB7974642C20}"/>
    <cellStyle name="40 % - Akzent4" xfId="8816" hidden="1" xr:uid="{EDE95BE5-52ED-47BA-B401-7301C534DD73}"/>
    <cellStyle name="40 % - Akzent4" xfId="8808" hidden="1" xr:uid="{C1B5EE3D-62C9-416B-A549-41804A301E46}"/>
    <cellStyle name="40 % - Akzent4" xfId="8865" hidden="1" xr:uid="{CA90441C-7A73-4B9B-9CE3-893CC4D5899F}"/>
    <cellStyle name="40 % - Akzent4" xfId="7670" hidden="1" xr:uid="{C174A8A6-B72E-43F4-8E34-7C64EF738FC4}"/>
    <cellStyle name="40 % - Akzent4" xfId="9013" hidden="1" xr:uid="{CF2F2F8A-69AB-4014-979F-CCDE2222E816}"/>
    <cellStyle name="40 % - Akzent4" xfId="9432" hidden="1" xr:uid="{FD1BBAF5-F3B7-407E-B387-765735A3AF60}"/>
    <cellStyle name="40 % - Akzent4" xfId="10111" hidden="1" xr:uid="{5AED0F2B-03A3-49F6-8295-0A8D674DD2E6}"/>
    <cellStyle name="40 % - Akzent4" xfId="9910" hidden="1" xr:uid="{0AD1F445-B82B-43B7-A280-74163D6F68A3}"/>
    <cellStyle name="40 % - Akzent4" xfId="10525" hidden="1" xr:uid="{35EEFD51-8A8B-4694-99D5-C9DB37CD775C}"/>
    <cellStyle name="40 % - Akzent4" xfId="10432" hidden="1" xr:uid="{42EFB76F-4002-45F3-B33A-42CF35B13BB9}"/>
    <cellStyle name="40 % - Akzent4" xfId="10464" hidden="1" xr:uid="{46866873-B268-4132-AEA7-9BF9D17130CB}"/>
    <cellStyle name="40 % - Akzent4" xfId="10868" hidden="1" xr:uid="{EB5A8278-11EA-48AD-AF49-C4C6D3765A8B}"/>
    <cellStyle name="40 % - Akzent4" xfId="10440" hidden="1" xr:uid="{A8C5C936-FC59-4F62-9560-E819F47B0C02}"/>
    <cellStyle name="40 % - Akzent4" xfId="11101" hidden="1" xr:uid="{F0A7FD7F-0355-43B7-9213-CD8416FD8749}"/>
    <cellStyle name="40 % - Akzent4" xfId="10826" hidden="1" xr:uid="{F9040DEB-9E54-49C4-980A-2E9208302C99}"/>
    <cellStyle name="40 % - Akzent4" xfId="11002" hidden="1" xr:uid="{3D9C7333-D2B7-4EE3-87DE-1006AB46CFF5}"/>
    <cellStyle name="40 % - Akzent4" xfId="10731" hidden="1" xr:uid="{9565C897-487F-4753-BF83-5B82E6394014}"/>
    <cellStyle name="40 % - Akzent4" xfId="11133" hidden="1" xr:uid="{A777ABEE-9168-4F9D-A3C5-1FE67DAE90EF}"/>
    <cellStyle name="40 % - Akzent4" xfId="9007" hidden="1" xr:uid="{E1076784-F361-443E-BAEC-0A4F449C5763}"/>
    <cellStyle name="40 % - Akzent4" xfId="11419" hidden="1" xr:uid="{04C4E97C-8F74-41AF-A021-6EE97415A52B}"/>
    <cellStyle name="40 % - Akzent4" xfId="11849" hidden="1" xr:uid="{585BB2EC-24D8-49CF-9C81-06B074547FB4}"/>
    <cellStyle name="40 % - Akzent4" xfId="12329" hidden="1" xr:uid="{E2527043-3580-4EEB-8A85-BB32B6D39833}"/>
    <cellStyle name="40 % - Akzent4" xfId="11601" hidden="1" xr:uid="{3E09163F-DDF3-4BA2-BB37-B447B1E09F5C}"/>
    <cellStyle name="40 % - Akzent4" xfId="11843" hidden="1" xr:uid="{D87CEFE2-8AC5-4A22-B637-C33F9C269595}"/>
    <cellStyle name="40 % - Akzent4" xfId="13853" hidden="1" xr:uid="{76420F5F-B9CA-423C-8939-D7E7AE1ED16F}"/>
    <cellStyle name="40 % - Akzent4" xfId="13799" hidden="1" xr:uid="{84165168-2960-4BB0-8C4C-017208D5857C}"/>
    <cellStyle name="40 % - Akzent4" xfId="13995" hidden="1" xr:uid="{CC9AC238-AD89-4F52-BB98-8CCD699A14BB}"/>
    <cellStyle name="40 % - Akzent4" xfId="14164" hidden="1" xr:uid="{F5360C7A-587A-406F-86E0-7DF766AA0DF1}"/>
    <cellStyle name="40 % - Akzent4" xfId="14368" hidden="1" xr:uid="{77EAC78A-CBFB-40D7-89BA-752983886BF5}"/>
    <cellStyle name="40 % - Akzent4" xfId="14901" hidden="1" xr:uid="{C2EE8815-C8BB-4F95-BC6F-9F5076EAA334}"/>
    <cellStyle name="40 % - Akzent4" xfId="14589" hidden="1" xr:uid="{2F23D104-F748-4816-9B68-9E27F3FDC4BE}"/>
    <cellStyle name="40 % - Akzent4" xfId="15313" hidden="1" xr:uid="{3788E2C8-66B2-484A-A5B0-FB1C3AFEA177}"/>
    <cellStyle name="40 % - Akzent4" xfId="15254" hidden="1" xr:uid="{8FC2EFFC-4E79-45C2-A044-838CC8B552C0}"/>
    <cellStyle name="40 % - Akzent4" xfId="15354" hidden="1" xr:uid="{262CF6B8-3188-4C57-A26C-4A0C3BBD4B3A}"/>
    <cellStyle name="40 % - Akzent4" xfId="15372" hidden="1" xr:uid="{103EF5A0-774C-486F-9C22-71CEE395DE12}"/>
    <cellStyle name="40 % - Akzent4" xfId="15218" hidden="1" xr:uid="{D35D156D-B36D-4299-AD4E-605C217D0CB1}"/>
    <cellStyle name="40 % - Akzent4" xfId="15716" hidden="1" xr:uid="{5F099765-42F3-4A36-8CAF-47B878BCB8F1}"/>
    <cellStyle name="40 % - Akzent4" xfId="15735" hidden="1" xr:uid="{938BA7ED-44DB-4B5E-912D-570E44DCF511}"/>
    <cellStyle name="40 % - Akzent4" xfId="15168" hidden="1" xr:uid="{59A67E1C-CD12-45F6-9E09-27B2D890B937}"/>
    <cellStyle name="40 % - Akzent4" xfId="15688" hidden="1" xr:uid="{1E6FAE86-BEB5-4A9D-BD7C-C071FAE7500D}"/>
    <cellStyle name="40 % - Akzent4" xfId="14518" hidden="1" xr:uid="{94C39DF6-D1E7-4E23-95DF-1583212A315C}"/>
    <cellStyle name="40 % - Akzent4" xfId="15954" hidden="1" xr:uid="{8D291F62-0B19-4BDD-A39D-AB88BE006BB8}"/>
    <cellStyle name="40 % - Akzent4" xfId="15878" hidden="1" xr:uid="{81C4C2A1-8EB0-4EE9-96C8-11E6CB03422C}"/>
    <cellStyle name="40 % - Akzent4" xfId="16034" hidden="1" xr:uid="{37CD1B0D-1D06-42AE-A332-684A37536E0B}"/>
    <cellStyle name="40 % - Akzent4" xfId="16110" hidden="1" xr:uid="{B3EF14B7-C334-4930-BF5F-F814A9B70AE1}"/>
    <cellStyle name="40 % - Akzent4" xfId="16541" hidden="1" xr:uid="{82D2999D-FE1F-4A0D-8360-F425CA72386F}"/>
    <cellStyle name="40 % - Akzent4" xfId="17230" hidden="1" xr:uid="{2167031B-62D5-4A14-A027-AB3CD3F706AE}"/>
    <cellStyle name="40 % - Akzent4" xfId="17022" hidden="1" xr:uid="{D48BD9F9-303F-4880-940C-8A0E703D3473}"/>
    <cellStyle name="40 % - Akzent4" xfId="17674" hidden="1" xr:uid="{E0209CE0-7A24-4242-BEBE-2333EAD32210}"/>
    <cellStyle name="40 % - Akzent4" xfId="17572" hidden="1" xr:uid="{6850FA0A-CF0F-4563-B417-9A8906686956}"/>
    <cellStyle name="40 % - Akzent4" xfId="18093" hidden="1" xr:uid="{27730AC7-AA9C-4DD8-B65E-16484D3A86E9}"/>
    <cellStyle name="40 % - Akzent4" xfId="18045" hidden="1" xr:uid="{CEF77EA8-4F72-476B-B923-08C50726C741}"/>
    <cellStyle name="40 % - Akzent4" xfId="17915" hidden="1" xr:uid="{4B6D1B1D-9FF8-43DA-B5C2-A4813CE69B60}"/>
    <cellStyle name="40 % - Akzent4" xfId="18055" hidden="1" xr:uid="{7D072426-DE7C-4B7D-957E-5D4BB17EF75D}"/>
    <cellStyle name="40 % - Akzent4" xfId="17539" hidden="1" xr:uid="{9D97A7B4-779B-44A2-8025-B295CC700FBE}"/>
    <cellStyle name="40 % - Akzent4" xfId="18183" hidden="1" xr:uid="{B0A6C35B-159C-436A-B09C-104541B3EC8B}"/>
    <cellStyle name="40 % - Akzent4" xfId="18950" hidden="1" xr:uid="{056DB781-A347-4D8E-A290-B3B1394ECE08}"/>
    <cellStyle name="40 % - Akzent4" xfId="18915" hidden="1" xr:uid="{410211FE-646F-486A-98DC-FC840930EA15}"/>
    <cellStyle name="40 % - Akzent4" xfId="18811" hidden="1" xr:uid="{6F069D23-3FB1-4A3B-AFEF-C1E00186E85F}"/>
    <cellStyle name="40 % - Akzent4" xfId="18273" hidden="1" xr:uid="{A43D37D2-E753-46F0-AEA3-A95840ED3613}"/>
    <cellStyle name="40 % - Akzent4" xfId="19270" hidden="1" xr:uid="{92222757-D990-4A74-9A17-BA928E1A9330}"/>
    <cellStyle name="40 % - Akzent4" xfId="19211" hidden="1" xr:uid="{807AAC9A-377D-468E-8A46-8E4F8EC5BC27}"/>
    <cellStyle name="40 % - Akzent4" xfId="19443" hidden="1" xr:uid="{D01CD58B-96EB-4589-A75B-A5DAB41A0734}"/>
    <cellStyle name="40 % - Akzent4" xfId="19878" hidden="1" xr:uid="{A253D4ED-96E3-4F97-8B06-8DB170F3D3E7}"/>
    <cellStyle name="40 % - Akzent4" xfId="20583" hidden="1" xr:uid="{031AC9CA-2F33-4B81-8388-9B27CB173246}"/>
    <cellStyle name="40 % - Akzent4" xfId="20723" hidden="1" xr:uid="{55CABDB7-FE01-41E5-8D27-FDC59F6274B5}"/>
    <cellStyle name="40 % - Akzent4" xfId="21035" hidden="1" xr:uid="{59C69352-127F-4F5C-A851-42E3193C4096}"/>
    <cellStyle name="40 % - Akzent4" xfId="20931" hidden="1" xr:uid="{E41E991F-A5BF-4CC0-BD46-0DE42BC630D5}"/>
    <cellStyle name="40 % - Akzent4" xfId="21446" hidden="1" xr:uid="{77E395DB-0C72-4E23-8A25-45AB9A7BE125}"/>
    <cellStyle name="40 % - Akzent4" xfId="21550" hidden="1" xr:uid="{F9A63D53-3425-4CB5-819C-4C4BD520DC6C}"/>
    <cellStyle name="40 % - Akzent4" xfId="21025" hidden="1" xr:uid="{FE583AE5-8934-4B94-9581-0570DB2BF8F5}"/>
    <cellStyle name="40 % - Akzent4" xfId="21630" hidden="1" xr:uid="{FF07D9B4-B054-427D-A606-2D81654D497E}"/>
    <cellStyle name="40 % - Akzent4" xfId="21966" hidden="1" xr:uid="{503F302B-006E-43B1-8E46-3F9A8DA52D27}"/>
    <cellStyle name="40 % - Akzent4" xfId="21860" hidden="1" xr:uid="{DD9CE3C5-D33F-41D8-BA81-99DD80CDB144}"/>
    <cellStyle name="40 % - Akzent4" xfId="22398" hidden="1" xr:uid="{F186F459-1649-41CD-9B33-574F4B5BE508}"/>
    <cellStyle name="40 % - Akzent4" xfId="21928" hidden="1" xr:uid="{04937B52-EE6A-402D-89D5-668257FD8DB3}"/>
    <cellStyle name="40 % - Akzent4" xfId="22838" hidden="1" xr:uid="{4EF05745-823C-48A8-A03B-A110AEFE6F67}"/>
    <cellStyle name="40 % - Akzent4" xfId="22790" hidden="1" xr:uid="{2849F44F-10C1-4914-B716-E4CA5D703A9D}"/>
    <cellStyle name="40 % - Akzent4" xfId="22701" hidden="1" xr:uid="{560D61D6-CF59-4036-B22C-0E86ADDE3DC2}"/>
    <cellStyle name="40 % - Akzent4" xfId="23236" hidden="1" xr:uid="{7CBDBC4B-DC59-47F5-962E-E84A9E5F1F5B}"/>
    <cellStyle name="40 % - Akzent4" xfId="23196" hidden="1" xr:uid="{5C64C808-197B-4C2B-B525-13C52893435E}"/>
    <cellStyle name="40 % - Akzent4" xfId="23084" hidden="1" xr:uid="{85F532E8-2539-46C6-B78A-B5B83B8E0B1F}"/>
    <cellStyle name="40 % - Akzent4" xfId="22906" hidden="1" xr:uid="{9EB2BC18-150E-4BBF-926F-0ACD374C7962}"/>
    <cellStyle name="40 % - Akzent4" xfId="23549" hidden="1" xr:uid="{B194900D-8298-4048-AFC1-792DB12B7338}"/>
    <cellStyle name="40 % - Akzent4" xfId="23613" hidden="1" xr:uid="{8587A4D7-3E76-495F-AEC7-402B3171811F}"/>
    <cellStyle name="40 % - Akzent4" xfId="23406" hidden="1" xr:uid="{019BBBB8-26FD-45FB-A10D-8C5A355333AE}"/>
    <cellStyle name="40 % - Akzent4" xfId="23568" hidden="1" xr:uid="{A76BEC07-792C-406C-A2D0-050366F1DD7B}"/>
    <cellStyle name="40 % - Akzent4" xfId="24087" hidden="1" xr:uid="{F8EB22EC-F6AE-4CE2-BFB0-04EBE5DF1F44}"/>
    <cellStyle name="40 % - Akzent4" xfId="24084" hidden="1" xr:uid="{999D117D-9077-4F79-A130-80FA764DE25F}"/>
    <cellStyle name="40 % - Akzent4" xfId="24165" hidden="1" xr:uid="{66FAC1B4-40DD-4853-A502-EFE46263CC06}"/>
    <cellStyle name="40 % - Akzent4" xfId="24435" hidden="1" xr:uid="{53A1E00C-232B-4EC9-ADEA-F5CB16E73811}"/>
    <cellStyle name="40 % - Akzent4" xfId="25364" hidden="1" xr:uid="{3A87F0CE-991B-4C72-80BF-67C5DB130DEE}"/>
    <cellStyle name="40 % - Akzent4" xfId="25225" hidden="1" xr:uid="{5C92B7B0-280F-4FD2-9272-90F29DF94729}"/>
    <cellStyle name="40 % - Akzent4" xfId="25508" hidden="1" xr:uid="{B632ECEC-33E9-44FC-B2E7-E51BD4F5E4C2}"/>
    <cellStyle name="40 % - Akzent4" xfId="26213" hidden="1" xr:uid="{2A9D31C2-983D-48DE-A0C8-060D6ED74DDC}"/>
    <cellStyle name="40 % - Akzent4" xfId="25350" hidden="1" xr:uid="{4D90DD45-040F-47AC-9CBF-2D46385B0B96}"/>
    <cellStyle name="40 % - Akzent4" xfId="24576" hidden="1" xr:uid="{B51F0388-6F1A-4F15-915A-740EA8FA4558}"/>
    <cellStyle name="40 % - Akzent4" xfId="26675" hidden="1" xr:uid="{EEB73CF7-AF16-4070-96B5-29F5F44BBB59}"/>
    <cellStyle name="40 % - Akzent4" xfId="26545" hidden="1" xr:uid="{2A88BA16-72F7-42AE-ABCF-5497B1C399A0}"/>
    <cellStyle name="40 % - Akzent4" xfId="25127" hidden="1" xr:uid="{F879B61E-3078-4C82-8FBF-DAA7D4EECE40}"/>
    <cellStyle name="40 % - Akzent4" xfId="26181" hidden="1" xr:uid="{6CB4FE03-3776-400B-9C48-F234A997DDC2}"/>
    <cellStyle name="40 % - Akzent4" xfId="26437" hidden="1" xr:uid="{ABB6E5A0-505E-4F13-AB50-653CE02D297F}"/>
    <cellStyle name="40 % - Akzent4" xfId="27222" hidden="1" xr:uid="{7E09C744-D1B6-46E3-9A5A-A69AE171AAAA}"/>
    <cellStyle name="40 % - Akzent4" xfId="27734" hidden="1" xr:uid="{BB01C22B-233E-4C61-8712-83B99D2E13DC}"/>
    <cellStyle name="40 % - Akzent4" xfId="27703" hidden="1" xr:uid="{D01A678D-B839-458C-8DFB-6535099D9F78}"/>
    <cellStyle name="40 % - Akzent4" xfId="27872" hidden="1" xr:uid="{F65F44F1-E767-445D-BD29-25953F18EF94}"/>
    <cellStyle name="40 % - Akzent4" xfId="27866" hidden="1" xr:uid="{56D7E4D6-CE23-4DDF-ABFF-F636E899A338}"/>
    <cellStyle name="40 % - Akzent4" xfId="27851" hidden="1" xr:uid="{138FF985-5550-40ED-AE8E-5B3A3B991CE9}"/>
    <cellStyle name="40 % - Akzent4" xfId="27868" hidden="1" xr:uid="{7945C6C6-8E66-4E97-805D-939BF98CBBCA}"/>
    <cellStyle name="40 % - Akzent4" xfId="27957" hidden="1" xr:uid="{2A2565B9-3E7F-4EB9-B075-2A53837F130A}"/>
    <cellStyle name="40 % - Akzent4" xfId="28338" hidden="1" xr:uid="{AD13F451-AFC2-41C9-9EF4-0E57A5904596}"/>
    <cellStyle name="40 % - Akzent4" xfId="28811" hidden="1" xr:uid="{92B6DD75-D7A6-41D2-907B-EED68CC81991}"/>
    <cellStyle name="40 % - Akzent4" xfId="29417" hidden="1" xr:uid="{509C9F24-7D28-4C68-9C5D-77547A61D164}"/>
    <cellStyle name="40 % - Akzent4" xfId="29331" hidden="1" xr:uid="{3C00C58D-15B8-44C6-A85F-F0A3845557BE}"/>
    <cellStyle name="40 % - Akzent4" xfId="29603" hidden="1" xr:uid="{D370787E-D069-4219-A2FA-62F6709F65AF}"/>
    <cellStyle name="40 % - Akzent4" xfId="28767" hidden="1" xr:uid="{82C13551-2718-4DDB-9027-7E6492BAC601}"/>
    <cellStyle name="40 % - Akzent4" xfId="29583" hidden="1" xr:uid="{CEDAA9DB-AE21-4D42-8EA7-EACCDB25C31D}"/>
    <cellStyle name="40 % - Akzent4" xfId="30973" hidden="1" xr:uid="{9DB01F7A-EA4C-468B-BC08-487D950FA463}"/>
    <cellStyle name="40 % - Akzent4" xfId="29509" hidden="1" xr:uid="{D652A6A2-DBDF-4CFE-AA70-970829DA1006}"/>
    <cellStyle name="40 % - Akzent4 2" xfId="382" xr:uid="{A3239340-E897-4D73-B3E6-731E19A73927}"/>
    <cellStyle name="40 % - Akzent4 3" xfId="251" xr:uid="{9933D03B-068B-470F-AE62-805188C6127E}"/>
    <cellStyle name="40 % - Akzent5" xfId="63" hidden="1" xr:uid="{F0E72AC6-1BB1-4588-98E1-05458798C8E0}"/>
    <cellStyle name="40 % - Akzent5" xfId="910" hidden="1" xr:uid="{D7035AF8-4CB7-40A8-897B-1456048E2F9D}"/>
    <cellStyle name="40 % - Akzent5" xfId="969" hidden="1" xr:uid="{1440ADC8-3C1D-49A0-91ED-9AC882B459EF}"/>
    <cellStyle name="40 % - Akzent5" xfId="1404" hidden="1" xr:uid="{B98ABFEC-9786-408C-9473-AFF2BA939B93}"/>
    <cellStyle name="40 % - Akzent5" xfId="1469" hidden="1" xr:uid="{69009A43-5AE8-4CEB-8A40-38C1889E9459}"/>
    <cellStyle name="40 % - Akzent5" xfId="1891" hidden="1" xr:uid="{28A97E03-6CB3-49D9-AEB3-28E2377A2571}"/>
    <cellStyle name="40 % - Akzent5" xfId="2160" hidden="1" xr:uid="{94806ECC-C0B2-4FED-BB8C-F9DC1DEF336A}"/>
    <cellStyle name="40 % - Akzent5" xfId="1849" hidden="1" xr:uid="{F89D15AD-5E0A-4C4B-9DE2-14151518B983}"/>
    <cellStyle name="40 % - Akzent5" xfId="2799" hidden="1" xr:uid="{73280C51-6B36-4424-B35C-9BC603CEB424}"/>
    <cellStyle name="40 % - Akzent5" xfId="2936" hidden="1" xr:uid="{D46F3892-0A95-4F40-A82D-F6E09A8D1ACE}"/>
    <cellStyle name="40 % - Akzent5" xfId="3067" hidden="1" xr:uid="{1B82F8C6-BBAB-4300-8B1B-D14FD52D3991}"/>
    <cellStyle name="40 % - Akzent5" xfId="3028" hidden="1" xr:uid="{710F8C5F-0D2B-477A-AB67-01D462461507}"/>
    <cellStyle name="40 % - Akzent5" xfId="3044" hidden="1" xr:uid="{4653E1B6-2D81-4A5B-BB63-4E94B8C4DAE9}"/>
    <cellStyle name="40 % - Akzent5" xfId="3450" hidden="1" xr:uid="{102CFA8E-3BCA-49C2-A19E-C882A69C8B14}"/>
    <cellStyle name="40 % - Akzent5" xfId="2297" hidden="1" xr:uid="{CF3F749E-79B1-444A-9470-3BDB00396EDB}"/>
    <cellStyle name="40 % - Akzent5" xfId="2935" hidden="1" xr:uid="{3198A002-7C38-4B05-809F-EE2948729AD5}"/>
    <cellStyle name="40 % - Akzent5" xfId="3818" hidden="1" xr:uid="{C4349F2C-C4DC-4E4F-A7A2-2A3E26D086E0}"/>
    <cellStyle name="40 % - Akzent5" xfId="4255" hidden="1" xr:uid="{966763B9-FAC4-4356-8D34-F4B5F54C7316}"/>
    <cellStyle name="40 % - Akzent5" xfId="4976" hidden="1" xr:uid="{90D1189D-C0EE-496E-A2D1-F79BC613BABB}"/>
    <cellStyle name="40 % - Akzent5" xfId="4219" hidden="1" xr:uid="{E62185FD-9AF7-4BA3-8925-A4606CE39777}"/>
    <cellStyle name="40 % - Akzent5" xfId="5143" hidden="1" xr:uid="{9E4AC17D-3DEB-4994-AF4C-8F670D401197}"/>
    <cellStyle name="40 % - Akzent5" xfId="4946" hidden="1" xr:uid="{C555C37D-2C2A-4297-AD64-DF260C297AF4}"/>
    <cellStyle name="40 % - Akzent5" xfId="3493" hidden="1" xr:uid="{0EE4150A-85C1-4C46-83F9-320EBD4B0B7E}"/>
    <cellStyle name="40 % - Akzent5" xfId="4796" hidden="1" xr:uid="{13CA85E0-EB03-465B-B9D3-7ECAFA044E79}"/>
    <cellStyle name="40 % - Akzent5" xfId="5800" hidden="1" xr:uid="{B908EA07-397E-4CA4-B122-C7D7BCD1D012}"/>
    <cellStyle name="40 % - Akzent5" xfId="5918" hidden="1" xr:uid="{BD970698-421F-4F35-A2A6-C15912116D48}"/>
    <cellStyle name="40 % - Akzent5" xfId="5914" hidden="1" xr:uid="{9792382C-D541-4F36-8CD4-877C87EFFF35}"/>
    <cellStyle name="40 % - Akzent5" xfId="5627" hidden="1" xr:uid="{E7739B66-B646-4233-90A4-DC27F75C1286}"/>
    <cellStyle name="40 % - Akzent5" xfId="6270" hidden="1" xr:uid="{96F75342-E25C-4E5D-B115-F17AE817241C}"/>
    <cellStyle name="40 % - Akzent5" xfId="6622" hidden="1" xr:uid="{A17D2392-5DDF-4D36-8709-FAA2C6142AAE}"/>
    <cellStyle name="40 % - Akzent5" xfId="6637" hidden="1" xr:uid="{A6E1E95D-1104-47BE-89D4-F2AC07655A7B}"/>
    <cellStyle name="40 % - Akzent5" xfId="6648" hidden="1" xr:uid="{112C7BC1-AC7B-40A8-9314-D3B5FEE3D4B0}"/>
    <cellStyle name="40 % - Akzent5" xfId="6660" hidden="1" xr:uid="{EA5C0683-BA60-4EEB-9906-9B2F856A18F2}"/>
    <cellStyle name="40 % - Akzent5" xfId="6670" hidden="1" xr:uid="{F5DB7EDB-6AD1-4619-ACC3-60C3A3233172}"/>
    <cellStyle name="40 % - Akzent5" xfId="6681" hidden="1" xr:uid="{BAB2C9E0-21A4-4E7D-87DF-70458ED266E4}"/>
    <cellStyle name="40 % - Akzent5" xfId="6691" hidden="1" xr:uid="{F73701A3-E7BB-4ABD-A0F5-21917B552BAA}"/>
    <cellStyle name="40 % - Akzent5" xfId="6697" hidden="1" xr:uid="{F20E349B-7E51-4D46-993E-C8B1985EF2D8}"/>
    <cellStyle name="40 % - Akzent5" xfId="6803" hidden="1" xr:uid="{44278E97-66A7-4BD0-9754-5C0FDD8001B7}"/>
    <cellStyle name="40 % - Akzent5" xfId="7066" hidden="1" xr:uid="{71088021-9C3F-4F3D-A5E2-DE173AC3B725}"/>
    <cellStyle name="40 % - Akzent5" xfId="7084" hidden="1" xr:uid="{D432AF52-74C7-4803-BF89-04DCD855F1A4}"/>
    <cellStyle name="40 % - Akzent5" xfId="7167" hidden="1" xr:uid="{0AF57FE9-0BB8-49F4-A5A0-65E371B3DDC3}"/>
    <cellStyle name="40 % - Akzent5" xfId="6828" hidden="1" xr:uid="{F16B60D3-B6C6-4059-AA31-2C5924E681A9}"/>
    <cellStyle name="40 % - Akzent5" xfId="8133" hidden="1" xr:uid="{D2C657E1-9F2B-420B-A87B-35D3B01F9EBA}"/>
    <cellStyle name="40 % - Akzent5" xfId="7707" hidden="1" xr:uid="{4D2F1C38-B819-48E1-A476-73451C8C679B}"/>
    <cellStyle name="40 % - Akzent5" xfId="6734" hidden="1" xr:uid="{A71EE47E-AE81-4440-A695-91B100CC05DC}"/>
    <cellStyle name="40 % - Akzent5" xfId="8136" hidden="1" xr:uid="{E23BC1CB-D7BB-4ECD-BBD6-A644C51D0F5C}"/>
    <cellStyle name="40 % - Akzent5" xfId="7165" hidden="1" xr:uid="{A25AF14F-97CC-4B41-9579-2BE2965D5A77}"/>
    <cellStyle name="40 % - Akzent5" xfId="8292" hidden="1" xr:uid="{DB1EF004-2773-48CE-BBC2-234704481BA1}"/>
    <cellStyle name="40 % - Akzent5" xfId="7679" hidden="1" xr:uid="{94026E27-ABAB-4897-98A5-C4A09C924698}"/>
    <cellStyle name="40 % - Akzent5" xfId="8410" hidden="1" xr:uid="{05559EC6-7BD4-49B0-AC53-C6BA87D7E5EC}"/>
    <cellStyle name="40 % - Akzent5" xfId="7125" hidden="1" xr:uid="{08495B6F-0CA8-4497-9310-5E6E91A93D4F}"/>
    <cellStyle name="40 % - Akzent5" xfId="6893" hidden="1" xr:uid="{6AC8CCB9-D41F-4C2F-9D55-89CE11A67F66}"/>
    <cellStyle name="40 % - Akzent5" xfId="8431" hidden="1" xr:uid="{6EAB0CC8-57B4-48A2-8F87-1FA41A4B7D46}"/>
    <cellStyle name="40 % - Akzent5" xfId="7650" hidden="1" xr:uid="{9B4CF000-B620-45F0-A68B-4F16D0E471E2}"/>
    <cellStyle name="40 % - Akzent5" xfId="7017" hidden="1" xr:uid="{98626197-17CA-41DC-BABC-2839D9AA4CA5}"/>
    <cellStyle name="40 % - Akzent5" xfId="6890" hidden="1" xr:uid="{C04264E8-250F-49B5-A57A-3F12A674D5D5}"/>
    <cellStyle name="40 % - Akzent5" xfId="8548" hidden="1" xr:uid="{2280368B-C2D0-42EA-A6D0-0D1B40016649}"/>
    <cellStyle name="40 % - Akzent5" xfId="8710" hidden="1" xr:uid="{8BF5970D-A9FA-4FD4-9C74-5F237749721C}"/>
    <cellStyle name="40 % - Akzent5" xfId="8503" hidden="1" xr:uid="{EBE70AE1-49DE-437C-A79E-877CE68900FC}"/>
    <cellStyle name="40 % - Akzent5" xfId="8847" hidden="1" xr:uid="{ABB43E37-D15C-49E0-8AED-D93B8E5A59F2}"/>
    <cellStyle name="40 % - Akzent5" xfId="9017" hidden="1" xr:uid="{DAE9E5B6-071D-4951-B208-EBCEE6194667}"/>
    <cellStyle name="40 % - Akzent5" xfId="9279" hidden="1" xr:uid="{ADC03821-460C-4B41-9B6A-695EF8E9D1AC}"/>
    <cellStyle name="40 % - Akzent5" xfId="9298" hidden="1" xr:uid="{27A2C99E-2801-4554-9790-79B395C7814A}"/>
    <cellStyle name="40 % - Akzent5" xfId="9382" hidden="1" xr:uid="{B35C0A86-6D81-4274-84D4-AFE208BFA677}"/>
    <cellStyle name="40 % - Akzent5" xfId="9153" hidden="1" xr:uid="{716E0AF2-05C2-4E33-AD63-1BABE1C0474F}"/>
    <cellStyle name="40 % - Akzent5" xfId="10340" hidden="1" xr:uid="{17FB1128-10D8-4EB2-9720-DE9FB5410904}"/>
    <cellStyle name="40 % - Akzent5" xfId="10937" hidden="1" xr:uid="{E4DEB8C1-1F8E-468A-8C54-6ACFB6DE107E}"/>
    <cellStyle name="40 % - Akzent5" xfId="9011" hidden="1" xr:uid="{AE620398-014E-4594-A990-E733A9707271}"/>
    <cellStyle name="40 % - Akzent5" xfId="10932" hidden="1" xr:uid="{85649379-F3AD-476A-BB09-F3CFB682D5F1}"/>
    <cellStyle name="40 % - Akzent5" xfId="11135" hidden="1" xr:uid="{F3D4C120-8568-45D1-9A1A-664004526757}"/>
    <cellStyle name="40 % - Akzent5" xfId="11273" hidden="1" xr:uid="{8E8EFAB8-E85B-4E5C-A1B5-74F7BBE9C617}"/>
    <cellStyle name="40 % - Akzent5" xfId="11287" hidden="1" xr:uid="{9702FF3C-CF0F-4F9D-A046-CB2CB0A884CE}"/>
    <cellStyle name="40 % - Akzent5" xfId="11298" hidden="1" xr:uid="{97E3D09D-4D1D-4820-9AC0-1FBA07A5A3AD}"/>
    <cellStyle name="40 % - Akzent5" xfId="11308" hidden="1" xr:uid="{2C101193-AE14-4851-86FC-7D3AB029D851}"/>
    <cellStyle name="40 % - Akzent5" xfId="11314" hidden="1" xr:uid="{8C57A5DE-C6A0-49E2-BC8A-7BB87E730BA4}"/>
    <cellStyle name="40 % - Akzent5" xfId="11423" hidden="1" xr:uid="{91F502A3-0B52-4272-AFA0-1C244AA34AC3}"/>
    <cellStyle name="40 % - Akzent5" xfId="11693" hidden="1" xr:uid="{44BA478C-F026-449B-AFA0-24BF49C897C3}"/>
    <cellStyle name="40 % - Akzent5" xfId="12327" hidden="1" xr:uid="{9262B2F1-BC4E-404F-A8E0-CF5553104C0E}"/>
    <cellStyle name="40 % - Akzent5" xfId="12760" hidden="1" xr:uid="{9DE49A09-565D-440C-877C-0ACA3BA295B3}"/>
    <cellStyle name="40 % - Akzent5" xfId="11525" hidden="1" xr:uid="{D20B6203-8CF8-4250-A97D-DDC78434C271}"/>
    <cellStyle name="40 % - Akzent5" xfId="11739" hidden="1" xr:uid="{E4B3A31F-2F02-4A9B-84A3-A667234B3040}"/>
    <cellStyle name="40 % - Akzent5" xfId="13632" hidden="1" xr:uid="{310CD29E-E05E-46DD-A3B7-1487372B0C74}"/>
    <cellStyle name="40 % - Akzent5" xfId="13769" hidden="1" xr:uid="{8997CC36-1924-498A-AFAF-E4139D305784}"/>
    <cellStyle name="40 % - Akzent5" xfId="14191" hidden="1" xr:uid="{DD8AE78D-EDD4-4F58-AB89-600BCFB73C99}"/>
    <cellStyle name="40 % - Akzent5" xfId="14277" hidden="1" xr:uid="{D27308EE-B1FF-4036-9BDB-7C5C0095C4C7}"/>
    <cellStyle name="40 % - Akzent5" xfId="14105" hidden="1" xr:uid="{3358ED80-7820-42A0-A578-4A2FA98BDA51}"/>
    <cellStyle name="40 % - Akzent5" xfId="14252" hidden="1" xr:uid="{738713B7-3749-4F43-9448-4128B75764F7}"/>
    <cellStyle name="40 % - Akzent5" xfId="11705" hidden="1" xr:uid="{2F179209-EED6-4253-A5FE-69AC0336EA8C}"/>
    <cellStyle name="40 % - Akzent5" xfId="15115" hidden="1" xr:uid="{981F1DF9-9B18-49F7-BF06-960B28A2B90A}"/>
    <cellStyle name="40 % - Akzent5" xfId="15044" hidden="1" xr:uid="{64C9CF0F-511F-4B19-82CF-C7738E5FF597}"/>
    <cellStyle name="40 % - Akzent5" xfId="14088" hidden="1" xr:uid="{E25058FA-A50F-4676-A4EB-B3194A599FBD}"/>
    <cellStyle name="40 % - Akzent5" xfId="14420" hidden="1" xr:uid="{C4B76EFF-5E58-4830-AC96-E1AC193DB43B}"/>
    <cellStyle name="40 % - Akzent5" xfId="14972" hidden="1" xr:uid="{938B71BB-B3AD-4245-8259-A2A90EEBF5B1}"/>
    <cellStyle name="40 % - Akzent5" xfId="14870" hidden="1" xr:uid="{70F95FD9-B67C-4628-8B26-B9797E460A5D}"/>
    <cellStyle name="40 % - Akzent5" xfId="15442" hidden="1" xr:uid="{A1284E0E-11B2-4795-92CB-EEE274CCE152}"/>
    <cellStyle name="40 % - Akzent5" xfId="14718" hidden="1" xr:uid="{775E6A6E-ED4E-4918-BE14-D81554EC8A52}"/>
    <cellStyle name="40 % - Akzent5" xfId="15424" hidden="1" xr:uid="{0210975E-D9F9-48C2-80AA-1D911DC5EB68}"/>
    <cellStyle name="40 % - Akzent5" xfId="15990" hidden="1" xr:uid="{7257B894-144B-491F-98F2-6513FDC9B55D}"/>
    <cellStyle name="40 % - Akzent5" xfId="15188" hidden="1" xr:uid="{366B72E5-10D3-4CD9-91B6-F426FDD521F1}"/>
    <cellStyle name="40 % - Akzent5" xfId="16037" hidden="1" xr:uid="{97CAB9B6-2801-4DC9-ABC4-0733A273EF65}"/>
    <cellStyle name="40 % - Akzent5" xfId="16114" hidden="1" xr:uid="{9C546103-2E3C-4472-A1B6-66F4BF3C5F70}"/>
    <cellStyle name="40 % - Akzent5" xfId="16388" hidden="1" xr:uid="{BDC13E79-3776-43CC-A374-469876DC16CE}"/>
    <cellStyle name="40 % - Akzent5" xfId="16406" hidden="1" xr:uid="{F55F579E-4EE4-47B5-940A-66E3D6A803CE}"/>
    <cellStyle name="40 % - Akzent5" xfId="16488" hidden="1" xr:uid="{1EF4DA42-00B4-4F2B-A635-865836D72181}"/>
    <cellStyle name="40 % - Akzent5" xfId="16141" hidden="1" xr:uid="{28BD6384-C3FA-4DEA-B484-2D1ED16527AE}"/>
    <cellStyle name="40 % - Akzent5" xfId="17469" hidden="1" xr:uid="{DF826872-75BC-4D1C-8B4C-DDF7F308A6B8}"/>
    <cellStyle name="40 % - Akzent5" xfId="17607" hidden="1" xr:uid="{BD8524FF-3BEA-411F-825F-B2443DE659B9}"/>
    <cellStyle name="40 % - Akzent5" xfId="17890" hidden="1" xr:uid="{E4F9092C-CC73-4E53-8682-8E1F701CBE32}"/>
    <cellStyle name="40 % - Akzent5" xfId="16265" hidden="1" xr:uid="{3D1EC955-9BD8-4818-A693-C1FF807FC4B4}"/>
    <cellStyle name="40 % - Akzent5" xfId="18017" hidden="1" xr:uid="{07CDE25E-92E7-4178-92C2-BBECB8CB1E08}"/>
    <cellStyle name="40 % - Akzent5" xfId="18178" hidden="1" xr:uid="{CCEBF5D8-1F5A-440E-A77B-4BE8D69AEDB6}"/>
    <cellStyle name="40 % - Akzent5" xfId="18363" hidden="1" xr:uid="{937F67AD-B0C6-480E-AC88-0482E7D59A26}"/>
    <cellStyle name="40 % - Akzent5" xfId="18086" hidden="1" xr:uid="{DE7CA019-A282-42AF-A760-BEA2BF5FF7C3}"/>
    <cellStyle name="40 % - Akzent5" xfId="18791" hidden="1" xr:uid="{20FEAF10-D536-4935-BE2A-9926106D6507}"/>
    <cellStyle name="40 % - Akzent5" xfId="16745" hidden="1" xr:uid="{1450BB30-FAE0-4A6C-8547-B225FE20B0DD}"/>
    <cellStyle name="40 % - Akzent5" xfId="18994" hidden="1" xr:uid="{F6C2218D-64B5-4908-8CE7-FEBC83451097}"/>
    <cellStyle name="40 % - Akzent5" xfId="17456" hidden="1" xr:uid="{37B96718-4807-463F-BF33-3839DF808ACB}"/>
    <cellStyle name="40 % - Akzent5" xfId="19178" hidden="1" xr:uid="{3BDBCE4D-8898-4D96-9962-1DDC8F95CEAD}"/>
    <cellStyle name="40 % - Akzent5" xfId="19447" hidden="1" xr:uid="{6E43187C-B344-44C2-8DE8-78D9B529137C}"/>
    <cellStyle name="40 % - Akzent5" xfId="19722" hidden="1" xr:uid="{1E13A201-1B77-4E9B-8145-5A455FDA70CC}"/>
    <cellStyle name="40 % - Akzent5" xfId="19741" hidden="1" xr:uid="{6C5450E0-E095-4573-AC40-DF8989FFEDB8}"/>
    <cellStyle name="40 % - Akzent5" xfId="20301" hidden="1" xr:uid="{901DE727-C845-41C9-98E5-3FAB44D288AA}"/>
    <cellStyle name="40 % - Akzent5" xfId="20541" hidden="1" xr:uid="{158BCADE-BFFC-409D-8DD4-F031B18FA863}"/>
    <cellStyle name="40 % - Akzent5" xfId="20827" hidden="1" xr:uid="{4BEEE75A-425E-4378-BD82-87A6C6127835}"/>
    <cellStyle name="40 % - Akzent5" xfId="21347" hidden="1" xr:uid="{B31414D6-E3B0-4CEA-9008-249DF00EE8F3}"/>
    <cellStyle name="40 % - Akzent5" xfId="21247" hidden="1" xr:uid="{EA1682CB-BD79-4592-A150-ECEAD585CDEA}"/>
    <cellStyle name="40 % - Akzent5" xfId="20928" hidden="1" xr:uid="{673C66D3-EA6B-4738-9B0C-9238C6BF0F08}"/>
    <cellStyle name="40 % - Akzent5" xfId="21651" hidden="1" xr:uid="{31351015-AF10-4CD0-AA93-000E7373CD13}"/>
    <cellStyle name="40 % - Akzent5" xfId="19830" hidden="1" xr:uid="{133C95F2-7BBE-4A45-A49C-9A2569BA1FF3}"/>
    <cellStyle name="40 % - Akzent5" xfId="21759" hidden="1" xr:uid="{F73D8DB8-D931-4142-BBA3-2D64E9AD76B4}"/>
    <cellStyle name="40 % - Akzent5" xfId="21898" hidden="1" xr:uid="{0016E655-84A4-4EE9-967F-CEEBEA4DE261}"/>
    <cellStyle name="40 % - Akzent5" xfId="22013" hidden="1" xr:uid="{07844119-F96F-40D2-AD84-8BAC61912DAD}"/>
    <cellStyle name="40 % - Akzent5" xfId="21092" hidden="1" xr:uid="{5F10F7FE-B7C0-4668-8534-20B307661FDB}"/>
    <cellStyle name="40 % - Akzent5" xfId="22638" hidden="1" xr:uid="{636929E3-0FF8-4180-A693-AB844C44F496}"/>
    <cellStyle name="40 % - Akzent5" xfId="22377" hidden="1" xr:uid="{A8FFF556-2FEB-457B-A3D5-2B89DC10886F}"/>
    <cellStyle name="40 % - Akzent5" xfId="22835" hidden="1" xr:uid="{DFEC21A5-5CF7-435E-A491-6922C95E1F70}"/>
    <cellStyle name="40 % - Akzent5" xfId="23063" hidden="1" xr:uid="{AE12AE4B-0706-4193-8269-E9021937A2A6}"/>
    <cellStyle name="40 % - Akzent5" xfId="22934" hidden="1" xr:uid="{3E277F9C-A329-404A-80C5-C45BD1F3D16E}"/>
    <cellStyle name="40 % - Akzent5" xfId="23372" hidden="1" xr:uid="{F031FCF6-FD42-4C96-A4F5-74AD69DF434C}"/>
    <cellStyle name="40 % - Akzent5" xfId="23499" hidden="1" xr:uid="{DD800818-7E49-411A-B36A-72060C3F5077}"/>
    <cellStyle name="40 % - Akzent5" xfId="23446" hidden="1" xr:uid="{7902D65E-872E-4F5D-B587-50101D77DA59}"/>
    <cellStyle name="40 % - Akzent5" xfId="23497" hidden="1" xr:uid="{AF036589-BD52-48F1-8DA6-C8FEF3C889CD}"/>
    <cellStyle name="40 % - Akzent5" xfId="23697" hidden="1" xr:uid="{23BFC2BB-D075-46A7-B9FF-9ADBDCB5654A}"/>
    <cellStyle name="40 % - Akzent5" xfId="23597" hidden="1" xr:uid="{71420E0A-9CD0-4D93-9D58-0D2AAA269FF2}"/>
    <cellStyle name="40 % - Akzent5" xfId="24073" hidden="1" xr:uid="{88E823BE-FA06-44FD-8911-A508F84A1FAD}"/>
    <cellStyle name="40 % - Akzent5" xfId="24169" hidden="1" xr:uid="{EBBD487D-638E-4E9D-B0CD-8AA68580C6E0}"/>
    <cellStyle name="40 % - Akzent5" xfId="24413" hidden="1" xr:uid="{97D445BA-EE93-488A-AE6B-0B59DB0743BA}"/>
    <cellStyle name="40 % - Akzent5" xfId="25431" hidden="1" xr:uid="{92F91197-AB95-4E4E-9F93-857A42BD111A}"/>
    <cellStyle name="40 % - Akzent5" xfId="24997" hidden="1" xr:uid="{72DA285F-4A3A-4A7E-AA93-42B6EFFE7B09}"/>
    <cellStyle name="40 % - Akzent5" xfId="25510" hidden="1" xr:uid="{D4398DEE-0833-424D-BF88-5C93E30B5AA6}"/>
    <cellStyle name="40 % - Akzent5" xfId="26276" hidden="1" xr:uid="{1A1D6C4D-8EFC-4012-864E-37ADD2B039C4}"/>
    <cellStyle name="40 % - Akzent5" xfId="26297" hidden="1" xr:uid="{1E728D48-012E-48C0-BD79-63BA5B3F7F31}"/>
    <cellStyle name="40 % - Akzent5" xfId="24391" hidden="1" xr:uid="{478B7A97-E1B3-44C0-AA06-77241EDCF5A2}"/>
    <cellStyle name="40 % - Akzent5" xfId="26138" hidden="1" xr:uid="{78D136C2-BD4D-4C83-9645-CA51AA002DC0}"/>
    <cellStyle name="40 % - Akzent5" xfId="26363" hidden="1" xr:uid="{3A57B4ED-2408-421D-9E59-158990DD295F}"/>
    <cellStyle name="40 % - Akzent5" xfId="25496" hidden="1" xr:uid="{403E79D3-6C4D-48C3-B428-286939037361}"/>
    <cellStyle name="40 % - Akzent5" xfId="26473" hidden="1" xr:uid="{D55D94FF-10DB-42E9-B9A4-D154E2A1CF2A}"/>
    <cellStyle name="40 % - Akzent5" xfId="26483" hidden="1" xr:uid="{2188F30E-74CE-4353-A4C3-FD4436880F97}"/>
    <cellStyle name="40 % - Akzent5" xfId="27218" hidden="1" xr:uid="{AA8F8441-6A76-401F-8556-3888F684661F}"/>
    <cellStyle name="40 % - Akzent5" xfId="25286" hidden="1" xr:uid="{0EEC6CEC-A08C-46A7-9EF3-17086A903419}"/>
    <cellStyle name="40 % - Akzent5" xfId="27691" hidden="1" xr:uid="{4E4E65F0-DECC-4881-BF20-3A3F908B56CD}"/>
    <cellStyle name="40 % - Akzent5" xfId="27700" hidden="1" xr:uid="{058CFBAF-4198-4737-A2B9-7CE8B285DF03}"/>
    <cellStyle name="40 % - Akzent5" xfId="27847" hidden="1" xr:uid="{6E06A22C-4AE3-4BD3-87BA-17E38F4AE856}"/>
    <cellStyle name="40 % - Akzent5" xfId="27790" hidden="1" xr:uid="{A989DEF7-582A-4D07-BDEF-D18DB46C3A64}"/>
    <cellStyle name="40 % - Akzent5" xfId="27862" hidden="1" xr:uid="{EEE3238A-AE20-4494-B622-13C1DFF65206}"/>
    <cellStyle name="40 % - Akzent5" xfId="27961" hidden="1" xr:uid="{51007C43-355D-4BA0-8D0E-9B72054AFABC}"/>
    <cellStyle name="40 % - Akzent5" xfId="28204" hidden="1" xr:uid="{736814CD-1D06-4027-8368-F5D3FE7F98C3}"/>
    <cellStyle name="40 % - Akzent5" xfId="28809" hidden="1" xr:uid="{82769EC1-38FD-4F9C-AF4D-95C8C92A26BD}"/>
    <cellStyle name="40 % - Akzent5" xfId="28002" hidden="1" xr:uid="{4125EEB3-4C21-4DA6-B101-0F9656B187E6}"/>
    <cellStyle name="40 % - Akzent5" xfId="29239" hidden="1" xr:uid="{C5387146-117D-44D7-91AC-305BFC2EC867}"/>
    <cellStyle name="40 % - Akzent5" xfId="29601" hidden="1" xr:uid="{DBAE5216-2C49-4844-8E26-9450806AC11B}"/>
    <cellStyle name="40 % - Akzent5" xfId="29340" hidden="1" xr:uid="{ADF5177C-0C35-46B7-B20C-92F62F578370}"/>
    <cellStyle name="40 % - Akzent5" xfId="30422" hidden="1" xr:uid="{0A1EDEDF-4147-41A5-B300-E747FE9012DA}"/>
    <cellStyle name="40 % - Akzent5" xfId="31014" hidden="1" xr:uid="{24951610-FAC8-4FC8-8E80-17B43C197067}"/>
    <cellStyle name="40 % - Akzent5" xfId="29525" hidden="1" xr:uid="{681FCB00-D847-40FE-9350-6C28303194AD}"/>
    <cellStyle name="40 % - Akzent5 2" xfId="383" xr:uid="{CF74D0EA-14A0-4294-AC99-F566B137052A}"/>
    <cellStyle name="40 % - Akzent5 3" xfId="252" xr:uid="{5ED70F5E-F7FF-4F30-8C63-C651B3CA6A47}"/>
    <cellStyle name="40 % - Akzent6" xfId="66" hidden="1" xr:uid="{08271F9F-9A5A-4881-A19F-930C6DFC324D}"/>
    <cellStyle name="40 % - Akzent6" xfId="913" hidden="1" xr:uid="{411462E9-1FEB-46C4-AE76-337DC083EDBE}"/>
    <cellStyle name="40 % - Akzent6" xfId="968" hidden="1" xr:uid="{107575DB-CDED-45AC-8E89-35B0CA0AAE07}"/>
    <cellStyle name="40 % - Akzent6" xfId="1407" hidden="1" xr:uid="{BFE3945F-22CE-4B9F-8B89-6B3C8950C31C}"/>
    <cellStyle name="40 % - Akzent6" xfId="1736" hidden="1" xr:uid="{C634E771-B734-4DD6-A76F-AE6E7DCB3056}"/>
    <cellStyle name="40 % - Akzent6" xfId="1895" hidden="1" xr:uid="{F59E298E-6956-4C0B-98CD-2FA4953B8548}"/>
    <cellStyle name="40 % - Akzent6" xfId="2136" hidden="1" xr:uid="{EDA17275-09AF-40C7-BC8B-E375E1BABF56}"/>
    <cellStyle name="40 % - Akzent6" xfId="3101" hidden="1" xr:uid="{AD5D345C-A581-40A6-9DD1-B94394876381}"/>
    <cellStyle name="40 % - Akzent6" xfId="2189" hidden="1" xr:uid="{F5BA3AB4-A187-4742-94BC-8F1BA193AB8D}"/>
    <cellStyle name="40 % - Akzent6" xfId="2805" hidden="1" xr:uid="{1BC4D4AC-78D1-47DC-9843-2122E7084DE8}"/>
    <cellStyle name="40 % - Akzent6" xfId="3579" hidden="1" xr:uid="{592AF1F8-4EE1-47D3-9CC8-4E846A36919B}"/>
    <cellStyle name="40 % - Akzent6" xfId="3249" hidden="1" xr:uid="{6BFC4C7C-2664-4CBC-95AA-5E0E31CAD58A}"/>
    <cellStyle name="40 % - Akzent6" xfId="3241" hidden="1" xr:uid="{AA45C51D-C567-49F7-933D-AC72AB2B0EAE}"/>
    <cellStyle name="40 % - Akzent6" xfId="3476" hidden="1" xr:uid="{9E87C5C2-3002-44F0-B357-905A6E76495A}"/>
    <cellStyle name="40 % - Akzent6" xfId="2820" hidden="1" xr:uid="{59D8C1D6-E0C2-46A0-9BDE-E592B1BBE562}"/>
    <cellStyle name="40 % - Akzent6" xfId="3274" hidden="1" xr:uid="{F3636C4A-E88E-4E7F-959F-C2BCC12DB9A3}"/>
    <cellStyle name="40 % - Akzent6" xfId="3536" hidden="1" xr:uid="{09E4EC23-CD94-465C-93DF-34821112DF69}"/>
    <cellStyle name="40 % - Akzent6" xfId="3624" hidden="1" xr:uid="{5F9F9A9D-1C8D-4EC8-AA14-E61CEF66CCA5}"/>
    <cellStyle name="40 % - Akzent6" xfId="4948" hidden="1" xr:uid="{714F53D9-BE3B-44A3-A09D-B8D1A1486310}"/>
    <cellStyle name="40 % - Akzent6" xfId="3738" hidden="1" xr:uid="{7C455882-4823-4D2C-B5DE-7026D5CAA9F0}"/>
    <cellStyle name="40 % - Akzent6" xfId="5139" hidden="1" xr:uid="{49EC7833-8C5E-4778-B8FF-C93A77955EF8}"/>
    <cellStyle name="40 % - Akzent6" xfId="5905" hidden="1" xr:uid="{9C0E2DC1-13CE-4365-A6BC-A287E82F26E5}"/>
    <cellStyle name="40 % - Akzent6" xfId="3099" hidden="1" xr:uid="{B6EF7816-E221-4585-BE53-CF83A98F29FC}"/>
    <cellStyle name="40 % - Akzent6" xfId="5840" hidden="1" xr:uid="{515A2DDB-A0E6-415C-9CFD-83418CDD395E}"/>
    <cellStyle name="40 % - Akzent6" xfId="4972" hidden="1" xr:uid="{9CC170A7-0889-4C06-848B-970F1069AD9A}"/>
    <cellStyle name="40 % - Akzent6" xfId="5123" hidden="1" xr:uid="{C28BE1D6-A272-455C-B7D3-3642268129A2}"/>
    <cellStyle name="40 % - Akzent6" xfId="6314" hidden="1" xr:uid="{BB54F900-0B8F-49EE-B14B-2AD97BC510C9}"/>
    <cellStyle name="40 % - Akzent6" xfId="3653" hidden="1" xr:uid="{A101FFF0-1DB5-4513-8D26-71891EC5CB64}"/>
    <cellStyle name="40 % - Akzent6" xfId="4699" hidden="1" xr:uid="{799AC3FF-C6CE-40AB-9D7B-903476331B7D}"/>
    <cellStyle name="40 % - Akzent6" xfId="4675" hidden="1" xr:uid="{62599BDC-0DF6-4732-93C2-3B46B1404FB6}"/>
    <cellStyle name="40 % - Akzent6" xfId="6413" hidden="1" xr:uid="{B0829874-3F4C-4B7F-8192-6452B252AF91}"/>
    <cellStyle name="40 % - Akzent6" xfId="3329" hidden="1" xr:uid="{3E0DD4A7-235F-4688-907F-D7539A9A1A79}"/>
    <cellStyle name="40 % - Akzent6" xfId="6068" hidden="1" xr:uid="{4D1675F5-172D-4F0B-B8C5-8B2BA354BEAF}"/>
    <cellStyle name="40 % - Akzent6" xfId="6432" hidden="1" xr:uid="{A9751039-08CA-4ED2-A30C-8003D2D36670}"/>
    <cellStyle name="40 % - Akzent6" xfId="6558" hidden="1" xr:uid="{D1AE235B-3783-4301-8063-11AEECA6E72C}"/>
    <cellStyle name="40 % - Akzent6" xfId="5700" hidden="1" xr:uid="{61AD0B7C-1274-4876-AEF4-ADEAD923D6DD}"/>
    <cellStyle name="40 % - Akzent6" xfId="5006" hidden="1" xr:uid="{209C737E-5D2A-4235-A926-C7FAA45664DC}"/>
    <cellStyle name="40 % - Akzent6" xfId="6807" hidden="1" xr:uid="{1CA19A95-5387-47B4-A143-0607ACD74FC9}"/>
    <cellStyle name="40 % - Akzent6" xfId="7064" hidden="1" xr:uid="{086AAA56-FD2B-48D5-87E3-5310598A0843}"/>
    <cellStyle name="40 % - Akzent6" xfId="7972" hidden="1" xr:uid="{B4DAB354-5032-4DC4-9509-D2BEC781E9FD}"/>
    <cellStyle name="40 % - Akzent6" xfId="7029" hidden="1" xr:uid="{97D9A914-CD11-4C58-8C4F-84067537F8E1}"/>
    <cellStyle name="40 % - Akzent6" xfId="8351" hidden="1" xr:uid="{1492581E-EC70-4D85-BE1F-63DF37EAA1F3}"/>
    <cellStyle name="40 % - Akzent6" xfId="8332" hidden="1" xr:uid="{41AA3690-A5C5-4565-BFF8-6E1CD357B044}"/>
    <cellStyle name="40 % - Akzent6" xfId="8126" hidden="1" xr:uid="{A40D9BB9-6590-4ADE-897A-EF1314E38520}"/>
    <cellStyle name="40 % - Akzent6" xfId="8323" hidden="1" xr:uid="{ADC68FA1-6BF2-4A4B-AD9B-7D5D571D32E2}"/>
    <cellStyle name="40 % - Akzent6" xfId="7629" hidden="1" xr:uid="{CC983968-1617-40B6-B0F4-033B645BF1DE}"/>
    <cellStyle name="40 % - Akzent6" xfId="6841" hidden="1" xr:uid="{3371ECA8-3A2E-4E9F-982B-DCD2FE47CE17}"/>
    <cellStyle name="40 % - Akzent6" xfId="7180" hidden="1" xr:uid="{32125AEA-5CE9-414D-B08F-C9822C20C4CC}"/>
    <cellStyle name="40 % - Akzent6" xfId="8273" hidden="1" xr:uid="{46AB321C-221D-48EF-B825-A72439E09B05}"/>
    <cellStyle name="40 % - Akzent6" xfId="8171" hidden="1" xr:uid="{AE48A358-D14D-4AAA-B0CC-076114362073}"/>
    <cellStyle name="40 % - Akzent6" xfId="8415" hidden="1" xr:uid="{0B723AA2-C05A-45B9-93BB-6567CD902576}"/>
    <cellStyle name="40 % - Akzent6" xfId="8302" hidden="1" xr:uid="{714A51AB-3EC2-4BCA-85FD-B70F350D795D}"/>
    <cellStyle name="40 % - Akzent6" xfId="6936" hidden="1" xr:uid="{2F41CD38-0C8D-472A-85DE-B4E121C5A2E5}"/>
    <cellStyle name="40 % - Akzent6" xfId="7631" hidden="1" xr:uid="{38A42FE7-EA57-495A-AB3C-61343759BA21}"/>
    <cellStyle name="40 % - Akzent6" xfId="7226" hidden="1" xr:uid="{70EEF206-E0F8-4258-BC97-729E7F97A705}"/>
    <cellStyle name="40 % - Akzent6" xfId="8489" hidden="1" xr:uid="{93B02EC0-4628-4A35-B215-D05DE3CE8AC8}"/>
    <cellStyle name="40 % - Akzent6" xfId="8857" hidden="1" xr:uid="{6A42B992-2E50-4CD7-9AD3-0B0D60D30ABA}"/>
    <cellStyle name="40 % - Akzent6" xfId="8496" hidden="1" xr:uid="{E05DCBC8-2A61-42ED-B244-D58E09FEE7AB}"/>
    <cellStyle name="40 % - Akzent6" xfId="8699" hidden="1" xr:uid="{8A1885D7-4E20-4A7D-BD3F-238EFF45C36B}"/>
    <cellStyle name="40 % - Akzent6" xfId="8910" hidden="1" xr:uid="{DF1460D0-6A6C-4B47-A65E-ECD44FE6FD3E}"/>
    <cellStyle name="40 % - Akzent6" xfId="9021" hidden="1" xr:uid="{AA4F62D0-B4B0-4220-83BD-81C8A2FC8284}"/>
    <cellStyle name="40 % - Akzent6" xfId="9277" hidden="1" xr:uid="{FCEEDECB-1636-4197-8389-291A1A04966E}"/>
    <cellStyle name="40 % - Akzent6" xfId="10188" hidden="1" xr:uid="{76250A06-C531-4907-865B-43DC119C672E}"/>
    <cellStyle name="40 % - Akzent6" xfId="9242" hidden="1" xr:uid="{9F225EF4-0E83-4138-9F11-135627752C84}"/>
    <cellStyle name="40 % - Akzent6" xfId="10594" hidden="1" xr:uid="{8D2FE8A2-B681-468A-940C-1CA65FAFD6C4}"/>
    <cellStyle name="40 % - Akzent6" xfId="9144" hidden="1" xr:uid="{D5ED5DD4-719F-4E46-81E0-B8FB2995AFE2}"/>
    <cellStyle name="40 % - Akzent6" xfId="10982" hidden="1" xr:uid="{B2B28568-D076-43B8-B806-802B560DC928}"/>
    <cellStyle name="40 % - Akzent6" xfId="10523" hidden="1" xr:uid="{63CAAB88-BC63-4FF4-8D51-0B0B17D480B4}"/>
    <cellStyle name="40 % - Akzent6" xfId="10732" hidden="1" xr:uid="{AC920ED4-0939-409F-9F9F-57051040309D}"/>
    <cellStyle name="40 % - Akzent6" xfId="11150" hidden="1" xr:uid="{4066304E-797A-4645-9BD9-219F27A6F974}"/>
    <cellStyle name="40 % - Akzent6" xfId="11051" hidden="1" xr:uid="{2DC14D04-134C-4CE9-8E7A-C343FFF3354D}"/>
    <cellStyle name="40 % - Akzent6" xfId="11113" hidden="1" xr:uid="{BA992C86-C53E-4836-99A1-501D8DCF0B4E}"/>
    <cellStyle name="40 % - Akzent6" xfId="10843" hidden="1" xr:uid="{2BF55750-9423-460D-8BD1-D8AC59847C2C}"/>
    <cellStyle name="40 % - Akzent6" xfId="10733" hidden="1" xr:uid="{709599BD-C5DA-477F-849C-FD024FFB90CA}"/>
    <cellStyle name="40 % - Akzent6" xfId="10708" hidden="1" xr:uid="{373DA0AD-7047-4637-A80C-0EC0DFFF33F9}"/>
    <cellStyle name="40 % - Akzent6" xfId="11426" hidden="1" xr:uid="{87D0F89B-E564-4A5E-B643-B20A3C70931A}"/>
    <cellStyle name="40 % - Akzent6" xfId="11691" hidden="1" xr:uid="{A10FD8EC-8C29-4C20-8C4E-A6513DA810C9}"/>
    <cellStyle name="40 % - Akzent6" xfId="11459" hidden="1" xr:uid="{1ABC1A24-BB50-4754-8F18-21685220BD07}"/>
    <cellStyle name="40 % - Akzent6" xfId="11729" hidden="1" xr:uid="{61A1D6BE-A0A0-4BE2-93B7-891FBBAEC61D}"/>
    <cellStyle name="40 % - Akzent6" xfId="12263" hidden="1" xr:uid="{CAB4ADFA-24F2-46F2-8432-244E741FB9A2}"/>
    <cellStyle name="40 % - Akzent6" xfId="13933" hidden="1" xr:uid="{E76691A6-BB90-4A93-82FC-7C6117141191}"/>
    <cellStyle name="40 % - Akzent6" xfId="11417" hidden="1" xr:uid="{4547D5D6-668D-4EEC-A1D1-173C4F1ECE0C}"/>
    <cellStyle name="40 % - Akzent6" xfId="13638" hidden="1" xr:uid="{DAC124C2-F22F-401F-A52C-8F5AA5E8161C}"/>
    <cellStyle name="40 % - Akzent6" xfId="14163" hidden="1" xr:uid="{A52C49EA-BE69-4053-BC19-22B597F3DD9D}"/>
    <cellStyle name="40 % - Akzent6" xfId="11469" hidden="1" xr:uid="{60E02B2D-B81C-4B7D-9A3D-47C4D6B466B2}"/>
    <cellStyle name="40 % - Akzent6" xfId="14871" hidden="1" xr:uid="{8645DC79-C845-4A55-88D7-C284D353DCAE}"/>
    <cellStyle name="40 % - Akzent6" xfId="14601" hidden="1" xr:uid="{31B0115C-A980-4904-8D2E-729BD402E7B1}"/>
    <cellStyle name="40 % - Akzent6" xfId="15283" hidden="1" xr:uid="{4FDD19BF-16D8-46C3-B11B-0AF1F2C150D6}"/>
    <cellStyle name="40 % - Akzent6" xfId="15063" hidden="1" xr:uid="{4FDE0E31-FDC2-4E38-82BF-CEB530C7A41A}"/>
    <cellStyle name="40 % - Akzent6" xfId="14862" hidden="1" xr:uid="{2CC52764-1312-412D-9F6B-9989058A184E}"/>
    <cellStyle name="40 % - Akzent6" xfId="15214" hidden="1" xr:uid="{067A2586-BA91-4EA4-899C-456460C7F51F}"/>
    <cellStyle name="40 % - Akzent6" xfId="15316" hidden="1" xr:uid="{2DAE3A13-F022-44B7-8492-9D4F8C8A5937}"/>
    <cellStyle name="40 % - Akzent6" xfId="15689" hidden="1" xr:uid="{0F31471B-5BBF-4574-B11A-07F8930B3F43}"/>
    <cellStyle name="40 % - Akzent6" xfId="14668" hidden="1" xr:uid="{04E38613-C171-4977-BC90-C6ACB40B22D0}"/>
    <cellStyle name="40 % - Akzent6" xfId="14755" hidden="1" xr:uid="{AB76F904-F982-40F5-8B49-219FC67B8FF1}"/>
    <cellStyle name="40 % - Akzent6" xfId="15501" hidden="1" xr:uid="{BD4080CB-1464-4D34-B8E1-568888DD589D}"/>
    <cellStyle name="40 % - Akzent6" xfId="15456" hidden="1" xr:uid="{2584C388-0DC9-4067-B402-58427CC8846B}"/>
    <cellStyle name="40 % - Akzent6" xfId="15353" hidden="1" xr:uid="{24006FEA-AA52-4881-8382-984B9FA54065}"/>
    <cellStyle name="40 % - Akzent6" xfId="15758" hidden="1" xr:uid="{CC09C672-BE5B-4EEE-89F4-ED559CF48CD5}"/>
    <cellStyle name="40 % - Akzent6" xfId="15207" hidden="1" xr:uid="{7AF4D6BE-7861-4DC2-A3A9-49843F677D89}"/>
    <cellStyle name="40 % - Akzent6" xfId="16118" hidden="1" xr:uid="{21BA55F4-3C27-4C0E-A0A7-67EB4F6837BE}"/>
    <cellStyle name="40 % - Akzent6" xfId="16386" hidden="1" xr:uid="{CCA972D6-552B-4F85-82C7-DE383E51EF4F}"/>
    <cellStyle name="40 % - Akzent6" xfId="17309" hidden="1" xr:uid="{6FA4FE79-92C5-4219-AFBB-BBD5CD32361E}"/>
    <cellStyle name="40 % - Akzent6" xfId="16352" hidden="1" xr:uid="{16173646-DC98-4629-8556-8DA0EDE7FC5E}"/>
    <cellStyle name="40 % - Akzent6" xfId="17752" hidden="1" xr:uid="{7EF8B3BA-9E44-4100-AF8B-66EB6187DD4C}"/>
    <cellStyle name="40 % - Akzent6" xfId="16248" hidden="1" xr:uid="{C1B2BF41-4F2E-4FB3-8601-D468C3F81F0A}"/>
    <cellStyle name="40 % - Akzent6" xfId="18171" hidden="1" xr:uid="{C8E2F720-8654-42AF-859E-CB3B2DE9E26A}"/>
    <cellStyle name="40 % - Akzent6" xfId="17428" hidden="1" xr:uid="{B05C8A19-4F23-40ED-9E40-C0CFB54BB477}"/>
    <cellStyle name="40 % - Akzent6" xfId="17870" hidden="1" xr:uid="{DD85A846-ECB6-4EF1-A4C5-8D4E455F8C98}"/>
    <cellStyle name="40 % - Akzent6" xfId="17686" hidden="1" xr:uid="{81F450E4-C5A3-40C3-8A7B-41F94DB8DCE0}"/>
    <cellStyle name="40 % - Akzent6" xfId="18293" hidden="1" xr:uid="{939BB0B4-FCFB-497F-8D65-C6630BB050C6}"/>
    <cellStyle name="40 % - Akzent6" xfId="17885" hidden="1" xr:uid="{5F6CB290-D45A-4318-9ADE-CBAE5D41AE00}"/>
    <cellStyle name="40 % - Akzent6" xfId="19019" hidden="1" xr:uid="{1EAD21DD-047E-40DD-95CB-EFB381DC5FCC}"/>
    <cellStyle name="40 % - Akzent6" xfId="18211" hidden="1" xr:uid="{A04F2ADD-50BD-42F5-A6D6-A171A06B9DC8}"/>
    <cellStyle name="40 % - Akzent6" xfId="18775" hidden="1" xr:uid="{658A7085-8622-4ADD-9D89-EA34B5CC3190}"/>
    <cellStyle name="40 % - Akzent6" xfId="16548" hidden="1" xr:uid="{F1DDB5E6-5BB8-48E5-BAD9-60C74DFD5B97}"/>
    <cellStyle name="40 % - Akzent6" xfId="19307" hidden="1" xr:uid="{F163F7A6-84BC-4E68-A912-DBAF6D8D9B36}"/>
    <cellStyle name="40 % - Akzent6" xfId="18359" hidden="1" xr:uid="{08A4549D-EEE8-451D-961D-E30648F0B415}"/>
    <cellStyle name="40 % - Akzent6" xfId="19451" hidden="1" xr:uid="{30D903C6-040F-4810-900A-6E89F9816104}"/>
    <cellStyle name="40 % - Akzent6" xfId="19720" hidden="1" xr:uid="{361FCE74-5A39-47FD-832D-62BD9A8FD082}"/>
    <cellStyle name="40 % - Akzent6" xfId="20660" hidden="1" xr:uid="{3C5708A0-8164-4C4C-8DA8-7B0BE2CF68EC}"/>
    <cellStyle name="40 % - Akzent6" xfId="20740" hidden="1" xr:uid="{56CBD908-A867-4873-BE56-CCD559664395}"/>
    <cellStyle name="40 % - Akzent6" xfId="21116" hidden="1" xr:uid="{46EB9DA2-F596-4F03-947B-B51BF5A61DB7}"/>
    <cellStyle name="40 % - Akzent6" xfId="19392" hidden="1" xr:uid="{DCB56EA0-411C-435E-A400-2DE6AF9A1920}"/>
    <cellStyle name="40 % - Akzent6" xfId="21414" hidden="1" xr:uid="{704A8693-56DE-4D9D-AC27-0F176FD66BA4}"/>
    <cellStyle name="40 % - Akzent6" xfId="21160" hidden="1" xr:uid="{506B2395-D8BE-473F-AF79-FFB83B849210}"/>
    <cellStyle name="40 % - Akzent6" xfId="21185" hidden="1" xr:uid="{16A82C21-1738-4B3E-A007-1D78CCD39509}"/>
    <cellStyle name="40 % - Akzent6" xfId="21614" hidden="1" xr:uid="{A3E03BF1-D49E-4289-94BF-4F141D9438B1}"/>
    <cellStyle name="40 % - Akzent6" xfId="22048" hidden="1" xr:uid="{78F3F199-39D7-4E80-A6FF-6043EB607D02}"/>
    <cellStyle name="40 % - Akzent6" xfId="21105" hidden="1" xr:uid="{00699B6E-CD5C-44DC-ADD1-BD9FF3E34CF4}"/>
    <cellStyle name="40 % - Akzent6" xfId="22476" hidden="1" xr:uid="{FDE16449-3873-45B8-93D6-68AAD39D1973}"/>
    <cellStyle name="40 % - Akzent6" xfId="22309" hidden="1" xr:uid="{222D6EEC-49E7-4EDD-BFB9-EE255ACC1307}"/>
    <cellStyle name="40 % - Akzent6" xfId="22908" hidden="1" xr:uid="{30C0A28C-C523-4C7E-8AD9-EDCB5CAE1EED}"/>
    <cellStyle name="40 % - Akzent6" xfId="21297" hidden="1" xr:uid="{DF3AEEC9-948C-4412-AA6D-E08E57D24976}"/>
    <cellStyle name="40 % - Akzent6" xfId="22988" hidden="1" xr:uid="{A027912B-D0B6-46BA-A057-D2014F194AB2}"/>
    <cellStyle name="40 % - Akzent6" xfId="23298" hidden="1" xr:uid="{E2ED54F8-3DC8-46B4-8C7D-07DF1D8F7C26}"/>
    <cellStyle name="40 % - Akzent6" xfId="23000" hidden="1" xr:uid="{47543F83-B632-46DF-BF48-D32221679F67}"/>
    <cellStyle name="40 % - Akzent6" xfId="23044" hidden="1" xr:uid="{6D19EF25-70FE-48C0-8995-60387777735C}"/>
    <cellStyle name="40 % - Akzent6" xfId="23182" hidden="1" xr:uid="{153D932B-E94F-4B9A-8A53-41E614893961}"/>
    <cellStyle name="40 % - Akzent6" xfId="23534" hidden="1" xr:uid="{95E0371E-3C8C-41D7-AD23-907D6B6235F8}"/>
    <cellStyle name="40 % - Akzent6" xfId="22544" hidden="1" xr:uid="{1386F711-D206-4224-87A5-EE8885FF8AFC}"/>
    <cellStyle name="40 % - Akzent6" xfId="23054" hidden="1" xr:uid="{16D82BFD-758E-47D8-83E0-93FAA3231AED}"/>
    <cellStyle name="40 % - Akzent6" xfId="23556" hidden="1" xr:uid="{3F509FB5-8BF4-4EAC-A9E9-12577F32FA5A}"/>
    <cellStyle name="40 % - Akzent6" xfId="24093" hidden="1" xr:uid="{5F803531-0938-436B-9FA9-31033AC1CD42}"/>
    <cellStyle name="40 % - Akzent6" xfId="23591" hidden="1" xr:uid="{0EC47CEA-A19A-4371-A572-B0894A2ED1E1}"/>
    <cellStyle name="40 % - Akzent6" xfId="24172" hidden="1" xr:uid="{D2EA32D6-3011-473A-940C-F7B2A0CF75A8}"/>
    <cellStyle name="40 % - Akzent6" xfId="24577" hidden="1" xr:uid="{07C89964-B217-4DC0-8ECD-687089EFE879}"/>
    <cellStyle name="40 % - Akzent6" xfId="24258" hidden="1" xr:uid="{8C7D8E24-28CD-4E63-AA0C-233A47C40959}"/>
    <cellStyle name="40 % - Akzent6" xfId="24352" hidden="1" xr:uid="{CC8E3D86-5FE9-4336-9119-0084F9BE355C}"/>
    <cellStyle name="40 % - Akzent6" xfId="25501" hidden="1" xr:uid="{386BFA26-18A5-403D-A063-44F1C33B52C8}"/>
    <cellStyle name="40 % - Akzent6" xfId="24354" hidden="1" xr:uid="{1F16291A-DC88-423B-AF40-20069EEE6282}"/>
    <cellStyle name="40 % - Akzent6" xfId="25941" hidden="1" xr:uid="{2B32F45E-29AC-48B6-BF73-4170593D6EBE}"/>
    <cellStyle name="40 % - Akzent6" xfId="26086" hidden="1" xr:uid="{759D78B9-B16A-4B3D-9881-DB028AE58388}"/>
    <cellStyle name="40 % - Akzent6" xfId="26646" hidden="1" xr:uid="{680BE885-213D-47B5-940B-21CFA0DD3A06}"/>
    <cellStyle name="40 % - Akzent6" xfId="26161" hidden="1" xr:uid="{6C5A53C3-856E-44E8-B138-DF49FDE620A8}"/>
    <cellStyle name="40 % - Akzent6" xfId="25982" hidden="1" xr:uid="{1F469B65-FCC4-4664-B917-3F637C807D02}"/>
    <cellStyle name="40 % - Akzent6" xfId="26494" hidden="1" xr:uid="{7A985417-83E9-456A-8718-409EA03F5D21}"/>
    <cellStyle name="40 % - Akzent6" xfId="25058" hidden="1" xr:uid="{D0B99695-E0BB-43F8-859D-B81617316C0B}"/>
    <cellStyle name="40 % - Akzent6" xfId="27220" hidden="1" xr:uid="{9DC626EB-8CE6-41A1-8B7F-A7841F88A088}"/>
    <cellStyle name="40 % - Akzent6" xfId="27773" hidden="1" xr:uid="{5509494A-5427-4738-AF25-BCAA93158467}"/>
    <cellStyle name="40 % - Akzent6" xfId="27628" hidden="1" xr:uid="{D0C23902-3926-4952-A902-B0F836F058E1}"/>
    <cellStyle name="40 % - Akzent6" xfId="27881" hidden="1" xr:uid="{A48EAA04-AA11-4C04-8520-DD715CEB68A1}"/>
    <cellStyle name="40 % - Akzent6" xfId="27746" hidden="1" xr:uid="{F384E9D5-2032-405F-87A8-6B77BEA5533A}"/>
    <cellStyle name="40 % - Akzent6" xfId="27845" hidden="1" xr:uid="{CEEBDFC0-BBEC-4C63-A13B-F8C7CDAE326F}"/>
    <cellStyle name="40 % - Akzent6" xfId="26605" hidden="1" xr:uid="{90A0AACF-CF5E-4A5B-ADB5-D712CB6A7ED6}"/>
    <cellStyle name="40 % - Akzent6" xfId="27965" hidden="1" xr:uid="{14617D66-3ED1-4370-8E0B-3A8A15CA71BA}"/>
    <cellStyle name="40 % - Akzent6" xfId="28202" hidden="1" xr:uid="{CA952B78-C269-4508-A075-F0EA25DAE039}"/>
    <cellStyle name="40 % - Akzent6" xfId="27993" hidden="1" xr:uid="{47D88CBB-C5A0-437B-9A68-C91449D1B3C9}"/>
    <cellStyle name="40 % - Akzent6" xfId="29486" hidden="1" xr:uid="{5CDC3C04-A67C-4E05-88AF-3566766CF89D}"/>
    <cellStyle name="40 % - Akzent6" xfId="28772" hidden="1" xr:uid="{0579940B-A30B-45F9-8AE6-D56141E65F38}"/>
    <cellStyle name="40 % - Akzent6" xfId="28260" hidden="1" xr:uid="{14A681AD-64C6-47B2-92DC-E5E5B22C399A}"/>
    <cellStyle name="40 % - Akzent6" xfId="30007" hidden="1" xr:uid="{1B714973-85C9-405C-94D8-72D26E82EB4D}"/>
    <cellStyle name="40 % - Akzent6" xfId="29459" hidden="1" xr:uid="{B1B4FE6F-CDAE-4BF9-950D-8FBEB51A5F56}"/>
    <cellStyle name="40 % - Akzent6" xfId="29455" hidden="1" xr:uid="{E4E856BC-4EEA-4C60-B18F-CC2F8D1B4FA2}"/>
    <cellStyle name="40 % - Akzent6" xfId="27990" hidden="1" xr:uid="{7CE1581B-A4ED-4099-97C2-4B1756BCB524}"/>
    <cellStyle name="40 % - Akzent6 2" xfId="384" xr:uid="{DB22614E-8FEC-4578-B4AD-FBCCBAC18346}"/>
    <cellStyle name="40 % - Akzent6 3" xfId="253" xr:uid="{E5927E5E-7705-4476-971F-F5BDCC9D52E7}"/>
    <cellStyle name="40% - Accent1 2" xfId="88" xr:uid="{6EA4D19C-9799-446A-A274-40668EB8F728}"/>
    <cellStyle name="40% - Accent1 3" xfId="205" xr:uid="{1EF3A8D3-3DE4-4861-A9C3-04BC54F34BF6}"/>
    <cellStyle name="40% - Accent2 2" xfId="89" xr:uid="{10370418-D1F6-4C2A-9528-79EE03D23523}"/>
    <cellStyle name="40% - Accent2 3" xfId="206" xr:uid="{11360B46-B0AB-4EB7-9CE4-7B8666A7165A}"/>
    <cellStyle name="40% - Accent3 2" xfId="90" xr:uid="{6F7E7786-26D4-4E5D-AB82-48D5346EEB7D}"/>
    <cellStyle name="40% - Accent3 3" xfId="207" xr:uid="{65B69500-D307-49C3-9665-C8BBDB9A5BB6}"/>
    <cellStyle name="40% - Accent4 2" xfId="91" xr:uid="{C02091DC-9CE0-4EB9-952F-4D6576856CC1}"/>
    <cellStyle name="40% - Accent4 3" xfId="208" xr:uid="{5D2F47A7-E6C6-4EF6-841E-C1B580364C83}"/>
    <cellStyle name="40% - Accent5 2" xfId="92" xr:uid="{2FC63498-D7FD-425A-AA38-217F01A5EFC3}"/>
    <cellStyle name="40% - Accent5 3" xfId="209" xr:uid="{1FA4611A-EB98-46A9-9BA9-7650EB0675DF}"/>
    <cellStyle name="40% - Accent6 2" xfId="93" xr:uid="{801E359F-5427-4B40-ADD2-6DA68D7D8C4E}"/>
    <cellStyle name="40% - Accent6 3" xfId="210" xr:uid="{1CDAFEF5-28D0-4FD5-929E-8460A87ACA4B}"/>
    <cellStyle name="5x indented GHG Textfiels" xfId="13" xr:uid="{AAEC2FE7-D252-468E-8DBD-F1DABE055202}"/>
    <cellStyle name="5x indented GHG Textfiels 2" xfId="94" xr:uid="{8AF138E5-36F0-44C9-A045-795C0EDE420C}"/>
    <cellStyle name="5x indented GHG Textfiels 2 2" xfId="95" xr:uid="{94083574-A87A-4CD6-8C28-B28F70BFA2B9}"/>
    <cellStyle name="5x indented GHG Textfiels 3" xfId="96" xr:uid="{EE811506-EE3C-4234-A241-975285613CFE}"/>
    <cellStyle name="5x indented GHG Textfiels 3 2" xfId="401" xr:uid="{529368B6-F0CA-42DD-9019-CD491E356F83}"/>
    <cellStyle name="5x indented GHG Textfiels 3 2 2" xfId="3447" xr:uid="{D0B621C5-7218-42FE-BD77-69F54884B73A}"/>
    <cellStyle name="5x indented GHG Textfiels 3 2 3" xfId="18248" xr:uid="{0C737D98-EB77-4E91-BDED-C5CC6FB1C429}"/>
    <cellStyle name="5x indented GHG Textfiels 3 3" xfId="349" xr:uid="{CC26FF87-F3FC-42E8-A0CC-441B017D38F9}"/>
    <cellStyle name="5x indented GHG Textfiels 3 3 10" xfId="3006" xr:uid="{1193C3C3-DCAE-4802-9BF1-DCFD7E3B80AD}"/>
    <cellStyle name="5x indented GHG Textfiels 3 3 11" xfId="3102" xr:uid="{50C8E538-45D9-414D-B460-F77925C41548}"/>
    <cellStyle name="5x indented GHG Textfiels 3 3 12" xfId="3181" xr:uid="{98CE3907-1BF9-4155-9C41-8B9253762170}"/>
    <cellStyle name="5x indented GHG Textfiels 3 3 13" xfId="4768" xr:uid="{652C5789-5A53-4770-A5A6-355BA2A34721}"/>
    <cellStyle name="5x indented GHG Textfiels 3 3 14" xfId="4927" xr:uid="{2839DF9F-3050-423F-BBDB-7A8D5D9B24AA}"/>
    <cellStyle name="5x indented GHG Textfiels 3 3 15" xfId="4858" xr:uid="{437A1125-0E10-4D48-85DE-B7FE51CCD07B}"/>
    <cellStyle name="5x indented GHG Textfiels 3 3 16" xfId="6312" xr:uid="{93E882DC-7A45-46BD-A982-6D37F132DFA6}"/>
    <cellStyle name="5x indented GHG Textfiels 3 3 17" xfId="6425" xr:uid="{0A3AE288-A7BF-4600-BD87-CAB04B26B0A3}"/>
    <cellStyle name="5x indented GHG Textfiels 3 3 18" xfId="7077" xr:uid="{F0CF335F-693A-4771-97BC-BFF17BBDC614}"/>
    <cellStyle name="5x indented GHG Textfiels 3 3 19" xfId="7774" xr:uid="{B233C6F9-333B-4FEE-B2CB-4FA42727EC20}"/>
    <cellStyle name="5x indented GHG Textfiels 3 3 2" xfId="636" xr:uid="{8436DB46-35A0-4475-9F9F-897EE6005F05}"/>
    <cellStyle name="5x indented GHG Textfiels 3 3 2 10" xfId="3056" xr:uid="{FEA38512-5DFF-4DC1-8C7F-F2815F1859A8}"/>
    <cellStyle name="5x indented GHG Textfiels 3 3 2 11" xfId="5284" xr:uid="{8F4E4416-33B5-493F-A76F-EED851CE9C46}"/>
    <cellStyle name="5x indented GHG Textfiels 3 3 2 12" xfId="5666" xr:uid="{D38ECCAC-49F5-4B4C-A059-00F203DF7F2D}"/>
    <cellStyle name="5x indented GHG Textfiels 3 3 2 13" xfId="5679" xr:uid="{FC024B36-D2A9-49DC-A23B-012B0CD152A1}"/>
    <cellStyle name="5x indented GHG Textfiels 3 3 2 14" xfId="6703" xr:uid="{E49475A9-D108-4AFC-86A9-110216F6ED5D}"/>
    <cellStyle name="5x indented GHG Textfiels 3 3 2 15" xfId="7356" xr:uid="{073D62FD-B395-4663-9F43-50F061FB6F45}"/>
    <cellStyle name="5x indented GHG Textfiels 3 3 2 16" xfId="8043" xr:uid="{967B5BBE-DDED-4E65-AE72-D6CE53769AD0}"/>
    <cellStyle name="5x indented GHG Textfiels 3 3 2 17" xfId="7836" xr:uid="{6EFC2A26-6986-474E-8690-BA140C3B3326}"/>
    <cellStyle name="5x indented GHG Textfiels 3 3 2 18" xfId="8916" xr:uid="{4E796D82-D54A-4417-B207-D99067508150}"/>
    <cellStyle name="5x indented GHG Textfiels 3 3 2 19" xfId="9570" xr:uid="{9165C6D2-A14A-435F-B44A-008D348CD820}"/>
    <cellStyle name="5x indented GHG Textfiels 3 3 2 2" xfId="851" xr:uid="{5304F04D-A160-429C-B0E0-0A625113CF54}"/>
    <cellStyle name="5x indented GHG Textfiels 3 3 2 2 10" xfId="5499" xr:uid="{A7A8A322-6025-467D-99CC-04283D752CD2}"/>
    <cellStyle name="5x indented GHG Textfiels 3 3 2 2 11" xfId="4669" xr:uid="{0A6F4C52-B1BD-4E7C-B354-995F69C734C8}"/>
    <cellStyle name="5x indented GHG Textfiels 3 3 2 2 12" xfId="6077" xr:uid="{A37C6AE8-227F-45B1-B422-BDD5A98E9466}"/>
    <cellStyle name="5x indented GHG Textfiels 3 3 2 2 13" xfId="5910" xr:uid="{DB1667C9-F192-41DA-AAA7-38C2930ED165}"/>
    <cellStyle name="5x indented GHG Textfiels 3 3 2 2 14" xfId="7571" xr:uid="{1132A732-3001-4E76-9FD5-6285565B67CD}"/>
    <cellStyle name="5x indented GHG Textfiels 3 3 2 2 15" xfId="7050" xr:uid="{CEB27FAE-0132-46D0-AFB8-F487DEA36846}"/>
    <cellStyle name="5x indented GHG Textfiels 3 3 2 2 16" xfId="8153" xr:uid="{3574CD79-9974-4283-BD96-680352380770}"/>
    <cellStyle name="5x indented GHG Textfiels 3 3 2 2 17" xfId="8830" xr:uid="{C8B37766-9F3D-4EDC-99AF-EF7A38AD903A}"/>
    <cellStyle name="5x indented GHG Textfiels 3 3 2 2 18" xfId="9785" xr:uid="{E4102401-6382-4466-A365-79D1195E8E5B}"/>
    <cellStyle name="5x indented GHG Textfiels 3 3 2 2 19" xfId="9263" xr:uid="{63E99ED0-0118-4D39-8DA6-AAFD3343D3A7}"/>
    <cellStyle name="5x indented GHG Textfiels 3 3 2 2 2" xfId="1325" xr:uid="{C2ED9743-F2FE-4CBD-89DD-4180AC9D8E59}"/>
    <cellStyle name="5x indented GHG Textfiels 3 3 2 2 20" xfId="10127" xr:uid="{62C978A8-E4D2-4AAF-9EDB-8AC4E9C10922}"/>
    <cellStyle name="5x indented GHG Textfiels 3 3 2 2 21" xfId="10768" xr:uid="{E30C5606-BD3C-4457-8422-167942C71ED0}"/>
    <cellStyle name="5x indented GHG Textfiels 3 3 2 2 22" xfId="11129" xr:uid="{E1038043-B4EE-4CA4-89D2-B555A7ED7744}"/>
    <cellStyle name="5x indented GHG Textfiels 3 3 2 2 23" xfId="12204" xr:uid="{6CBF7A8C-E623-4185-B21D-37093F261DB4}"/>
    <cellStyle name="5x indented GHG Textfiels 3 3 2 2 24" xfId="12677" xr:uid="{5293EACE-F0AE-469E-948A-257F65708CE2}"/>
    <cellStyle name="5x indented GHG Textfiels 3 3 2 2 25" xfId="13111" xr:uid="{7FBD2312-1EC0-4101-A034-F1624AF4D41B}"/>
    <cellStyle name="5x indented GHG Textfiels 3 3 2 2 26" xfId="13548" xr:uid="{4EB38EF9-B871-433C-A0D4-758D2372EBCA}"/>
    <cellStyle name="5x indented GHG Textfiels 3 3 2 2 27" xfId="13694" xr:uid="{3C34D7D8-3E15-4ED4-8FF6-E1E36EB0AA0F}"/>
    <cellStyle name="5x indented GHG Textfiels 3 3 2 2 28" xfId="14008" xr:uid="{A7716AC6-2E08-4A0D-AFBA-AEF2C0CC92BB}"/>
    <cellStyle name="5x indented GHG Textfiels 3 3 2 2 29" xfId="13947" xr:uid="{A2E6334E-81C4-455A-B6C9-94F4AE1422AB}"/>
    <cellStyle name="5x indented GHG Textfiels 3 3 2 2 3" xfId="1774" xr:uid="{3EA8B3F7-0E24-4465-BB86-DA1724015D8E}"/>
    <cellStyle name="5x indented GHG Textfiels 3 3 2 2 30" xfId="14316" xr:uid="{7411C7DC-47C1-4753-B092-AC68E69A3EA4}"/>
    <cellStyle name="5x indented GHG Textfiels 3 3 2 2 31" xfId="15513" xr:uid="{1B120121-7C8D-4D97-ACBB-AF6759E85427}"/>
    <cellStyle name="5x indented GHG Textfiels 3 3 2 2 32" xfId="15414" xr:uid="{4070EF24-FD56-4D8C-BB26-AED0ACF76526}"/>
    <cellStyle name="5x indented GHG Textfiels 3 3 2 2 33" xfId="16896" xr:uid="{0D26884B-A7A6-4C64-B351-A3F49347C24E}"/>
    <cellStyle name="5x indented GHG Textfiels 3 3 2 2 34" xfId="16372" xr:uid="{D6586321-C459-4383-B610-6B7B218CA7EB}"/>
    <cellStyle name="5x indented GHG Textfiels 3 3 2 2 35" xfId="17246" xr:uid="{86676BD5-2AA5-4D32-8C2F-BF7E737C941C}"/>
    <cellStyle name="5x indented GHG Textfiels 3 3 2 2 36" xfId="16951" xr:uid="{7F5C6BFA-CFB1-4C40-AF8C-9765C42821AF}"/>
    <cellStyle name="5x indented GHG Textfiels 3 3 2 2 37" xfId="18714" xr:uid="{A3AAE971-EE75-4D3C-8C4B-5820ECE187C9}"/>
    <cellStyle name="5x indented GHG Textfiels 3 3 2 2 38" xfId="18124" xr:uid="{D1F1023C-E0BC-4D33-B334-630DDEA5CB58}"/>
    <cellStyle name="5x indented GHG Textfiels 3 3 2 2 39" xfId="19202" xr:uid="{4B800662-EC59-45D6-8993-130D344E6096}"/>
    <cellStyle name="5x indented GHG Textfiels 3 3 2 2 4" xfId="2673" xr:uid="{8C857103-BFB4-4417-850E-F723437F2621}"/>
    <cellStyle name="5x indented GHG Textfiels 3 3 2 2 40" xfId="20233" xr:uid="{DE86F6A3-7584-4E06-854F-9DCA9D0EF42B}"/>
    <cellStyle name="5x indented GHG Textfiels 3 3 2 2 41" xfId="19706" xr:uid="{DB5DD329-3D7E-4B50-A286-73F09823B390}"/>
    <cellStyle name="5x indented GHG Textfiels 3 3 2 2 42" xfId="20703" xr:uid="{BB66B226-F907-497E-9591-4809A2CFA440}"/>
    <cellStyle name="5x indented GHG Textfiels 3 3 2 2 43" xfId="21402" xr:uid="{12EAF575-DE45-4127-AFB3-B95736309CBC}"/>
    <cellStyle name="5x indented GHG Textfiels 3 3 2 2 44" xfId="20799" xr:uid="{0D8950BA-3085-42DA-AD3C-E51E48221BFC}"/>
    <cellStyle name="5x indented GHG Textfiels 3 3 2 2 45" xfId="21901" xr:uid="{E0DFF74E-91B5-496B-92F2-065E5E81D688}"/>
    <cellStyle name="5x indented GHG Textfiels 3 3 2 2 46" xfId="22691" xr:uid="{4B65D919-8CA7-42DD-8D3E-80DAA9D4A907}"/>
    <cellStyle name="5x indented GHG Textfiels 3 3 2 2 47" xfId="22655" xr:uid="{23125580-0B77-452E-8A22-74C6353485D4}"/>
    <cellStyle name="5x indented GHG Textfiels 3 3 2 2 48" xfId="23598" xr:uid="{7E33CB79-AB8C-4691-805A-48F63C7D3EA1}"/>
    <cellStyle name="5x indented GHG Textfiels 3 3 2 2 49" xfId="24033" xr:uid="{E1E0D8FC-4DD5-4F20-B6C8-2A7CDDD75E0C}"/>
    <cellStyle name="5x indented GHG Textfiels 3 3 2 2 5" xfId="2859" xr:uid="{2E43D566-D499-45A7-AF97-3A472180987F}"/>
    <cellStyle name="5x indented GHG Textfiels 3 3 2 2 50" xfId="24941" xr:uid="{906D485A-3DC4-4166-8816-4D632BDE77B3}"/>
    <cellStyle name="5x indented GHG Textfiels 3 3 2 2 51" xfId="24569" xr:uid="{6BC8513F-981F-4808-943E-AC0EC3B5709B}"/>
    <cellStyle name="5x indented GHG Textfiels 3 3 2 2 52" xfId="25857" xr:uid="{8AA75629-E1A1-4B27-A09B-388BB22B3D9E}"/>
    <cellStyle name="5x indented GHG Textfiels 3 3 2 2 53" xfId="26021" xr:uid="{235B61E9-4A29-4949-8331-539141FDCC15}"/>
    <cellStyle name="5x indented GHG Textfiels 3 3 2 2 54" xfId="26659" xr:uid="{D4BAC37B-D518-4E77-A725-04AEA93275F0}"/>
    <cellStyle name="5x indented GHG Textfiels 3 3 2 2 55" xfId="27145" xr:uid="{643C5DB8-D936-4510-8E56-1622FB1286B9}"/>
    <cellStyle name="5x indented GHG Textfiels 3 3 2 2 56" xfId="27564" xr:uid="{215BFD6A-BD16-4EE9-9DC8-F8989239AA32}"/>
    <cellStyle name="5x indented GHG Textfiels 3 3 2 2 57" xfId="26535" xr:uid="{29936316-655A-4A65-BBF7-5830C738F05B}"/>
    <cellStyle name="5x indented GHG Textfiels 3 3 2 2 58" xfId="28691" xr:uid="{DE5B453D-B2AB-46E8-B3BF-E0D5AEF8A872}"/>
    <cellStyle name="5x indented GHG Textfiels 3 3 2 2 59" xfId="29158" xr:uid="{275DDE29-3C3C-499D-B413-F2DDAC8AA8AA}"/>
    <cellStyle name="5x indented GHG Textfiels 3 3 2 2 6" xfId="3236" xr:uid="{1D16905E-CD2C-4F1A-B196-E987CF1EF9AF}"/>
    <cellStyle name="5x indented GHG Textfiels 3 3 2 2 60" xfId="28800" xr:uid="{FAEF5E79-A6DC-4D80-9FBA-06C22C3776E8}"/>
    <cellStyle name="5x indented GHG Textfiels 3 3 2 2 61" xfId="29947" xr:uid="{71609F1E-1CB7-4AF9-AAC2-A5D6872CDC47}"/>
    <cellStyle name="5x indented GHG Textfiels 3 3 2 2 62" xfId="30353" xr:uid="{4B0CB11C-FBC2-47DC-93EC-830D8A2E1C4A}"/>
    <cellStyle name="5x indented GHG Textfiels 3 3 2 2 63" xfId="30770" xr:uid="{EC57E7B4-7720-4D9D-9E66-096E3505F24D}"/>
    <cellStyle name="5x indented GHG Textfiels 3 3 2 2 64" xfId="29236" xr:uid="{8190D212-00F3-45AA-8DF3-F1F0EB2BFB96}"/>
    <cellStyle name="5x indented GHG Textfiels 3 3 2 2 65" xfId="31386" xr:uid="{56635DCC-A300-48DF-8B64-4EFC762A603F}"/>
    <cellStyle name="5x indented GHG Textfiels 3 3 2 2 7" xfId="4169" xr:uid="{A3B2F8D0-8482-4CBD-8448-8A8FA9DA8054}"/>
    <cellStyle name="5x indented GHG Textfiels 3 3 2 2 8" xfId="4606" xr:uid="{7743FD85-BF99-4159-84FD-DAB6E8892265}"/>
    <cellStyle name="5x indented GHG Textfiels 3 3 2 2 9" xfId="3801" xr:uid="{8EF33DA9-6ED3-4796-AF34-444B5E1F78FA}"/>
    <cellStyle name="5x indented GHG Textfiels 3 3 2 20" xfId="10262" xr:uid="{AA0C3B6E-C1C2-4B6D-8740-271D3B5DE2C6}"/>
    <cellStyle name="5x indented GHG Textfiels 3 3 2 21" xfId="10655" xr:uid="{1CD37053-5575-4B73-8257-21F066D839CD}"/>
    <cellStyle name="5x indented GHG Textfiels 3 3 2 22" xfId="11008" xr:uid="{0374BC5A-8C2A-40D0-8B31-B60E83ECDCE3}"/>
    <cellStyle name="5x indented GHG Textfiels 3 3 2 23" xfId="11320" xr:uid="{3E871CEB-860A-40A5-A8C6-45F879E720E5}"/>
    <cellStyle name="5x indented GHG Textfiels 3 3 2 24" xfId="11989" xr:uid="{BD1105F4-9BC7-4D40-BC6A-022961503EA0}"/>
    <cellStyle name="5x indented GHG Textfiels 3 3 2 25" xfId="12462" xr:uid="{1F9FA73E-ACD9-4028-B77B-38481507AA8E}"/>
    <cellStyle name="5x indented GHG Textfiels 3 3 2 26" xfId="12896" xr:uid="{29055844-2AFA-4246-8D8A-17EF4F4B95A5}"/>
    <cellStyle name="5x indented GHG Textfiels 3 3 2 27" xfId="13333" xr:uid="{DC0359D0-2887-49FF-9DBC-BAF9FC07F5B7}"/>
    <cellStyle name="5x indented GHG Textfiels 3 3 2 28" xfId="14027" xr:uid="{E7EAE29A-CE20-4460-A77C-0F97B36AEF0C}"/>
    <cellStyle name="5x indented GHG Textfiels 3 3 2 29" xfId="13783" xr:uid="{BEEB904F-E8C6-4AD4-8483-5B07A8427508}"/>
    <cellStyle name="5x indented GHG Textfiels 3 3 2 3" xfId="1119" xr:uid="{0E024B7C-4C34-4D57-BE49-629A97EC7374}"/>
    <cellStyle name="5x indented GHG Textfiels 3 3 2 30" xfId="14896" xr:uid="{B1A99A65-E4D5-46F6-B79C-E05CEF16B3D5}"/>
    <cellStyle name="5x indented GHG Textfiels 3 3 2 31" xfId="14793" xr:uid="{C01C2756-5218-4A81-B490-A4EEAC0C81F2}"/>
    <cellStyle name="5x indented GHG Textfiels 3 3 2 32" xfId="15771" xr:uid="{730A92B3-1B57-4628-AA20-423CC52D495E}"/>
    <cellStyle name="5x indented GHG Textfiels 3 3 2 33" xfId="15996" xr:uid="{AF50D384-F4AF-40EA-930E-8F7950C8D7E4}"/>
    <cellStyle name="5x indented GHG Textfiels 3 3 2 34" xfId="16681" xr:uid="{3D082DCB-D073-4B78-8574-A6E2E20749A3}"/>
    <cellStyle name="5x indented GHG Textfiels 3 3 2 35" xfId="17384" xr:uid="{543B1AF2-692A-4050-BF23-ED3A1D67B78F}"/>
    <cellStyle name="5x indented GHG Textfiels 3 3 2 36" xfId="17826" xr:uid="{3EE13D9C-DA08-455F-85A0-3D676D66E874}"/>
    <cellStyle name="5x indented GHG Textfiels 3 3 2 37" xfId="18302" xr:uid="{FE36D779-12A6-4004-AB7A-355B283B6E4A}"/>
    <cellStyle name="5x indented GHG Textfiels 3 3 2 38" xfId="18499" xr:uid="{31B46358-8E71-4B47-86B8-2E088FC0984C}"/>
    <cellStyle name="5x indented GHG Textfiels 3 3 2 39" xfId="19113" xr:uid="{E85F7F0B-9FE8-48DC-8630-C6404D6C1CD3}"/>
    <cellStyle name="5x indented GHG Textfiels 3 3 2 4" xfId="1654" xr:uid="{79F808A4-1E98-42A5-A65A-DDC024FBB2AA}"/>
    <cellStyle name="5x indented GHG Textfiels 3 3 2 40" xfId="19345" xr:uid="{8B3F5680-CD3D-499F-BA6C-5D2398A02F3A}"/>
    <cellStyle name="5x indented GHG Textfiels 3 3 2 41" xfId="20018" xr:uid="{2DE89078-883A-47D3-8EFD-D7640B1CD552}"/>
    <cellStyle name="5x indented GHG Textfiels 3 3 2 42" xfId="20733" xr:uid="{41C8D34B-6796-419B-ADCC-19967578BBD1}"/>
    <cellStyle name="5x indented GHG Textfiels 3 3 2 43" xfId="21192" xr:uid="{445863F3-3DEA-4B5B-992E-577D4403E7A7}"/>
    <cellStyle name="5x indented GHG Textfiels 3 3 2 44" xfId="21684" xr:uid="{9DFF7475-A28C-4F5C-B017-D484EAE80556}"/>
    <cellStyle name="5x indented GHG Textfiels 3 3 2 45" xfId="22123" xr:uid="{73220986-E672-47D4-98C5-CB9A872A2727}"/>
    <cellStyle name="5x indented GHG Textfiels 3 3 2 46" xfId="22550" xr:uid="{F0DF5A5B-624A-41CB-9A7B-EE9475D0B9CA}"/>
    <cellStyle name="5x indented GHG Textfiels 3 3 2 47" xfId="22996" xr:uid="{EE7A164E-5EEF-4011-B1ED-198F97BCFF9C}"/>
    <cellStyle name="5x indented GHG Textfiels 3 3 2 48" xfId="23400" xr:uid="{CA358C6F-625D-4C3C-B330-F61935B64C3D}"/>
    <cellStyle name="5x indented GHG Textfiels 3 3 2 49" xfId="23666" xr:uid="{119D63FF-E704-4502-A06D-39646820741F}"/>
    <cellStyle name="5x indented GHG Textfiels 3 3 2 5" xfId="2458" xr:uid="{1F3933F6-A9CD-479B-9044-0735D6F33A15}"/>
    <cellStyle name="5x indented GHG Textfiels 3 3 2 50" xfId="23827" xr:uid="{EEA8630A-38EB-4A41-AABB-F245A70693E5}"/>
    <cellStyle name="5x indented GHG Textfiels 3 3 2 51" xfId="24726" xr:uid="{6AB56C50-AE3A-475D-A477-23B1B8CFB23D}"/>
    <cellStyle name="5x indented GHG Textfiels 3 3 2 52" xfId="25438" xr:uid="{80243856-5EB4-48E5-BD15-E18B7A9D26F5}"/>
    <cellStyle name="5x indented GHG Textfiels 3 3 2 53" xfId="25644" xr:uid="{B1E75EA8-0936-4EA5-957E-D1CCC56A14CF}"/>
    <cellStyle name="5x indented GHG Textfiels 3 3 2 54" xfId="26304" xr:uid="{1FF36CA7-4BE5-4F46-B279-608AD76902A2}"/>
    <cellStyle name="5x indented GHG Textfiels 3 3 2 55" xfId="26464" xr:uid="{7F3F5CD1-F622-4E6A-ADC1-A9AC80BFAC17}"/>
    <cellStyle name="5x indented GHG Textfiels 3 3 2 56" xfId="26934" xr:uid="{61A83034-D890-4D13-ADA5-7A644CD3950C}"/>
    <cellStyle name="5x indented GHG Textfiels 3 3 2 57" xfId="27353" xr:uid="{DC718CBD-F0B2-41F1-A52C-CEEC58CBFE15}"/>
    <cellStyle name="5x indented GHG Textfiels 3 3 2 58" xfId="27635" xr:uid="{8CF3ADE6-FF8F-40AE-809C-AA334A4940B8}"/>
    <cellStyle name="5x indented GHG Textfiels 3 3 2 59" xfId="28476" xr:uid="{6B8FC83E-4B7B-4388-ACEF-C5B8308DA11E}"/>
    <cellStyle name="5x indented GHG Textfiels 3 3 2 6" xfId="3200" xr:uid="{CF783105-C159-446D-A2A6-1F4581BC5F30}"/>
    <cellStyle name="5x indented GHG Textfiels 3 3 2 60" xfId="28944" xr:uid="{A10847DA-1891-47BA-8189-B22C701DCCC4}"/>
    <cellStyle name="5x indented GHG Textfiels 3 3 2 61" xfId="29547" xr:uid="{1A464609-A716-4901-B3F3-107D5458A8B2}"/>
    <cellStyle name="5x indented GHG Textfiels 3 3 2 62" xfId="29734" xr:uid="{8A5F62EF-853A-4A08-B61F-24989D87E87D}"/>
    <cellStyle name="5x indented GHG Textfiels 3 3 2 63" xfId="30142" xr:uid="{F8EF7F24-3D29-45B2-8C35-31A8A19B64BB}"/>
    <cellStyle name="5x indented GHG Textfiels 3 3 2 64" xfId="30556" xr:uid="{A44682ED-B152-4369-9575-64A2DD24557B}"/>
    <cellStyle name="5x indented GHG Textfiels 3 3 2 65" xfId="31007" xr:uid="{D127EF5B-609C-48AA-98E0-EDD53122EE13}"/>
    <cellStyle name="5x indented GHG Textfiels 3 3 2 66" xfId="31180" xr:uid="{BEB2F2ED-B526-46AE-9266-F64170D09575}"/>
    <cellStyle name="5x indented GHG Textfiels 3 3 2 7" xfId="3421" xr:uid="{488CCAA8-ED12-45F2-8E6E-75B866239B0D}"/>
    <cellStyle name="5x indented GHG Textfiels 3 3 2 8" xfId="3954" xr:uid="{780D5AEA-88B7-4E3E-98CF-1099D0464D7A}"/>
    <cellStyle name="5x indented GHG Textfiels 3 3 2 9" xfId="4392" xr:uid="{FCB590C7-C9CC-4161-A582-EC3E7DD25739}"/>
    <cellStyle name="5x indented GHG Textfiels 3 3 20" xfId="7626" xr:uid="{371CAAA1-A4F8-4A0F-A1D7-88CA511BA6B5}"/>
    <cellStyle name="5x indented GHG Textfiels 3 3 21" xfId="8727" xr:uid="{4DD0B208-BF46-418F-ACA0-3B4572A08BB3}"/>
    <cellStyle name="5x indented GHG Textfiels 3 3 22" xfId="9290" xr:uid="{249971E9-1973-4FB6-AC28-F8101286B2E3}"/>
    <cellStyle name="5x indented GHG Textfiels 3 3 23" xfId="9987" xr:uid="{D4EAE08C-7972-4B7F-8EAA-E683C24837CF}"/>
    <cellStyle name="5x indented GHG Textfiels 3 3 24" xfId="10412" xr:uid="{AE8DC372-7041-49E8-AB23-5586BA349F85}"/>
    <cellStyle name="5x indented GHG Textfiels 3 3 25" xfId="10734" xr:uid="{9450B0B4-6E6A-4DD1-95EF-8DD67E469B6F}"/>
    <cellStyle name="5x indented GHG Textfiels 3 3 26" xfId="10382" xr:uid="{01972E68-8635-4F04-AD70-D053E0067D7C}"/>
    <cellStyle name="5x indented GHG Textfiels 3 3 27" xfId="11704" xr:uid="{95C2A724-21BA-4A63-AC72-5228B5D7A5FC}"/>
    <cellStyle name="5x indented GHG Textfiels 3 3 28" xfId="11613" xr:uid="{B9351292-A24D-4DB8-8877-730110DBB709}"/>
    <cellStyle name="5x indented GHG Textfiels 3 3 29" xfId="11822" xr:uid="{C9ACA4FE-6C1D-4E62-B566-55A36BAB7328}"/>
    <cellStyle name="5x indented GHG Textfiels 3 3 3" xfId="583" xr:uid="{33656A2F-5481-4B2D-9C64-694300B997CA}"/>
    <cellStyle name="5x indented GHG Textfiels 3 3 3 10" xfId="4913" xr:uid="{6B25251F-4303-4111-8FDA-478060F39D35}"/>
    <cellStyle name="5x indented GHG Textfiels 3 3 3 11" xfId="5231" xr:uid="{79D96B78-5C0C-4C9D-B113-0E3E9AE9629B}"/>
    <cellStyle name="5x indented GHG Textfiels 3 3 3 12" xfId="5642" xr:uid="{5921D3B0-01B1-4B20-AE26-0454363C7EEE}"/>
    <cellStyle name="5x indented GHG Textfiels 3 3 3 13" xfId="3499" xr:uid="{BC8561FF-BF70-40E5-AFFD-BB8C3916307D}"/>
    <cellStyle name="5x indented GHG Textfiels 3 3 3 14" xfId="6433" xr:uid="{9623667D-A414-41DB-B664-4284310E02CF}"/>
    <cellStyle name="5x indented GHG Textfiels 3 3 3 15" xfId="7303" xr:uid="{3711F84B-A519-468D-963B-9CF9F18994C4}"/>
    <cellStyle name="5x indented GHG Textfiels 3 3 3 16" xfId="7789" xr:uid="{403C6C8E-289B-477F-A161-3AFA9AFAE0AE}"/>
    <cellStyle name="5x indented GHG Textfiels 3 3 3 17" xfId="8600" xr:uid="{9AB55A1D-F167-40A9-8E36-E9C1F6FCD322}"/>
    <cellStyle name="5x indented GHG Textfiels 3 3 3 18" xfId="8760" xr:uid="{94C63624-9646-4518-AAFF-CB47D8317581}"/>
    <cellStyle name="5x indented GHG Textfiels 3 3 3 19" xfId="9517" xr:uid="{F0B6A6F4-3CC4-4A2E-BE0B-0D71C16CFD33}"/>
    <cellStyle name="5x indented GHG Textfiels 3 3 3 2" xfId="798" xr:uid="{9BF57869-6B20-4C72-BFDA-40D4ECC3ACAB}"/>
    <cellStyle name="5x indented GHG Textfiels 3 3 3 2 10" xfId="5446" xr:uid="{AFEF9192-373E-4283-B340-0FD30B0A0F07}"/>
    <cellStyle name="5x indented GHG Textfiels 3 3 3 2 11" xfId="4690" xr:uid="{BA625C18-830F-4DAE-8A1F-55ED5D15487B}"/>
    <cellStyle name="5x indented GHG Textfiels 3 3 3 2 12" xfId="6335" xr:uid="{59649F93-ADC0-40FE-9BD7-1FA59A686AE2}"/>
    <cellStyle name="5x indented GHG Textfiels 3 3 3 2 13" xfId="6693" xr:uid="{07CDB1B7-C91D-4B16-B2D9-3A6061C87B01}"/>
    <cellStyle name="5x indented GHG Textfiels 3 3 3 2 14" xfId="7518" xr:uid="{A66FB385-06C6-486C-B605-4AD9F1FC22BA}"/>
    <cellStyle name="5x indented GHG Textfiels 3 3 3 2 15" xfId="7814" xr:uid="{183BDEC3-A839-46EB-9562-23872EC6E4CB}"/>
    <cellStyle name="5x indented GHG Textfiels 3 3 3 2 16" xfId="7854" xr:uid="{F4D49FCB-B242-4E39-B779-517651F267B9}"/>
    <cellStyle name="5x indented GHG Textfiels 3 3 3 2 17" xfId="8906" xr:uid="{34A207DB-2230-4E5A-84A1-5EF405C5BC15}"/>
    <cellStyle name="5x indented GHG Textfiels 3 3 3 2 18" xfId="9732" xr:uid="{BAEBDB6B-4E40-4902-8E93-B76F71BC0CBE}"/>
    <cellStyle name="5x indented GHG Textfiels 3 3 3 2 19" xfId="10027" xr:uid="{6B2BB2C2-045A-49AC-8CED-A53CA398E5A7}"/>
    <cellStyle name="5x indented GHG Textfiels 3 3 3 2 2" xfId="1272" xr:uid="{F563BF76-E83B-445A-BE2D-1C5B91FDEC0E}"/>
    <cellStyle name="5x indented GHG Textfiels 3 3 3 2 20" xfId="10447" xr:uid="{5515D87D-B143-40B6-861D-F79D4851688B}"/>
    <cellStyle name="5x indented GHG Textfiels 3 3 3 2 21" xfId="10947" xr:uid="{D9C4D01B-88A2-4FE4-A202-4A9910A478C3}"/>
    <cellStyle name="5x indented GHG Textfiels 3 3 3 2 22" xfId="11310" xr:uid="{B22C5CCA-AB50-4F4A-94BB-6CAE7A5F5D67}"/>
    <cellStyle name="5x indented GHG Textfiels 3 3 3 2 23" xfId="12151" xr:uid="{44B9DEF9-7BE8-4786-A130-E66BD9F26FBE}"/>
    <cellStyle name="5x indented GHG Textfiels 3 3 3 2 24" xfId="12624" xr:uid="{3DB904CF-ABC6-498C-90BA-84B82E941B8A}"/>
    <cellStyle name="5x indented GHG Textfiels 3 3 3 2 25" xfId="13058" xr:uid="{7F477AE8-C069-4945-8904-4D4F6B09B20B}"/>
    <cellStyle name="5x indented GHG Textfiels 3 3 3 2 26" xfId="13495" xr:uid="{6A21FD05-EB61-41D8-8B55-7D2FE940FD9A}"/>
    <cellStyle name="5x indented GHG Textfiels 3 3 3 2 27" xfId="14006" xr:uid="{2D76B1FA-5334-4E48-B52E-0CD47B8CA996}"/>
    <cellStyle name="5x indented GHG Textfiels 3 3 3 2 28" xfId="13903" xr:uid="{A625CDA5-EF35-43C9-959B-2A1E6E2F8A87}"/>
    <cellStyle name="5x indented GHG Textfiels 3 3 3 2 29" xfId="14681" xr:uid="{A8EA9C5F-A296-49F2-9923-686F90BBE65D}"/>
    <cellStyle name="5x indented GHG Textfiels 3 3 3 2 3" xfId="1741" xr:uid="{35872052-8CCD-4B0D-9675-40C054953D6D}"/>
    <cellStyle name="5x indented GHG Textfiels 3 3 3 2 30" xfId="15305" xr:uid="{A4A0B859-6539-435F-997C-D2896AC9FF38}"/>
    <cellStyle name="5x indented GHG Textfiels 3 3 3 2 31" xfId="15285" xr:uid="{B2FFAC34-29FE-4621-9D47-D85F9EBB8E9A}"/>
    <cellStyle name="5x indented GHG Textfiels 3 3 3 2 32" xfId="15865" xr:uid="{3F8AE9EA-3F0A-4F76-8176-BB9BF7A938C9}"/>
    <cellStyle name="5x indented GHG Textfiels 3 3 3 2 33" xfId="16843" xr:uid="{FAE3E375-AB11-48EB-9402-64CED5DEB750}"/>
    <cellStyle name="5x indented GHG Textfiels 3 3 3 2 34" xfId="17144" xr:uid="{7EA44BDA-6781-492D-A81F-38B6718E4E24}"/>
    <cellStyle name="5x indented GHG Textfiels 3 3 3 2 35" xfId="17591" xr:uid="{C1DD9BEF-4CC3-4FBF-90AB-2C2F35217CE6}"/>
    <cellStyle name="5x indented GHG Textfiels 3 3 3 2 36" xfId="18281" xr:uid="{66AB5C7F-1499-4F5B-A34F-673D6810A62F}"/>
    <cellStyle name="5x indented GHG Textfiels 3 3 3 2 37" xfId="18661" xr:uid="{84C3289A-6266-4CCB-AFBD-C37D7CA59F87}"/>
    <cellStyle name="5x indented GHG Textfiels 3 3 3 2 38" xfId="19100" xr:uid="{F26F52FD-BA43-4E66-B7CD-03605F58C8E1}"/>
    <cellStyle name="5x indented GHG Textfiels 3 3 3 2 39" xfId="19312" xr:uid="{CE3BAC50-80AB-4D67-8D73-6616AF384582}"/>
    <cellStyle name="5x indented GHG Textfiels 3 3 3 2 4" xfId="2620" xr:uid="{64A4053E-DF74-424E-A3DF-D32C78D66D74}"/>
    <cellStyle name="5x indented GHG Textfiels 3 3 3 2 40" xfId="20180" xr:uid="{2947448E-0AC0-4492-9960-49F1B01E2AA7}"/>
    <cellStyle name="5x indented GHG Textfiels 3 3 3 2 41" xfId="20496" xr:uid="{27C5602D-0692-44AB-8891-F10AA16586AA}"/>
    <cellStyle name="5x indented GHG Textfiels 3 3 3 2 42" xfId="20951" xr:uid="{3D79D732-033D-4DDF-AF22-1C16E78B73ED}"/>
    <cellStyle name="5x indented GHG Textfiels 3 3 3 2 43" xfId="21662" xr:uid="{E31DB3D6-7D0E-470E-BE76-7CA31CCF46D4}"/>
    <cellStyle name="5x indented GHG Textfiels 3 3 3 2 44" xfId="21880" xr:uid="{25504A0C-CF70-44AC-9F3E-AC3ED646F244}"/>
    <cellStyle name="5x indented GHG Textfiels 3 3 3 2 45" xfId="22316" xr:uid="{B42E33CA-7F9F-47F8-B7A7-E36A50BAE771}"/>
    <cellStyle name="5x indented GHG Textfiels 3 3 3 2 46" xfId="22976" xr:uid="{EF1BC3A2-2E8B-4A2C-9D04-4B8118F8655E}"/>
    <cellStyle name="5x indented GHG Textfiels 3 3 3 2 47" xfId="23382" xr:uid="{7AA8D3B5-C9E9-4AFB-987D-8CD901E13764}"/>
    <cellStyle name="5x indented GHG Textfiels 3 3 3 2 48" xfId="23508" xr:uid="{600C380E-6A1B-47FD-A9C8-034FA05236A3}"/>
    <cellStyle name="5x indented GHG Textfiels 3 3 3 2 49" xfId="23980" xr:uid="{8FD94CC0-8F65-4B8B-815C-B2628C927D07}"/>
    <cellStyle name="5x indented GHG Textfiels 3 3 3 2 5" xfId="3177" xr:uid="{CC4A8796-885A-4064-921D-FEC6F8962C51}"/>
    <cellStyle name="5x indented GHG Textfiels 3 3 3 2 50" xfId="24888" xr:uid="{414679D5-B14C-434B-9E7D-1A9D55447CCB}"/>
    <cellStyle name="5x indented GHG Textfiels 3 3 3 2 51" xfId="25205" xr:uid="{BD2B7B6E-5873-45B3-9F0E-DA0CC21EDC8F}"/>
    <cellStyle name="5x indented GHG Textfiels 3 3 3 2 52" xfId="25804" xr:uid="{A6E2FED1-D38C-44E8-A6AB-DA5DD54F0F74}"/>
    <cellStyle name="5x indented GHG Textfiels 3 3 3 2 53" xfId="26283" xr:uid="{A8F79E1F-C63B-4E2F-9DA6-4F21B67F0C94}"/>
    <cellStyle name="5x indented GHG Textfiels 3 3 3 2 54" xfId="24221" xr:uid="{9E5DC92B-00A4-43FC-B9E3-A43F652C684F}"/>
    <cellStyle name="5x indented GHG Textfiels 3 3 3 2 55" xfId="27092" xr:uid="{8D98B508-58D4-4466-B87A-BD338F8693FF}"/>
    <cellStyle name="5x indented GHG Textfiels 3 3 3 2 56" xfId="27511" xr:uid="{E1F52678-DFEF-4298-8CB4-D7C31307821B}"/>
    <cellStyle name="5x indented GHG Textfiels 3 3 3 2 57" xfId="26468" xr:uid="{DDAD19FE-26EE-42D0-9586-A3F3FDC87863}"/>
    <cellStyle name="5x indented GHG Textfiels 3 3 3 2 58" xfId="28638" xr:uid="{F0BDF9BD-884A-48CA-B220-9BEB9597D084}"/>
    <cellStyle name="5x indented GHG Textfiels 3 3 3 2 59" xfId="29105" xr:uid="{B60DFF0E-93B2-48FE-9CE9-6B88A1DBB6D8}"/>
    <cellStyle name="5x indented GHG Textfiels 3 3 3 2 6" xfId="3616" xr:uid="{607E30FE-4984-491E-8720-F2CF78B4B393}"/>
    <cellStyle name="5x indented GHG Textfiels 3 3 3 2 60" xfId="29347" xr:uid="{B5CB7026-9345-4C7B-9248-1FED00F09C4F}"/>
    <cellStyle name="5x indented GHG Textfiels 3 3 3 2 61" xfId="29894" xr:uid="{D0A7D5B7-B624-4DB4-A599-183CD78E1A22}"/>
    <cellStyle name="5x indented GHG Textfiels 3 3 3 2 62" xfId="30300" xr:uid="{2201B7E7-DC98-490C-ACF4-382A30C47AEF}"/>
    <cellStyle name="5x indented GHG Textfiels 3 3 3 2 63" xfId="30717" xr:uid="{585B9448-7008-47A9-8A39-A26BE57A5BEB}"/>
    <cellStyle name="5x indented GHG Textfiels 3 3 3 2 64" xfId="28732" xr:uid="{AE21CA17-7EA5-4D5C-80CD-C4B8F5728F49}"/>
    <cellStyle name="5x indented GHG Textfiels 3 3 3 2 65" xfId="31333" xr:uid="{60FC8048-53F1-4DE9-9C5A-5374F4877CB5}"/>
    <cellStyle name="5x indented GHG Textfiels 3 3 3 2 7" xfId="4116" xr:uid="{2241F1CE-A98E-485A-8690-E3E087B2082F}"/>
    <cellStyle name="5x indented GHG Textfiels 3 3 3 2 8" xfId="4553" xr:uid="{420213AF-2408-4694-BD81-616DBD1ACDDC}"/>
    <cellStyle name="5x indented GHG Textfiels 3 3 3 2 9" xfId="4242" xr:uid="{07EEFAF8-6727-4C17-93D4-5F474BE67D65}"/>
    <cellStyle name="5x indented GHG Textfiels 3 3 3 20" xfId="10002" xr:uid="{C79B82E6-BE34-4305-BE03-9EF523A86A38}"/>
    <cellStyle name="5x indented GHG Textfiels 3 3 3 21" xfId="10427" xr:uid="{A4B72074-8AB1-4C26-8387-4FDFBCFDF98A}"/>
    <cellStyle name="5x indented GHG Textfiels 3 3 3 22" xfId="10922" xr:uid="{53A70F8D-DAF5-4EA8-A3BA-5E2972ECFD2E}"/>
    <cellStyle name="5x indented GHG Textfiels 3 3 3 23" xfId="11068" xr:uid="{86507492-3559-431D-A4F4-29F06F7D2D00}"/>
    <cellStyle name="5x indented GHG Textfiels 3 3 3 24" xfId="11936" xr:uid="{15F55451-C531-457E-913F-288621340A86}"/>
    <cellStyle name="5x indented GHG Textfiels 3 3 3 25" xfId="12409" xr:uid="{935F60AA-E0C9-4E4C-94FF-21435B4DF412}"/>
    <cellStyle name="5x indented GHG Textfiels 3 3 3 26" xfId="12843" xr:uid="{F8904205-DFAF-4A04-97BE-5F7D749F21CD}"/>
    <cellStyle name="5x indented GHG Textfiels 3 3 3 27" xfId="13280" xr:uid="{57FE8C55-F49E-4A34-AB33-31EBDE34E4B3}"/>
    <cellStyle name="5x indented GHG Textfiels 3 3 3 28" xfId="13739" xr:uid="{AC244A18-F5FE-49A6-AF0E-51DFB008FBC4}"/>
    <cellStyle name="5x indented GHG Textfiels 3 3 3 29" xfId="14128" xr:uid="{416C446D-FC3A-453D-95C0-B355FDC11294}"/>
    <cellStyle name="5x indented GHG Textfiels 3 3 3 3" xfId="1066" xr:uid="{660A40CF-BCED-4C51-9D63-FDE2F4492400}"/>
    <cellStyle name="5x indented GHG Textfiels 3 3 3 30" xfId="14888" xr:uid="{C134F864-606E-46DF-ADF1-5A588D925628}"/>
    <cellStyle name="5x indented GHG Textfiels 3 3 3 31" xfId="15322" xr:uid="{628CFE23-DAD9-4537-911C-7BD7B95A57E3}"/>
    <cellStyle name="5x indented GHG Textfiels 3 3 3 32" xfId="15108" xr:uid="{5949B8C4-BA87-4018-BE66-0E376E4D90E4}"/>
    <cellStyle name="5x indented GHG Textfiels 3 3 3 33" xfId="15857" xr:uid="{EB4E312E-C318-4698-89DB-39D5E4FDAA27}"/>
    <cellStyle name="5x indented GHG Textfiels 3 3 3 34" xfId="16628" xr:uid="{FE6BFCFA-660E-4335-9179-F14780D16A15}"/>
    <cellStyle name="5x indented GHG Textfiels 3 3 3 35" xfId="17118" xr:uid="{CD16833E-D981-42A3-9AC7-5D120F2AE526}"/>
    <cellStyle name="5x indented GHG Textfiels 3 3 3 36" xfId="17565" xr:uid="{0FB5EA35-DB1C-427A-8EC0-10B1547D17E5}"/>
    <cellStyle name="5x indented GHG Textfiels 3 3 3 37" xfId="16227" xr:uid="{614B92B4-8E9C-4E96-BDCC-3E2C219945DE}"/>
    <cellStyle name="5x indented GHG Textfiels 3 3 3 38" xfId="18446" xr:uid="{6C7307D2-14E2-4C90-B5CE-3955FAC65FBE}"/>
    <cellStyle name="5x indented GHG Textfiels 3 3 3 39" xfId="18828" xr:uid="{A183745B-553C-4B07-A4A0-21B2B13A5392}"/>
    <cellStyle name="5x indented GHG Textfiels 3 3 3 4" xfId="1612" xr:uid="{FF0E9ECD-1BF2-4780-82DB-6910233B072E}"/>
    <cellStyle name="5x indented GHG Textfiels 3 3 3 40" xfId="19300" xr:uid="{EF6211E0-BB2A-4327-8064-AD341D1D9615}"/>
    <cellStyle name="5x indented GHG Textfiels 3 3 3 41" xfId="19965" xr:uid="{684DE842-4453-4A9F-ACB8-E53259FA7B1F}"/>
    <cellStyle name="5x indented GHG Textfiels 3 3 3 42" xfId="20471" xr:uid="{EB50050B-136E-40C1-ABEC-5048EEB518AE}"/>
    <cellStyle name="5x indented GHG Textfiels 3 3 3 43" xfId="20924" xr:uid="{E941D0D0-74B0-4894-B1EE-DFDCCF523F38}"/>
    <cellStyle name="5x indented GHG Textfiels 3 3 3 44" xfId="21449" xr:uid="{37AD9866-625C-4CF5-97E1-6275F4F30173}"/>
    <cellStyle name="5x indented GHG Textfiels 3 3 3 45" xfId="21853" xr:uid="{B496BBAC-3A72-42AB-8B38-E9EFBCB54A34}"/>
    <cellStyle name="5x indented GHG Textfiels 3 3 3 46" xfId="22290" xr:uid="{E8E50C0D-1238-45A7-9385-AF273A030ADE}"/>
    <cellStyle name="5x indented GHG Textfiels 3 3 3 47" xfId="22734" xr:uid="{432FBC46-1586-4D21-8E08-9028C458C7A5}"/>
    <cellStyle name="5x indented GHG Textfiels 3 3 3 48" xfId="23101" xr:uid="{A49EE1B6-976B-4754-9A91-4AFD427665E2}"/>
    <cellStyle name="5x indented GHG Textfiels 3 3 3 49" xfId="23490" xr:uid="{5CAA8A59-3A12-41FB-8377-4EEB0E93ED40}"/>
    <cellStyle name="5x indented GHG Textfiels 3 3 3 5" xfId="2405" xr:uid="{B2DB42FE-887A-4D29-8982-526679493CEB}"/>
    <cellStyle name="5x indented GHG Textfiels 3 3 3 50" xfId="23774" xr:uid="{6F0375D9-4EF3-44A8-BCD9-0BF53414EF9E}"/>
    <cellStyle name="5x indented GHG Textfiels 3 3 3 51" xfId="24673" xr:uid="{9263B69A-0EA3-4DB4-9D01-BC98CE2E04AF}"/>
    <cellStyle name="5x indented GHG Textfiels 3 3 3 52" xfId="25179" xr:uid="{1A8B6E4B-9AEC-4093-93B6-A4A80212FA53}"/>
    <cellStyle name="5x indented GHG Textfiels 3 3 3 53" xfId="25591" xr:uid="{74FAEE8F-C112-440C-B2A2-D9258B516748}"/>
    <cellStyle name="5x indented GHG Textfiels 3 3 3 54" xfId="26039" xr:uid="{DFA8C329-AC76-4CFE-A1D1-B78FD50C11A2}"/>
    <cellStyle name="5x indented GHG Textfiels 3 3 3 55" xfId="26480" xr:uid="{A36A3BB6-57CB-4292-9530-46FFC99C41DD}"/>
    <cellStyle name="5x indented GHG Textfiels 3 3 3 56" xfId="26881" xr:uid="{1B134BB4-BE9F-4647-9384-1796410248B2}"/>
    <cellStyle name="5x indented GHG Textfiels 3 3 3 57" xfId="27300" xr:uid="{19340406-D822-4FE6-9E1D-F604B27F30A2}"/>
    <cellStyle name="5x indented GHG Textfiels 3 3 3 58" xfId="26116" xr:uid="{0E19DDB5-E6D2-4651-8F92-C13BD037A44B}"/>
    <cellStyle name="5x indented GHG Textfiels 3 3 3 59" xfId="28423" xr:uid="{3010594C-DFC5-4127-AEBC-5428109B2216}"/>
    <cellStyle name="5x indented GHG Textfiels 3 3 3 6" xfId="2904" xr:uid="{3B87DDC0-7FE7-4434-941A-4B6FB3A3D489}"/>
    <cellStyle name="5x indented GHG Textfiels 3 3 3 60" xfId="28891" xr:uid="{BD01D9F4-B069-4F75-9644-A6767E3FF12D}"/>
    <cellStyle name="5x indented GHG Textfiels 3 3 3 61" xfId="29326" xr:uid="{E88A9066-2AAA-4F53-A68A-C9910F65F82C}"/>
    <cellStyle name="5x indented GHG Textfiels 3 3 3 62" xfId="29681" xr:uid="{6E648F44-112A-43AF-A4EB-0F8885896E77}"/>
    <cellStyle name="5x indented GHG Textfiels 3 3 3 63" xfId="30089" xr:uid="{DA0186E7-FE20-4C6B-8610-E5C6835EC92D}"/>
    <cellStyle name="5x indented GHG Textfiels 3 3 3 64" xfId="30503" xr:uid="{544AF881-7811-4E5D-81B1-14B3D400D464}"/>
    <cellStyle name="5x indented GHG Textfiels 3 3 3 65" xfId="30850" xr:uid="{3559C591-664C-4540-AFB1-9ECAA1732E82}"/>
    <cellStyle name="5x indented GHG Textfiels 3 3 3 66" xfId="31127" xr:uid="{A3535B53-C280-4429-A6CA-56DCABF340DE}"/>
    <cellStyle name="5x indented GHG Textfiels 3 3 3 7" xfId="3429" xr:uid="{FB15E154-6A07-4A75-A49D-C92D25C40660}"/>
    <cellStyle name="5x indented GHG Textfiels 3 3 3 8" xfId="3901" xr:uid="{72827D70-F095-4C84-B10A-5301642154D7}"/>
    <cellStyle name="5x indented GHG Textfiels 3 3 3 9" xfId="4339" xr:uid="{989F1D84-0FC9-426E-A6A6-A99575E4F25F}"/>
    <cellStyle name="5x indented GHG Textfiels 3 3 30" xfId="11654" xr:uid="{DB7D7DB8-F75E-456E-B9CC-78232525F7FF}"/>
    <cellStyle name="5x indented GHG Textfiels 3 3 31" xfId="13952" xr:uid="{EBE33521-DC2A-4568-AEE1-F22F6C85868D}"/>
    <cellStyle name="5x indented GHG Textfiels 3 3 32" xfId="14385" xr:uid="{C2D9E348-6A72-42A3-B98D-1BB893D22B79}"/>
    <cellStyle name="5x indented GHG Textfiels 3 3 33" xfId="11716" xr:uid="{5B987670-1685-4913-B80B-55A73161BBD2}"/>
    <cellStyle name="5x indented GHG Textfiels 3 3 34" xfId="15017" xr:uid="{8A15A157-F5EA-4303-9B25-324A803328A3}"/>
    <cellStyle name="5x indented GHG Textfiels 3 3 35" xfId="15240" xr:uid="{44217B54-2C94-4D5B-A6DB-76038E0D443F}"/>
    <cellStyle name="5x indented GHG Textfiels 3 3 36" xfId="15844" xr:uid="{71BC67FA-10AB-41B6-99ED-8CFA44CF0876}"/>
    <cellStyle name="5x indented GHG Textfiels 3 3 37" xfId="16398" xr:uid="{07CBC603-3B58-4307-B5DA-245F11D2296E}"/>
    <cellStyle name="5x indented GHG Textfiels 3 3 38" xfId="17103" xr:uid="{1D064DE1-0B99-408E-A60C-1E13885FF9BD}"/>
    <cellStyle name="5x indented GHG Textfiels 3 3 39" xfId="17550" xr:uid="{9B61CA15-AF7C-480D-936E-80035A1BD925}"/>
    <cellStyle name="5x indented GHG Textfiels 3 3 4" xfId="667" xr:uid="{B386C1A4-0774-461C-A62D-7C3D63E3F127}"/>
    <cellStyle name="5x indented GHG Textfiels 3 3 4 10" xfId="2156" xr:uid="{3F554605-6206-4C8B-9049-9E70D07AA47C}"/>
    <cellStyle name="5x indented GHG Textfiels 3 3 4 11" xfId="5315" xr:uid="{FB366914-3923-4557-A161-CB0A282B3CD1}"/>
    <cellStyle name="5x indented GHG Textfiels 3 3 4 12" xfId="5858" xr:uid="{067A3707-BDDF-448C-878F-9C4D77CE16BB}"/>
    <cellStyle name="5x indented GHG Textfiels 3 3 4 13" xfId="6089" xr:uid="{20FCCFF3-133B-4138-86C9-8FE9626B9E01}"/>
    <cellStyle name="5x indented GHG Textfiels 3 3 4 14" xfId="6454" xr:uid="{80D46F55-4C62-43BC-A2D9-5C67FF4D5BF8}"/>
    <cellStyle name="5x indented GHG Textfiels 3 3 4 15" xfId="7387" xr:uid="{C760BBBF-399A-466A-9B59-A84C30C25176}"/>
    <cellStyle name="5x indented GHG Textfiels 3 3 4 16" xfId="6977" xr:uid="{AE4310A6-187C-4230-BF1D-FF8438AF5352}"/>
    <cellStyle name="5x indented GHG Textfiels 3 3 4 17" xfId="8224" xr:uid="{D9DE6A78-BDA4-4F91-943C-827DEB9E77B3}"/>
    <cellStyle name="5x indented GHG Textfiels 3 3 4 18" xfId="8887" xr:uid="{85533998-65DA-469C-8352-8CC75355BD46}"/>
    <cellStyle name="5x indented GHG Textfiels 3 3 4 19" xfId="9601" xr:uid="{C45B063D-34D8-454C-B72A-E274C5D77EC0}"/>
    <cellStyle name="5x indented GHG Textfiels 3 3 4 2" xfId="882" xr:uid="{DA61810E-7D56-49A0-8959-DBF88982A3F2}"/>
    <cellStyle name="5x indented GHG Textfiels 3 3 4 2 10" xfId="5530" xr:uid="{C6304CDB-3F7C-4A27-A563-66D04C9DFB89}"/>
    <cellStyle name="5x indented GHG Textfiels 3 3 4 2 11" xfId="6024" xr:uid="{8AC93B26-6585-492A-8214-7D1AC73E27D0}"/>
    <cellStyle name="5x indented GHG Textfiels 3 3 4 2 12" xfId="6383" xr:uid="{EF7BF0AD-1B8A-45B7-9817-69C24E814E19}"/>
    <cellStyle name="5x indented GHG Textfiels 3 3 4 2 13" xfId="6721" xr:uid="{15465809-8293-4428-9E5B-15E82B2C421E}"/>
    <cellStyle name="5x indented GHG Textfiels 3 3 4 2 14" xfId="7602" xr:uid="{7581B5D5-CF0B-41C8-A68E-871EC76D44D5}"/>
    <cellStyle name="5x indented GHG Textfiels 3 3 4 2 15" xfId="8066" xr:uid="{32EABB3F-7C73-44CB-AA93-BA410B51CD44}"/>
    <cellStyle name="5x indented GHG Textfiels 3 3 4 2 16" xfId="8675" xr:uid="{EE795BD9-EFDC-48E6-AF36-BED953337978}"/>
    <cellStyle name="5x indented GHG Textfiels 3 3 4 2 17" xfId="8934" xr:uid="{0B7E3F81-000F-4CA4-BEF3-EEB2A02C5AC8}"/>
    <cellStyle name="5x indented GHG Textfiels 3 3 4 2 18" xfId="9816" xr:uid="{691036E0-6F3B-4A15-8B3A-5FD3AFC8462B}"/>
    <cellStyle name="5x indented GHG Textfiels 3 3 4 2 19" xfId="10285" xr:uid="{718FD8CC-C160-4E2A-BFFA-DF4202865800}"/>
    <cellStyle name="5x indented GHG Textfiels 3 3 4 2 2" xfId="1356" xr:uid="{35093040-1266-4932-8A03-3C62F43F6935}"/>
    <cellStyle name="5x indented GHG Textfiels 3 3 4 2 20" xfId="10679" xr:uid="{1C19E4A1-7D38-4C70-BDD3-6A5B24086E92}"/>
    <cellStyle name="5x indented GHG Textfiels 3 3 4 2 21" xfId="11028" xr:uid="{B8378D14-029E-4D4D-B399-177E4B953DFC}"/>
    <cellStyle name="5x indented GHG Textfiels 3 3 4 2 22" xfId="11338" xr:uid="{30851A9F-B6E0-4647-BAFC-AE028F9F922B}"/>
    <cellStyle name="5x indented GHG Textfiels 3 3 4 2 23" xfId="12235" xr:uid="{653DFC75-DA97-44DC-9DBC-81FD2C8E2AF7}"/>
    <cellStyle name="5x indented GHG Textfiels 3 3 4 2 24" xfId="12708" xr:uid="{4019330A-39A5-41D3-9676-E422A83AF855}"/>
    <cellStyle name="5x indented GHG Textfiels 3 3 4 2 25" xfId="13142" xr:uid="{48C4DE3D-1A01-468B-B633-3685EF8F2223}"/>
    <cellStyle name="5x indented GHG Textfiels 3 3 4 2 26" xfId="13579" xr:uid="{46D3EC34-C19A-4C2F-AD90-03D287B4D94E}"/>
    <cellStyle name="5x indented GHG Textfiels 3 3 4 2 27" xfId="14051" xr:uid="{105A1815-4E55-4692-9380-3C1812306CB8}"/>
    <cellStyle name="5x indented GHG Textfiels 3 3 4 2 28" xfId="14498" xr:uid="{867E9DF4-46D2-41E5-8425-98BB67ADA40E}"/>
    <cellStyle name="5x indented GHG Textfiels 3 3 4 2 29" xfId="14932" xr:uid="{F152370D-891D-46B9-9440-8CB3B7F65805}"/>
    <cellStyle name="5x indented GHG Textfiels 3 3 4 2 3" xfId="1805" xr:uid="{56F07873-F359-430B-A518-C59E81D1BBBF}"/>
    <cellStyle name="5x indented GHG Textfiels 3 3 4 2 30" xfId="15402" xr:uid="{23F382F6-234B-41FB-A33E-32215E329854}"/>
    <cellStyle name="5x indented GHG Textfiels 3 3 4 2 31" xfId="15792" xr:uid="{1FA55AC6-E867-4981-939E-9700F15B91F5}"/>
    <cellStyle name="5x indented GHG Textfiels 3 3 4 2 32" xfId="16014" xr:uid="{09B9DF47-F72E-453F-8488-A23E22F829F2}"/>
    <cellStyle name="5x indented GHG Textfiels 3 3 4 2 33" xfId="16927" xr:uid="{E94C3F54-B4C2-41D6-92B1-01D0302FF7A5}"/>
    <cellStyle name="5x indented GHG Textfiels 3 3 4 2 34" xfId="17408" xr:uid="{2206E05C-7AAA-4990-9E26-5B9C4D294A1A}"/>
    <cellStyle name="5x indented GHG Textfiels 3 3 4 2 35" xfId="17849" xr:uid="{B908E3CD-D455-448A-9072-78B8510095E6}"/>
    <cellStyle name="5x indented GHG Textfiels 3 3 4 2 36" xfId="18324" xr:uid="{FE0DB011-7B70-49CC-8B79-31C604B1FB96}"/>
    <cellStyle name="5x indented GHG Textfiels 3 3 4 2 37" xfId="18745" xr:uid="{18E8D866-DCE4-4EDA-8910-A235231D9821}"/>
    <cellStyle name="5x indented GHG Textfiels 3 3 4 2 38" xfId="19132" xr:uid="{11E89354-28B3-4870-8598-63A36A882E21}"/>
    <cellStyle name="5x indented GHG Textfiels 3 3 4 2 39" xfId="19362" xr:uid="{73BAC417-9336-46F0-9206-D85D2DA11F05}"/>
    <cellStyle name="5x indented GHG Textfiels 3 3 4 2 4" xfId="2704" xr:uid="{EED21217-9F61-4672-9101-D9D61CAA0BD5}"/>
    <cellStyle name="5x indented GHG Textfiels 3 3 4 2 40" xfId="20264" xr:uid="{DD5D8ECB-B1E9-4A46-B538-6B1B1C8795AF}"/>
    <cellStyle name="5x indented GHG Textfiels 3 3 4 2 41" xfId="20757" xr:uid="{9B68EDD6-6172-4B31-BD45-5F01024BD45D}"/>
    <cellStyle name="5x indented GHG Textfiels 3 3 4 2 42" xfId="21216" xr:uid="{FF14B42D-048F-48F2-92F8-7548A13B9D5F}"/>
    <cellStyle name="5x indented GHG Textfiels 3 3 4 2 43" xfId="21708" xr:uid="{4F618F3E-1155-41C6-A721-46323934B9FB}"/>
    <cellStyle name="5x indented GHG Textfiels 3 3 4 2 44" xfId="22147" xr:uid="{977A2166-EE0D-4A9C-AFE3-337F48D85736}"/>
    <cellStyle name="5x indented GHG Textfiels 3 3 4 2 45" xfId="22574" xr:uid="{7A3D6E64-0D82-4321-A4F7-30414DE0E4A7}"/>
    <cellStyle name="5x indented GHG Textfiels 3 3 4 2 46" xfId="23019" xr:uid="{C7C69020-7FDB-437D-938D-1419AEEB3C6D}"/>
    <cellStyle name="5x indented GHG Textfiels 3 3 4 2 47" xfId="23421" xr:uid="{9393640D-A51B-4620-A62C-F6D3349C8E8B}"/>
    <cellStyle name="5x indented GHG Textfiels 3 3 4 2 48" xfId="23684" xr:uid="{3D23857F-0E4A-42D4-861D-5895F1CAD7D0}"/>
    <cellStyle name="5x indented GHG Textfiels 3 3 4 2 49" xfId="24064" xr:uid="{52C88E9E-25D8-49C4-866A-82BC9B10FDF7}"/>
    <cellStyle name="5x indented GHG Textfiels 3 3 4 2 5" xfId="3224" xr:uid="{92C221BD-D582-4DCF-93CC-41D825D1486B}"/>
    <cellStyle name="5x indented GHG Textfiels 3 3 4 2 50" xfId="24972" xr:uid="{A30BC1A5-78E4-41C6-AC7C-DD009C135CB7}"/>
    <cellStyle name="5x indented GHG Textfiels 3 3 4 2 51" xfId="25460" xr:uid="{F0AD0562-541B-4434-A834-360D5E7E5049}"/>
    <cellStyle name="5x indented GHG Textfiels 3 3 4 2 52" xfId="25888" xr:uid="{0BF81203-DA2B-4183-B1DD-AA7CE55F894A}"/>
    <cellStyle name="5x indented GHG Textfiels 3 3 4 2 53" xfId="26326" xr:uid="{16ECD82A-ABFE-4E76-8E2E-5376BCB23756}"/>
    <cellStyle name="5x indented GHG Textfiels 3 3 4 2 54" xfId="26755" xr:uid="{A8F6E1D3-E928-41A9-99FF-0C72B3463B08}"/>
    <cellStyle name="5x indented GHG Textfiels 3 3 4 2 55" xfId="27176" xr:uid="{7D22C8D2-114E-4BF8-8721-D9C1041B4FEC}"/>
    <cellStyle name="5x indented GHG Textfiels 3 3 4 2 56" xfId="27595" xr:uid="{E775B148-74C6-4CDB-9329-CF3C07BAF850}"/>
    <cellStyle name="5x indented GHG Textfiels 3 3 4 2 57" xfId="27833" xr:uid="{048B44A7-4747-4603-8B9F-842A4AEA2B0C}"/>
    <cellStyle name="5x indented GHG Textfiels 3 3 4 2 58" xfId="28722" xr:uid="{B366F4A7-9F2C-401B-AA81-25ACA637CE9D}"/>
    <cellStyle name="5x indented GHG Textfiels 3 3 4 2 59" xfId="29189" xr:uid="{AAE28691-D6F6-4C4F-8683-9EA072861AA6}"/>
    <cellStyle name="5x indented GHG Textfiels 3 3 4 2 6" xfId="3779" xr:uid="{78609E81-0C97-48E6-A4D6-15504873D2D5}"/>
    <cellStyle name="5x indented GHG Textfiels 3 3 4 2 60" xfId="29571" xr:uid="{2F67B600-690A-4156-9FFE-356F907EDF3D}"/>
    <cellStyle name="5x indented GHG Textfiels 3 3 4 2 61" xfId="29978" xr:uid="{212183BF-0290-46EF-B004-C9392D3C02A7}"/>
    <cellStyle name="5x indented GHG Textfiels 3 3 4 2 62" xfId="30384" xr:uid="{446D81FC-FA79-4FDF-9559-2A29D3EFD1E3}"/>
    <cellStyle name="5x indented GHG Textfiels 3 3 4 2 63" xfId="30801" xr:uid="{577AF36B-EFCD-4F87-8898-5AF7E69E48F8}"/>
    <cellStyle name="5x indented GHG Textfiels 3 3 4 2 64" xfId="31046" xr:uid="{E64426C8-08FA-4B5C-BFEA-0129BC91C432}"/>
    <cellStyle name="5x indented GHG Textfiels 3 3 4 2 65" xfId="31417" xr:uid="{736D2191-DD8F-4A81-A103-488C8DB3F9E9}"/>
    <cellStyle name="5x indented GHG Textfiels 3 3 4 2 7" xfId="4200" xr:uid="{7C0A876C-B8BE-40C6-9B54-62E387299F4E}"/>
    <cellStyle name="5x indented GHG Textfiels 3 3 4 2 8" xfId="4637" xr:uid="{87DEF3B5-DE0F-4DAB-8FB6-12362433ACDB}"/>
    <cellStyle name="5x indented GHG Textfiels 3 3 4 2 9" xfId="5083" xr:uid="{6E40ADD0-01F9-4B55-9DF2-AAC2FDB1A702}"/>
    <cellStyle name="5x indented GHG Textfiels 3 3 4 20" xfId="9318" xr:uid="{F3AB6B6A-E754-45D4-8AD1-BD8737D3FF26}"/>
    <cellStyle name="5x indented GHG Textfiels 3 3 4 21" xfId="9882" xr:uid="{05F03000-71BA-42C2-BFD1-0A1A4F9C60B0}"/>
    <cellStyle name="5x indented GHG Textfiels 3 3 4 22" xfId="10804" xr:uid="{EF0464BB-A294-4218-9756-096DBE4CB05C}"/>
    <cellStyle name="5x indented GHG Textfiels 3 3 4 23" xfId="9231" xr:uid="{2147FC53-0C24-4083-8DDA-FE9EDFF3FA8B}"/>
    <cellStyle name="5x indented GHG Textfiels 3 3 4 24" xfId="12020" xr:uid="{773742C5-B6A9-400E-82A1-043990F64ED3}"/>
    <cellStyle name="5x indented GHG Textfiels 3 3 4 25" xfId="12493" xr:uid="{9D4D30DD-62FB-4112-84EC-EA486D65CFA8}"/>
    <cellStyle name="5x indented GHG Textfiels 3 3 4 26" xfId="12927" xr:uid="{F53E3C0E-B10A-4671-9CC6-26720CB905FE}"/>
    <cellStyle name="5x indented GHG Textfiels 3 3 4 27" xfId="13364" xr:uid="{5E611FB2-1691-4915-8073-6B683896E78D}"/>
    <cellStyle name="5x indented GHG Textfiels 3 3 4 28" xfId="13696" xr:uid="{8A9E6F16-676C-4BBB-B196-502E13966350}"/>
    <cellStyle name="5x indented GHG Textfiels 3 3 4 29" xfId="14457" xr:uid="{2C9E0871-F8DA-4C47-9022-779ADC001AC4}"/>
    <cellStyle name="5x indented GHG Textfiels 3 3 4 3" xfId="1150" xr:uid="{1424F3A3-1648-4EC7-9F98-0D0780F35927}"/>
    <cellStyle name="5x indented GHG Textfiels 3 3 4 30" xfId="14083" xr:uid="{9BFED7D7-9F1F-47FE-BA8F-4D73F8CE9340}"/>
    <cellStyle name="5x indented GHG Textfiels 3 3 4 31" xfId="14731" xr:uid="{3166CD1A-65E3-4E6D-B6DF-ACC7C9791B80}"/>
    <cellStyle name="5x indented GHG Textfiels 3 3 4 32" xfId="15265" xr:uid="{5072A528-C2CD-4DC2-8808-E344327B37A6}"/>
    <cellStyle name="5x indented GHG Textfiels 3 3 4 33" xfId="14461" xr:uid="{163670FD-074D-4B05-9488-1C79BA7C8DF8}"/>
    <cellStyle name="5x indented GHG Textfiels 3 3 4 34" xfId="16712" xr:uid="{E5A86CDF-BA73-4BF5-99EC-295F3708A3C7}"/>
    <cellStyle name="5x indented GHG Textfiels 3 3 4 35" xfId="16297" xr:uid="{7F9A0475-98DE-4D73-BD53-586913575C67}"/>
    <cellStyle name="5x indented GHG Textfiels 3 3 4 36" xfId="17098" xr:uid="{E2969434-49CE-439B-89E6-22C4E5B8FDEB}"/>
    <cellStyle name="5x indented GHG Textfiels 3 3 4 37" xfId="17687" xr:uid="{9BC491C9-34AB-41BD-85D6-57FED3E23FCC}"/>
    <cellStyle name="5x indented GHG Textfiels 3 3 4 38" xfId="18530" xr:uid="{619BB78D-879D-4CA8-831D-2A54F7002600}"/>
    <cellStyle name="5x indented GHG Textfiels 3 3 4 39" xfId="18971" xr:uid="{D39B7AB5-4DCF-4EB3-ABCD-D8DE0930CCB2}"/>
    <cellStyle name="5x indented GHG Textfiels 3 3 4 4" xfId="1724" xr:uid="{2C4B83FE-E930-4ED6-92F5-5AE3301A05F8}"/>
    <cellStyle name="5x indented GHG Textfiels 3 3 4 40" xfId="19318" xr:uid="{34B20C3F-EFD4-4602-BED2-2FD7B217E5E3}"/>
    <cellStyle name="5x indented GHG Textfiels 3 3 4 41" xfId="20049" xr:uid="{E63D5D9B-2E7D-40D8-920E-34370C6325BE}"/>
    <cellStyle name="5x indented GHG Textfiels 3 3 4 42" xfId="19627" xr:uid="{9B441F24-613E-48D8-BB19-F528769610F1}"/>
    <cellStyle name="5x indented GHG Textfiels 3 3 4 43" xfId="20323" xr:uid="{FB845029-3644-43BD-B32F-9D8ECF11D71C}"/>
    <cellStyle name="5x indented GHG Textfiels 3 3 4 44" xfId="20347" xr:uid="{F352560C-DEDF-44CD-A69C-3D5237290930}"/>
    <cellStyle name="5x indented GHG Textfiels 3 3 4 45" xfId="20442" xr:uid="{F99D6D95-1D69-4542-8309-A4D458AF928F}"/>
    <cellStyle name="5x indented GHG Textfiels 3 3 4 46" xfId="20627" xr:uid="{4B4DE7EA-5087-4B7E-B583-ABD7DE68C4BD}"/>
    <cellStyle name="5x indented GHG Textfiels 3 3 4 47" xfId="22693" xr:uid="{C6B0F248-A6A6-45AD-8CDA-430AF11E1E03}"/>
    <cellStyle name="5x indented GHG Textfiels 3 3 4 48" xfId="23257" xr:uid="{A00E01A5-3F43-44D8-B66F-6F89F429F62C}"/>
    <cellStyle name="5x indented GHG Textfiels 3 3 4 49" xfId="23140" xr:uid="{C303527E-3079-47E9-A983-B6E9DC7DAD69}"/>
    <cellStyle name="5x indented GHG Textfiels 3 3 4 5" xfId="2489" xr:uid="{D94ACD7E-2F69-44D3-9963-86D347110BC5}"/>
    <cellStyle name="5x indented GHG Textfiels 3 3 4 50" xfId="23858" xr:uid="{7EDB8E01-3090-4A29-AD27-5091590A162A}"/>
    <cellStyle name="5x indented GHG Textfiels 3 3 4 51" xfId="24757" xr:uid="{0D816FB0-7F45-40B1-A0AD-B65B11DA6D28}"/>
    <cellStyle name="5x indented GHG Textfiels 3 3 4 52" xfId="24985" xr:uid="{4E79751E-26CF-41A7-9658-ED0BA5E4423D}"/>
    <cellStyle name="5x indented GHG Textfiels 3 3 4 53" xfId="25675" xr:uid="{7358529E-7677-43F2-B864-F3D6DF3B48BC}"/>
    <cellStyle name="5x indented GHG Textfiels 3 3 4 54" xfId="25998" xr:uid="{AD7527DF-DB00-49BA-8953-603EE6A1E17C}"/>
    <cellStyle name="5x indented GHG Textfiels 3 3 4 55" xfId="24296" xr:uid="{530DB1DE-BA2F-4E13-9CE5-79F1F284578D}"/>
    <cellStyle name="5x indented GHG Textfiels 3 3 4 56" xfId="26965" xr:uid="{E92E953C-F526-42AB-8E0A-BEBF05F39563}"/>
    <cellStyle name="5x indented GHG Textfiels 3 3 4 57" xfId="27384" xr:uid="{1653617D-9F6F-46C0-A6FA-9754CB0F9AAD}"/>
    <cellStyle name="5x indented GHG Textfiels 3 3 4 58" xfId="27774" xr:uid="{7DEA3E0D-1F72-4EEA-88E8-D6F1A4B5B593}"/>
    <cellStyle name="5x indented GHG Textfiels 3 3 4 59" xfId="28507" xr:uid="{3C3B7275-179D-4F29-8D5E-D7EA71E1F6AA}"/>
    <cellStyle name="5x indented GHG Textfiels 3 3 4 6" xfId="2861" xr:uid="{E0AAB7B1-BD83-4BFC-9BAF-8DEE7A5E6B13}"/>
    <cellStyle name="5x indented GHG Textfiels 3 3 4 60" xfId="28975" xr:uid="{0162BDD5-A8A0-40E6-A786-A8A524805C8E}"/>
    <cellStyle name="5x indented GHG Textfiels 3 3 4 61" xfId="28038" xr:uid="{7742F546-C62E-4214-AA83-6F37E741D597}"/>
    <cellStyle name="5x indented GHG Textfiels 3 3 4 62" xfId="29765" xr:uid="{6481CE6F-DFB4-4053-A6E3-6D1B3FF0DB14}"/>
    <cellStyle name="5x indented GHG Textfiels 3 3 4 63" xfId="30173" xr:uid="{591DC928-0FBF-4AA0-857C-75AD1DEB39D3}"/>
    <cellStyle name="5x indented GHG Textfiels 3 3 4 64" xfId="30587" xr:uid="{4B6C0BEA-491D-4E97-9A5B-2537CAD5D2AB}"/>
    <cellStyle name="5x indented GHG Textfiels 3 3 4 65" xfId="30930" xr:uid="{2853DF3F-1177-4722-80E0-6EB3D0F6E65B}"/>
    <cellStyle name="5x indented GHG Textfiels 3 3 4 66" xfId="31211" xr:uid="{BF431F00-B812-4D8C-B4FC-5276CF588BA3}"/>
    <cellStyle name="5x indented GHG Textfiels 3 3 4 7" xfId="3312" xr:uid="{C536E9B9-2548-42F9-8988-EFBF7BE7C656}"/>
    <cellStyle name="5x indented GHG Textfiels 3 3 4 8" xfId="3985" xr:uid="{4F10CA78-A8A4-4F78-8F8B-4172CD2B2BBA}"/>
    <cellStyle name="5x indented GHG Textfiels 3 3 4 9" xfId="4423" xr:uid="{FB736EEE-93E7-4E7E-B6D3-E959E84B17B6}"/>
    <cellStyle name="5x indented GHG Textfiels 3 3 40" xfId="17660" xr:uid="{9FA82520-E94C-4FCC-8796-EB423F2815B4}"/>
    <cellStyle name="5x indented GHG Textfiels 3 3 41" xfId="18218" xr:uid="{5A4D0CCE-68D2-4F6D-A525-9A0DF513F225}"/>
    <cellStyle name="5x indented GHG Textfiels 3 3 42" xfId="17446" xr:uid="{FF567AA6-4A46-400C-8116-87B19C4DD206}"/>
    <cellStyle name="5x indented GHG Textfiels 3 3 43" xfId="19188" xr:uid="{832F8636-CCDD-4203-8265-03A7FB9CEA0B}"/>
    <cellStyle name="5x indented GHG Textfiels 3 3 44" xfId="19733" xr:uid="{7F4D6D90-DF22-4E5A-A7A2-B1334E29ADCE}"/>
    <cellStyle name="5x indented GHG Textfiels 3 3 45" xfId="20456" xr:uid="{DB3E0AAE-335A-4B60-8306-82A018D22BC0}"/>
    <cellStyle name="5x indented GHG Textfiels 3 3 46" xfId="20909" xr:uid="{8D7851C1-03FF-4D18-86A7-C9477CFCC9DF}"/>
    <cellStyle name="5x indented GHG Textfiels 3 3 47" xfId="21290" xr:uid="{1961BD8B-D352-4F23-B1CC-63F150C0B66A}"/>
    <cellStyle name="5x indented GHG Textfiels 3 3 48" xfId="21838" xr:uid="{D3E48E59-115B-4849-ACD4-211EE03A8E3E}"/>
    <cellStyle name="5x indented GHG Textfiels 3 3 49" xfId="22275" xr:uid="{EFD77503-AC5C-4281-BFD3-2195B8BA0954}"/>
    <cellStyle name="5x indented GHG Textfiels 3 3 5" xfId="704" xr:uid="{B336D516-0C59-4D60-BC6C-54FC64EA3937}"/>
    <cellStyle name="5x indented GHG Textfiels 3 3 5 2" xfId="5352" xr:uid="{32D2EAEF-8AC0-481A-9892-91787C65F446}"/>
    <cellStyle name="5x indented GHG Textfiels 3 3 5 3" xfId="17014" xr:uid="{0B163F2D-9BDE-4B0E-8737-D913AB84DF1D}"/>
    <cellStyle name="5x indented GHG Textfiels 3 3 50" xfId="22926" xr:uid="{24A33F96-7EEF-45A6-BDF8-796977436C95}"/>
    <cellStyle name="5x indented GHG Textfiels 3 3 51" xfId="22845" xr:uid="{457EF8FE-61BC-45A2-BFD5-471E92A35DC1}"/>
    <cellStyle name="5x indented GHG Textfiels 3 3 52" xfId="22270" xr:uid="{77695382-57AF-47AB-BC14-BDE15688D900}"/>
    <cellStyle name="5x indented GHG Textfiels 3 3 53" xfId="23515" xr:uid="{A26E6FB7-1EF5-4685-B86B-DA1203EEDEE0}"/>
    <cellStyle name="5x indented GHG Textfiels 3 3 54" xfId="24448" xr:uid="{CC059F25-4848-4E62-8203-3AD0CC483220}"/>
    <cellStyle name="5x indented GHG Textfiels 3 3 55" xfId="25164" xr:uid="{681E68B1-DB96-495B-8A50-96F4A29729E9}"/>
    <cellStyle name="5x indented GHG Textfiels 3 3 56" xfId="24455" xr:uid="{1F592428-8C03-4D7A-9988-50B5BF9815FE}"/>
    <cellStyle name="5x indented GHG Textfiels 3 3 57" xfId="26233" xr:uid="{FCC9BC10-4916-4F0A-A578-D2D6E50CF829}"/>
    <cellStyle name="5x indented GHG Textfiels 3 3 58" xfId="26476" xr:uid="{122EA262-8264-4C56-9022-ABBBD38621B3}"/>
    <cellStyle name="5x indented GHG Textfiels 3 3 59" xfId="26457" xr:uid="{CA56693C-F2B1-46BC-80A6-3A68C6EA7A76}"/>
    <cellStyle name="5x indented GHG Textfiels 3 3 6" xfId="974" xr:uid="{BB1B997E-DADF-469A-9DCE-FFFBF2BA54C1}"/>
    <cellStyle name="5x indented GHG Textfiels 3 3 60" xfId="26343" xr:uid="{C5F4BE00-DE17-4730-92DA-8E33F853539C}"/>
    <cellStyle name="5x indented GHG Textfiels 3 3 61" xfId="27690" xr:uid="{B76AEE12-4CA7-4C96-A166-9C553D37499F}"/>
    <cellStyle name="5x indented GHG Textfiels 3 3 62" xfId="28214" xr:uid="{C08B9CF1-1016-430E-B3F0-57F5927EB613}"/>
    <cellStyle name="5x indented GHG Textfiels 3 3 63" xfId="28130" xr:uid="{1DA9F1DC-E62B-4D87-BA93-EEF511456046}"/>
    <cellStyle name="5x indented GHG Textfiels 3 3 64" xfId="29312" xr:uid="{037CDB87-DC1C-45AF-B9C9-B1E20FA501A3}"/>
    <cellStyle name="5x indented GHG Textfiels 3 3 65" xfId="28164" xr:uid="{F3042EE4-E953-4073-B835-AE36AEE9E5D2}"/>
    <cellStyle name="5x indented GHG Textfiels 3 3 66" xfId="27911" xr:uid="{6F8FAE70-D7B7-4985-8FC6-C4D21521475A}"/>
    <cellStyle name="5x indented GHG Textfiels 3 3 67" xfId="28540" xr:uid="{ACA7CCE5-3210-42A7-B48C-1110DBF78274}"/>
    <cellStyle name="5x indented GHG Textfiels 3 3 68" xfId="28758" xr:uid="{2AF4F8B1-85A8-44BA-A860-32CDD0319A4C}"/>
    <cellStyle name="5x indented GHG Textfiels 3 3 69" xfId="28067" xr:uid="{07D71708-EA72-4C39-8796-CD010AE83557}"/>
    <cellStyle name="5x indented GHG Textfiels 3 3 7" xfId="1758" xr:uid="{42237DF0-05F0-49E1-BF7A-7B9BEA7CC6E8}"/>
    <cellStyle name="5x indented GHG Textfiels 3 3 8" xfId="2172" xr:uid="{8A5A521C-4FE6-4D8B-A83C-01633CF05C1F}"/>
    <cellStyle name="5x indented GHG Textfiels 3 3 9" xfId="3121" xr:uid="{1CDAA912-7AE4-4713-9892-B1D6AFE15244}"/>
    <cellStyle name="5x indented GHG Textfiels_Table 4(II)" xfId="191" xr:uid="{FF0E2976-742B-48E3-8234-3B5986D449B9}"/>
    <cellStyle name="60 % - Akzent1" xfId="52" hidden="1" xr:uid="{B6CB9620-4AFB-4C2E-8B84-B0063CE9CE79}"/>
    <cellStyle name="60 % - Akzent1" xfId="899" hidden="1" xr:uid="{DF6F6970-4D9A-4AFA-B2BC-C4ED0DBBFBF3}"/>
    <cellStyle name="60 % - Akzent1" xfId="990" hidden="1" xr:uid="{8A71DDD6-3E64-4A36-89D9-56D8C41DC6F5}"/>
    <cellStyle name="60 % - Akzent1" xfId="1393" hidden="1" xr:uid="{CE03A2C4-3B52-44C3-B0DB-A5D8371737A8}"/>
    <cellStyle name="60 % - Akzent1" xfId="1713" hidden="1" xr:uid="{1DDB25EF-C7CB-4F00-B240-76048DC992FD}"/>
    <cellStyle name="60 % - Akzent1" xfId="1876" hidden="1" xr:uid="{4B851319-F386-4AFB-B38A-F134D4A9EA96}"/>
    <cellStyle name="60 % - Akzent1" xfId="2322" hidden="1" xr:uid="{46E77C6F-0C7A-4975-9DBB-FA668E0004E8}"/>
    <cellStyle name="60 % - Akzent1" xfId="1979" hidden="1" xr:uid="{801EBC7A-4465-4D01-A83C-DC007B1234A3}"/>
    <cellStyle name="60 % - Akzent1" xfId="2212" hidden="1" xr:uid="{1C4EA149-C7F4-479F-863A-F9CEA130E914}"/>
    <cellStyle name="60 % - Akzent1" xfId="2187" hidden="1" xr:uid="{C2B64F25-921E-40D8-A9EF-623E02271E0F}"/>
    <cellStyle name="60 % - Akzent1" xfId="1820" hidden="1" xr:uid="{0A13B426-E5C0-49DC-A9A1-2C536691017F}"/>
    <cellStyle name="60 % - Akzent1" xfId="3604" hidden="1" xr:uid="{30FC8091-EEEB-465D-91C9-9D9371AF2E8E}"/>
    <cellStyle name="60 % - Akzent1" xfId="1848" hidden="1" xr:uid="{08199006-466D-45AB-92C4-1DA564C23724}"/>
    <cellStyle name="60 % - Akzent1" xfId="3127" hidden="1" xr:uid="{620DD652-0579-4A84-9E74-97460571F5F8}"/>
    <cellStyle name="60 % - Akzent1" xfId="2081" hidden="1" xr:uid="{535E1F0A-4DAB-476B-B1CA-56C9F65E1C78}"/>
    <cellStyle name="60 % - Akzent1" xfId="3078" hidden="1" xr:uid="{254B1A04-765C-46D6-9D55-4518635E2DF6}"/>
    <cellStyle name="60 % - Akzent1" xfId="2957" hidden="1" xr:uid="{3ECF8E58-9362-49D4-B910-2DF7FC673EEB}"/>
    <cellStyle name="60 % - Akzent1" xfId="2040" hidden="1" xr:uid="{9DC9BFBF-CBC1-402A-8751-84814FADCF68}"/>
    <cellStyle name="60 % - Akzent1" xfId="3202" hidden="1" xr:uid="{CEBD98E8-3CDE-4DA3-A5F2-00C87D1E1EE9}"/>
    <cellStyle name="60 % - Akzent1" xfId="3487" hidden="1" xr:uid="{2DCB59FB-F03B-4E78-B9DC-9266295A7A80}"/>
    <cellStyle name="60 % - Akzent1" xfId="4860" hidden="1" xr:uid="{9547794B-263D-405D-A370-BBFA8B2054E8}"/>
    <cellStyle name="60 % - Akzent1" xfId="5861" hidden="1" xr:uid="{6E006497-A4A9-4275-B1D5-65E40E89EBAE}"/>
    <cellStyle name="60 % - Akzent1" xfId="5781" hidden="1" xr:uid="{B42943EE-EC97-4907-B45E-088EBC3C1640}"/>
    <cellStyle name="60 % - Akzent1" xfId="5120" hidden="1" xr:uid="{76E84B61-6D58-49D7-A6F7-63B760C12EC4}"/>
    <cellStyle name="60 % - Akzent1" xfId="5899" hidden="1" xr:uid="{F5DA15CD-B6DE-4C82-8012-C4098EA99583}"/>
    <cellStyle name="60 % - Akzent1" xfId="5709" hidden="1" xr:uid="{02AAEA5A-9D78-4376-A31D-74CFAFBE84CC}"/>
    <cellStyle name="60 % - Akzent1" xfId="6275" hidden="1" xr:uid="{9D14191E-7DF6-496B-92A9-29FEAE588AEB}"/>
    <cellStyle name="60 % - Akzent1" xfId="6219" hidden="1" xr:uid="{6E4D77A4-007B-47F7-8E25-1DA5FE20E6A9}"/>
    <cellStyle name="60 % - Akzent1" xfId="5557" hidden="1" xr:uid="{EEFBA0C2-D3EF-4C53-AC76-25C51D88AE3B}"/>
    <cellStyle name="60 % - Akzent1" xfId="6603" hidden="1" xr:uid="{AEEA5C18-CE2D-4CA6-A8AB-82239AED5EBB}"/>
    <cellStyle name="60 % - Akzent1" xfId="6098" hidden="1" xr:uid="{2EB48668-0D42-4FBB-B20B-BBD283D28D24}"/>
    <cellStyle name="60 % - Akzent1" xfId="6586" hidden="1" xr:uid="{514D1969-6232-452A-82AD-B6278CBA4775}"/>
    <cellStyle name="60 % - Akzent1" xfId="6075" hidden="1" xr:uid="{984F4D39-6568-4855-8131-4D33424752AD}"/>
    <cellStyle name="60 % - Akzent1" xfId="5972" hidden="1" xr:uid="{AE09D339-61D9-4391-A3A9-9590E2F7A0FF}"/>
    <cellStyle name="60 % - Akzent1" xfId="5952" hidden="1" xr:uid="{E5C7AC2F-6A73-49CF-8B59-774A4AEAEDB5}"/>
    <cellStyle name="60 % - Akzent1" xfId="6222" hidden="1" xr:uid="{888B7DAF-1B21-41C0-A34D-CA1FAC3DC6A9}"/>
    <cellStyle name="60 % - Akzent1" xfId="4738" hidden="1" xr:uid="{175518A2-E8A3-47B8-8D29-4081C3ACCDAE}"/>
    <cellStyle name="60 % - Akzent1" xfId="6790" hidden="1" xr:uid="{3F3457CC-14AB-44D5-B180-DB19F0E5842F}"/>
    <cellStyle name="60 % - Akzent1" xfId="7220" hidden="1" xr:uid="{520EB85E-576D-4401-9E8A-26A9ADE876CB}"/>
    <cellStyle name="60 % - Akzent1" xfId="6766" hidden="1" xr:uid="{C5A55ADD-A913-4F54-84C2-92B603FE3F32}"/>
    <cellStyle name="60 % - Akzent1" xfId="7941" hidden="1" xr:uid="{FE977191-B585-4E68-B9A7-5A11ED5C1C2F}"/>
    <cellStyle name="60 % - Akzent1" xfId="6901" hidden="1" xr:uid="{7C504C1A-30C0-4902-850A-BD457437E4AB}"/>
    <cellStyle name="60 % - Akzent1" xfId="8381" hidden="1" xr:uid="{D90F057E-602F-4881-8970-640DE7CB7529}"/>
    <cellStyle name="60 % - Akzent1" xfId="7653" hidden="1" xr:uid="{570A199E-783F-4C34-AFC9-E09D354A1407}"/>
    <cellStyle name="60 % - Akzent1" xfId="7692" hidden="1" xr:uid="{02488099-E93B-423A-A609-384959A5EAA1}"/>
    <cellStyle name="60 % - Akzent1" xfId="8440" hidden="1" xr:uid="{AE313C82-0A21-419A-8DDF-8A75ADB32447}"/>
    <cellStyle name="60 % - Akzent1" xfId="8458" hidden="1" xr:uid="{172A15DD-6826-4F83-AA33-973EE561157E}"/>
    <cellStyle name="60 % - Akzent1" xfId="8476" hidden="1" xr:uid="{23C28C24-D972-42BB-9E9A-F32DED40E448}"/>
    <cellStyle name="60 % - Akzent1" xfId="8497" hidden="1" xr:uid="{B1F879EB-6C3B-4734-BCD2-E25EE8FF06C4}"/>
    <cellStyle name="60 % - Akzent1" xfId="8516" hidden="1" xr:uid="{55BAE333-A196-44AC-A63C-0DC6B6FAC945}"/>
    <cellStyle name="60 % - Akzent1" xfId="8535" hidden="1" xr:uid="{F799E98C-A24D-4961-AA29-8E10297EC182}"/>
    <cellStyle name="60 % - Akzent1" xfId="8553" hidden="1" xr:uid="{631F9F90-367E-4F30-8FA2-551ED6E83AC3}"/>
    <cellStyle name="60 % - Akzent1" xfId="8573" hidden="1" xr:uid="{0728D7EF-FC95-4862-BC56-4ABABC07FCD2}"/>
    <cellStyle name="60 % - Akzent1" xfId="8588" hidden="1" xr:uid="{A9EBD9BF-C84B-4965-A8FC-AF51B654B081}"/>
    <cellStyle name="60 % - Akzent1" xfId="7688" hidden="1" xr:uid="{F3AFDFDA-AB35-4D6C-B858-0DF490FD72C7}"/>
    <cellStyle name="60 % - Akzent1" xfId="7681" hidden="1" xr:uid="{26CD03C8-EBE0-4299-A904-B1370DFF07E0}"/>
    <cellStyle name="60 % - Akzent1" xfId="8469" hidden="1" xr:uid="{B794041D-C915-4B5E-83F6-63D639E80DAD}"/>
    <cellStyle name="60 % - Akzent1" xfId="8448" hidden="1" xr:uid="{C6D370F3-7A7E-4AE0-B4CF-848937E7A28E}"/>
    <cellStyle name="60 % - Akzent1" xfId="8834" hidden="1" xr:uid="{0AE43270-C80D-4AE6-B4C7-8FA3E9CFFF3A}"/>
    <cellStyle name="60 % - Akzent1" xfId="7862" hidden="1" xr:uid="{C65B3E66-EAD6-40CA-89BA-1C37922C07C8}"/>
    <cellStyle name="60 % - Akzent1" xfId="9002" hidden="1" xr:uid="{664FD430-F8F9-4193-A393-66425CBF8F31}"/>
    <cellStyle name="60 % - Akzent1" xfId="9433" hidden="1" xr:uid="{9E960438-D162-43C3-8451-FB55CC2DC6C5}"/>
    <cellStyle name="60 % - Akzent1" xfId="8978" hidden="1" xr:uid="{ADA3380B-0884-4A0E-A670-F8E0944A8858}"/>
    <cellStyle name="60 % - Akzent1" xfId="10154" hidden="1" xr:uid="{2B7F4A67-5E8A-4853-9129-67ADCB201C50}"/>
    <cellStyle name="60 % - Akzent1" xfId="9114" hidden="1" xr:uid="{6DD26F3A-A1C0-4847-BF3E-ADAE87DE6E9F}"/>
    <cellStyle name="60 % - Akzent1" xfId="9981" hidden="1" xr:uid="{E3EE5F08-CFAA-4BCD-8D0D-66E1CA2EDB50}"/>
    <cellStyle name="60 % - Akzent1" xfId="10967" hidden="1" xr:uid="{93D05BC2-469A-4C3E-A91B-086A38ADED0F}"/>
    <cellStyle name="60 % - Akzent1" xfId="10713" hidden="1" xr:uid="{55DE6428-A874-4AF0-A3C1-390E42E8B83F}"/>
    <cellStyle name="60 % - Akzent1" xfId="10380" hidden="1" xr:uid="{93B853FC-EC7C-4FBA-9B29-1839F9584EB9}"/>
    <cellStyle name="60 % - Akzent1" xfId="11115" hidden="1" xr:uid="{F58609CB-1743-46EB-BA81-86B126305C19}"/>
    <cellStyle name="60 % - Akzent1" xfId="10979" hidden="1" xr:uid="{144C520E-0613-449D-BD84-E690A8FF7F42}"/>
    <cellStyle name="60 % - Akzent1" xfId="10408" hidden="1" xr:uid="{E0BA8BBD-220C-42FC-B8F4-00281169BC24}"/>
    <cellStyle name="60 % - Akzent1" xfId="11098" hidden="1" xr:uid="{5CB014CB-8E77-466D-A237-7A54BF417736}"/>
    <cellStyle name="60 % - Akzent1" xfId="10420" hidden="1" xr:uid="{F279E227-F45C-4DFA-A338-224D0F914574}"/>
    <cellStyle name="60 % - Akzent1" xfId="10957" hidden="1" xr:uid="{AC573F7A-99BE-4798-89E1-CFB311C06250}"/>
    <cellStyle name="60 % - Akzent1" xfId="11408" hidden="1" xr:uid="{DB43F82F-5124-4C35-9F3C-D2FF6D6E7F2E}"/>
    <cellStyle name="60 % - Akzent1" xfId="11851" hidden="1" xr:uid="{6356F4A6-7D20-49B1-92AF-6BB038E055BB}"/>
    <cellStyle name="60 % - Akzent1" xfId="12331" hidden="1" xr:uid="{D413E2A6-2B9C-42FC-BEB6-A37A407CA293}"/>
    <cellStyle name="60 % - Akzent1" xfId="11831" hidden="1" xr:uid="{569FB12D-D258-45A5-BF6D-E478971D603C}"/>
    <cellStyle name="60 % - Akzent1" xfId="11711" hidden="1" xr:uid="{9E52D329-DF6D-4561-B4AD-15C49B94DE92}"/>
    <cellStyle name="60 % - Akzent1" xfId="11503" hidden="1" xr:uid="{00CD3C8E-9B16-413D-AA30-519CE9C5EB5F}"/>
    <cellStyle name="60 % - Akzent1" xfId="11462" hidden="1" xr:uid="{AA121DB8-5ECF-4D88-BBD4-673626C978F5}"/>
    <cellStyle name="60 % - Akzent1" xfId="11722" hidden="1" xr:uid="{0E56BC67-DD11-4164-9EFF-E6C02EAC60B2}"/>
    <cellStyle name="60 % - Akzent1" xfId="13899" hidden="1" xr:uid="{8152841B-D615-4E98-9E9E-A7C742BEFA9A}"/>
    <cellStyle name="60 % - Akzent1" xfId="13895" hidden="1" xr:uid="{B2EE88D0-F78B-4AB8-A911-5A57F454932C}"/>
    <cellStyle name="60 % - Akzent1" xfId="14826" hidden="1" xr:uid="{FDD03F35-80AE-4B19-9183-A628B8AA4022}"/>
    <cellStyle name="60 % - Akzent1" xfId="13663" hidden="1" xr:uid="{1037E97E-AAD8-44D4-ADDE-103787B1231C}"/>
    <cellStyle name="60 % - Akzent1" xfId="15242" hidden="1" xr:uid="{AAA3DCDB-FF73-42D6-BA27-719A5A4BE72F}"/>
    <cellStyle name="60 % - Akzent1" xfId="15123" hidden="1" xr:uid="{9D265F5D-B20F-4EF3-8654-6872B08D11B9}"/>
    <cellStyle name="60 % - Akzent1" xfId="15341" hidden="1" xr:uid="{D48FB397-C705-4D14-8CFD-F2CC030D161E}"/>
    <cellStyle name="60 % - Akzent1" xfId="14910" hidden="1" xr:uid="{1AC44D43-45BC-460B-A91A-16D995F3AF78}"/>
    <cellStyle name="60 % - Akzent1" xfId="15046" hidden="1" xr:uid="{645F05CB-E8D2-4BB6-B063-35D24DB7F321}"/>
    <cellStyle name="60 % - Akzent1" xfId="15654" hidden="1" xr:uid="{AF52F67B-DE96-4043-94CB-A996820EAF55}"/>
    <cellStyle name="60 % - Akzent1" xfId="15593" hidden="1" xr:uid="{038B3FD4-D12B-4B64-8E60-A02D972A0A01}"/>
    <cellStyle name="60 % - Akzent1" xfId="15510" hidden="1" xr:uid="{33ADD818-BF0B-4A64-8169-CC04E9546699}"/>
    <cellStyle name="60 % - Akzent1" xfId="14189" hidden="1" xr:uid="{870B013C-32F0-41EC-BD7C-ADE9E6330EBB}"/>
    <cellStyle name="60 % - Akzent1" xfId="15386" hidden="1" xr:uid="{D768F04C-37AB-41E7-9352-7A7C1FDA6F16}"/>
    <cellStyle name="60 % - Akzent1" xfId="15974" hidden="1" xr:uid="{492F32E3-D641-48B7-A1F7-EEEA67705CEB}"/>
    <cellStyle name="60 % - Akzent1" xfId="15934" hidden="1" xr:uid="{BEC33C42-2AB3-453A-A054-69FAA169CF2F}"/>
    <cellStyle name="60 % - Akzent1" xfId="16035" hidden="1" xr:uid="{89348026-5CED-4D8E-9D12-720B4BDC6525}"/>
    <cellStyle name="60 % - Akzent1" xfId="16099" hidden="1" xr:uid="{2251B000-7949-4744-B198-12D5461E6BDA}"/>
    <cellStyle name="60 % - Akzent1" xfId="16543" hidden="1" xr:uid="{AA32E9FE-9D45-4D5E-9D5F-357A9386B82B}"/>
    <cellStyle name="60 % - Akzent1" xfId="16075" hidden="1" xr:uid="{D5C8A399-C30E-4282-B3BF-3DA93638F391}"/>
    <cellStyle name="60 % - Akzent1" xfId="17274" hidden="1" xr:uid="{294E45C4-17F7-47E5-B4FF-57A2EA380CED}"/>
    <cellStyle name="60 % - Akzent1" xfId="16218" hidden="1" xr:uid="{D3D92FED-7230-42F0-A9E3-BDDDF17FEFC7}"/>
    <cellStyle name="60 % - Akzent1" xfId="17097" hidden="1" xr:uid="{A8519E3B-6CC6-4C7C-8756-00580C542B58}"/>
    <cellStyle name="60 % - Akzent1" xfId="16937" hidden="1" xr:uid="{B558E139-F6CD-479C-B0C7-89767702941A}"/>
    <cellStyle name="60 % - Akzent1" xfId="17024" hidden="1" xr:uid="{23E1DE7C-CD46-43C2-821E-6C49FE27B7EE}"/>
    <cellStyle name="60 % - Akzent1" xfId="18232" hidden="1" xr:uid="{6F3AC9EE-5872-403A-BE07-0CD40CE9B1E1}"/>
    <cellStyle name="60 % - Akzent1" xfId="18252" hidden="1" xr:uid="{4B7B6B68-A065-43BE-A53A-15B4A5239418}"/>
    <cellStyle name="60 % - Akzent1" xfId="17610" hidden="1" xr:uid="{1C8EC8C4-63C4-4F31-A7A7-5FEB879DEB13}"/>
    <cellStyle name="60 % - Akzent1" xfId="17349" hidden="1" xr:uid="{31FC8AD1-F5D3-4972-A261-59CE9EF2A362}"/>
    <cellStyle name="60 % - Akzent1" xfId="17993" hidden="1" xr:uid="{49A7CED6-7F17-408D-87E3-69F93DE512A3}"/>
    <cellStyle name="60 % - Akzent1" xfId="16226" hidden="1" xr:uid="{AEAF299F-030A-4686-A4D4-EF11053F2BFC}"/>
    <cellStyle name="60 % - Akzent1" xfId="19075" hidden="1" xr:uid="{B4AF9AE1-8365-4216-B5FA-235C321E58DF}"/>
    <cellStyle name="60 % - Akzent1" xfId="17829" hidden="1" xr:uid="{BD255463-E079-46CF-9717-35A7A567D1DC}"/>
    <cellStyle name="60 % - Akzent1" xfId="17898" hidden="1" xr:uid="{94B24C11-90F0-41EB-9FE4-335759FEA336}"/>
    <cellStyle name="60 % - Akzent1" xfId="17900" hidden="1" xr:uid="{29E4CA89-61BE-4756-8B24-7B175F14035E}"/>
    <cellStyle name="60 % - Akzent1" xfId="19432" hidden="1" xr:uid="{016DE01F-DF87-423E-9D3A-88DA96FC74E1}"/>
    <cellStyle name="60 % - Akzent1" xfId="19880" hidden="1" xr:uid="{21F904EC-E623-42F0-81D9-6AD3B531CB1A}"/>
    <cellStyle name="60 % - Akzent1" xfId="19408" hidden="1" xr:uid="{4DDAC658-2AD9-440C-8114-64A9B867AF82}"/>
    <cellStyle name="60 % - Akzent1" xfId="19543" hidden="1" xr:uid="{3826BEA7-34E4-4C24-B7FD-18B8C02882AF}"/>
    <cellStyle name="60 % - Akzent1" xfId="19671" hidden="1" xr:uid="{106E3EA0-4A37-4405-9BF6-1DC98BC1C150}"/>
    <cellStyle name="60 % - Akzent1" xfId="20386" hidden="1" xr:uid="{ED14A436-A81E-4BE9-ABF0-DF036BE2AEEE}"/>
    <cellStyle name="60 % - Akzent1" xfId="21388" hidden="1" xr:uid="{2FD68D0C-4572-44C5-8DEA-FAA4A7ECB2E2}"/>
    <cellStyle name="60 % - Akzent1" xfId="20451" hidden="1" xr:uid="{DFBC33D4-6413-4944-AD8F-CD8F1B07FB62}"/>
    <cellStyle name="60 % - Akzent1" xfId="21372" hidden="1" xr:uid="{C51F8215-66C0-4CE1-B075-C47B76313286}"/>
    <cellStyle name="60 % - Akzent1" xfId="21642" hidden="1" xr:uid="{D790472E-7810-4B0D-9F68-9A21C65274B7}"/>
    <cellStyle name="60 % - Akzent1" xfId="21357" hidden="1" xr:uid="{D788EA31-7F32-4DD2-BBEB-C99888A16B36}"/>
    <cellStyle name="60 % - Akzent1" xfId="21283" hidden="1" xr:uid="{12041E87-5F6E-419C-9B30-986BA1F06E2D}"/>
    <cellStyle name="60 % - Akzent1" xfId="21270" hidden="1" xr:uid="{2178849E-BE56-4A5E-B217-CA627EF90B67}"/>
    <cellStyle name="60 % - Akzent1" xfId="22076" hidden="1" xr:uid="{66271A2D-2113-4954-A4C8-8754E62A20CE}"/>
    <cellStyle name="60 % - Akzent1" xfId="20908" hidden="1" xr:uid="{77EE5C55-6FF6-41EA-9B66-004B53029F39}"/>
    <cellStyle name="60 % - Akzent1" xfId="22164" hidden="1" xr:uid="{5C784CA2-8131-43B7-8AC7-F384E64124DA}"/>
    <cellStyle name="60 % - Akzent1" xfId="22901" hidden="1" xr:uid="{0BE413DD-4BE1-4EE7-8333-50D7FE016527}"/>
    <cellStyle name="60 % - Akzent1" xfId="22879" hidden="1" xr:uid="{06228558-0454-4717-BB1C-951FC3A9FDC2}"/>
    <cellStyle name="60 % - Akzent1" xfId="22643" hidden="1" xr:uid="{F3106F63-003F-4837-88E2-4FDFA1F1073D}"/>
    <cellStyle name="60 % - Akzent1" xfId="23353" hidden="1" xr:uid="{45460E86-5243-49D3-9695-8614F3DA36D1}"/>
    <cellStyle name="60 % - Akzent1" xfId="23203" hidden="1" xr:uid="{0F1954C3-9591-4CE7-902F-3FEB338606B4}"/>
    <cellStyle name="60 % - Akzent1" xfId="23523" hidden="1" xr:uid="{D9FF2AC3-7E76-419E-B04A-4BDA33726438}"/>
    <cellStyle name="60 % - Akzent1" xfId="23186" hidden="1" xr:uid="{CCFA5DF0-D10E-4058-AC00-8F5134BE9532}"/>
    <cellStyle name="60 % - Akzent1" xfId="23183" hidden="1" xr:uid="{1DA19C18-FB5E-49B3-BF73-C367A962B1DA}"/>
    <cellStyle name="60 % - Akzent1" xfId="23526" hidden="1" xr:uid="{465ED9C7-3D27-4C12-8C00-256BDB61883A}"/>
    <cellStyle name="60 % - Akzent1" xfId="23463" hidden="1" xr:uid="{0228DD1F-3C3B-47AC-A302-27C7812043CF}"/>
    <cellStyle name="60 % - Akzent1" xfId="23503" hidden="1" xr:uid="{90781F48-416F-4580-AF33-0E4A7374197A}"/>
    <cellStyle name="60 % - Akzent1" xfId="24155" hidden="1" xr:uid="{FC796365-A386-418A-AD9A-6ECFA985021D}"/>
    <cellStyle name="60 % - Akzent1" xfId="24579" hidden="1" xr:uid="{445421C6-8999-46E3-AF36-B2453B8BE5F3}"/>
    <cellStyle name="60 % - Akzent1" xfId="25392" hidden="1" xr:uid="{6646D9BD-D3D4-4959-9695-BAAD6A453BBD}"/>
    <cellStyle name="60 % - Akzent1" xfId="25319" hidden="1" xr:uid="{0E726435-4168-4C81-BE21-B74CA748FFE1}"/>
    <cellStyle name="60 % - Akzent1" xfId="25094" hidden="1" xr:uid="{B4E83A85-290D-4276-8A79-0CFA618B36B6}"/>
    <cellStyle name="60 % - Akzent1" xfId="26241" hidden="1" xr:uid="{666981B3-9B37-43C7-BB73-513C9759BF76}"/>
    <cellStyle name="60 % - Akzent1" xfId="24284" hidden="1" xr:uid="{8FC90047-82C9-4A93-A8C1-45DF703A2B80}"/>
    <cellStyle name="60 % - Akzent1" xfId="25107" hidden="1" xr:uid="{0B18A5AE-C47D-4D2C-A806-51CBBCD11434}"/>
    <cellStyle name="60 % - Akzent1" xfId="26609" hidden="1" xr:uid="{8DC3E490-CB6B-484D-B224-34EB92EFEB22}"/>
    <cellStyle name="60 % - Akzent1" xfId="26219" hidden="1" xr:uid="{433122F8-9F24-4DDF-8DA0-C249D9451B51}"/>
    <cellStyle name="60 % - Akzent1" xfId="26667" hidden="1" xr:uid="{FC12BB06-8E42-4579-A193-F8355E4F3A0D}"/>
    <cellStyle name="60 % - Akzent1" xfId="25514" hidden="1" xr:uid="{35EA2127-1022-44B9-BCCB-C8A858F08F30}"/>
    <cellStyle name="60 % - Akzent1" xfId="26361" hidden="1" xr:uid="{2DF49EB8-93AF-4EAE-AEB5-6CDB86FD73FC}"/>
    <cellStyle name="60 % - Akzent1" xfId="25968" hidden="1" xr:uid="{116CBA16-80B1-4E87-B637-C2EFCF371674}"/>
    <cellStyle name="60 % - Akzent1" xfId="26764" hidden="1" xr:uid="{C1A21CB5-C6A4-46E5-B5C0-264D05BBE368}"/>
    <cellStyle name="60 % - Akzent1" xfId="26521" hidden="1" xr:uid="{BA66814F-4D18-43C4-85F6-B494358973A6}"/>
    <cellStyle name="60 % - Akzent1" xfId="27731" hidden="1" xr:uid="{1208CB56-0C2D-4037-BC7E-E366BC83B4AF}"/>
    <cellStyle name="60 % - Akzent1" xfId="26458" hidden="1" xr:uid="{819E403E-BB41-40AF-8D90-6C0768DCF34B}"/>
    <cellStyle name="60 % - Akzent1" xfId="27889" hidden="1" xr:uid="{27B535A3-6E35-4F9F-85B7-E6550ED0509C}"/>
    <cellStyle name="60 % - Akzent1" xfId="27890" hidden="1" xr:uid="{1B41DA1C-7191-4901-A129-0BC73F103263}"/>
    <cellStyle name="60 % - Akzent1" xfId="27946" hidden="1" xr:uid="{C7ADDB0A-A1F1-4C46-A97E-1C8F941A8558}"/>
    <cellStyle name="60 % - Akzent1" xfId="28340" hidden="1" xr:uid="{D4D5F765-E5BA-45DC-BB1E-8F82D6EDB67C}"/>
    <cellStyle name="60 % - Akzent1" xfId="28813" hidden="1" xr:uid="{1569E1C2-8734-4949-B945-E1DEF508B556}"/>
    <cellStyle name="60 % - Akzent1" xfId="28760" hidden="1" xr:uid="{62270638-2F32-4FF9-933F-C7AB5214BBDA}"/>
    <cellStyle name="60 % - Akzent1" xfId="28030" hidden="1" xr:uid="{40E6ECF5-D173-439D-947C-79B2EEA2601E}"/>
    <cellStyle name="60 % - Akzent1" xfId="29605" hidden="1" xr:uid="{CDE08B4B-CD05-443F-A556-BCEC790174A6}"/>
    <cellStyle name="60 % - Akzent1" xfId="29341" hidden="1" xr:uid="{017C8CB3-0A12-4E0C-B390-966BAF56CE2A}"/>
    <cellStyle name="60 % - Akzent1" xfId="29335" hidden="1" xr:uid="{990A3231-0363-4EC5-9CEF-8ECD16FF9943}"/>
    <cellStyle name="60 % - Akzent1" xfId="30994" hidden="1" xr:uid="{7252E1A6-04AC-4414-A4B5-E517F3111678}"/>
    <cellStyle name="60 % - Akzent1" xfId="31013" hidden="1" xr:uid="{2462D0F0-0888-428F-8567-E37A2B8855CE}"/>
    <cellStyle name="60 % - Akzent1 2" xfId="385" xr:uid="{E1E1EC5C-C443-4A67-9C2E-0E426D3CF30E}"/>
    <cellStyle name="60 % - Akzent1 3" xfId="254" xr:uid="{5B730AF1-CE19-4AA3-B7B9-0FA38E1E9908}"/>
    <cellStyle name="60 % - Akzent2" xfId="55" hidden="1" xr:uid="{05E7B000-BFDD-4D0E-82B2-9F83D7D4BC02}"/>
    <cellStyle name="60 % - Akzent2" xfId="902" hidden="1" xr:uid="{213B3F1F-3D6C-485A-9E49-A7E24156AF1D}"/>
    <cellStyle name="60 % - Akzent2" xfId="992" hidden="1" xr:uid="{382E1057-1C73-4BAA-B685-9BEBC9FA07A9}"/>
    <cellStyle name="60 % - Akzent2" xfId="1396" hidden="1" xr:uid="{9D18A6C7-A267-406A-8165-58578E75CC61}"/>
    <cellStyle name="60 % - Akzent2" xfId="1671" hidden="1" xr:uid="{5A511A59-4D7D-4F64-9F90-9FE797DAFD83}"/>
    <cellStyle name="60 % - Akzent2" xfId="1880" hidden="1" xr:uid="{2B406557-1119-4C98-844B-6A0A0E5CE542}"/>
    <cellStyle name="60 % - Akzent2" xfId="2311" hidden="1" xr:uid="{9D9C6D4B-5B7A-4FCD-AE85-66E7BAF503E5}"/>
    <cellStyle name="60 % - Akzent2" xfId="3144" hidden="1" xr:uid="{98C9A6D3-2346-417D-A308-AD75ED062FAB}"/>
    <cellStyle name="60 % - Akzent2" xfId="1970" hidden="1" xr:uid="{A2401E2F-DD26-40C1-A5BD-04EBF224611D}"/>
    <cellStyle name="60 % - Akzent2" xfId="3209" hidden="1" xr:uid="{01F6D9C5-E263-42AB-A419-CBA86D6B147C}"/>
    <cellStyle name="60 % - Akzent2" xfId="3622" hidden="1" xr:uid="{1E37C297-9952-45DF-B204-F3FC87267960}"/>
    <cellStyle name="60 % - Akzent2" xfId="2802" hidden="1" xr:uid="{319C0281-9C7A-434F-A3A8-01FBF466AF98}"/>
    <cellStyle name="60 % - Akzent2" xfId="3246" hidden="1" xr:uid="{724AC8EB-BB54-40E2-A8A1-0E7C8671A882}"/>
    <cellStyle name="60 % - Akzent2" xfId="3338" hidden="1" xr:uid="{17BB588D-98A3-4CAD-BBAF-056589787FA7}"/>
    <cellStyle name="60 % - Akzent2" xfId="2997" hidden="1" xr:uid="{B9B2650D-0F64-482A-986B-A8E7D61C5EAA}"/>
    <cellStyle name="60 % - Akzent2" xfId="1967" hidden="1" xr:uid="{E3874A39-3E68-4AA6-9451-1548EA2546B3}"/>
    <cellStyle name="60 % - Akzent2" xfId="3808" hidden="1" xr:uid="{8092603E-053B-4DCB-BE7F-241FD5BEE7E3}"/>
    <cellStyle name="60 % - Akzent2" xfId="4245" hidden="1" xr:uid="{6748B1BB-4387-4627-8C5A-EF31E03AC991}"/>
    <cellStyle name="60 % - Akzent2" xfId="4819" hidden="1" xr:uid="{1E02E8BA-DB2A-4491-A5DC-E76C7C5C589C}"/>
    <cellStyle name="60 % - Akzent2" xfId="3161" hidden="1" xr:uid="{0E9F0893-B357-4D33-A63A-1F902B272A78}"/>
    <cellStyle name="60 % - Akzent2" xfId="4663" hidden="1" xr:uid="{A2822182-11C0-48DA-BB63-E4471D5504E7}"/>
    <cellStyle name="60 % - Akzent2" xfId="5770" hidden="1" xr:uid="{E8557109-AE21-4EDB-B31D-018E3689D0F3}"/>
    <cellStyle name="60 % - Akzent2" xfId="5635" hidden="1" xr:uid="{2182B321-9F10-4813-8E7F-8185BB6425DA}"/>
    <cellStyle name="60 % - Akzent2" xfId="5745" hidden="1" xr:uid="{DA7E8AC1-67F7-458A-9922-B2F95DD1218E}"/>
    <cellStyle name="60 % - Akzent2" xfId="5885" hidden="1" xr:uid="{F0171583-012F-4761-8085-3C1321CB115B}"/>
    <cellStyle name="60 % - Akzent2" xfId="5957" hidden="1" xr:uid="{AF334542-1478-4453-B08D-E0F07B824D9A}"/>
    <cellStyle name="60 % - Akzent2" xfId="6210" hidden="1" xr:uid="{945673BB-D5A8-4967-831F-C7AA20D9B2F2}"/>
    <cellStyle name="60 % - Akzent2" xfId="6082" hidden="1" xr:uid="{78927967-4E82-4402-8377-9024324986F6}"/>
    <cellStyle name="60 % - Akzent2" xfId="3141" hidden="1" xr:uid="{CFD54CB7-9D6B-457C-AEB3-9304A6138677}"/>
    <cellStyle name="60 % - Akzent2" xfId="6578" hidden="1" xr:uid="{64FC83A8-4B92-4942-B28F-DA94FDD6069D}"/>
    <cellStyle name="60 % - Akzent2" xfId="6524" hidden="1" xr:uid="{73486FDE-B6AE-4BFC-906B-B2C2B2CC13DB}"/>
    <cellStyle name="60 % - Akzent2" xfId="6183" hidden="1" xr:uid="{5393AD66-6C8C-4EB5-A286-F356713971EB}"/>
    <cellStyle name="60 % - Akzent2" xfId="6607" hidden="1" xr:uid="{BB1D1EC2-E9FB-44B9-B548-EAA72A6F114C}"/>
    <cellStyle name="60 % - Akzent2" xfId="3467" hidden="1" xr:uid="{19294F85-0742-4374-ABC1-9BA5C43CCF65}"/>
    <cellStyle name="60 % - Akzent2" xfId="6606" hidden="1" xr:uid="{BBF2B8A7-80D6-4753-AA6C-5448375B9CE8}"/>
    <cellStyle name="60 % - Akzent2" xfId="6246" hidden="1" xr:uid="{BFECE17D-7001-4876-82CF-CADC805EE3D0}"/>
    <cellStyle name="60 % - Akzent2" xfId="6485" hidden="1" xr:uid="{F1B02F63-DA58-4DA8-9310-AC42A539F68E}"/>
    <cellStyle name="60 % - Akzent2" xfId="6793" hidden="1" xr:uid="{34FBB2D2-AAFB-48F9-8472-3D74DD36759C}"/>
    <cellStyle name="60 % - Akzent2" xfId="7222" hidden="1" xr:uid="{54C52207-3C21-41F3-BCD6-FCFB9DA16B76}"/>
    <cellStyle name="60 % - Akzent2" xfId="8012" hidden="1" xr:uid="{4BBA7FB2-D05F-4262-9204-8534D84EDE6D}"/>
    <cellStyle name="60 % - Akzent2" xfId="8051" hidden="1" xr:uid="{36251151-4447-46FC-8877-5A5CDFD55EF5}"/>
    <cellStyle name="60 % - Akzent2" xfId="8387" hidden="1" xr:uid="{88F0D5E1-16EC-4D66-80CD-96FA0A29612E}"/>
    <cellStyle name="60 % - Akzent2" xfId="8358" hidden="1" xr:uid="{9264EB7B-2A26-42FD-884B-AABFF0513714}"/>
    <cellStyle name="60 % - Akzent2" xfId="7176" hidden="1" xr:uid="{5A1F88E3-CF02-4DB0-877F-CDF41C262767}"/>
    <cellStyle name="60 % - Akzent2" xfId="8258" hidden="1" xr:uid="{F1D0A46C-4414-49E0-A53C-CFD622A27267}"/>
    <cellStyle name="60 % - Akzent2" xfId="8263" hidden="1" xr:uid="{5206AE0A-DEEE-44A5-9D5A-7E7780C471AF}"/>
    <cellStyle name="60 % - Akzent2" xfId="7874" hidden="1" xr:uid="{FBF166FD-1E61-40F6-AC1D-DE5EE20BCA12}"/>
    <cellStyle name="60 % - Akzent2" xfId="7157" hidden="1" xr:uid="{2A4EFF09-BA8B-4808-AEFD-093640F7535D}"/>
    <cellStyle name="60 % - Akzent2" xfId="6742" hidden="1" xr:uid="{D501405F-BA92-479F-B3C6-815F899800A9}"/>
    <cellStyle name="60 % - Akzent2" xfId="8034" hidden="1" xr:uid="{EDB93A9D-8DFC-494E-ABE5-40002A38C77D}"/>
    <cellStyle name="60 % - Akzent2" xfId="6774" hidden="1" xr:uid="{8E352C33-FFDA-4324-911A-41051E93C4BD}"/>
    <cellStyle name="60 % - Akzent2" xfId="8212" hidden="1" xr:uid="{B9F485FC-D037-42DF-B672-EA3DCF220D2D}"/>
    <cellStyle name="60 % - Akzent2" xfId="6958" hidden="1" xr:uid="{3C2E5824-4D6A-4BDB-9BC1-739C686C6745}"/>
    <cellStyle name="60 % - Akzent2" xfId="7230" hidden="1" xr:uid="{0250F856-1E4E-4BDF-B41C-F964D538F1FA}"/>
    <cellStyle name="60 % - Akzent2" xfId="8413" hidden="1" xr:uid="{7533384E-3398-4CE7-A966-A1A846D4CEBF}"/>
    <cellStyle name="60 % - Akzent2" xfId="7147" hidden="1" xr:uid="{69EF08E0-1927-4D28-8089-E8C1DBD6CD00}"/>
    <cellStyle name="60 % - Akzent2" xfId="8882" hidden="1" xr:uid="{6DD399AB-B709-42A2-A1D3-2A80D0082BAB}"/>
    <cellStyle name="60 % - Akzent2" xfId="7737" hidden="1" xr:uid="{38886F0A-03FD-49E0-8B6E-3C5E19751AAF}"/>
    <cellStyle name="60 % - Akzent2" xfId="8702" hidden="1" xr:uid="{70C22E40-0579-4E24-9CE2-0AD43344C6FB}"/>
    <cellStyle name="60 % - Akzent2" xfId="8111" hidden="1" xr:uid="{080F5F6B-E749-4354-96E0-0111D70909A8}"/>
    <cellStyle name="60 % - Akzent2" xfId="9006" hidden="1" xr:uid="{16A0E97E-CAA6-4797-813E-F0BC21C76FE0}"/>
    <cellStyle name="60 % - Akzent2" xfId="9435" hidden="1" xr:uid="{05B922B7-C6C1-4FCF-B9A0-46B85F32A95A}"/>
    <cellStyle name="60 % - Akzent2" xfId="10230" hidden="1" xr:uid="{5C6B016A-56BE-4949-9C04-22B9D843D1EE}"/>
    <cellStyle name="60 % - Akzent2" xfId="10270" hidden="1" xr:uid="{02187CC8-381D-4F9A-9286-F4986901EFCA}"/>
    <cellStyle name="60 % - Akzent2" xfId="10628" hidden="1" xr:uid="{D7E103D8-1F9B-4D2C-8151-755A10E1CE11}"/>
    <cellStyle name="60 % - Akzent2" xfId="10563" hidden="1" xr:uid="{0EA4C575-4EB7-49E9-88B4-11DDFB0078E3}"/>
    <cellStyle name="60 % - Akzent2" xfId="10955" hidden="1" xr:uid="{3039F245-75CA-4530-8CF0-2F53BEF2A873}"/>
    <cellStyle name="60 % - Akzent2" xfId="9916" hidden="1" xr:uid="{446DAFB1-4860-4A56-8ABF-BCB1CFFE6902}"/>
    <cellStyle name="60 % - Akzent2" xfId="10632" hidden="1" xr:uid="{3AA7143A-0D02-4F03-A7C6-195076562682}"/>
    <cellStyle name="60 % - Akzent2" xfId="11096" hidden="1" xr:uid="{9F664850-4B33-4741-87F3-DF49668C439E}"/>
    <cellStyle name="60 % - Akzent2" xfId="10114" hidden="1" xr:uid="{B8C61638-8B80-4509-90AC-F472760BBB7B}"/>
    <cellStyle name="60 % - Akzent2" xfId="11117" hidden="1" xr:uid="{301B79A5-FDA7-4F8C-97E4-F58DB72CEC80}"/>
    <cellStyle name="60 % - Akzent2" xfId="11076" hidden="1" xr:uid="{BE166AFE-B80F-4D59-8576-E2DD1602D3C1}"/>
    <cellStyle name="60 % - Akzent2" xfId="10766" hidden="1" xr:uid="{1FC7B15C-85CB-4299-B56E-11525423C884}"/>
    <cellStyle name="60 % - Akzent2" xfId="11149" hidden="1" xr:uid="{2E04EE1C-06C6-4FC1-85EB-DA9FB10574B5}"/>
    <cellStyle name="60 % - Akzent2" xfId="11412" hidden="1" xr:uid="{CFD8F94D-BF34-4135-B17C-6DDE3C8845CE}"/>
    <cellStyle name="60 % - Akzent2" xfId="11853" hidden="1" xr:uid="{67B3E1DC-3EE2-4740-AF1E-36EB7EF05B51}"/>
    <cellStyle name="60 % - Akzent2" xfId="11348" hidden="1" xr:uid="{9DE7E8BC-5E16-4E79-B15A-163CE58FA14D}"/>
    <cellStyle name="60 % - Akzent2" xfId="12749" hidden="1" xr:uid="{9136FAF4-4678-43C6-B289-DFA5D33FD23B}"/>
    <cellStyle name="60 % - Akzent2" xfId="12322" hidden="1" xr:uid="{99103551-EAA8-4950-BCF1-50EFC37508A4}"/>
    <cellStyle name="60 % - Akzent2" xfId="13974" hidden="1" xr:uid="{F4E061DE-F28D-4B15-93E3-C0040472D399}"/>
    <cellStyle name="60 % - Akzent2" xfId="11685" hidden="1" xr:uid="{A257C984-D8A7-427A-A959-BF46862A6E67}"/>
    <cellStyle name="60 % - Akzent2" xfId="14036" hidden="1" xr:uid="{8A23D7D1-7E78-495B-AF2E-CB7259CAE9CB}"/>
    <cellStyle name="60 % - Akzent2" xfId="14387" hidden="1" xr:uid="{47033D8E-62A5-49CC-BA15-147CD85678DB}"/>
    <cellStyle name="60 % - Akzent2" xfId="13630" hidden="1" xr:uid="{C1A3BF50-7EF9-41CB-96A7-50BC5AD16FCD}"/>
    <cellStyle name="60 % - Akzent2" xfId="14733" hidden="1" xr:uid="{7415D757-68C6-4DE8-B0EF-1A8963AA46E4}"/>
    <cellStyle name="60 % - Akzent2" xfId="14573" hidden="1" xr:uid="{7BF86B55-B60A-431F-9345-0A8B9BC7A06A}"/>
    <cellStyle name="60 % - Akzent2" xfId="15150" hidden="1" xr:uid="{17B2E022-C42E-43C8-968C-2FBFCBD67290}"/>
    <cellStyle name="60 % - Akzent2" xfId="14427" hidden="1" xr:uid="{F35EFDB0-57C9-49E3-92A8-7B36640657DE}"/>
    <cellStyle name="60 % - Akzent2" xfId="15033" hidden="1" xr:uid="{C8B8D304-F016-41C8-B675-AD635BF06C71}"/>
    <cellStyle name="60 % - Akzent2" xfId="14869" hidden="1" xr:uid="{5A4A45FC-795C-4DD8-95A9-C74C053C3C76}"/>
    <cellStyle name="60 % - Akzent2" xfId="15301" hidden="1" xr:uid="{5B0C0602-0219-4771-8E28-8B1D3581ABAC}"/>
    <cellStyle name="60 % - Akzent2" xfId="15583" hidden="1" xr:uid="{94F1F2C1-6863-4C3B-A651-5D0493797CC3}"/>
    <cellStyle name="60 % - Akzent2" xfId="15457" hidden="1" xr:uid="{529D0C2E-0EC2-49EA-AF07-ACC4187C735D}"/>
    <cellStyle name="60 % - Akzent2" xfId="14243" hidden="1" xr:uid="{CAE10097-2BD5-44B2-8642-43127520A5F6}"/>
    <cellStyle name="60 % - Akzent2" xfId="15157" hidden="1" xr:uid="{B5605CB1-D22C-44BC-BE76-31774AC52EA7}"/>
    <cellStyle name="60 % - Akzent2" xfId="15036" hidden="1" xr:uid="{18D4376E-6D29-42BD-BD9A-CEDE35F070D9}"/>
    <cellStyle name="60 % - Akzent2" xfId="15949" hidden="1" xr:uid="{44E63DFC-6779-4F67-86CD-7FA3C8449CD6}"/>
    <cellStyle name="60 % - Akzent2" xfId="15557" hidden="1" xr:uid="{607F1B49-2DF6-45CA-A7A4-B13265B9ADBB}"/>
    <cellStyle name="60 % - Akzent2" xfId="16033" hidden="1" xr:uid="{4D4E8D08-0F84-4E62-B293-BE1A5847E04A}"/>
    <cellStyle name="60 % - Akzent2" xfId="16103" hidden="1" xr:uid="{4CBEBFD3-F33C-4CD4-BF52-20B09800DB5C}"/>
    <cellStyle name="60 % - Akzent2" xfId="16545" hidden="1" xr:uid="{94FEE391-F04A-403C-8DB8-8D24463D41D4}"/>
    <cellStyle name="60 % - Akzent2" xfId="17351" hidden="1" xr:uid="{23AFB72B-80C8-4C42-83F8-B6898E063584}"/>
    <cellStyle name="60 % - Akzent2" xfId="17393" hidden="1" xr:uid="{6C28BE7F-46B2-4055-9684-342FB65189B7}"/>
    <cellStyle name="60 % - Akzent2" xfId="17793" hidden="1" xr:uid="{5AA5946E-4114-440A-BA92-EAC478E88E6D}"/>
    <cellStyle name="60 % - Akzent2" xfId="17718" hidden="1" xr:uid="{D4BF489E-4DD8-4E66-8FC5-9C6624325517}"/>
    <cellStyle name="60 % - Akzent2" xfId="18212" hidden="1" xr:uid="{4149A7CF-04DE-422D-8D06-922BA2B802A7}"/>
    <cellStyle name="60 % - Akzent2" xfId="17815" hidden="1" xr:uid="{3253FB47-C6D1-4976-A930-97A615040298}"/>
    <cellStyle name="60 % - Akzent2" xfId="17876" hidden="1" xr:uid="{7A69328F-2539-4760-B16F-9A1D40AD8C8C}"/>
    <cellStyle name="60 % - Akzent2" xfId="18191" hidden="1" xr:uid="{006E2AD3-4003-4530-89C9-C195B5BF686E}"/>
    <cellStyle name="60 % - Akzent2" xfId="18245" hidden="1" xr:uid="{33DF9E53-07B6-4269-8720-4A6C05420204}"/>
    <cellStyle name="60 % - Akzent2" xfId="18356" hidden="1" xr:uid="{539B9DB0-786E-40E0-90D5-6CAFF60C3E8D}"/>
    <cellStyle name="60 % - Akzent2" xfId="19058" hidden="1" xr:uid="{265DF755-F4A6-45CA-8558-AD322940FAAE}"/>
    <cellStyle name="60 % - Akzent2" xfId="17602" hidden="1" xr:uid="{7E21A338-1658-4A3C-AEE7-B92EE21F0B31}"/>
    <cellStyle name="60 % - Akzent2" xfId="18780" hidden="1" xr:uid="{FBCB3D01-7390-48A7-A6B0-3A736CCB2030}"/>
    <cellStyle name="60 % - Akzent2" xfId="18567" hidden="1" xr:uid="{A3E776A8-1B09-4DDA-B476-350DC5D3B6A6}"/>
    <cellStyle name="60 % - Akzent2" xfId="19321" hidden="1" xr:uid="{CE4747D9-9786-4E81-8574-2F1B4FDA9F86}"/>
    <cellStyle name="60 % - Akzent2" xfId="18865" hidden="1" xr:uid="{A10A261C-103D-47A7-A952-33C771B001CF}"/>
    <cellStyle name="60 % - Akzent2" xfId="19436" hidden="1" xr:uid="{AF2078E4-1BF2-4A42-A647-3D6273B4DB4A}"/>
    <cellStyle name="60 % - Akzent2" xfId="19882" hidden="1" xr:uid="{85D743AD-E3E1-4337-A61F-13A89F1A19DE}"/>
    <cellStyle name="60 % - Akzent2" xfId="20702" hidden="1" xr:uid="{48E82C4E-1FEA-413A-AC72-6FD9F14D747E}"/>
    <cellStyle name="60 % - Akzent2" xfId="20516" hidden="1" xr:uid="{C3C77428-FF0B-4A5C-901C-2DB0494AE151}"/>
    <cellStyle name="60 % - Akzent2" xfId="21159" hidden="1" xr:uid="{8EAFD901-EAF3-49D7-9047-FC6C53027340}"/>
    <cellStyle name="60 % - Akzent2" xfId="21079" hidden="1" xr:uid="{7116A8E2-6CC5-4FE7-858F-3FBD0DE570AF}"/>
    <cellStyle name="60 % - Akzent2" xfId="21375" hidden="1" xr:uid="{5E9366DC-FA92-4E5F-90DA-590D90F7E0F0}"/>
    <cellStyle name="60 % - Akzent2" xfId="21102" hidden="1" xr:uid="{834A92CB-7FEF-46B3-9E5A-D723CACBA6D7}"/>
    <cellStyle name="60 % - Akzent2" xfId="21241" hidden="1" xr:uid="{C83EA3FE-04B2-41B7-A13C-0F9A8E6C639C}"/>
    <cellStyle name="60 % - Akzent2" xfId="21233" hidden="1" xr:uid="{0A10A4B6-EB6B-471E-A420-741F089C68B6}"/>
    <cellStyle name="60 % - Akzent2" xfId="22090" hidden="1" xr:uid="{5A056662-07D8-4F7F-B6A2-E08894D363CE}"/>
    <cellStyle name="60 % - Akzent2" xfId="22010" hidden="1" xr:uid="{F54C474D-FA06-466C-B650-A1CFB11016C0}"/>
    <cellStyle name="60 % - Akzent2" xfId="22518" hidden="1" xr:uid="{5FC42FB0-A64E-40D5-B6BB-5CDE314427CA}"/>
    <cellStyle name="60 % - Akzent2" xfId="22297" hidden="1" xr:uid="{35E9197D-E359-4C91-BF3D-F4A6B6FACE84}"/>
    <cellStyle name="60 % - Akzent2" xfId="22947" hidden="1" xr:uid="{45A09723-ADCE-49CD-91F9-14CECA4839DA}"/>
    <cellStyle name="60 % - Akzent2" xfId="21814" hidden="1" xr:uid="{834072DE-E68A-4C3A-AE2D-36A1F7CEFA84}"/>
    <cellStyle name="60 % - Akzent2" xfId="22796" hidden="1" xr:uid="{C370800E-A597-4973-8DAC-8E47A0A05E87}"/>
    <cellStyle name="60 % - Akzent2" xfId="23335" hidden="1" xr:uid="{57B71A48-5BA0-4A3B-8C5A-CFD4DA05A790}"/>
    <cellStyle name="60 % - Akzent2" xfId="22725" hidden="1" xr:uid="{A38DEA99-8FC1-4244-923A-294E8D397300}"/>
    <cellStyle name="60 % - Akzent2" xfId="23051" hidden="1" xr:uid="{F6B3600E-94C2-40C9-9BEB-6AF0AEADF903}"/>
    <cellStyle name="60 % - Akzent2" xfId="22679" hidden="1" xr:uid="{C5F429B1-C17B-4A57-9F77-6EC8C2A82A01}"/>
    <cellStyle name="60 % - Akzent2" xfId="23514" hidden="1" xr:uid="{39409099-F481-40EF-8971-F19563113715}"/>
    <cellStyle name="60 % - Akzent2" xfId="22707" hidden="1" xr:uid="{6F67CC14-FEB6-4767-9904-133BBE0A39D6}"/>
    <cellStyle name="60 % - Akzent2" xfId="22987" hidden="1" xr:uid="{CB69BE26-1E77-445F-B09E-5E594F14AACD}"/>
    <cellStyle name="60 % - Akzent2" xfId="23694" hidden="1" xr:uid="{2D28AB3F-0BA6-4E34-98AC-37E81A56B362}"/>
    <cellStyle name="60 % - Akzent2" xfId="24096" hidden="1" xr:uid="{A3442BEC-9D9A-459F-9DAA-F419AA518272}"/>
    <cellStyle name="60 % - Akzent2" xfId="22692" hidden="1" xr:uid="{D05CE1A1-BF03-4854-A0A3-8E8555525F4B}"/>
    <cellStyle name="60 % - Akzent2" xfId="24158" hidden="1" xr:uid="{52F45FC6-B7C2-41AD-BB00-748B9ADE6544}"/>
    <cellStyle name="60 % - Akzent2" xfId="24434" hidden="1" xr:uid="{670FE55A-A018-4721-8F69-AA41DC89B6FC}"/>
    <cellStyle name="60 % - Akzent2" xfId="25351" hidden="1" xr:uid="{8E2AA394-9F6E-4F71-8817-987D1F8C1442}"/>
    <cellStyle name="60 % - Akzent2" xfId="24216" hidden="1" xr:uid="{307012D6-F713-40D1-AA3E-F3ADBE936825}"/>
    <cellStyle name="60 % - Akzent2" xfId="24534" hidden="1" xr:uid="{FF0B359E-8384-4024-80C9-076EE6F94627}"/>
    <cellStyle name="60 % - Akzent2" xfId="26203" hidden="1" xr:uid="{0B2C492F-7226-4110-8785-4695FF80DF65}"/>
    <cellStyle name="60 % - Akzent2" xfId="26124" hidden="1" xr:uid="{3BBE3E04-ED3D-434E-99F8-89913BD69283}"/>
    <cellStyle name="60 % - Akzent2" xfId="25040" hidden="1" xr:uid="{676311F6-4535-4C0A-AD45-82FBE8B83D90}"/>
    <cellStyle name="60 % - Akzent2" xfId="26530" hidden="1" xr:uid="{6AAC6516-B684-4C8B-93A7-6DB9761B509E}"/>
    <cellStyle name="60 % - Akzent2" xfId="25412" hidden="1" xr:uid="{3058B474-FE13-4329-B2B4-6FA82E5CDCA7}"/>
    <cellStyle name="60 % - Akzent2" xfId="26016" hidden="1" xr:uid="{F87DCD39-2865-4EC1-B4AF-017DCEC5CC8F}"/>
    <cellStyle name="60 % - Akzent2" xfId="26630" hidden="1" xr:uid="{87C9B57F-8472-4459-A5D1-ED2377F27803}"/>
    <cellStyle name="60 % - Akzent2" xfId="26359" hidden="1" xr:uid="{5A8E5E14-0E17-40D8-B11A-13B5082E8514}"/>
    <cellStyle name="60 % - Akzent2" xfId="26639" hidden="1" xr:uid="{0297D5BF-382A-44C7-90AE-9E68CB99BE3D}"/>
    <cellStyle name="60 % - Akzent2" xfId="27798" hidden="1" xr:uid="{17492518-2659-4922-BCA4-9E0F0F32F82D}"/>
    <cellStyle name="60 % - Akzent2" xfId="27606" hidden="1" xr:uid="{A32F33B8-4906-4099-9E7B-B9A3AAF181D9}"/>
    <cellStyle name="60 % - Akzent2" xfId="27887" hidden="1" xr:uid="{29830441-8386-43CA-AE17-5F0C7955FCBF}"/>
    <cellStyle name="60 % - Akzent2" xfId="24476" hidden="1" xr:uid="{C8ACFBF2-637E-4E4C-AB21-3D45BBD4A46C}"/>
    <cellStyle name="60 % - Akzent2" xfId="27846" hidden="1" xr:uid="{83C0FC33-5D1F-4E20-B37C-0965ABD3014A}"/>
    <cellStyle name="60 % - Akzent2" xfId="27884" hidden="1" xr:uid="{0150EF8F-B7F9-49A7-8EBC-03DBBE6BC41E}"/>
    <cellStyle name="60 % - Akzent2" xfId="27950" hidden="1" xr:uid="{4231563D-A6ED-4D3E-974F-2FE35634038E}"/>
    <cellStyle name="60 % - Akzent2" xfId="28342" hidden="1" xr:uid="{45EDBA72-604B-483B-BCEE-AF99B2F7CDA9}"/>
    <cellStyle name="60 % - Akzent2" xfId="27892" hidden="1" xr:uid="{01D7C012-00D5-4825-A94D-023450FE09D8}"/>
    <cellStyle name="60 % - Akzent2" xfId="29520" hidden="1" xr:uid="{71C5C9BB-BCF9-4B3C-B1E9-25FDF4C408BB}"/>
    <cellStyle name="60 % - Akzent2" xfId="29452" hidden="1" xr:uid="{B9DCFEB0-BDC6-4D98-9CC0-01C74D08828C}"/>
    <cellStyle name="60 % - Akzent2" xfId="29386" hidden="1" xr:uid="{03793516-E629-4838-A996-3EC746C79BAE}"/>
    <cellStyle name="60 % - Akzent2" xfId="28321" hidden="1" xr:uid="{FC8ED53D-9738-4C34-AC8E-FF3278CFDDD2}"/>
    <cellStyle name="60 % - Akzent2" xfId="30414" hidden="1" xr:uid="{D740746F-0603-4FB4-A00B-D5202026B1C1}"/>
    <cellStyle name="60 % - Akzent2" xfId="30969" hidden="1" xr:uid="{AAB07768-43DF-4A00-A235-0A3EB0C6BDAA}"/>
    <cellStyle name="60 % - Akzent2" xfId="28151" hidden="1" xr:uid="{A45DBD12-F3E9-408B-9EFE-F6893208FEC4}"/>
    <cellStyle name="60 % - Akzent2 2" xfId="386" xr:uid="{4CCE6D14-8135-49D8-A898-65A732D4E1B2}"/>
    <cellStyle name="60 % - Akzent2 3" xfId="255" xr:uid="{97B01030-04C7-4ECA-B5E0-A78E17A14BB0}"/>
    <cellStyle name="60 % - Akzent3" xfId="58" hidden="1" xr:uid="{A1CE8FCF-82DF-4F52-B232-EE6D57F519A0}"/>
    <cellStyle name="60 % - Akzent3" xfId="905" hidden="1" xr:uid="{4A0B4046-2B63-4746-B9AB-829A5DDB01E6}"/>
    <cellStyle name="60 % - Akzent3" xfId="985" hidden="1" xr:uid="{A3320FE8-05B5-49C0-8D63-617F7192B355}"/>
    <cellStyle name="60 % - Akzent3" xfId="1399" hidden="1" xr:uid="{6B9F1B52-3BBE-423B-A3F1-E0827B247F4D}"/>
    <cellStyle name="60 % - Akzent3" xfId="1624" hidden="1" xr:uid="{3B695693-98D3-48C8-8790-1B5D1F24D74A}"/>
    <cellStyle name="60 % - Akzent3" xfId="1884" hidden="1" xr:uid="{EEFE1A34-3D56-4D97-8373-77B67380FEE9}"/>
    <cellStyle name="60 % - Akzent3" xfId="2159" hidden="1" xr:uid="{3DDF464B-3311-4DC7-B8E7-82B72DC53CAF}"/>
    <cellStyle name="60 % - Akzent3" xfId="3131" hidden="1" xr:uid="{EC69E1E1-1013-47BA-8F51-0C5A3D77417E}"/>
    <cellStyle name="60 % - Akzent3" xfId="2208" hidden="1" xr:uid="{03D4B3EC-EF4E-45CF-8ADF-835A1849FD9B}"/>
    <cellStyle name="60 % - Akzent3" xfId="3150" hidden="1" xr:uid="{0FE07794-68FF-4328-91B6-B11BA0777D7A}"/>
    <cellStyle name="60 % - Akzent3" xfId="3609" hidden="1" xr:uid="{65873C74-B480-42A0-97F6-26BF5E5F0781}"/>
    <cellStyle name="60 % - Akzent3" xfId="2857" hidden="1" xr:uid="{B47344BB-4871-4D0F-A4E1-7BA1DB7FF07C}"/>
    <cellStyle name="60 % - Akzent3" xfId="3016" hidden="1" xr:uid="{BAB3362A-7B90-44C8-A875-BD728804DD26}"/>
    <cellStyle name="60 % - Akzent3" xfId="1908" hidden="1" xr:uid="{A61474E6-8F28-4825-AEC4-414A41B1ED09}"/>
    <cellStyle name="60 % - Akzent3" xfId="2883" hidden="1" xr:uid="{91965319-B4F6-4627-B3C7-8006467FCD38}"/>
    <cellStyle name="60 % - Akzent3" xfId="2862" hidden="1" xr:uid="{F79C6D51-AD80-4C42-B3FF-33719CF180E6}"/>
    <cellStyle name="60 % - Akzent3" xfId="3820" hidden="1" xr:uid="{A9A37CFD-971C-4AFD-AFE5-95246AF69462}"/>
    <cellStyle name="60 % - Akzent3" xfId="4258" hidden="1" xr:uid="{C00E9DD9-9420-4171-B6CC-9BE42D0074EB}"/>
    <cellStyle name="60 % - Akzent3" xfId="4863" hidden="1" xr:uid="{6281DEB6-B485-40E0-B84B-E7D7515601F9}"/>
    <cellStyle name="60 % - Akzent3" xfId="5023" hidden="1" xr:uid="{1EF6F18A-F143-4F89-8472-321A8A26FF96}"/>
    <cellStyle name="60 % - Akzent3" xfId="3681" hidden="1" xr:uid="{3A54681B-D306-4E09-AA6D-CBAA6903241A}"/>
    <cellStyle name="60 % - Akzent3" xfId="5685" hidden="1" xr:uid="{032FEBEC-2C58-4ECA-B214-B4E7A36E4C52}"/>
    <cellStyle name="60 % - Akzent3" xfId="5870" hidden="1" xr:uid="{CAB62ED6-D890-4631-8449-76A8D7481065}"/>
    <cellStyle name="60 % - Akzent3" xfId="5122" hidden="1" xr:uid="{E32413D0-A75D-4C23-9F20-96D3FA3EEA4A}"/>
    <cellStyle name="60 % - Akzent3" xfId="4692" hidden="1" xr:uid="{4A955532-09B8-4318-864B-B979CCA6F121}"/>
    <cellStyle name="60 % - Akzent3" xfId="5924" hidden="1" xr:uid="{DCDA3119-C8F7-4365-A30D-E9ECEADB1F5A}"/>
    <cellStyle name="60 % - Akzent3" xfId="6130" hidden="1" xr:uid="{B0EEFD65-5D5E-486D-9AE7-0679F63BAE11}"/>
    <cellStyle name="60 % - Akzent3" xfId="6284" hidden="1" xr:uid="{CF710227-84DB-4E12-A7FC-F206449107E1}"/>
    <cellStyle name="60 % - Akzent3" xfId="6201" hidden="1" xr:uid="{53BE0F70-DE8F-4EC6-A28B-4C2D6FA34310}"/>
    <cellStyle name="60 % - Akzent3" xfId="6519" hidden="1" xr:uid="{B85696E5-5F54-42FA-99A0-807CE3B7AF66}"/>
    <cellStyle name="60 % - Akzent3" xfId="6429" hidden="1" xr:uid="{C0EE95AC-693D-4575-869F-055262D3584D}"/>
    <cellStyle name="60 % - Akzent3" xfId="6507" hidden="1" xr:uid="{9BEA90E9-D559-4777-8C39-B4F8F83ECEB4}"/>
    <cellStyle name="60 % - Akzent3" xfId="6471" hidden="1" xr:uid="{79306052-C07A-4DD3-B8FC-C89696AB46EF}"/>
    <cellStyle name="60 % - Akzent3" xfId="6575" hidden="1" xr:uid="{6B0F067D-0BD1-45B9-8634-81BE83E2CC75}"/>
    <cellStyle name="60 % - Akzent3" xfId="6326" hidden="1" xr:uid="{2330B5AD-F8AB-4216-86D7-B9130D794049}"/>
    <cellStyle name="60 % - Akzent3" xfId="6254" hidden="1" xr:uid="{22C1B657-3242-4F86-8E44-68D6582284D1}"/>
    <cellStyle name="60 % - Akzent3" xfId="6495" hidden="1" xr:uid="{5C607279-8457-4599-800E-E21FC31EC419}"/>
    <cellStyle name="60 % - Akzent3" xfId="6796" hidden="1" xr:uid="{F7A7651B-36D7-4EB7-A4E3-3A6BE0E943DF}"/>
    <cellStyle name="60 % - Akzent3" xfId="7212" hidden="1" xr:uid="{C8AE3430-712D-42F3-8B39-C7C1C0B64766}"/>
    <cellStyle name="60 % - Akzent3" xfId="8000" hidden="1" xr:uid="{C3D52A91-4D9B-4F16-AF07-13CAD9534B95}"/>
    <cellStyle name="60 % - Akzent3" xfId="7010" hidden="1" xr:uid="{74A93D51-600F-45EE-AAFD-E3F3A1C93F5C}"/>
    <cellStyle name="60 % - Akzent3" xfId="8377" hidden="1" xr:uid="{C2A7E8AE-9ADE-4129-840C-EB7DD8C6ED87}"/>
    <cellStyle name="60 % - Akzent3" xfId="7649" hidden="1" xr:uid="{5287DF4A-2B7E-44A8-885E-690AD30041E6}"/>
    <cellStyle name="60 % - Akzent3" xfId="7961" hidden="1" xr:uid="{2CE70C8A-037F-49C3-BE71-31DB2B8A4FFC}"/>
    <cellStyle name="60 % - Akzent3" xfId="8368" hidden="1" xr:uid="{7B00261A-50A8-450D-AD1C-DBAA95FE0D11}"/>
    <cellStyle name="60 % - Akzent3" xfId="8255" hidden="1" xr:uid="{9F85C81D-A051-409C-B01D-466398528EF7}"/>
    <cellStyle name="60 % - Akzent3" xfId="8006" hidden="1" xr:uid="{C4F88AB0-0690-4434-91AD-FE7A830BF95A}"/>
    <cellStyle name="60 % - Akzent3" xfId="8147" hidden="1" xr:uid="{ADA565C5-6378-4313-8005-F2698BA2760B}"/>
    <cellStyle name="60 % - Akzent3" xfId="8239" hidden="1" xr:uid="{ED0A61F7-724B-458C-A860-0D507AA9D2E4}"/>
    <cellStyle name="60 % - Akzent3" xfId="8326" hidden="1" xr:uid="{247E713F-6BCE-43A0-AF9A-9B4B9E53C666}"/>
    <cellStyle name="60 % - Akzent3" xfId="6771" hidden="1" xr:uid="{13F21363-B3E1-49BE-8288-A4786F68DAF4}"/>
    <cellStyle name="60 % - Akzent3" xfId="6797" hidden="1" xr:uid="{ED026260-A003-4160-8636-8BD9C09C7FF4}"/>
    <cellStyle name="60 % - Akzent3" xfId="6904" hidden="1" xr:uid="{52D235EB-D46F-4F14-92D9-C83338AF912E}"/>
    <cellStyle name="60 % - Akzent3" xfId="7724" hidden="1" xr:uid="{ACE72DA4-53EE-4F1B-A88A-C5E664BEB43C}"/>
    <cellStyle name="60 % - Akzent3" xfId="6896" hidden="1" xr:uid="{BACBDCA4-7BE6-4912-9CE7-5FCE97EC9CC4}"/>
    <cellStyle name="60 % - Akzent3" xfId="8097" hidden="1" xr:uid="{74B62D0F-76D5-4067-9F86-C1770A872816}"/>
    <cellStyle name="60 % - Akzent3" xfId="8876" hidden="1" xr:uid="{29AEC922-544E-4E3B-A9C1-32AB56879410}"/>
    <cellStyle name="60 % - Akzent3" xfId="7818" hidden="1" xr:uid="{9935FEC9-C99E-43A3-A4F8-C8265B1E63E9}"/>
    <cellStyle name="60 % - Akzent3" xfId="8493" hidden="1" xr:uid="{F19B4324-D23B-465A-8EE6-EE5110BA7FD6}"/>
    <cellStyle name="60 % - Akzent3" xfId="8646" hidden="1" xr:uid="{5A3687D0-2DB3-4D3B-B05F-2A7B026D5D65}"/>
    <cellStyle name="60 % - Akzent3" xfId="9010" hidden="1" xr:uid="{8F71F72E-B127-4CF7-9843-D62564432EB7}"/>
    <cellStyle name="60 % - Akzent3" xfId="9426" hidden="1" xr:uid="{6B93C31C-73E7-43F3-8B29-778079D9B761}"/>
    <cellStyle name="60 % - Akzent3" xfId="10217" hidden="1" xr:uid="{C9EF8CF3-B05C-4E2C-866C-8409562F6A4F}"/>
    <cellStyle name="60 % - Akzent3" xfId="9223" hidden="1" xr:uid="{B064C6F7-597D-40CE-82DB-1539EC94CEB3}"/>
    <cellStyle name="60 % - Akzent3" xfId="10619" hidden="1" xr:uid="{C866866F-5C26-418E-B94F-FE6AC9902F88}"/>
    <cellStyle name="60 % - Akzent3" xfId="10664" hidden="1" xr:uid="{F71B95F4-289A-4C17-8F96-326D5336B7D5}"/>
    <cellStyle name="60 % - Akzent3" xfId="10925" hidden="1" xr:uid="{287CB98E-6E37-40C5-BD95-FA9E63AF065D}"/>
    <cellStyle name="60 % - Akzent3" xfId="9388" hidden="1" xr:uid="{E374DB96-ECB1-4ADE-B8C6-1A0936E920B0}"/>
    <cellStyle name="60 % - Akzent3" xfId="11014" hidden="1" xr:uid="{3E01D8FC-A746-45C2-B33B-A4F3EC3A0A08}"/>
    <cellStyle name="60 % - Akzent3" xfId="11247" hidden="1" xr:uid="{38A35592-DEAB-4919-BA48-F6E8F9D65CC2}"/>
    <cellStyle name="60 % - Akzent3" xfId="11164" hidden="1" xr:uid="{4FD89438-4AA9-4376-A0C8-67FCF1F974C8}"/>
    <cellStyle name="60 % - Akzent3" xfId="10798" hidden="1" xr:uid="{C693166C-3F14-4CEA-86AD-8587AACF7D62}"/>
    <cellStyle name="60 % - Akzent3" xfId="10310" hidden="1" xr:uid="{F6D0CB0B-1B7E-473D-9E6F-C60435636C53}"/>
    <cellStyle name="60 % - Akzent3" xfId="11153" hidden="1" xr:uid="{FC0F03A1-978A-4A05-8F0C-09925BF6041B}"/>
    <cellStyle name="60 % - Akzent3" xfId="10752" hidden="1" xr:uid="{844614A8-B0EA-4901-838A-F599FEC910CA}"/>
    <cellStyle name="60 % - Akzent3" xfId="11416" hidden="1" xr:uid="{0D0CF143-F26B-4A8E-87D5-311367CE2FA0}"/>
    <cellStyle name="60 % - Akzent3" xfId="11842" hidden="1" xr:uid="{6682F500-E9E6-43BE-830A-409D445F6695}"/>
    <cellStyle name="60 % - Akzent3" xfId="12330" hidden="1" xr:uid="{C72932E2-EF28-4345-AE8F-9C8F8E375542}"/>
    <cellStyle name="60 % - Akzent3" xfId="12763" hidden="1" xr:uid="{81E15ED5-DD75-49DB-9E84-EBB19CE9CF02}"/>
    <cellStyle name="60 % - Akzent3" xfId="11402" hidden="1" xr:uid="{21B61642-5B29-4DC1-B7B4-36135C0D240A}"/>
    <cellStyle name="60 % - Akzent3" xfId="13962" hidden="1" xr:uid="{1D5CA6C0-B6E6-4E7C-9D03-96EE4815DD23}"/>
    <cellStyle name="60 % - Akzent3" xfId="11540" hidden="1" xr:uid="{AB22EA35-2F09-42B1-9772-BA20749FC54D}"/>
    <cellStyle name="60 % - Akzent3" xfId="13980" hidden="1" xr:uid="{44DB96AC-AD4D-4DC1-8EC0-6AFE93AD37C0}"/>
    <cellStyle name="60 % - Akzent3" xfId="14452" hidden="1" xr:uid="{C4E7402D-AC8D-4F27-98DC-E80C5DE2E4C6}"/>
    <cellStyle name="60 % - Akzent3" xfId="13395" hidden="1" xr:uid="{6F2C3191-C52B-46FC-8475-1495AB17D429}"/>
    <cellStyle name="60 % - Akzent3" xfId="14637" hidden="1" xr:uid="{6D3C8E52-31A7-4196-8062-C875DFFE28F5}"/>
    <cellStyle name="60 % - Akzent3" xfId="14374" hidden="1" xr:uid="{65A159CD-F371-42DE-A69B-046E731525E1}"/>
    <cellStyle name="60 % - Akzent3" xfId="15057" hidden="1" xr:uid="{936A3FEE-BDB4-4932-AC5E-1EE44D5DBBF8}"/>
    <cellStyle name="60 % - Akzent3" xfId="14805" hidden="1" xr:uid="{CA1788E7-B843-4B66-90D6-1BB75A1509DE}"/>
    <cellStyle name="60 % - Akzent3" xfId="14532" hidden="1" xr:uid="{8EC1C76A-E8DE-4D88-A47E-CD2B88C9D057}"/>
    <cellStyle name="60 % - Akzent3" xfId="14358" hidden="1" xr:uid="{0478516A-0E98-49D1-867E-3934DA5B8EE0}"/>
    <cellStyle name="60 % - Akzent3" xfId="15343" hidden="1" xr:uid="{AEE65DC9-DF73-44E1-9555-683901A670A5}"/>
    <cellStyle name="60 % - Akzent3" xfId="15506" hidden="1" xr:uid="{69B28040-EB6C-4762-97AC-9ED35A327822}"/>
    <cellStyle name="60 % - Akzent3" xfId="15662" hidden="1" xr:uid="{9FEB03AC-87FC-48C0-B751-B22A8CF75EED}"/>
    <cellStyle name="60 % - Akzent3" xfId="15675" hidden="1" xr:uid="{DC1E17B0-14AA-44EA-A0C1-1D3D9379CDD2}"/>
    <cellStyle name="60 % - Akzent3" xfId="15448" hidden="1" xr:uid="{60EB2DC6-6F86-49C4-9A41-99B01E935353}"/>
    <cellStyle name="60 % - Akzent3" xfId="15167" hidden="1" xr:uid="{5352E4F6-A4A6-4F61-B5B6-3DDA78C3F375}"/>
    <cellStyle name="60 % - Akzent3" xfId="15896" hidden="1" xr:uid="{6D7821EE-5DFE-4DE1-B099-51D8709FD8FF}"/>
    <cellStyle name="60 % - Akzent3" xfId="15860" hidden="1" xr:uid="{7497F55D-9548-4190-8B6F-4697F3E32E8A}"/>
    <cellStyle name="60 % - Akzent3" xfId="16030" hidden="1" xr:uid="{D05CAD63-261F-4023-8921-B320B7E12FEA}"/>
    <cellStyle name="60 % - Akzent3" xfId="16107" hidden="1" xr:uid="{36B4DAB6-3A5B-4F39-A04D-4C48E0CEE622}"/>
    <cellStyle name="60 % - Akzent3" xfId="16535" hidden="1" xr:uid="{3D508588-A447-45A9-BCE2-3D35F9FDD2F1}"/>
    <cellStyle name="60 % - Akzent3" xfId="17339" hidden="1" xr:uid="{C141EA81-7D9D-4676-9241-2B5072FFE07F}"/>
    <cellStyle name="60 % - Akzent3" xfId="16331" hidden="1" xr:uid="{C7299822-3F3C-443D-867B-4FA785CF9F0A}"/>
    <cellStyle name="60 % - Akzent3" xfId="17782" hidden="1" xr:uid="{38FE9D53-E69E-450A-9F85-8FA472D10B7F}"/>
    <cellStyle name="60 % - Akzent3" xfId="17834" hidden="1" xr:uid="{8A9E3FF8-F0A5-4C7A-A93E-5D3CDFC127C5}"/>
    <cellStyle name="60 % - Akzent3" xfId="18199" hidden="1" xr:uid="{CD9FC7A8-5BA7-4085-8839-DD4579EA62D5}"/>
    <cellStyle name="60 % - Akzent3" xfId="17002" hidden="1" xr:uid="{F1947F0B-03B3-4FFE-B6CB-1B7F4D01D89C}"/>
    <cellStyle name="60 % - Akzent3" xfId="18175" hidden="1" xr:uid="{78D7D665-08DA-4A3C-84B4-588E254FCF51}"/>
    <cellStyle name="60 % - Akzent3" xfId="17672" hidden="1" xr:uid="{3C0F836A-62D7-455A-998B-622321F6B860}"/>
    <cellStyle name="60 % - Akzent3" xfId="17368" hidden="1" xr:uid="{34153850-6C1E-4D05-9437-4C7518E54187}"/>
    <cellStyle name="60 % - Akzent3" xfId="18366" hidden="1" xr:uid="{4CCCCB9C-E9FE-4D0D-B041-3B86F3F44DA5}"/>
    <cellStyle name="60 % - Akzent3" xfId="19046" hidden="1" xr:uid="{BC258AAC-AA81-4ACA-8C08-9CE0DF9BD266}"/>
    <cellStyle name="60 % - Akzent3" xfId="16163" hidden="1" xr:uid="{B4027047-77AE-46B0-861C-088026586F7C}"/>
    <cellStyle name="60 % - Akzent3" xfId="19023" hidden="1" xr:uid="{226467E8-4A5D-4C86-9475-843A810BDFD7}"/>
    <cellStyle name="60 % - Akzent3" xfId="19096" hidden="1" xr:uid="{D9127B52-A9E7-4FB1-923E-C3F4A231FAE6}"/>
    <cellStyle name="60 % - Akzent3" xfId="19317" hidden="1" xr:uid="{CDD864B5-5872-4465-82AF-ED73F2282698}"/>
    <cellStyle name="60 % - Akzent3" xfId="18888" hidden="1" xr:uid="{E7FEECFD-223F-4621-90A8-5ED946164F93}"/>
    <cellStyle name="60 % - Akzent3" xfId="19440" hidden="1" xr:uid="{B0AE5F77-6CE8-41FC-BEBC-E5B238D33754}"/>
    <cellStyle name="60 % - Akzent3" xfId="19871" hidden="1" xr:uid="{7A7CCBCE-8046-43D5-874A-95B674371C02}"/>
    <cellStyle name="60 % - Akzent3" xfId="20690" hidden="1" xr:uid="{D9F6929E-4787-4E80-AC0E-7278AC468571}"/>
    <cellStyle name="60 % - Akzent3" xfId="20282" hidden="1" xr:uid="{2509687C-79BD-418F-99C2-78007762E947}"/>
    <cellStyle name="60 % - Akzent3" xfId="21146" hidden="1" xr:uid="{D3A6CBFB-03C4-441F-A712-35B41A1915D9}"/>
    <cellStyle name="60 % - Akzent3" xfId="21201" hidden="1" xr:uid="{3B9BE6C4-41A1-4F61-9923-E01BA59A5104}"/>
    <cellStyle name="60 % - Akzent3" xfId="21334" hidden="1" xr:uid="{8DC8E5D1-706A-4917-8AC3-A4A899D91A58}"/>
    <cellStyle name="60 % - Akzent3" xfId="19836" hidden="1" xr:uid="{E5FFC563-525A-42CE-9219-6E5C4535F081}"/>
    <cellStyle name="60 % - Akzent3" xfId="20517" hidden="1" xr:uid="{C6527922-2D45-433D-B0A2-18DEAE6CB1A0}"/>
    <cellStyle name="60 % - Akzent3" xfId="21693" hidden="1" xr:uid="{6BD65D00-AF48-417A-9820-8B965E709DBB}"/>
    <cellStyle name="60 % - Akzent3" xfId="22078" hidden="1" xr:uid="{A450BCBF-6302-4E97-94BE-020966688288}"/>
    <cellStyle name="60 % - Akzent3" xfId="22132" hidden="1" xr:uid="{764BBC2F-DF6B-4607-A328-FE218B3E5BAB}"/>
    <cellStyle name="60 % - Akzent3" xfId="22505" hidden="1" xr:uid="{C250EAE0-0261-45F2-83E2-456BF3493C1C}"/>
    <cellStyle name="60 % - Akzent3" xfId="22198" hidden="1" xr:uid="{5702BB6F-54EE-485C-882D-2B74A8313D2C}"/>
    <cellStyle name="60 % - Akzent3" xfId="22935" hidden="1" xr:uid="{D7094028-55C9-4641-81A3-AF347291E12A}"/>
    <cellStyle name="60 % - Akzent3" xfId="21943" hidden="1" xr:uid="{ADEF8245-C3F0-4B9E-895B-C64A21640FFB}"/>
    <cellStyle name="60 % - Akzent3" xfId="22710" hidden="1" xr:uid="{AF3A4D0C-B777-4031-B098-56C85952F8BF}"/>
    <cellStyle name="60 % - Akzent3" xfId="23324" hidden="1" xr:uid="{3AA4DD13-5708-4831-9210-1B1E80A1C6E6}"/>
    <cellStyle name="60 % - Akzent3" xfId="22770" hidden="1" xr:uid="{BAB7418A-348C-4A97-9B0D-644DF357D962}"/>
    <cellStyle name="60 % - Akzent3" xfId="23302" hidden="1" xr:uid="{ADB4DDD6-C703-4376-AF52-B3A4B463BEA6}"/>
    <cellStyle name="60 % - Akzent3" xfId="23407" hidden="1" xr:uid="{204B3238-3853-4965-9E91-B8D9DD39F8B6}"/>
    <cellStyle name="60 % - Akzent3" xfId="23492" hidden="1" xr:uid="{0D87F9CE-DC48-4CA3-9069-31DF032E481C}"/>
    <cellStyle name="60 % - Akzent3" xfId="22320" hidden="1" xr:uid="{917DA053-5D34-4715-B69B-0952AF938EE1}"/>
    <cellStyle name="60 % - Akzent3" xfId="23670" hidden="1" xr:uid="{00F6C8F7-E3AF-4C00-BF06-E7E3FE2F2817}"/>
    <cellStyle name="60 % - Akzent3" xfId="23699" hidden="1" xr:uid="{C8CEF9C0-C144-49C0-9439-D46D8BD4EA9A}"/>
    <cellStyle name="60 % - Akzent3" xfId="24095" hidden="1" xr:uid="{67F7462C-25CF-41A1-981E-5A81A4227914}"/>
    <cellStyle name="60 % - Akzent3" xfId="23521" hidden="1" xr:uid="{565D8856-FBE7-4608-AD1B-1572C5770ED2}"/>
    <cellStyle name="60 % - Akzent3" xfId="24162" hidden="1" xr:uid="{3001BC64-6CF6-4FC8-874F-A5F638B52B43}"/>
    <cellStyle name="60 % - Akzent3" xfId="24412" hidden="1" xr:uid="{2B7B690C-1D97-433A-9AD7-110DD031C370}"/>
    <cellStyle name="60 % - Akzent3" xfId="25259" hidden="1" xr:uid="{2690A1CE-B089-4925-B0BF-69BF41047068}"/>
    <cellStyle name="60 % - Akzent3" xfId="25185" hidden="1" xr:uid="{F894A913-7510-4122-B993-99DB9FC9B096}"/>
    <cellStyle name="60 % - Akzent3" xfId="25513" hidden="1" xr:uid="{B9E6610B-3F19-4CE1-B8A9-1534F71A2CA3}"/>
    <cellStyle name="60 % - Akzent3" xfId="26112" hidden="1" xr:uid="{2B48BE0D-A355-4352-A7D9-025328C93E2E}"/>
    <cellStyle name="60 % - Akzent3" xfId="25967" hidden="1" xr:uid="{1B273E33-F109-4C8B-B56D-9EBA315701B3}"/>
    <cellStyle name="60 % - Akzent3" xfId="25983" hidden="1" xr:uid="{B0FCFFA6-8E13-41C6-A831-F471BC1057FC}"/>
    <cellStyle name="60 % - Akzent3" xfId="26445" hidden="1" xr:uid="{11A3EAA2-AEF9-49B3-815C-B50B5348B542}"/>
    <cellStyle name="60 % - Akzent3" xfId="26009" hidden="1" xr:uid="{33B3690A-7A55-4845-8F7E-DA41149B2B97}"/>
    <cellStyle name="60 % - Akzent3" xfId="25445" hidden="1" xr:uid="{68254F7C-1689-4729-9F2E-CB0AD5C53669}"/>
    <cellStyle name="60 % - Akzent3" xfId="26364" hidden="1" xr:uid="{073FEAC2-FF8B-4F38-B1A4-62E978A0EB53}"/>
    <cellStyle name="60 % - Akzent3" xfId="26533" hidden="1" xr:uid="{43480BE2-85E8-4EAC-8AE6-F41686705950}"/>
    <cellStyle name="60 % - Akzent3" xfId="26407" hidden="1" xr:uid="{46C16601-D195-4A27-9E57-98E588E72BED}"/>
    <cellStyle name="60 % - Akzent3" xfId="27793" hidden="1" xr:uid="{4DA07F05-8BBF-4506-A61D-00D3B4345535}"/>
    <cellStyle name="60 % - Akzent3" xfId="27612" hidden="1" xr:uid="{009F325E-5189-4877-835C-9984D30B898E}"/>
    <cellStyle name="60 % - Akzent3" xfId="27886" hidden="1" xr:uid="{0B027FE0-55F2-41FD-8D53-85774AA0F3C4}"/>
    <cellStyle name="60 % - Akzent3" xfId="26564" hidden="1" xr:uid="{3DC297AE-11EC-4202-84FA-D4E2C389CD66}"/>
    <cellStyle name="60 % - Akzent3" xfId="27882" hidden="1" xr:uid="{0AF713F1-29A6-40AE-87CA-12555E35B529}"/>
    <cellStyle name="60 % - Akzent3" xfId="26426" hidden="1" xr:uid="{EDFEC20D-C759-4B9E-B69F-A8D5CB681EB1}"/>
    <cellStyle name="60 % - Akzent3" xfId="27954" hidden="1" xr:uid="{1F06726B-BB4D-4E72-9794-C3BC8E929477}"/>
    <cellStyle name="60 % - Akzent3" xfId="28332" hidden="1" xr:uid="{CF96DB75-B4B1-416A-80ED-1C079BEF4653}"/>
    <cellStyle name="60 % - Akzent3" xfId="28812" hidden="1" xr:uid="{7185DBDD-F97F-453B-A1D6-3431D894CBAA}"/>
    <cellStyle name="60 % - Akzent3" xfId="29511" hidden="1" xr:uid="{C968AFBE-25D0-49C0-AA1C-D97D41002ACA}"/>
    <cellStyle name="60 % - Akzent3" xfId="29556" hidden="1" xr:uid="{ED83CF56-BB34-4CB8-AAC8-4BE3A2959ADD}"/>
    <cellStyle name="60 % - Akzent3" xfId="29604" hidden="1" xr:uid="{757A9614-91B7-42AF-B5AF-D4D93CAC5D46}"/>
    <cellStyle name="60 % - Akzent3" xfId="30002" hidden="1" xr:uid="{7547AFC1-3F80-4E81-8EA0-CDCBE8F7889B}"/>
    <cellStyle name="60 % - Akzent3" xfId="30424" hidden="1" xr:uid="{1F25E4AA-E6FA-420F-BB25-8CE4AADB49AF}"/>
    <cellStyle name="60 % - Akzent3" xfId="30914" hidden="1" xr:uid="{E2594A65-D369-4B0B-BD2E-7EFF34A05057}"/>
    <cellStyle name="60 % - Akzent3" xfId="28318" hidden="1" xr:uid="{B83F17F0-EF70-411B-BDA3-06694F1ED4A9}"/>
    <cellStyle name="60 % - Akzent3 2" xfId="387" xr:uid="{89DD920A-66EE-47DF-8F70-028B578EC3E6}"/>
    <cellStyle name="60 % - Akzent3 3" xfId="256" xr:uid="{18CE76D5-AA6D-44B4-BC3D-EAE9171D6D64}"/>
    <cellStyle name="60 % - Akzent4" xfId="61" hidden="1" xr:uid="{6F8F5E7B-A634-40BB-8539-327D6EDDCFB8}"/>
    <cellStyle name="60 % - Akzent4" xfId="908" hidden="1" xr:uid="{C3270EDC-7FB1-4737-BCBC-C31CC8EE5553}"/>
    <cellStyle name="60 % - Akzent4" xfId="967" hidden="1" xr:uid="{8610C595-11C7-4F22-B399-C1139A339B9C}"/>
    <cellStyle name="60 % - Akzent4" xfId="1402" hidden="1" xr:uid="{F382879A-AA61-4F68-8CEB-6CF892219BDA}"/>
    <cellStyle name="60 % - Akzent4" xfId="1659" hidden="1" xr:uid="{79B6468F-6702-4123-A045-F72BC36B97C8}"/>
    <cellStyle name="60 % - Akzent4" xfId="1888" hidden="1" xr:uid="{D26E9B8E-3617-40EE-B7FE-DA717C1F5771}"/>
    <cellStyle name="60 % - Akzent4" xfId="2135" hidden="1" xr:uid="{24221F40-912E-4C5E-8583-5345AAB96B9F}"/>
    <cellStyle name="60 % - Akzent4" xfId="3088" hidden="1" xr:uid="{992C71CD-85A8-436D-9188-9221CA67419F}"/>
    <cellStyle name="60 % - Akzent4" xfId="3000" hidden="1" xr:uid="{C8A75674-545D-404A-9829-DD730DCC4BF2}"/>
    <cellStyle name="60 % - Akzent4" xfId="3092" hidden="1" xr:uid="{A0277005-CC7C-4C41-95A7-E04B75D6A991}"/>
    <cellStyle name="60 % - Akzent4" xfId="3566" hidden="1" xr:uid="{ABC161FE-5F2A-41D1-9BB5-BDF0E9A47CC0}"/>
    <cellStyle name="60 % - Akzent4" xfId="3322" hidden="1" xr:uid="{49EFCBE9-CDBF-4AB4-AAF8-B2C485627859}"/>
    <cellStyle name="60 % - Akzent4" xfId="3300" hidden="1" xr:uid="{8AEBC411-B96A-417B-8745-8381237A22C0}"/>
    <cellStyle name="60 % - Akzent4" xfId="2200" hidden="1" xr:uid="{4639A949-49B7-4C1E-AD70-9C7528ADD9ED}"/>
    <cellStyle name="60 % - Akzent4" xfId="2005" hidden="1" xr:uid="{BA493ABA-2D86-4915-A6CB-23072B522113}"/>
    <cellStyle name="60 % - Akzent4" xfId="3650" hidden="1" xr:uid="{EB6B32DF-ABED-4B59-98AF-818538C9671E}"/>
    <cellStyle name="60 % - Akzent4" xfId="3817" hidden="1" xr:uid="{60931F83-6DA9-48AA-8410-62EAEF2A0D40}"/>
    <cellStyle name="60 % - Akzent4" xfId="4254" hidden="1" xr:uid="{3223D0A7-E188-4F5C-AC3D-53703CB13EA2}"/>
    <cellStyle name="60 % - Akzent4" xfId="4748" hidden="1" xr:uid="{865C11FE-90D8-45D3-B459-6DCE841A64B2}"/>
    <cellStyle name="60 % - Akzent4" xfId="4865" hidden="1" xr:uid="{E2048213-CC42-460B-8645-8FE7E37D8862}"/>
    <cellStyle name="60 % - Akzent4" xfId="2849" hidden="1" xr:uid="{771F8396-6151-46E5-B3D2-9A34B5AE55DA}"/>
    <cellStyle name="60 % - Akzent4" xfId="5743" hidden="1" xr:uid="{B87AAD5E-A449-44A1-A81F-486BE912898F}"/>
    <cellStyle name="60 % - Akzent4" xfId="5875" hidden="1" xr:uid="{D882A326-01CB-483A-9CF9-AFD7806866B4}"/>
    <cellStyle name="60 % - Akzent4" xfId="4217" hidden="1" xr:uid="{1BABA8A5-5436-46A6-AB5E-7CB83916C3FE}"/>
    <cellStyle name="60 % - Akzent4" xfId="5596" hidden="1" xr:uid="{AB38B79E-8B7C-48CA-8DB1-FCCCE66F7FC8}"/>
    <cellStyle name="60 % - Akzent4" xfId="4755" hidden="1" xr:uid="{ED4D08BD-9741-45FD-950C-46CC8D2AC29C}"/>
    <cellStyle name="60 % - Akzent4" xfId="6185" hidden="1" xr:uid="{7CD143C1-FEC2-4D5A-B134-86FE95173117}"/>
    <cellStyle name="60 % - Akzent4" xfId="6289" hidden="1" xr:uid="{32AB0D60-CB90-4072-A10C-08DC8B80ADA5}"/>
    <cellStyle name="60 % - Akzent4" xfId="5968" hidden="1" xr:uid="{45166633-EAD4-4B2D-826C-80D056BAD320}"/>
    <cellStyle name="60 % - Akzent4" xfId="6465" hidden="1" xr:uid="{F8A83A0E-13DD-4A60-BE20-CE5A406BC27D}"/>
    <cellStyle name="60 % - Akzent4" xfId="6573" hidden="1" xr:uid="{83F29F0C-C7F8-478E-BCD2-34E00CB525FD}"/>
    <cellStyle name="60 % - Akzent4" xfId="6322" hidden="1" xr:uid="{28B818DD-37F1-4218-93A4-544BA443697A}"/>
    <cellStyle name="60 % - Akzent4" xfId="6092" hidden="1" xr:uid="{AC6D6A6A-EA31-40AE-9F25-2A575E420AE7}"/>
    <cellStyle name="60 % - Akzent4" xfId="6198" hidden="1" xr:uid="{40911CA0-9BF1-4860-9357-C8811D3FDFA9}"/>
    <cellStyle name="60 % - Akzent4" xfId="6438" hidden="1" xr:uid="{FB0B5303-FB4A-4DD8-9018-85F6B5F5CEB5}"/>
    <cellStyle name="60 % - Akzent4" xfId="6306" hidden="1" xr:uid="{FD9EB35B-BF7A-47E8-997D-674DD545CED4}"/>
    <cellStyle name="60 % - Akzent4" xfId="5803" hidden="1" xr:uid="{0D507CD4-EAA3-4576-8DF6-38F34D2123C0}"/>
    <cellStyle name="60 % - Akzent4" xfId="6800" hidden="1" xr:uid="{78665CC3-A182-4A4C-9EE4-C771C2F2B116}"/>
    <cellStyle name="60 % - Akzent4" xfId="7063" hidden="1" xr:uid="{77E8393D-4051-4F67-A6A3-099BE4056755}"/>
    <cellStyle name="60 % - Akzent4" xfId="7963" hidden="1" xr:uid="{A0041D5C-3500-45E9-8684-CA8E8651434A}"/>
    <cellStyle name="60 % - Akzent4" xfId="7100" hidden="1" xr:uid="{687027C0-52BB-4FCD-8D59-38AC8E231572}"/>
    <cellStyle name="60 % - Akzent4" xfId="8340" hidden="1" xr:uid="{DF455683-876B-442E-AB90-EE989EAE7BEC}"/>
    <cellStyle name="60 % - Akzent4" xfId="8264" hidden="1" xr:uid="{C0065D63-7D6F-4664-B82B-873EF037817D}"/>
    <cellStyle name="60 % - Akzent4" xfId="8430" hidden="1" xr:uid="{51ED378A-F566-44A9-BD8D-FA3D624B2C2A}"/>
    <cellStyle name="60 % - Akzent4" xfId="7696" hidden="1" xr:uid="{7F2ABC59-29A9-4679-B23C-5F9593B27EC3}"/>
    <cellStyle name="60 % - Akzent4" xfId="6855" hidden="1" xr:uid="{652ED92F-BCD3-48C0-9B0B-244B3682302D}"/>
    <cellStyle name="60 % - Akzent4" xfId="8361" hidden="1" xr:uid="{5B567ED5-6454-4A7D-89EE-6FCA03990D4B}"/>
    <cellStyle name="60 % - Akzent4" xfId="7080" hidden="1" xr:uid="{0EF4B2C9-5B65-4C17-9257-452E1D673206}"/>
    <cellStyle name="60 % - Akzent4" xfId="8132" hidden="1" xr:uid="{0A0DE938-BD45-4F00-92CD-B32E1BA0E19B}"/>
    <cellStyle name="60 % - Akzent4" xfId="8456" hidden="1" xr:uid="{9930E769-C536-4363-80A0-1D16308E38DB}"/>
    <cellStyle name="60 % - Akzent4" xfId="8474" hidden="1" xr:uid="{E5D1048F-1D0D-4D89-B64E-AEFA1C6A1930}"/>
    <cellStyle name="60 % - Akzent4" xfId="8494" hidden="1" xr:uid="{D72FEC1E-809B-470C-83A6-3907A8026EE9}"/>
    <cellStyle name="60 % - Akzent4" xfId="8513" hidden="1" xr:uid="{02A873CB-7C56-42F7-BF59-FF278197BFCE}"/>
    <cellStyle name="60 % - Akzent4" xfId="8532" hidden="1" xr:uid="{9E71FE99-38C4-46B6-952C-AA341B005A26}"/>
    <cellStyle name="60 % - Akzent4" xfId="8092" hidden="1" xr:uid="{1BCF0887-6ABE-4EEF-A2F3-6102727DE110}"/>
    <cellStyle name="60 % - Akzent4" xfId="8521" hidden="1" xr:uid="{91BE3D98-D6DA-4218-A013-CD12559EBA46}"/>
    <cellStyle name="60 % - Akzent4" xfId="8850" hidden="1" xr:uid="{E4847466-29D8-4DA9-B893-E250375D7609}"/>
    <cellStyle name="60 % - Akzent4" xfId="8884" hidden="1" xr:uid="{37E7962C-51CC-4D5E-B835-83B389BDD8F9}"/>
    <cellStyle name="60 % - Akzent4" xfId="8644" hidden="1" xr:uid="{D31F802D-8633-48AF-A716-E52E0DF6426D}"/>
    <cellStyle name="60 % - Akzent4" xfId="8893" hidden="1" xr:uid="{5FB64CDF-4CD6-4ED8-86FF-0E0BAC341131}"/>
    <cellStyle name="60 % - Akzent4" xfId="9014" hidden="1" xr:uid="{CE4EF994-64DA-4C69-A878-1F4A1097BA36}"/>
    <cellStyle name="60 % - Akzent4" xfId="9276" hidden="1" xr:uid="{649F40AC-5A98-406E-99F5-2D1DC299712F}"/>
    <cellStyle name="60 % - Akzent4" xfId="10177" hidden="1" xr:uid="{72F752D9-D912-459D-9A88-80722EBF10A3}"/>
    <cellStyle name="60 % - Akzent4" xfId="9186" hidden="1" xr:uid="{9549BC96-A51F-49AE-BAE4-98985E9BEBC0}"/>
    <cellStyle name="60 % - Akzent4" xfId="10583" hidden="1" xr:uid="{949BBE87-F578-4815-8013-0DF5B7502971}"/>
    <cellStyle name="60 % - Akzent4" xfId="10211" hidden="1" xr:uid="{0D884CDF-2B8A-4495-B904-B2DC66EB48D1}"/>
    <cellStyle name="60 % - Akzent4" xfId="10855" hidden="1" xr:uid="{8D90A1C1-689B-413D-9F59-8F90F176ACF5}"/>
    <cellStyle name="60 % - Akzent4" xfId="10777" hidden="1" xr:uid="{528F69B4-65F1-4375-97AE-C1922CDA62DD}"/>
    <cellStyle name="60 % - Akzent4" xfId="10885" hidden="1" xr:uid="{FF910D7D-9CEB-4AB4-BE93-C12AD1221409}"/>
    <cellStyle name="60 % - Akzent4" xfId="10165" hidden="1" xr:uid="{96AAAEAD-E150-4B67-8825-2C2473CC6A88}"/>
    <cellStyle name="60 % - Akzent4" xfId="9339" hidden="1" xr:uid="{6896D7EF-553F-4CC0-85E1-4639902207BE}"/>
    <cellStyle name="60 % - Akzent4" xfId="11196" hidden="1" xr:uid="{36CC339D-CC21-4FB9-B9E4-2631D1F6644D}"/>
    <cellStyle name="60 % - Akzent4" xfId="11045" hidden="1" xr:uid="{4E09B702-9BB2-454E-AA2D-FAA42219CE70}"/>
    <cellStyle name="60 % - Akzent4" xfId="11197" hidden="1" xr:uid="{4C7EFD98-CB18-4588-AE5F-E197F81FD205}"/>
    <cellStyle name="60 % - Akzent4" xfId="10796" hidden="1" xr:uid="{142F054A-B927-4264-B4F1-FEAD9CEF3A4E}"/>
    <cellStyle name="60 % - Akzent4" xfId="11420" hidden="1" xr:uid="{947ECCA8-14FD-4B07-9A1D-4129C9DFD093}"/>
    <cellStyle name="60 % - Akzent4" xfId="11690" hidden="1" xr:uid="{05227C76-52BF-49E7-BBC9-49257EBB8392}"/>
    <cellStyle name="60 % - Akzent4" xfId="11568" hidden="1" xr:uid="{50C58596-6210-4B4B-8F16-E7A6E216E0B5}"/>
    <cellStyle name="60 % - Akzent4" xfId="12759" hidden="1" xr:uid="{5CB9BCA0-A7A5-44E9-A772-C07EBC95D11C}"/>
    <cellStyle name="60 % - Akzent4" xfId="11380" hidden="1" xr:uid="{AC03CC91-B405-40F9-B8AE-2BB3EEF09B1E}"/>
    <cellStyle name="60 % - Akzent4" xfId="13920" hidden="1" xr:uid="{D8F1EF92-2A6E-4DEC-830C-7599855B9B06}"/>
    <cellStyle name="60 % - Akzent4" xfId="13834" hidden="1" xr:uid="{11F1B601-2D01-4291-9A6D-0A26D15351EC}"/>
    <cellStyle name="60 % - Akzent4" xfId="13924" hidden="1" xr:uid="{C3A913E8-D472-440B-8E56-C478E129D63F}"/>
    <cellStyle name="60 % - Akzent4" xfId="13779" hidden="1" xr:uid="{01135C4D-CD23-4D89-B81A-E86B03AA0932}"/>
    <cellStyle name="60 % - Akzent4" xfId="14237" hidden="1" xr:uid="{6AFBD6E9-2824-45A1-9CC5-30DD0497D45C}"/>
    <cellStyle name="60 % - Akzent4" xfId="14703" hidden="1" xr:uid="{A12016AA-1ED4-4A4F-8949-E50297914946}"/>
    <cellStyle name="60 % - Akzent4" xfId="14274" hidden="1" xr:uid="{AD1CB219-5E08-4042-967C-AB88729E56A8}"/>
    <cellStyle name="60 % - Akzent4" xfId="15121" hidden="1" xr:uid="{221B8CA5-397B-4C47-AB86-F509596376F5}"/>
    <cellStyle name="60 % - Akzent4" xfId="12758" hidden="1" xr:uid="{1F934CEF-DA98-4458-AD52-AC7662222D42}"/>
    <cellStyle name="60 % - Akzent4" xfId="15269" hidden="1" xr:uid="{E6960C4C-0C4D-449A-B652-9C570C06CA81}"/>
    <cellStyle name="60 % - Akzent4" xfId="14734" hidden="1" xr:uid="{6B6CE4F2-1767-4B00-8562-C7EE266069ED}"/>
    <cellStyle name="60 % - Akzent4" xfId="14514" hidden="1" xr:uid="{84582379-4A0B-49DF-A600-3AF57285C6A5}"/>
    <cellStyle name="60 % - Akzent4" xfId="15561" hidden="1" xr:uid="{CB56204F-2245-468F-A64D-F4E3E01FD4CA}"/>
    <cellStyle name="60 % - Akzent4" xfId="15665" hidden="1" xr:uid="{DF6A20E5-8CC6-4E78-82E3-EF92BFDA6D7A}"/>
    <cellStyle name="60 % - Akzent4" xfId="15597" hidden="1" xr:uid="{968D546A-BEF0-4703-ACDA-217C834290AF}"/>
    <cellStyle name="60 % - Akzent4" xfId="15073" hidden="1" xr:uid="{BD0EE3C3-8E2A-464B-B02E-54CB2ED2817A}"/>
    <cellStyle name="60 % - Akzent4" xfId="15373" hidden="1" xr:uid="{6119BB31-895E-4C02-8463-540FD1C04445}"/>
    <cellStyle name="60 % - Akzent4" xfId="15842" hidden="1" xr:uid="{5B4FCE71-7EC2-49A3-B04A-AE7A8F3E0EAE}"/>
    <cellStyle name="60 % - Akzent4" xfId="15572" hidden="1" xr:uid="{6F044835-5ED8-4706-92AD-ABFDC3754ACA}"/>
    <cellStyle name="60 % - Akzent4" xfId="16025" hidden="1" xr:uid="{8D73D563-FF47-457F-BD13-A0147184E924}"/>
    <cellStyle name="60 % - Akzent4" xfId="16111" hidden="1" xr:uid="{F4987009-4095-4D21-93B9-98A658700E76}"/>
    <cellStyle name="60 % - Akzent4" xfId="16385" hidden="1" xr:uid="{1D048EB7-C4E0-4B35-9ACD-FB2409A8B9D4}"/>
    <cellStyle name="60 % - Akzent4" xfId="17297" hidden="1" xr:uid="{79843076-6325-4899-8185-6D0F636FF517}"/>
    <cellStyle name="60 % - Akzent4" xfId="16422" hidden="1" xr:uid="{0E0BC190-B965-459B-93EA-2BA1BA7650C9}"/>
    <cellStyle name="60 % - Akzent4" xfId="17741" hidden="1" xr:uid="{32B9DE58-A7B5-4442-87EC-00D6F1F10FAA}"/>
    <cellStyle name="60 % - Akzent4" xfId="17332" hidden="1" xr:uid="{8FD696B3-54E3-4F96-9791-DAF61A98E7B3}"/>
    <cellStyle name="60 % - Akzent4" xfId="18158" hidden="1" xr:uid="{EE1AD93E-4396-4D86-B979-0D5669647B73}"/>
    <cellStyle name="60 % - Akzent4" xfId="18077" hidden="1" xr:uid="{CF46209D-AD0A-4CA3-AC83-BF19A68B1723}"/>
    <cellStyle name="60 % - Akzent4" xfId="17474" hidden="1" xr:uid="{8F1837C7-929F-4E01-A7FF-DE9DECB564A0}"/>
    <cellStyle name="60 % - Akzent4" xfId="17816" hidden="1" xr:uid="{76739684-B191-4681-9A9C-9EA881400FC7}"/>
    <cellStyle name="60 % - Akzent4" xfId="18255" hidden="1" xr:uid="{564F2FE6-023C-4BAC-AE61-E7ED44DA3F25}"/>
    <cellStyle name="60 % - Akzent4" xfId="18362" hidden="1" xr:uid="{03235BE9-2BFC-4F03-B8A5-4B3D15EC9613}"/>
    <cellStyle name="60 % - Akzent4" xfId="19006" hidden="1" xr:uid="{8FE05940-B805-44CC-8453-9A8958EA3089}"/>
    <cellStyle name="60 % - Akzent4" xfId="18936" hidden="1" xr:uid="{9F0D36C5-9BF3-403B-9ADB-1F244A808F8F}"/>
    <cellStyle name="60 % - Akzent4" xfId="18249" hidden="1" xr:uid="{9172BFC8-CDE4-41F6-84AE-34A559C8CB87}"/>
    <cellStyle name="60 % - Akzent4" xfId="18906" hidden="1" xr:uid="{B91CC7D6-7749-4311-8524-F0706A16B54B}"/>
    <cellStyle name="60 % - Akzent4" xfId="19301" hidden="1" xr:uid="{A1C1D892-2C52-400E-8031-64C433D567B1}"/>
    <cellStyle name="60 % - Akzent4" xfId="18788" hidden="1" xr:uid="{8C0854A7-2F9D-4F43-8AA9-73EC04C6DCC5}"/>
    <cellStyle name="60 % - Akzent4" xfId="19444" hidden="1" xr:uid="{A17AF178-C788-44A2-A847-2B853FCEA59A}"/>
    <cellStyle name="60 % - Akzent4" xfId="19719" hidden="1" xr:uid="{C7A36A0D-0A9A-479B-A638-6D05484B5450}"/>
    <cellStyle name="60 % - Akzent4" xfId="20647" hidden="1" xr:uid="{47F20C91-1AFD-404F-885E-9ADBEA094CB8}"/>
    <cellStyle name="60 % - Akzent4" xfId="20303" hidden="1" xr:uid="{6564D782-FEE1-4795-A7D3-0F5C3047E1BD}"/>
    <cellStyle name="60 % - Akzent4" xfId="21104" hidden="1" xr:uid="{27F101BA-0048-4E7B-9CF8-049167C8F029}"/>
    <cellStyle name="60 % - Akzent4" xfId="19831" hidden="1" xr:uid="{DBAC1077-E0A6-4533-ADB0-F174BA3D471A}"/>
    <cellStyle name="60 % - Akzent4" xfId="21610" hidden="1" xr:uid="{61E2FF11-8C9E-417C-A505-7465AC60D4F5}"/>
    <cellStyle name="60 % - Akzent4" xfId="21605" hidden="1" xr:uid="{6A8A3BB0-9987-4072-8250-A1F8A3815127}"/>
    <cellStyle name="60 % - Akzent4" xfId="21601" hidden="1" xr:uid="{0E2348AB-8C09-4EC8-97C3-04F70497A678}"/>
    <cellStyle name="60 % - Akzent4" xfId="19391" hidden="1" xr:uid="{310594D0-D6A5-447C-A366-804D3A7EB99B}"/>
    <cellStyle name="60 % - Akzent4" xfId="22035" hidden="1" xr:uid="{92041B03-927F-4F8C-9FCA-49EF6713D925}"/>
    <cellStyle name="60 % - Akzent4" xfId="20500" hidden="1" xr:uid="{C2ABD614-5B48-47B6-9B28-95F9FB05ED37}"/>
    <cellStyle name="60 % - Akzent4" xfId="22465" hidden="1" xr:uid="{B5B56A67-F16A-4A65-A920-0B8BC369E213}"/>
    <cellStyle name="60 % - Akzent4" xfId="21424" hidden="1" xr:uid="{97506084-D96B-4DC3-9C67-956C3759E18E}"/>
    <cellStyle name="60 % - Akzent4" xfId="22896" hidden="1" xr:uid="{19726350-3D56-473A-AE8D-6BDCC84EA06F}"/>
    <cellStyle name="60 % - Akzent4" xfId="22820" hidden="1" xr:uid="{651723E2-EE37-414E-A06A-45314EE0BEDD}"/>
    <cellStyle name="60 % - Akzent4" xfId="22352" hidden="1" xr:uid="{EC6EA0F6-D0DB-469B-9364-597F7295B4BD}"/>
    <cellStyle name="60 % - Akzent4" xfId="23288" hidden="1" xr:uid="{34AF5FEB-BF00-40E0-BF3E-1DD166A7987F}"/>
    <cellStyle name="60 % - Akzent4" xfId="23226" hidden="1" xr:uid="{C014D072-9C35-4672-A554-C160D7AC9B0E}"/>
    <cellStyle name="60 % - Akzent4" xfId="22755" hidden="1" xr:uid="{6620DE59-8AD0-4F24-B8FE-3BC7E42567E9}"/>
    <cellStyle name="60 % - Akzent4" xfId="22319" hidden="1" xr:uid="{05BF2076-8C44-4DE6-9EE4-934A1C07EFB4}"/>
    <cellStyle name="60 % - Akzent4" xfId="23643" hidden="1" xr:uid="{815D9F70-88B7-428D-8060-52F0B42EBAAE}"/>
    <cellStyle name="60 % - Akzent4" xfId="23640" hidden="1" xr:uid="{5A6CB3F2-055E-4172-9D00-E0D81F6C0404}"/>
    <cellStyle name="60 % - Akzent4" xfId="23459" hidden="1" xr:uid="{6933E187-9B10-4297-B65B-A9853BE0ADC5}"/>
    <cellStyle name="60 % - Akzent4" xfId="23696" hidden="1" xr:uid="{6B93E436-E04D-4F34-89A9-CD88BAAD0202}"/>
    <cellStyle name="60 % - Akzent4" xfId="24092" hidden="1" xr:uid="{698526E0-8EB9-4185-93FA-99FFD78CC532}"/>
    <cellStyle name="60 % - Akzent4" xfId="24086" hidden="1" xr:uid="{E26E0351-8AAB-4BB7-A4F2-ADD485875783}"/>
    <cellStyle name="60 % - Akzent4" xfId="24166" hidden="1" xr:uid="{AD967C76-E6F9-4D91-B629-E092886E0A7A}"/>
    <cellStyle name="60 % - Akzent4" xfId="24581" hidden="1" xr:uid="{D3ED9853-EEC5-405B-9A99-9F0470F636F7}"/>
    <cellStyle name="60 % - Akzent4" xfId="25160" hidden="1" xr:uid="{78A414E9-B050-4FCE-879B-16778ACDB2E6}"/>
    <cellStyle name="60 % - Akzent4" xfId="25019" hidden="1" xr:uid="{FCB74218-BB51-42B0-BC9A-BA75E7024493}"/>
    <cellStyle name="60 % - Akzent4" xfId="25511" hidden="1" xr:uid="{32D866BC-13E9-424B-B845-A8B677C682AC}"/>
    <cellStyle name="60 % - Akzent4" xfId="26022" hidden="1" xr:uid="{F3185DB5-5B9F-42A4-812D-D06EE439DC67}"/>
    <cellStyle name="60 % - Akzent4" xfId="26194" hidden="1" xr:uid="{2989886F-93EB-472F-B187-AFB09DFE915F}"/>
    <cellStyle name="60 % - Akzent4" xfId="26262" hidden="1" xr:uid="{4F465F7F-BA32-4BB5-A4A5-1171DA2F1A02}"/>
    <cellStyle name="60 % - Akzent4" xfId="26505" hidden="1" xr:uid="{4D95FC3E-78E5-4AC8-9041-E1D2736BDAE2}"/>
    <cellStyle name="60 % - Akzent4" xfId="26439" hidden="1" xr:uid="{8841A4E2-0621-41DC-A426-49728E2B9943}"/>
    <cellStyle name="60 % - Akzent4" xfId="26654" hidden="1" xr:uid="{662F5F2E-4779-4758-A0EB-071D28A25C90}"/>
    <cellStyle name="60 % - Akzent4" xfId="26040" hidden="1" xr:uid="{18DB3C7B-8B7B-4A15-B71D-67A64CDCFC38}"/>
    <cellStyle name="60 % - Akzent4" xfId="25943" hidden="1" xr:uid="{4741D2B6-5BE1-4D7C-B776-C92BC4191691}"/>
    <cellStyle name="60 % - Akzent4" xfId="27223" hidden="1" xr:uid="{353798EA-6512-415F-A67B-07FE2A78B634}"/>
    <cellStyle name="60 % - Akzent4" xfId="27768" hidden="1" xr:uid="{AACC3692-F320-463A-BF92-1FE2F2444C6C}"/>
    <cellStyle name="60 % - Akzent4" xfId="27791" hidden="1" xr:uid="{9D4B5113-5237-4572-9384-A10E91429632}"/>
    <cellStyle name="60 % - Akzent4" xfId="27880" hidden="1" xr:uid="{344C9A4A-3DAB-4617-8C23-E69FE9447E06}"/>
    <cellStyle name="60 % - Akzent4" xfId="27871" hidden="1" xr:uid="{20ED2192-195D-4B4D-B381-047C1CD570CF}"/>
    <cellStyle name="60 % - Akzent4" xfId="27803" hidden="1" xr:uid="{5895558C-4BF0-46BB-B4EF-22E3EE599018}"/>
    <cellStyle name="60 % - Akzent4" xfId="26390" hidden="1" xr:uid="{C81C9AD9-8064-469F-8684-4B054CDC2674}"/>
    <cellStyle name="60 % - Akzent4" xfId="27958" hidden="1" xr:uid="{49BDC442-F7EA-49AF-BEF7-39FF965953A9}"/>
    <cellStyle name="60 % - Akzent4" xfId="28201" hidden="1" xr:uid="{BED3C776-448F-4EF9-AAC6-0C303C3ED9FB}"/>
    <cellStyle name="60 % - Akzent4" xfId="28134" hidden="1" xr:uid="{83BD747A-76DE-4BB5-B24D-F4F4DEF77B8F}"/>
    <cellStyle name="60 % - Akzent4" xfId="29476" hidden="1" xr:uid="{7A02FEA2-C821-411F-9A98-154B68A60745}"/>
    <cellStyle name="60 % - Akzent4" xfId="28007" hidden="1" xr:uid="{9820395F-F721-42CE-A307-4407F39495BD}"/>
    <cellStyle name="60 % - Akzent4" xfId="27991" hidden="1" xr:uid="{C6836FF0-A07C-4D8D-936E-EF5FC649D309}"/>
    <cellStyle name="60 % - Akzent4" xfId="30010" hidden="1" xr:uid="{C564C765-7E92-4392-8082-4F90E79AED8B}"/>
    <cellStyle name="60 % - Akzent4" xfId="30421" hidden="1" xr:uid="{AC0232AE-7E90-4E4D-B833-9DD2B24BA047}"/>
    <cellStyle name="60 % - Akzent4" xfId="30859" hidden="1" xr:uid="{98655C91-25F3-46CC-988A-B5AD714145B8}"/>
    <cellStyle name="60 % - Akzent4" xfId="29248" hidden="1" xr:uid="{59F9279D-3791-4D9F-A249-C0A0C8CB5CDB}"/>
    <cellStyle name="60 % - Akzent4 2" xfId="388" xr:uid="{B8B184E1-D715-49E5-8B41-1281FFDBF683}"/>
    <cellStyle name="60 % - Akzent4 3" xfId="257" xr:uid="{949204EA-18E4-4510-95BC-858C1086F6B6}"/>
    <cellStyle name="60 % - Akzent5" xfId="64" hidden="1" xr:uid="{DB0EB156-FDF2-4B2A-9023-F8EC207F19C7}"/>
    <cellStyle name="60 % - Akzent5" xfId="911" hidden="1" xr:uid="{4F2B590A-77B9-4DB1-B6DA-81C43219E109}"/>
    <cellStyle name="60 % - Akzent5" xfId="964" hidden="1" xr:uid="{51CE8200-398B-4A2B-BA3B-83710F487119}"/>
    <cellStyle name="60 % - Akzent5" xfId="1405" hidden="1" xr:uid="{BA1EF6BA-A7E8-4685-B3C1-0E2886FF9667}"/>
    <cellStyle name="60 % - Akzent5" xfId="1669" hidden="1" xr:uid="{585C7B64-A9C7-4DB5-84E0-0B4C08C76274}"/>
    <cellStyle name="60 % - Akzent5" xfId="1892" hidden="1" xr:uid="{AF21C1E4-D6CC-4D31-96DC-82191C56C0B6}"/>
    <cellStyle name="60 % - Akzent5" xfId="2313" hidden="1" xr:uid="{71258F93-7DBB-455C-8EE7-2F9CCB88AE81}"/>
    <cellStyle name="60 % - Akzent5" xfId="2987" hidden="1" xr:uid="{86162117-F6E5-4D25-A45B-FDA73817820A}"/>
    <cellStyle name="60 % - Akzent5" xfId="2827" hidden="1" xr:uid="{2EFFF88E-F9B0-4392-8A4D-6274030650B3}"/>
    <cellStyle name="60 % - Akzent5" xfId="1929" hidden="1" xr:uid="{67CD7223-77F2-4094-B8F7-B1E5F2E024ED}"/>
    <cellStyle name="60 % - Akzent5" xfId="3470" hidden="1" xr:uid="{9C0D47CF-5D3E-4AC0-BABE-6E093A43E141}"/>
    <cellStyle name="60 % - Akzent5" xfId="3385" hidden="1" xr:uid="{04072403-A6FD-4A66-97F8-56FDAC2461AB}"/>
    <cellStyle name="60 % - Akzent5" xfId="3305" hidden="1" xr:uid="{B7F04050-C8C5-4AE5-9BEC-41BC3F4B3E88}"/>
    <cellStyle name="60 % - Akzent5" xfId="3318" hidden="1" xr:uid="{54E5C0D3-82BE-469C-9BDB-4F46324E058C}"/>
    <cellStyle name="60 % - Akzent5" xfId="3409" hidden="1" xr:uid="{FB5CDEDB-9D96-4418-AD69-E2B9FA77272D}"/>
    <cellStyle name="60 % - Akzent5" xfId="3471" hidden="1" xr:uid="{400012C9-0614-4B71-AC4F-A6F4D21AEC30}"/>
    <cellStyle name="60 % - Akzent5" xfId="3819" hidden="1" xr:uid="{6E1E3E24-05BB-48D7-B322-129B1FF55FAF}"/>
    <cellStyle name="60 % - Akzent5" xfId="4256" hidden="1" xr:uid="{B8C3F0A1-E4C7-4478-AA27-899C9CBBA0B4}"/>
    <cellStyle name="60 % - Akzent5" xfId="4774" hidden="1" xr:uid="{8615296D-BEB6-4246-B195-F35FA48E1404}"/>
    <cellStyle name="60 % - Akzent5" xfId="2940" hidden="1" xr:uid="{70127114-CF28-4133-B250-F8F716AC280E}"/>
    <cellStyle name="60 % - Akzent5" xfId="5144" hidden="1" xr:uid="{24362DCE-0AD1-4068-8D6D-66BFAA707560}"/>
    <cellStyle name="60 % - Akzent5" xfId="5765" hidden="1" xr:uid="{1C7053F0-A8FB-41E1-A35E-7CF95E01A019}"/>
    <cellStyle name="60 % - Akzent5" xfId="5738" hidden="1" xr:uid="{A654FFFF-97C5-49CE-A6DD-87C0F1F3DC48}"/>
    <cellStyle name="60 % - Akzent5" xfId="4901" hidden="1" xr:uid="{3475A1F1-F8EA-48C2-BF36-6E350D3B1B2F}"/>
    <cellStyle name="60 % - Akzent5" xfId="5624" hidden="1" xr:uid="{42A4A11B-375D-4C89-827D-CA8105CF8FB3}"/>
    <cellStyle name="60 % - Akzent5" xfId="4956" hidden="1" xr:uid="{E8F79FF1-51AB-45C3-BE39-3EA2863011DC}"/>
    <cellStyle name="60 % - Akzent5" xfId="6205" hidden="1" xr:uid="{A3A4B785-4873-4E2A-A24C-C82AE3F9D1A5}"/>
    <cellStyle name="60 % - Akzent5" xfId="6181" hidden="1" xr:uid="{370892AA-913B-4506-AF60-DBB61CA25448}"/>
    <cellStyle name="60 % - Akzent5" xfId="5920" hidden="1" xr:uid="{3D73704D-93CB-4BFB-AD2B-9EB0077D8CC6}"/>
    <cellStyle name="60 % - Akzent5" xfId="6502" hidden="1" xr:uid="{5B3308D8-BC7F-4659-A890-69A5A7A4B0FA}"/>
    <cellStyle name="60 % - Akzent5" xfId="6584" hidden="1" xr:uid="{8EA71FA0-10CF-446B-8922-118E467CB1D9}"/>
    <cellStyle name="60 % - Akzent5" xfId="6357" hidden="1" xr:uid="{B7C9403B-F55C-41F6-AE95-75F05105FB07}"/>
    <cellStyle name="60 % - Akzent5" xfId="6399" hidden="1" xr:uid="{E063E25F-64F7-4C0A-955C-84B3F6858EDD}"/>
    <cellStyle name="60 % - Akzent5" xfId="6216" hidden="1" xr:uid="{06C0FC51-9C4D-4435-AF48-663796EE8EFA}"/>
    <cellStyle name="60 % - Akzent5" xfId="6460" hidden="1" xr:uid="{A894F01F-4E0F-4D84-95E7-E4815D9727E3}"/>
    <cellStyle name="60 % - Akzent5" xfId="6494" hidden="1" xr:uid="{E0D80DDA-6247-40A1-B45D-A42466AEF30B}"/>
    <cellStyle name="60 % - Akzent5" xfId="5563" hidden="1" xr:uid="{5AC4656F-6F02-4F99-BFD0-94D8F4AFB00D}"/>
    <cellStyle name="60 % - Akzent5" xfId="6804" hidden="1" xr:uid="{65DCDE9E-F530-445E-955E-A497FCC9277D}"/>
    <cellStyle name="60 % - Akzent5" xfId="7039" hidden="1" xr:uid="{34522FDD-F3D7-44F1-89A2-09F3993193F2}"/>
    <cellStyle name="60 % - Akzent5" xfId="7867" hidden="1" xr:uid="{892F6BBB-8D9C-4473-9BA3-DA0CF4F6974D}"/>
    <cellStyle name="60 % - Akzent5" xfId="7419" hidden="1" xr:uid="{D0FF6682-6693-4C0E-98DF-5C0CA3E48CAE}"/>
    <cellStyle name="60 % - Akzent5" xfId="8260" hidden="1" xr:uid="{9955E46E-87F4-4078-8A3C-135366B5AB62}"/>
    <cellStyle name="60 % - Akzent5" xfId="7640" hidden="1" xr:uid="{65F38114-3A9C-43D1-9E69-5292F2303928}"/>
    <cellStyle name="60 % - Akzent5" xfId="8268" hidden="1" xr:uid="{6D091ACC-E88D-439E-8629-74BE45ACF414}"/>
    <cellStyle name="60 % - Akzent5" xfId="8427" hidden="1" xr:uid="{683EE4BD-DA4A-486F-8AAA-386C620F537F}"/>
    <cellStyle name="60 % - Akzent5" xfId="8077" hidden="1" xr:uid="{AE281ACD-ECBD-4166-8958-B3031A0C0A7E}"/>
    <cellStyle name="60 % - Akzent5" xfId="8008" hidden="1" xr:uid="{2B197C09-46D7-4FE7-B3D9-ADE9153F4CC7}"/>
    <cellStyle name="60 % - Akzent5" xfId="7225" hidden="1" xr:uid="{0D8A8C59-9322-4223-A3B8-09A8462C4AC8}"/>
    <cellStyle name="60 % - Akzent5" xfId="8220" hidden="1" xr:uid="{52FE3C1F-2E4A-4735-89EC-514EC90646F6}"/>
    <cellStyle name="60 % - Akzent5" xfId="7793" hidden="1" xr:uid="{FAF2A072-C39C-436F-87E9-D9BD6E838C34}"/>
    <cellStyle name="60 % - Akzent5" xfId="8215" hidden="1" xr:uid="{4F10BB9D-E1ED-4B96-B189-8F93492CFC12}"/>
    <cellStyle name="60 % - Akzent5" xfId="8250" hidden="1" xr:uid="{0B60B7A9-608F-4474-92D6-923F6CC34EB3}"/>
    <cellStyle name="60 % - Akzent5" xfId="8376" hidden="1" xr:uid="{D6846BCC-8CB8-4B33-86E7-8C7B7BA76BD2}"/>
    <cellStyle name="60 % - Akzent5" xfId="6801" hidden="1" xr:uid="{DB907BEB-F43B-4AC3-B95F-B7E02635DD90}"/>
    <cellStyle name="60 % - Akzent5" xfId="8359" hidden="1" xr:uid="{E0B08E0B-FB5C-4817-ACE8-B89E864CC133}"/>
    <cellStyle name="60 % - Akzent5" xfId="7651" hidden="1" xr:uid="{C2A28FE8-68F7-4305-A5C4-F529CE9F5B77}"/>
    <cellStyle name="60 % - Akzent5" xfId="8797" hidden="1" xr:uid="{64619BE9-4E36-426B-AC96-066CB70D70A5}"/>
    <cellStyle name="60 % - Akzent5" xfId="8773" hidden="1" xr:uid="{51CCAF02-6998-43F8-B8B7-BCF4F81AAE4D}"/>
    <cellStyle name="60 % - Akzent5" xfId="8785" hidden="1" xr:uid="{C749FD5E-1D17-48E9-A222-0855438712D2}"/>
    <cellStyle name="60 % - Akzent5" xfId="6760" hidden="1" xr:uid="{79ACCFE3-1427-4F61-8C39-AF9E9C1B969E}"/>
    <cellStyle name="60 % - Akzent5" xfId="9018" hidden="1" xr:uid="{E61CE432-8C90-45B3-82BA-1AA083B39743}"/>
    <cellStyle name="60 % - Akzent5" xfId="9252" hidden="1" xr:uid="{D3D64ADE-BFB4-42EF-84C1-F74602BEE891}"/>
    <cellStyle name="60 % - Akzent5" xfId="10080" hidden="1" xr:uid="{D4AC1C8C-76E5-4492-8634-9B0A253BAB58}"/>
    <cellStyle name="60 % - Akzent5" xfId="9633" hidden="1" xr:uid="{5EF15F01-4558-4A90-AD56-EA572BBB8C22}"/>
    <cellStyle name="60 % - Akzent5" xfId="10495" hidden="1" xr:uid="{E4B27FAC-6192-49C6-A970-3638B516C38D}"/>
    <cellStyle name="60 % - Akzent5" xfId="9241" hidden="1" xr:uid="{78F2B177-9E3E-475A-B9D4-205596CC36C1}"/>
    <cellStyle name="60 % - Akzent5" xfId="10782" hidden="1" xr:uid="{15022970-6C94-4BDA-9640-6397B5939082}"/>
    <cellStyle name="60 % - Akzent5" xfId="10904" hidden="1" xr:uid="{A105E963-4902-43E7-ABA5-3596549312D0}"/>
    <cellStyle name="60 % - Akzent5" xfId="10318" hidden="1" xr:uid="{CC6A76BD-FBF2-48DD-B8D4-780ABD502E8D}"/>
    <cellStyle name="60 % - Akzent5" xfId="11198" hidden="1" xr:uid="{A62B55D6-2382-4025-B0E3-D56F4E0B11B4}"/>
    <cellStyle name="60 % - Akzent5" xfId="11178" hidden="1" xr:uid="{F095FCE1-29AD-4EA8-A3FB-9FD6A46D72ED}"/>
    <cellStyle name="60 % - Akzent5" xfId="11209" hidden="1" xr:uid="{48203F36-F11F-4A4E-B178-F94692E557E1}"/>
    <cellStyle name="60 % - Akzent5" xfId="11044" hidden="1" xr:uid="{AB12E37C-EF65-4ACB-B613-9A4930641D40}"/>
    <cellStyle name="60 % - Akzent5" xfId="10711" hidden="1" xr:uid="{15BEA739-3663-4E19-AB3E-58F95FD67A3A}"/>
    <cellStyle name="60 % - Akzent5" xfId="11013" hidden="1" xr:uid="{735AFAD3-0AF0-4795-9DE8-8ACA01949B48}"/>
    <cellStyle name="60 % - Akzent5" xfId="11424" hidden="1" xr:uid="{77C6B4A7-578C-4EA6-B4CE-EFD6C661947C}"/>
    <cellStyle name="60 % - Akzent5" xfId="11666" hidden="1" xr:uid="{8CC2D68D-7A32-4DF9-956D-B2DA8B778E7B}"/>
    <cellStyle name="60 % - Akzent5" xfId="11569" hidden="1" xr:uid="{5214A1FC-10F8-470C-8FFC-3E3399560027}"/>
    <cellStyle name="60 % - Akzent5" xfId="12761" hidden="1" xr:uid="{CA670E07-9780-42BB-9D68-623295E084FE}"/>
    <cellStyle name="60 % - Akzent5" xfId="13196" hidden="1" xr:uid="{EDB44A52-C3CF-4EA8-9933-3A1CE0F3D591}"/>
    <cellStyle name="60 % - Akzent5" xfId="13821" hidden="1" xr:uid="{4A450E6D-6700-4D7E-99F7-6E0D54C8EA2B}"/>
    <cellStyle name="60 % - Akzent5" xfId="13661" hidden="1" xr:uid="{87345BA7-AE24-47C2-B5B5-06ED8586C4EC}"/>
    <cellStyle name="60 % - Akzent5" xfId="12312" hidden="1" xr:uid="{BA80EB99-2394-4F94-815F-28BE838E1840}"/>
    <cellStyle name="60 % - Akzent5" xfId="14419" hidden="1" xr:uid="{BA4CB34D-0F9F-4727-9185-AC2D36A21A9A}"/>
    <cellStyle name="60 % - Akzent5" xfId="14448" hidden="1" xr:uid="{032B3FC2-DAA4-4F38-8A16-70859410AB51}"/>
    <cellStyle name="60 % - Akzent5" xfId="14729" hidden="1" xr:uid="{08265BC4-1AF7-4C79-AA21-31C76FADC817}"/>
    <cellStyle name="60 % - Akzent5" xfId="11379" hidden="1" xr:uid="{DC4B5DBD-0889-4741-A875-2E68D2264AAB}"/>
    <cellStyle name="60 % - Akzent5" xfId="15144" hidden="1" xr:uid="{452022CE-426C-4F5A-9F75-35C307AD2AFC}"/>
    <cellStyle name="60 % - Akzent5" xfId="14860" hidden="1" xr:uid="{B081D2EA-4A1E-4A89-81CE-48FF5E456BF3}"/>
    <cellStyle name="60 % - Akzent5" xfId="14580" hidden="1" xr:uid="{AAC333BB-EEB2-42FA-88F4-98A26973EC54}"/>
    <cellStyle name="60 % - Akzent5" xfId="14688" hidden="1" xr:uid="{B71B5595-4C69-4DFA-97A7-0ECC15D65000}"/>
    <cellStyle name="60 % - Akzent5" xfId="13917" hidden="1" xr:uid="{6EBCFD2C-5173-44A3-A4C6-65817CA147D5}"/>
    <cellStyle name="60 % - Akzent5" xfId="15579" hidden="1" xr:uid="{5259ED98-0C8D-4B99-B293-A0EC74951A6D}"/>
    <cellStyle name="60 % - Akzent5" xfId="15555" hidden="1" xr:uid="{71F0E087-AA96-40BB-A5BC-02A3A2882145}"/>
    <cellStyle name="60 % - Akzent5" xfId="15359" hidden="1" xr:uid="{77C31EC7-611A-474E-8312-7FB253199889}"/>
    <cellStyle name="60 % - Akzent5" xfId="15623" hidden="1" xr:uid="{F7763A04-16B4-4137-818B-0950A71C8F96}"/>
    <cellStyle name="60 % - Akzent5" xfId="15432" hidden="1" xr:uid="{91EF2860-EED7-479D-96AB-3AB71A3ABCE9}"/>
    <cellStyle name="60 % - Akzent5" xfId="15880" hidden="1" xr:uid="{19B29D77-27B0-4EAC-828E-62B7591817D6}"/>
    <cellStyle name="60 % - Akzent5" xfId="15148" hidden="1" xr:uid="{C4EF91CA-00A1-4017-885E-6257ADE16258}"/>
    <cellStyle name="60 % - Akzent5" xfId="16027" hidden="1" xr:uid="{EFE7DB78-6B1D-44D7-B882-AF33D31D2316}"/>
    <cellStyle name="60 % - Akzent5" xfId="16115" hidden="1" xr:uid="{053055C5-BC1F-4E74-B771-DF4EAF4AEEA6}"/>
    <cellStyle name="60 % - Akzent5" xfId="16362" hidden="1" xr:uid="{C8390637-EA03-4CBD-BE77-69BD2E19757D}"/>
    <cellStyle name="60 % - Akzent5" xfId="17198" hidden="1" xr:uid="{B8972F04-3595-465D-8881-E5F77073ACFF}"/>
    <cellStyle name="60 % - Akzent5" xfId="16744" hidden="1" xr:uid="{4DD302A1-91B0-4E9B-951F-8849D5C13DDD}"/>
    <cellStyle name="60 % - Akzent5" xfId="17644" hidden="1" xr:uid="{0FDD0931-4EC2-4842-8144-CBF8CCDEC5EC}"/>
    <cellStyle name="60 % - Akzent5" xfId="16451" hidden="1" xr:uid="{190CAF4A-8D41-4AD5-A477-C28CB0A348AF}"/>
    <cellStyle name="60 % - Akzent5" xfId="18065" hidden="1" xr:uid="{7EDB0039-34DB-44EB-B0F4-875E8596E4A8}"/>
    <cellStyle name="60 % - Akzent5" xfId="17917" hidden="1" xr:uid="{A47A261C-78A8-4ABA-9106-D7A9C9140DBB}"/>
    <cellStyle name="60 % - Akzent5" xfId="18049" hidden="1" xr:uid="{C48F7660-7C15-4331-ACF8-1AD88D8D2B68}"/>
    <cellStyle name="60 % - Akzent5" xfId="17988" hidden="1" xr:uid="{0FF6B42D-9A49-40E5-B0FA-9F47EE504E7F}"/>
    <cellStyle name="60 % - Akzent5" xfId="17866" hidden="1" xr:uid="{A9ADB1BB-8B79-4074-A7EE-137852557F6B}"/>
    <cellStyle name="60 % - Akzent5" xfId="18364" hidden="1" xr:uid="{71451A6B-6262-485F-8F1E-8E8974509581}"/>
    <cellStyle name="60 % - Akzent5" xfId="18929" hidden="1" xr:uid="{A8FCCA49-014C-4A81-824A-967BA051DBA5}"/>
    <cellStyle name="60 % - Akzent5" xfId="18813" hidden="1" xr:uid="{FBF2D9F6-6020-4419-B0DC-E033CCAAEF82}"/>
    <cellStyle name="60 % - Akzent5" xfId="18918" hidden="1" xr:uid="{C182199C-4258-4D4E-9383-706BF81CA85A}"/>
    <cellStyle name="60 % - Akzent5" xfId="16085" hidden="1" xr:uid="{54D277BD-92F4-4F50-85B9-8A7D3B162299}"/>
    <cellStyle name="60 % - Akzent5" xfId="19255" hidden="1" xr:uid="{986C2CD9-F68F-497A-893A-1A56E38BB428}"/>
    <cellStyle name="60 % - Akzent5" xfId="19195" hidden="1" xr:uid="{3FEB019B-EEAA-4F3D-BA34-C0D46CE0BC9F}"/>
    <cellStyle name="60 % - Akzent5" xfId="19448" hidden="1" xr:uid="{230F8718-594A-415E-B4F0-71C8181A0200}"/>
    <cellStyle name="60 % - Akzent5" xfId="19695" hidden="1" xr:uid="{3C8D858F-F58C-48BF-9FC2-AB778444D8CC}"/>
    <cellStyle name="60 % - Akzent5" xfId="20551" hidden="1" xr:uid="{39EF4FEC-E05D-4C19-97C9-2F5E1C00AEB5}"/>
    <cellStyle name="60 % - Akzent5" xfId="20490" hidden="1" xr:uid="{B2643FB9-31D0-46A4-BD39-1E82460B07B8}"/>
    <cellStyle name="60 % - Akzent5" xfId="21004" hidden="1" xr:uid="{FBE9C79D-6BF6-466A-A1B5-A95F6D2DAA97}"/>
    <cellStyle name="60 % - Akzent5" xfId="19474" hidden="1" xr:uid="{5E282082-7E36-4A87-8366-A182CB83FC09}"/>
    <cellStyle name="60 % - Akzent5" xfId="20299" hidden="1" xr:uid="{D6CDA345-FFF2-4E49-B3C7-1B26257DCB46}"/>
    <cellStyle name="60 % - Akzent5" xfId="21308" hidden="1" xr:uid="{C2A9F2D6-B6E0-469A-AB0C-6A4A8DBB78C7}"/>
    <cellStyle name="60 % - Akzent5" xfId="21452" hidden="1" xr:uid="{D6B78914-28E0-493A-ABBD-15F4D997E211}"/>
    <cellStyle name="60 % - Akzent5" xfId="20861" hidden="1" xr:uid="{4FF9C765-7E2D-4918-A1D4-05146E490ACD}"/>
    <cellStyle name="60 % - Akzent5" xfId="21935" hidden="1" xr:uid="{C38C200F-3F26-41F3-83AC-00D8D0385D79}"/>
    <cellStyle name="60 % - Akzent5" xfId="21038" hidden="1" xr:uid="{6C02A8F4-25C5-4A7E-AA70-EA8B60ED35FA}"/>
    <cellStyle name="60 % - Akzent5" xfId="22368" hidden="1" xr:uid="{EC1593DC-C0DC-4F4C-A02E-38A7B2AA93FF}"/>
    <cellStyle name="60 % - Akzent5" xfId="22042" hidden="1" xr:uid="{E9FEB132-944F-43BC-A0E4-93A8A0CE5742}"/>
    <cellStyle name="60 % - Akzent5" xfId="22809" hidden="1" xr:uid="{BC1F9CAB-8BCC-4C69-BF84-503DC1FAD1B4}"/>
    <cellStyle name="60 % - Akzent5" xfId="22664" hidden="1" xr:uid="{C73FA98A-9957-44D6-B3FF-7B325CD5C5F3}"/>
    <cellStyle name="60 % - Akzent5" xfId="22171" hidden="1" xr:uid="{972F46B7-DCA5-472F-9A12-120DF15F4E38}"/>
    <cellStyle name="60 % - Akzent5" xfId="23215" hidden="1" xr:uid="{3383A54A-0E66-4C6D-A2B7-B4850E27F0F1}"/>
    <cellStyle name="60 % - Akzent5" xfId="23086" hidden="1" xr:uid="{0010B9ED-4454-4C4A-9CF7-3A28FB26E361}"/>
    <cellStyle name="60 % - Akzent5" xfId="23200" hidden="1" xr:uid="{F4EF2E95-940A-4386-9ECA-F14004EE54F4}"/>
    <cellStyle name="60 % - Akzent5" xfId="23128" hidden="1" xr:uid="{305C22ED-F25B-4AFF-BF24-FF6407A2F53D}"/>
    <cellStyle name="60 % - Akzent5" xfId="23237" hidden="1" xr:uid="{D4FF570C-8479-4C1D-AE18-EE18EE6CD79F}"/>
    <cellStyle name="60 % - Akzent5" xfId="23473" hidden="1" xr:uid="{7D23B810-CDE6-485E-9030-46B67FCA1ADC}"/>
    <cellStyle name="60 % - Akzent5" xfId="22695" hidden="1" xr:uid="{13BF648B-E20A-4936-AF8A-284180316163}"/>
    <cellStyle name="60 % - Akzent5" xfId="23698" hidden="1" xr:uid="{13BBCA45-5043-4605-B6C4-10B742BF2D68}"/>
    <cellStyle name="60 % - Akzent5" xfId="24085" hidden="1" xr:uid="{1D33D57E-A670-4007-B3B5-B89677B54761}"/>
    <cellStyle name="60 % - Akzent5" xfId="24077" hidden="1" xr:uid="{68AA4286-E2AA-414F-8FCD-30CC475AB4B2}"/>
    <cellStyle name="60 % - Akzent5" xfId="24170" hidden="1" xr:uid="{6F6049DD-1BBA-41BA-BB53-58DDF62D302D}"/>
    <cellStyle name="60 % - Akzent5" xfId="24401" hidden="1" xr:uid="{3C04A4E8-80F0-441D-B8B6-BF2306C11174}"/>
    <cellStyle name="60 % - Akzent5" xfId="25228" hidden="1" xr:uid="{CD554004-9CB4-4E72-B484-A34667FE5614}"/>
    <cellStyle name="60 % - Akzent5" xfId="24542" hidden="1" xr:uid="{C6955DC8-657D-4CD7-BF4C-4BA84BC31840}"/>
    <cellStyle name="60 % - Akzent5" xfId="24139" hidden="1" xr:uid="{848739BA-08B0-4C2A-BF93-0869A3498B7F}"/>
    <cellStyle name="60 % - Akzent5" xfId="26085" hidden="1" xr:uid="{F694A77C-6C29-4FA9-8AA3-3E85F3FD5535}"/>
    <cellStyle name="60 % - Akzent5" xfId="26215" hidden="1" xr:uid="{75122073-D4B8-401A-B881-941AC8B08442}"/>
    <cellStyle name="60 % - Akzent5" xfId="24300" hidden="1" xr:uid="{79D91058-325D-4082-A0A6-32A604510FFC}"/>
    <cellStyle name="60 % - Akzent5" xfId="26526" hidden="1" xr:uid="{0793FF84-04BF-4798-A577-21095C7EBDC1}"/>
    <cellStyle name="60 % - Akzent5" xfId="26589" hidden="1" xr:uid="{1AC5EE11-7BA2-4334-830B-B68316DC5277}"/>
    <cellStyle name="60 % - Akzent5" xfId="26600" hidden="1" xr:uid="{BE5776E0-B456-40BD-A380-F34EB4E91263}"/>
    <cellStyle name="60 % - Akzent5" xfId="25070" hidden="1" xr:uid="{E6FCB55D-AFB4-4614-8BAC-D5B61DD4207E}"/>
    <cellStyle name="60 % - Akzent5" xfId="26800" hidden="1" xr:uid="{0D247060-1299-49E8-896B-F19844BE173F}"/>
    <cellStyle name="60 % - Akzent5" xfId="27221" hidden="1" xr:uid="{9E6C957F-E9DA-4A30-A420-05494FC627F5}"/>
    <cellStyle name="60 % - Akzent5" xfId="27710" hidden="1" xr:uid="{DD5001CF-EFB5-45C0-9AA5-63340052ABEA}"/>
    <cellStyle name="60 % - Akzent5" xfId="27751" hidden="1" xr:uid="{32C0EB35-5BE8-47CA-BE82-E6BEB5C673CF}"/>
    <cellStyle name="60 % - Akzent5" xfId="27869" hidden="1" xr:uid="{5D871D6D-8CA3-46D8-8E8B-9505AE064676}"/>
    <cellStyle name="60 % - Akzent5" xfId="27852" hidden="1" xr:uid="{67DA34F1-C975-46EB-A1FA-3196B237E9BC}"/>
    <cellStyle name="60 % - Akzent5" xfId="27867" hidden="1" xr:uid="{A4A29A77-EA1C-4988-B1A5-A223368B5527}"/>
    <cellStyle name="60 % - Akzent5" xfId="27859" hidden="1" xr:uid="{FBFA8963-733A-4DFF-8157-B0B8C31C8ADA}"/>
    <cellStyle name="60 % - Akzent5" xfId="27962" hidden="1" xr:uid="{390AE88F-7DCA-4354-8E2C-BD39E50E545C}"/>
    <cellStyle name="60 % - Akzent5" xfId="28182" hidden="1" xr:uid="{338EA3CF-9B01-4E07-8631-F9DF485553E9}"/>
    <cellStyle name="60 % - Akzent5" xfId="28093" hidden="1" xr:uid="{E6086221-7E74-472D-ACB8-7C3839FBE21E}"/>
    <cellStyle name="60 % - Akzent5" xfId="29390" hidden="1" xr:uid="{37DB91C4-FA45-489B-823C-4859BF5C19DE}"/>
    <cellStyle name="60 % - Akzent5" xfId="28257" hidden="1" xr:uid="{83412456-9AA6-465A-867F-54315ADC6AB4}"/>
    <cellStyle name="60 % - Akzent5" xfId="29463" hidden="1" xr:uid="{C57B95CA-2A2B-4612-93EC-990E06B41A93}"/>
    <cellStyle name="60 % - Akzent5" xfId="30006" hidden="1" xr:uid="{6EC96C2B-0420-4D09-B572-2410B2B330BB}"/>
    <cellStyle name="60 % - Akzent5" xfId="30423" hidden="1" xr:uid="{6E66E498-65F1-4171-BBBE-D5AA99A488F4}"/>
    <cellStyle name="60 % - Akzent5" xfId="30897" hidden="1" xr:uid="{7FABD96B-02EA-4D7E-95F5-A2AE0B0045A9}"/>
    <cellStyle name="60 % - Akzent5" xfId="30837" hidden="1" xr:uid="{74DFD874-B290-432F-95EF-85CF7C0A8B3B}"/>
    <cellStyle name="60 % - Akzent5 2" xfId="389" xr:uid="{2EA6E9C5-1E75-43E0-B2B2-02CD16E4B4F0}"/>
    <cellStyle name="60 % - Akzent5 3" xfId="258" xr:uid="{BFED8363-ED89-440D-A30E-823B6C73EC7F}"/>
    <cellStyle name="60 % - Akzent6" xfId="67" hidden="1" xr:uid="{C809C567-5E04-48B6-98EB-FFD7162C26E8}"/>
    <cellStyle name="60 % - Akzent6" xfId="914" hidden="1" xr:uid="{8674E744-206F-444D-A689-891E98E81CB2}"/>
    <cellStyle name="60 % - Akzent6" xfId="986" hidden="1" xr:uid="{6491E521-41D4-46E3-8C42-5DB87C01F032}"/>
    <cellStyle name="60 % - Akzent6" xfId="1408" hidden="1" xr:uid="{47AF9AAC-6B60-4390-8D32-078CB8BE8F45}"/>
    <cellStyle name="60 % - Akzent6" xfId="1643" hidden="1" xr:uid="{A95A8FFB-093D-47BD-855D-900C0326AAF4}"/>
    <cellStyle name="60 % - Akzent6" xfId="1896" hidden="1" xr:uid="{D23D8729-DB6F-49C0-87F4-9EFE0167C170}"/>
    <cellStyle name="60 % - Akzent6" xfId="2122" hidden="1" xr:uid="{FA650AB2-BB5D-4F1E-893D-905821469F00}"/>
    <cellStyle name="60 % - Akzent6" xfId="2887" hidden="1" xr:uid="{05655529-0E00-4A0C-949D-E1B9691A1368}"/>
    <cellStyle name="60 % - Akzent6" xfId="3079" hidden="1" xr:uid="{C27B05AB-EE4C-46F8-8354-F0C57275CA02}"/>
    <cellStyle name="60 % - Akzent6" xfId="3038" hidden="1" xr:uid="{945C8B89-5AD7-421F-AD6A-1FB03FF9A7F9}"/>
    <cellStyle name="60 % - Akzent6" xfId="3369" hidden="1" xr:uid="{E0EF9540-9737-4CA0-B3FA-AB34576E512B}"/>
    <cellStyle name="60 % - Akzent6" xfId="3590" hidden="1" xr:uid="{30151A6A-E261-4AA3-87F6-111F2CADAD9E}"/>
    <cellStyle name="60 % - Akzent6" xfId="3090" hidden="1" xr:uid="{6D7E16C9-4560-40C4-B7CC-BD659BD90515}"/>
    <cellStyle name="60 % - Akzent6" xfId="1974" hidden="1" xr:uid="{CB502CFE-B79B-43D8-A138-16BDDDDA9300}"/>
    <cellStyle name="60 % - Akzent6" xfId="3719" hidden="1" xr:uid="{425DA60B-8BCA-4FAA-BD05-B1704B3FAB0D}"/>
    <cellStyle name="60 % - Akzent6" xfId="3606" hidden="1" xr:uid="{63A2565D-5579-4D57-819B-A5726B66CD76}"/>
    <cellStyle name="60 % - Akzent6" xfId="3809" hidden="1" xr:uid="{2D0026B0-4131-4FDD-83D1-E801D06F66CC}"/>
    <cellStyle name="60 % - Akzent6" xfId="4246" hidden="1" xr:uid="{BF0A9272-13D7-45E9-9EED-B9D661E31699}"/>
    <cellStyle name="60 % - Akzent6" xfId="4747" hidden="1" xr:uid="{8F444212-D9A5-468C-9F9E-4F354563CC42}"/>
    <cellStyle name="60 % - Akzent6" xfId="3679" hidden="1" xr:uid="{BF9A59E6-3FE7-4FC6-80F6-A6219830078F}"/>
    <cellStyle name="60 % - Akzent6" xfId="5142" hidden="1" xr:uid="{C3290E9C-F6BC-4C2A-AECB-B5CAF1114B54}"/>
    <cellStyle name="60 % - Akzent6" xfId="5713" hidden="1" xr:uid="{23B73AB1-0D05-4F62-9CA6-C9046FC52179}"/>
    <cellStyle name="60 % - Akzent6" xfId="5690" hidden="1" xr:uid="{364FCD55-AC87-4E83-884D-098926889018}"/>
    <cellStyle name="60 % - Akzent6" xfId="5632" hidden="1" xr:uid="{21C042B1-F3AB-4F52-ADBD-DA75E0DBBF98}"/>
    <cellStyle name="60 % - Akzent6" xfId="5948" hidden="1" xr:uid="{4AAA14D8-4EB5-487E-83F6-C7997CA0A520}"/>
    <cellStyle name="60 % - Akzent6" xfId="5124" hidden="1" xr:uid="{024A5D8E-8BEB-40F1-AD74-F9FA2A35838D}"/>
    <cellStyle name="60 % - Akzent6" xfId="6158" hidden="1" xr:uid="{55E3DDB1-482B-44F8-8351-2D074A296891}"/>
    <cellStyle name="60 % - Akzent6" xfId="6136" hidden="1" xr:uid="{757D1CD1-2393-4BCF-AEEE-6B2F0ED741B5}"/>
    <cellStyle name="60 % - Akzent6" xfId="6234" hidden="1" xr:uid="{8BD8392E-D8F9-4C29-B741-31C4964FD99C}"/>
    <cellStyle name="60 % - Akzent6" xfId="6515" hidden="1" xr:uid="{2A4F8EF7-F620-448D-81D6-C32710C67973}"/>
    <cellStyle name="60 % - Akzent6" xfId="6499" hidden="1" xr:uid="{4B8D876C-8203-4054-A528-4B7072BA67F0}"/>
    <cellStyle name="60 % - Akzent6" xfId="6247" hidden="1" xr:uid="{039E31F1-2B9D-4F99-8224-87FD65587A3D}"/>
    <cellStyle name="60 % - Akzent6" xfId="6541" hidden="1" xr:uid="{A843EA70-ACB3-4BE9-93A8-8728AE308950}"/>
    <cellStyle name="60 % - Akzent6" xfId="6111" hidden="1" xr:uid="{7C211542-1E41-4EF1-9721-C1F4CABD91C5}"/>
    <cellStyle name="60 % - Akzent6" xfId="6213" hidden="1" xr:uid="{49AC0E91-0B2E-4B2C-8788-52A743DB8A5D}"/>
    <cellStyle name="60 % - Akzent6" xfId="6585" hidden="1" xr:uid="{BAFCC404-B2E9-4759-A26F-A631EB77847E}"/>
    <cellStyle name="60 % - Akzent6" xfId="6215" hidden="1" xr:uid="{0B0C80D8-B1E1-46CF-8CE8-BC7E3446A3FF}"/>
    <cellStyle name="60 % - Akzent6" xfId="6808" hidden="1" xr:uid="{C679D601-11A1-4F2A-8F97-AD4CBF8E513B}"/>
    <cellStyle name="60 % - Akzent6" xfId="7214" hidden="1" xr:uid="{A11A92BC-CE27-4F53-8C07-B3E64FB13500}"/>
    <cellStyle name="60 % - Akzent6" xfId="7771" hidden="1" xr:uid="{D39EB5E0-F4FD-4229-BF4E-6D2FAAA27369}"/>
    <cellStyle name="60 % - Akzent6" xfId="7853" hidden="1" xr:uid="{4F7B794B-05AE-4382-BBCA-3209C301FEDB}"/>
    <cellStyle name="60 % - Akzent6" xfId="8176" hidden="1" xr:uid="{D3D10593-CEA5-42EC-933A-49A34FFC036E}"/>
    <cellStyle name="60 % - Akzent6" xfId="8089" hidden="1" xr:uid="{8493A5BD-1FE3-4F9B-922B-E093E6FD2D95}"/>
    <cellStyle name="60 % - Akzent6" xfId="7190" hidden="1" xr:uid="{0F167310-F6E7-42E5-A2DA-C80DA33436A0}"/>
    <cellStyle name="60 % - Akzent6" xfId="7174" hidden="1" xr:uid="{FFF5958B-D844-423C-9084-F78FAEF5102C}"/>
    <cellStyle name="60 % - Akzent6" xfId="7748" hidden="1" xr:uid="{07B053CB-AA0E-4603-BE49-68BBE89F0AF4}"/>
    <cellStyle name="60 % - Akzent6" xfId="8420" hidden="1" xr:uid="{4F549B99-5A71-4549-A183-F3435F58ED70}"/>
    <cellStyle name="60 % - Akzent6" xfId="7663" hidden="1" xr:uid="{52E7AF14-0AC9-4D88-A4E0-53597A4609DF}"/>
    <cellStyle name="60 % - Akzent6" xfId="8003" hidden="1" xr:uid="{656A693C-7CFF-43B4-8290-CFAAA8F93AD4}"/>
    <cellStyle name="60 % - Akzent6" xfId="8277" hidden="1" xr:uid="{158CC7AB-B04B-4BF8-A698-BE1E0E93F505}"/>
    <cellStyle name="60 % - Akzent6" xfId="8102" hidden="1" xr:uid="{89946F86-4483-4D3B-8A76-B5130B2DF8F5}"/>
    <cellStyle name="60 % - Akzent6" xfId="7172" hidden="1" xr:uid="{72874A58-A29E-4B47-ACCD-76159C73DE09}"/>
    <cellStyle name="60 % - Akzent6" xfId="8246" hidden="1" xr:uid="{7A8424D5-1048-444F-8695-F68E571815E2}"/>
    <cellStyle name="60 % - Akzent6" xfId="8157" hidden="1" xr:uid="{D0B77386-2DE1-458D-8A14-BEF7092C9AF7}"/>
    <cellStyle name="60 % - Akzent6" xfId="8624" hidden="1" xr:uid="{B3628F46-405F-4D55-99D9-A3B9B4874762}"/>
    <cellStyle name="60 % - Akzent6" xfId="8335" hidden="1" xr:uid="{D33601F8-F50E-44B1-9AC7-D56912918985}"/>
    <cellStyle name="60 % - Akzent6" xfId="8755" hidden="1" xr:uid="{EA87CCE0-5022-4EBA-B630-ACAC77BDA186}"/>
    <cellStyle name="60 % - Akzent6" xfId="8854" hidden="1" xr:uid="{A260D5C7-A78C-43EF-8104-07FBCC043E4D}"/>
    <cellStyle name="60 % - Akzent6" xfId="7662" hidden="1" xr:uid="{18AA1548-DCF9-48E3-89E0-FA8FD5BC33F3}"/>
    <cellStyle name="60 % - Akzent6" xfId="8838" hidden="1" xr:uid="{55915F55-92C8-4C14-9897-63139161E52A}"/>
    <cellStyle name="60 % - Akzent6" xfId="9022" hidden="1" xr:uid="{5C341371-C0AB-4D44-B493-60283C935516}"/>
    <cellStyle name="60 % - Akzent6" xfId="9427" hidden="1" xr:uid="{D6825201-C420-4EEE-8435-1C29B9D38D4B}"/>
    <cellStyle name="60 % - Akzent6" xfId="9983" hidden="1" xr:uid="{2C705743-6D75-412F-AC43-E12177EABED5}"/>
    <cellStyle name="60 % - Akzent6" xfId="10066" hidden="1" xr:uid="{CB0A2D26-5E95-46DA-A779-BC33E6D12B00}"/>
    <cellStyle name="60 % - Akzent6" xfId="10409" hidden="1" xr:uid="{CEBFB573-33D2-4458-917C-860A82D1ED78}"/>
    <cellStyle name="60 % - Akzent6" xfId="9920" hidden="1" xr:uid="{874A7FBF-E3A0-4206-82BE-41AE02A861B9}"/>
    <cellStyle name="60 % - Akzent6" xfId="10830" hidden="1" xr:uid="{E069CBC2-5823-4D4E-B90F-B99EE2DE0478}"/>
    <cellStyle name="60 % - Akzent6" xfId="10950" hidden="1" xr:uid="{1806402F-E9F2-4865-BC80-E236E8D8E6CB}"/>
    <cellStyle name="60 % - Akzent6" xfId="9059" hidden="1" xr:uid="{AA1BD78A-8749-4B5A-907C-A93608FA05A6}"/>
    <cellStyle name="60 % - Akzent6" xfId="11215" hidden="1" xr:uid="{2DE67A43-9889-4ABD-A239-A46AD086FC2A}"/>
    <cellStyle name="60 % - Akzent6" xfId="11122" hidden="1" xr:uid="{F40BCB20-669B-4530-98B4-25DF785015D5}"/>
    <cellStyle name="60 % - Akzent6" xfId="9425" hidden="1" xr:uid="{EE48DD77-15D5-432B-AA2A-9540D6BE855B}"/>
    <cellStyle name="60 % - Akzent6" xfId="10969" hidden="1" xr:uid="{F15E2CE4-9E20-446C-A230-7EDC9121D8A6}"/>
    <cellStyle name="60 % - Akzent6" xfId="10942" hidden="1" xr:uid="{2F8B11AE-4E27-4ACE-B6C7-7500F77AB5FE}"/>
    <cellStyle name="60 % - Akzent6" xfId="10757" hidden="1" xr:uid="{49987EAE-4B8C-41C0-84DA-D20EB7694D36}"/>
    <cellStyle name="60 % - Akzent6" xfId="11427" hidden="1" xr:uid="{5ED711F2-E6CA-4DDF-9A8F-17502E3FDE3C}"/>
    <cellStyle name="60 % - Akzent6" xfId="11844" hidden="1" xr:uid="{6F1437E9-3133-41B0-B710-2C230B887120}"/>
    <cellStyle name="60 % - Akzent6" xfId="11470" hidden="1" xr:uid="{D610D554-FD9D-40AC-8E53-DC9CEF7A73E9}"/>
    <cellStyle name="60 % - Akzent6" xfId="12750" hidden="1" xr:uid="{5471CD0C-EB39-47EF-8B64-87EED05FD18B}"/>
    <cellStyle name="60 % - Akzent6" xfId="11532" hidden="1" xr:uid="{89480F76-10C9-414D-8C52-047AF27A66C5}"/>
    <cellStyle name="60 % - Akzent6" xfId="13722" hidden="1" xr:uid="{45B9AE47-7DF9-469A-ADD0-B11BE354E172}"/>
    <cellStyle name="60 % - Akzent6" xfId="13911" hidden="1" xr:uid="{7063EEED-FB6E-46C0-9076-00D8A83C5F64}"/>
    <cellStyle name="60 % - Akzent6" xfId="13871" hidden="1" xr:uid="{0398AD18-3CE0-4522-9270-47F3A409B716}"/>
    <cellStyle name="60 % - Akzent6" xfId="13850" hidden="1" xr:uid="{E407711A-3177-4DEF-BAD3-CB3C631FCEBB}"/>
    <cellStyle name="60 % - Akzent6" xfId="11523" hidden="1" xr:uid="{E4BBEE84-64C6-43B7-9018-EAD673E73079}"/>
    <cellStyle name="60 % - Akzent6" xfId="14671" hidden="1" xr:uid="{A5BB9B35-605D-4516-B9AA-99F5C59F87A4}"/>
    <cellStyle name="60 % - Akzent6" xfId="14429" hidden="1" xr:uid="{DCFF5E15-2F0D-40ED-A241-46AD89CC5532}"/>
    <cellStyle name="60 % - Akzent6" xfId="15088" hidden="1" xr:uid="{31A71D8D-E819-4BB5-9298-8C822A72680B}"/>
    <cellStyle name="60 % - Akzent6" xfId="14828" hidden="1" xr:uid="{47B86D9A-25A1-4A77-9287-1C5F902E7E81}"/>
    <cellStyle name="60 % - Akzent6" xfId="14758" hidden="1" xr:uid="{DB320A7E-65C4-4CD4-B476-7D65A3262BB8}"/>
    <cellStyle name="60 % - Akzent6" xfId="15245" hidden="1" xr:uid="{0A160F9A-FA7F-4B7F-AD34-4BB3D63A06C8}"/>
    <cellStyle name="60 % - Akzent6" xfId="15186" hidden="1" xr:uid="{59C2B826-FEA1-4A8C-A395-9C1A45574B70}"/>
    <cellStyle name="60 % - Akzent6" xfId="15535" hidden="1" xr:uid="{C4180F24-CCD4-48CF-A83B-98FCEABD87DB}"/>
    <cellStyle name="60 % - Akzent6" xfId="15512" hidden="1" xr:uid="{1AEC099B-A7FC-4428-BF45-560CF41FD0C1}"/>
    <cellStyle name="60 % - Akzent6" xfId="15642" hidden="1" xr:uid="{90BC376B-F909-4364-97B3-63AE2C550BA0}"/>
    <cellStyle name="60 % - Akzent6" xfId="15146" hidden="1" xr:uid="{FBA9E1FC-BA01-49BB-8E1D-9F8046CE73AF}"/>
    <cellStyle name="60 % - Akzent6" xfId="15282" hidden="1" xr:uid="{9FE3B0B0-E63B-4519-B78A-B2430CD581B7}"/>
    <cellStyle name="60 % - Akzent6" xfId="15894" hidden="1" xr:uid="{FA78A129-E8E2-44F9-9664-EA0D5C1A3FDA}"/>
    <cellStyle name="60 % - Akzent6" xfId="15757" hidden="1" xr:uid="{A52B7D63-AB00-4DB1-87B4-86D8C845912F}"/>
    <cellStyle name="60 % - Akzent6" xfId="16028" hidden="1" xr:uid="{B3684CE3-ED3C-429C-B1C9-821F010FCB4F}"/>
    <cellStyle name="60 % - Akzent6" xfId="16119" hidden="1" xr:uid="{A3DD4306-19F7-4693-8413-4A4B7A231401}"/>
    <cellStyle name="60 % - Akzent6" xfId="16536" hidden="1" xr:uid="{E3619941-B690-48CB-BA12-132EA3C81D5F}"/>
    <cellStyle name="60 % - Akzent6" xfId="17099" hidden="1" xr:uid="{7A65905C-684B-4749-969D-513A63A76F26}"/>
    <cellStyle name="60 % - Akzent6" xfId="17183" hidden="1" xr:uid="{55FB0BE3-64DB-458A-8F0F-F5EF063697DB}"/>
    <cellStyle name="60 % - Akzent6" xfId="17547" hidden="1" xr:uid="{CB8513B8-518F-44F4-AF43-7157E6C4C9D3}"/>
    <cellStyle name="60 % - Akzent6" xfId="17034" hidden="1" xr:uid="{806D1781-7672-48CE-B356-DB3D171881C8}"/>
    <cellStyle name="60 % - Akzent6" xfId="17974" hidden="1" xr:uid="{DF4547C1-6E3F-42C2-94D2-706B4C8498BF}"/>
    <cellStyle name="60 % - Akzent6" xfId="18149" hidden="1" xr:uid="{B688F9DF-369A-4A35-8E64-A903193ADEFD}"/>
    <cellStyle name="60 % - Akzent6" xfId="16266" hidden="1" xr:uid="{CF30CDA0-E370-4F91-BDF9-0A5193BBC4EF}"/>
    <cellStyle name="60 % - Akzent6" xfId="17445" hidden="1" xr:uid="{DC0B077A-7E9E-4653-A2AC-D0B27F8D9B67}"/>
    <cellStyle name="60 % - Akzent6" xfId="17711" hidden="1" xr:uid="{3B9F3138-0AA9-424D-BA3D-DB89AC68EA0B}"/>
    <cellStyle name="60 % - Akzent6" xfId="18357" hidden="1" xr:uid="{8DAFA77B-B4D9-420C-90FF-264D12621D9D}"/>
    <cellStyle name="60 % - Akzent6" xfId="18858" hidden="1" xr:uid="{516DE8B1-AD2C-4C40-9D01-EA0DB2E31ECF}"/>
    <cellStyle name="60 % - Akzent6" xfId="18999" hidden="1" xr:uid="{B9453D9F-D2C9-4A26-812E-721912E7DFFF}"/>
    <cellStyle name="60 % - Akzent6" xfId="17675" hidden="1" xr:uid="{401A6CA3-52B7-4EE6-AC61-267308AB5047}"/>
    <cellStyle name="60 % - Akzent6" xfId="18833" hidden="1" xr:uid="{82355E46-5C1F-4622-802F-AC429A0D7605}"/>
    <cellStyle name="60 % - Akzent6" xfId="19215" hidden="1" xr:uid="{6BDA9D74-90DC-44AD-8675-9CD8604DF343}"/>
    <cellStyle name="60 % - Akzent6" xfId="19314" hidden="1" xr:uid="{F87CBD44-0878-46C0-AC35-B134CB8983E6}"/>
    <cellStyle name="60 % - Akzent6" xfId="19452" hidden="1" xr:uid="{C009B7C2-3FC3-49B9-8BAF-6FD3CC89CA23}"/>
    <cellStyle name="60 % - Akzent6" xfId="19873" hidden="1" xr:uid="{C68806ED-171A-4A90-B58F-3DFEF6BB5057}"/>
    <cellStyle name="60 % - Akzent6" xfId="20453" hidden="1" xr:uid="{19A382CC-557B-48F6-A86E-D87ADC36BB6E}"/>
    <cellStyle name="60 % - Akzent6" xfId="20534" hidden="1" xr:uid="{E24682D7-C7D1-4FC2-B429-48FCCD16882B}"/>
    <cellStyle name="60 % - Akzent6" xfId="20905" hidden="1" xr:uid="{94B44435-0FD1-41DB-8D1E-1CCD023257E2}"/>
    <cellStyle name="60 % - Akzent6" xfId="20313" hidden="1" xr:uid="{585FE1EF-70D1-4CC0-B7A1-E2DF62581AC5}"/>
    <cellStyle name="60 % - Akzent6" xfId="21533" hidden="1" xr:uid="{C8305A87-DDAF-492C-B138-04C27414AD1D}"/>
    <cellStyle name="60 % - Akzent6" xfId="21365" hidden="1" xr:uid="{D607B7ED-64DA-43DB-A98D-F5B61CD2DC75}"/>
    <cellStyle name="60 % - Akzent6" xfId="19378" hidden="1" xr:uid="{7244EA62-B2B1-41C0-80BC-529C231EC1D4}"/>
    <cellStyle name="60 % - Akzent6" xfId="21511" hidden="1" xr:uid="{90849715-A9FC-40B5-9B54-72DED820EA67}"/>
    <cellStyle name="60 % - Akzent6" xfId="21835" hidden="1" xr:uid="{9F059175-1304-469A-9ACA-97E26E3FF0C2}"/>
    <cellStyle name="60 % - Akzent6" xfId="21618" hidden="1" xr:uid="{CE25F425-9756-42A1-820A-4C08C4F2B604}"/>
    <cellStyle name="60 % - Akzent6" xfId="22271" hidden="1" xr:uid="{0F8C44BD-C45B-43C8-9EC6-C869E658FF4A}"/>
    <cellStyle name="60 % - Akzent6" xfId="22196" hidden="1" xr:uid="{AA344303-AB4E-4B8F-9D54-E135B0769AE0}"/>
    <cellStyle name="60 % - Akzent6" xfId="22718" hidden="1" xr:uid="{4A56F0E0-650C-44DC-AD1D-C471495BB784}"/>
    <cellStyle name="60 % - Akzent6" xfId="22889" hidden="1" xr:uid="{71E1C585-FD0C-4DF8-98F1-7E30AD1D4F86}"/>
    <cellStyle name="60 % - Akzent6" xfId="22667" hidden="1" xr:uid="{7992589F-2523-4F43-82E5-12DF358740E4}"/>
    <cellStyle name="60 % - Akzent6" xfId="23135" hidden="1" xr:uid="{93914280-4F4D-40CB-9519-22D3FCD473CD}"/>
    <cellStyle name="60 % - Akzent6" xfId="23281" hidden="1" xr:uid="{05C698F6-D851-4159-AB7C-4A9A6BE60C9D}"/>
    <cellStyle name="60 % - Akzent6" xfId="22651" hidden="1" xr:uid="{0079C10A-9F83-4821-B1DD-A43201C34517}"/>
    <cellStyle name="60 % - Akzent6" xfId="22833" hidden="1" xr:uid="{1BDF9E2A-07F0-443B-9EE7-6A6C5E40D3B3}"/>
    <cellStyle name="60 % - Akzent6" xfId="23603" hidden="1" xr:uid="{BB0E1AC2-641A-4EE9-B03B-5810F61433D0}"/>
    <cellStyle name="60 % - Akzent6" xfId="23510" hidden="1" xr:uid="{67D465E1-0A37-440E-9108-27DD141405B4}"/>
    <cellStyle name="60 % - Akzent6" xfId="23323" hidden="1" xr:uid="{E9FE7B48-9D8D-4818-9E53-2439C12761A0}"/>
    <cellStyle name="60 % - Akzent6" xfId="23695" hidden="1" xr:uid="{04E2312B-D968-4E91-8B74-75202E4F4D30}"/>
    <cellStyle name="60 % - Akzent6" xfId="24080" hidden="1" xr:uid="{6E736014-71CF-442D-B3D1-644FCB456C11}"/>
    <cellStyle name="60 % - Akzent6" xfId="24091" hidden="1" xr:uid="{2973B7C9-62EE-4672-B340-CD50DE87AD5B}"/>
    <cellStyle name="60 % - Akzent6" xfId="24173" hidden="1" xr:uid="{6C666F66-5CEB-4A81-8A7F-712ABE663A8E}"/>
    <cellStyle name="60 % - Akzent6" xfId="24492" hidden="1" xr:uid="{9D47E69B-71AD-4BD0-82D0-908B273C9F9F}"/>
    <cellStyle name="60 % - Akzent6" xfId="25253" hidden="1" xr:uid="{14E478D8-7C00-432C-A916-2553B7EBDC6E}"/>
    <cellStyle name="60 % - Akzent6" xfId="24404" hidden="1" xr:uid="{1E67AAF2-FE50-4416-95C0-B3EF9197CD97}"/>
    <cellStyle name="60 % - Akzent6" xfId="25507" hidden="1" xr:uid="{2DD18C45-9F92-432B-BFEC-F022676407DB}"/>
    <cellStyle name="60 % - Akzent6" xfId="26106" hidden="1" xr:uid="{AFB15E14-4718-404C-8D7D-199290908EA0}"/>
    <cellStyle name="60 % - Akzent6" xfId="26079" hidden="1" xr:uid="{3DFEA587-512F-4E3E-AB45-CEF26719292A}"/>
    <cellStyle name="60 % - Akzent6" xfId="25947" hidden="1" xr:uid="{8FB993B7-A8C7-4C39-AEDC-914D3524B0A1}"/>
    <cellStyle name="60 % - Akzent6" xfId="26478" hidden="1" xr:uid="{B78F208E-37D9-4AEF-9FCB-DE39F901C942}"/>
    <cellStyle name="60 % - Akzent6" xfId="26636" hidden="1" xr:uid="{BB0EF64B-337E-4EE3-9765-5D861503524E}"/>
    <cellStyle name="60 % - Akzent6" xfId="25398" hidden="1" xr:uid="{A8CFE6AE-FA93-44D5-BD04-33635E5E9137}"/>
    <cellStyle name="60 % - Akzent6" xfId="26517" hidden="1" xr:uid="{C7E023CD-8B59-4152-A5A7-E5E2E882AD27}"/>
    <cellStyle name="60 % - Akzent6" xfId="26508" hidden="1" xr:uid="{AFA20DC4-3C6A-4143-9F1C-F08BE136AA8A}"/>
    <cellStyle name="60 % - Akzent6" xfId="24290" hidden="1" xr:uid="{949EED33-9210-476D-A10C-1095B09FB9AA}"/>
    <cellStyle name="60 % - Akzent6" xfId="27652" hidden="1" xr:uid="{0395D08C-C4C1-4F9D-BC49-E444F4DFEB1E}"/>
    <cellStyle name="60 % - Akzent6" xfId="26082" hidden="1" xr:uid="{457127FB-3C05-4222-88C9-657FA32C026A}"/>
    <cellStyle name="60 % - Akzent6" xfId="27858" hidden="1" xr:uid="{DDB2B6C5-2CC0-48D7-9C42-EC108E50CD88}"/>
    <cellStyle name="60 % - Akzent6" xfId="27878" hidden="1" xr:uid="{B60C11B5-42D0-46EA-B86E-495159E457DA}"/>
    <cellStyle name="60 % - Akzent6" xfId="26050" hidden="1" xr:uid="{5D16D725-96FD-4E5B-910B-0FF22EAF560E}"/>
    <cellStyle name="60 % - Akzent6" xfId="26493" hidden="1" xr:uid="{A9382991-95C4-4463-A95D-7A63183E5388}"/>
    <cellStyle name="60 % - Akzent6" xfId="27966" hidden="1" xr:uid="{B4AB3C25-F921-4DDF-9CA4-B64AE77B2962}"/>
    <cellStyle name="60 % - Akzent6" xfId="28334" hidden="1" xr:uid="{602C00D7-A61D-4C2B-A6CE-0B02071BEA6F}"/>
    <cellStyle name="60 % - Akzent6" xfId="28003" hidden="1" xr:uid="{C5CF01DC-A97A-4DE8-B9E3-CA3AEF3A8ADF}"/>
    <cellStyle name="60 % - Akzent6" xfId="29309" hidden="1" xr:uid="{C323E4F3-EB40-4AD8-BCDA-694924C369F6}"/>
    <cellStyle name="60 % - Akzent6" xfId="28031" hidden="1" xr:uid="{6F6F3CFA-E58E-439C-97C6-B828E1623EBE}"/>
    <cellStyle name="60 % - Akzent6" xfId="29518" hidden="1" xr:uid="{78990D93-F78E-4401-91CE-6ABB3631A5B8}"/>
    <cellStyle name="60 % - Akzent6" xfId="30008" hidden="1" xr:uid="{589C45A2-E737-4948-BDE0-993F831257FA}"/>
    <cellStyle name="60 % - Akzent6" xfId="30415" hidden="1" xr:uid="{13B0A503-B252-4761-93A3-9B984AB887C5}"/>
    <cellStyle name="60 % - Akzent6" xfId="30912" hidden="1" xr:uid="{4D117B9E-8B1A-4D49-AC18-B43D1A62D0C5}"/>
    <cellStyle name="60 % - Akzent6" xfId="29368" hidden="1" xr:uid="{7AB994E6-DC68-4F81-B89A-DAF22F412D29}"/>
    <cellStyle name="60 % - Akzent6 2" xfId="390" xr:uid="{ED38029A-1F32-4A55-A543-CE31F5A2AEE6}"/>
    <cellStyle name="60 % - Akzent6 3" xfId="259" xr:uid="{339666D8-D348-4A67-ABD3-E7E3947954EE}"/>
    <cellStyle name="60% - Accent1 2" xfId="97" xr:uid="{F671E5EB-2223-4B55-8E9E-71665E539F5A}"/>
    <cellStyle name="60% - Accent1 3" xfId="211" xr:uid="{19180E92-D422-457F-AEB7-01F1FE79809E}"/>
    <cellStyle name="60% - Accent2 2" xfId="98" xr:uid="{3FA07E09-F688-4C67-87C9-964F2F391B2C}"/>
    <cellStyle name="60% - Accent2 3" xfId="212" xr:uid="{F2F533CA-74D0-4181-83FA-EC20ADBA2042}"/>
    <cellStyle name="60% - Accent3 2" xfId="99" xr:uid="{C386BA72-F2FB-4B34-9E9C-3F66F1B70446}"/>
    <cellStyle name="60% - Accent3 3" xfId="213" xr:uid="{64F7F714-15B3-4776-92AD-5D8F97404597}"/>
    <cellStyle name="60% - Accent4 2" xfId="100" xr:uid="{4AD8EF6C-AD1C-4382-A933-C7E56E31B38D}"/>
    <cellStyle name="60% - Accent4 3" xfId="214" xr:uid="{6DDC0C25-2C7C-47FA-8769-996ED3ECE077}"/>
    <cellStyle name="60% - Accent5 2" xfId="101" xr:uid="{48848F6B-5E09-4BFA-B453-E352BB97E1B1}"/>
    <cellStyle name="60% - Accent5 3" xfId="215" xr:uid="{85B62436-2873-44BF-BFC7-D460DB720E81}"/>
    <cellStyle name="60% - Accent6 2" xfId="102" xr:uid="{2438BFCC-2584-4169-9A49-9ED858DFDD85}"/>
    <cellStyle name="60% - Accent6 3" xfId="216" xr:uid="{F253D282-5120-4135-A02C-BB49C14492F4}"/>
    <cellStyle name="Accent1 2" xfId="103" xr:uid="{4644432D-E8A9-4C99-B0A2-C098E01EF40C}"/>
    <cellStyle name="Accent1 3" xfId="217" xr:uid="{E66D2875-3E78-4A98-9851-C847517E15DC}"/>
    <cellStyle name="Accent1 4" xfId="350" xr:uid="{EA8B0187-D8F3-425C-8633-56220D696D7C}"/>
    <cellStyle name="Accent2 2" xfId="104" xr:uid="{9B4DD576-CEE6-4542-A8D8-BF106841E155}"/>
    <cellStyle name="Accent2 3" xfId="218" xr:uid="{AB7EEFCE-8646-438F-AA2B-B7069CFAACA3}"/>
    <cellStyle name="Accent2 4" xfId="351" xr:uid="{2D40B2FB-46C8-4CB5-8CA4-28331A7B7678}"/>
    <cellStyle name="Accent3 2" xfId="105" xr:uid="{E882D0ED-4B10-49F4-8442-12414EE61A38}"/>
    <cellStyle name="Accent3 3" xfId="219" xr:uid="{BAB48B74-4017-42F2-AC06-5E61E4483344}"/>
    <cellStyle name="Accent3 4" xfId="352" xr:uid="{3E1E25CE-638F-477A-9264-1F6511451003}"/>
    <cellStyle name="Accent4 2" xfId="106" xr:uid="{10FC07CE-9CFA-4DAA-A58A-CDA5A6A0C982}"/>
    <cellStyle name="Accent4 3" xfId="220" xr:uid="{37A1C33B-95AC-4C73-926E-B7FAC49EC28F}"/>
    <cellStyle name="Accent4 4" xfId="353" xr:uid="{10682EF0-88EA-4F80-8574-E1619334F174}"/>
    <cellStyle name="Accent5 2" xfId="107" xr:uid="{289BC1C2-D641-41E7-AF4D-4102C26E72D3}"/>
    <cellStyle name="Accent5 3" xfId="221" xr:uid="{AEA28261-2288-48FC-A5B4-D877C1384C4E}"/>
    <cellStyle name="Accent5 4" xfId="354" xr:uid="{760B3EB4-EA45-448C-82D6-54DE23E728AA}"/>
    <cellStyle name="Accent6 2" xfId="108" xr:uid="{73054212-2C7F-4EE6-8D08-32958EE3B8E7}"/>
    <cellStyle name="Accent6 3" xfId="222" xr:uid="{C73A00F3-4D54-46BE-8D6E-74549833B506}"/>
    <cellStyle name="Accent6 4" xfId="355" xr:uid="{E3D5935D-DFD8-49A5-8C09-F3CB8692F8FD}"/>
    <cellStyle name="AggblueBoldCels" xfId="109" xr:uid="{7D98279E-2B36-4BB5-A7DA-3E1370E63B70}"/>
    <cellStyle name="AggblueBoldCels 2" xfId="110" xr:uid="{EAE765CD-2E53-41CB-81AB-7C30115DE771}"/>
    <cellStyle name="AggblueCels" xfId="34" xr:uid="{CC62676A-58BA-411B-9F13-98D4251778A9}"/>
    <cellStyle name="AggblueCels 2" xfId="111" xr:uid="{ACB74AEE-9A93-423C-A545-ED7E2EC84477}"/>
    <cellStyle name="AggblueCels_1x" xfId="33" xr:uid="{62C9F8B1-1FDC-4CB5-BACF-B503E53A4584}"/>
    <cellStyle name="AggBoldCells" xfId="7" xr:uid="{ECE90527-38B7-4EDE-86E5-CD066C7444DA}"/>
    <cellStyle name="AggBoldCells 2" xfId="112" xr:uid="{38074CF8-6358-4969-8D6F-678F804F8846}"/>
    <cellStyle name="AggBoldCells 3" xfId="192" xr:uid="{7BE98330-DFF1-4803-BB23-AB0BE726EAEA}"/>
    <cellStyle name="AggBoldCells 4" xfId="344" xr:uid="{E4708E72-8C9F-452F-8D5C-9739C63D8800}"/>
    <cellStyle name="AggCels" xfId="10" xr:uid="{F2E58BDF-C996-4301-9038-C15ABD52A2FD}"/>
    <cellStyle name="AggCels 2" xfId="113" xr:uid="{5569A551-3E3D-4C4B-9EDE-4067016F40EF}"/>
    <cellStyle name="AggCels 3" xfId="193" xr:uid="{7134E7D4-5410-4346-AB07-CB7EAA2F35E6}"/>
    <cellStyle name="AggCels 4" xfId="345" xr:uid="{75B0E38B-1AAD-4166-A221-774ED8FEE653}"/>
    <cellStyle name="AggCels_T(2)" xfId="8" xr:uid="{2B1C0887-C83B-4D98-BAD0-82542FE26652}"/>
    <cellStyle name="AggGreen" xfId="24" xr:uid="{D7E77597-1EA6-4E3B-981C-CD40285B9ABC}"/>
    <cellStyle name="AggGreen 2" xfId="114" xr:uid="{5F268720-4959-4378-85EE-DFB7DAB0A84C}"/>
    <cellStyle name="AggGreen 2 2" xfId="403" xr:uid="{3FB5F721-1F69-4FB9-BEEA-66CAA4BAFA3A}"/>
    <cellStyle name="AggGreen 2 2 2" xfId="580" xr:uid="{20B86D32-EFC1-4333-8E5F-D3BBDE1198BC}"/>
    <cellStyle name="AggGreen 2 2 2 10" xfId="4993" xr:uid="{6513F2B4-948A-4BD2-9950-9DA6F32BCE2D}"/>
    <cellStyle name="AggGreen 2 2 2 11" xfId="5228" xr:uid="{3CE2FC68-E5CD-49C2-A6AE-FA8329385433}"/>
    <cellStyle name="AggGreen 2 2 2 12" xfId="5763" xr:uid="{F9CF2B82-A2B6-41B4-8AC4-F9BAAB9A0CFE}"/>
    <cellStyle name="AggGreen 2 2 2 13" xfId="3803" xr:uid="{D7918364-952E-439F-8A8B-62634F3A95E2}"/>
    <cellStyle name="AggGreen 2 2 2 14" xfId="5864" xr:uid="{ABAF340A-82C5-411C-9742-22A8EC387CEE}"/>
    <cellStyle name="AggGreen 2 2 2 15" xfId="7300" xr:uid="{6895CBAD-92BC-4889-99C8-383B9C551C50}"/>
    <cellStyle name="AggGreen 2 2 2 16" xfId="8020" xr:uid="{88F4C0F9-E1B7-4754-9476-B23F339EA340}"/>
    <cellStyle name="AggGreen 2 2 2 17" xfId="7184" xr:uid="{6811978A-F82C-4367-8FE7-038F8F1CFDFE}"/>
    <cellStyle name="AggGreen 2 2 2 18" xfId="8247" xr:uid="{5A3C223D-0961-4A0C-A96E-D19C43F8EAE6}"/>
    <cellStyle name="AggGreen 2 2 2 19" xfId="9514" xr:uid="{5DF3C190-71B3-4BB7-9405-7696048D3BCA}"/>
    <cellStyle name="AggGreen 2 2 2 2" xfId="795" xr:uid="{6E4C33D3-6149-41D4-8D20-DAD9A51DE70A}"/>
    <cellStyle name="AggGreen 2 2 2 2 10" xfId="5443" xr:uid="{42BA3E57-2FCA-4407-AC48-B2141194F9D6}"/>
    <cellStyle name="AggGreen 2 2 2 2 11" xfId="3717" xr:uid="{509859D7-EA1D-4A1B-AE04-F1573007860E}"/>
    <cellStyle name="AggGreen 2 2 2 2 12" xfId="6168" xr:uid="{E252643C-E03D-453D-B2C5-6D9A89E19E38}"/>
    <cellStyle name="AggGreen 2 2 2 2 13" xfId="6685" xr:uid="{8EE2EF94-352B-469E-9181-8F35A514EB92}"/>
    <cellStyle name="AggGreen 2 2 2 2 14" xfId="7515" xr:uid="{FCBA744C-FED4-4C77-987E-0422B4E3A40F}"/>
    <cellStyle name="AggGreen 2 2 2 2 15" xfId="7966" xr:uid="{40C6CBE8-0344-4D0F-8E17-812759C0B959}"/>
    <cellStyle name="AggGreen 2 2 2 2 16" xfId="8117" xr:uid="{EF9B6B55-BF68-48D7-B93E-8FA40FB1D624}"/>
    <cellStyle name="AggGreen 2 2 2 2 17" xfId="8891" xr:uid="{8C0E17B1-17D7-4940-9C29-E0AD142C4A94}"/>
    <cellStyle name="AggGreen 2 2 2 2 18" xfId="9729" xr:uid="{DEBBF4CA-557C-4DF0-8734-23BCB6C8B82B}"/>
    <cellStyle name="AggGreen 2 2 2 2 19" xfId="10182" xr:uid="{7810C334-AF92-4087-BF40-0D30EE85BADB}"/>
    <cellStyle name="AggGreen 2 2 2 2 2" xfId="1269" xr:uid="{BB215E9C-52EB-4F51-B1A5-450D78E6D519}"/>
    <cellStyle name="AggGreen 2 2 2 2 20" xfId="10589" xr:uid="{131AD822-B130-4D88-B4D1-0AEA8AD71AB9}"/>
    <cellStyle name="AggGreen 2 2 2 2 21" xfId="10493" xr:uid="{7C8009EA-6191-4C14-9BE5-13CCA3C4B119}"/>
    <cellStyle name="AggGreen 2 2 2 2 22" xfId="11302" xr:uid="{190F082D-3459-46A6-9B4B-AED93924C023}"/>
    <cellStyle name="AggGreen 2 2 2 2 23" xfId="12148" xr:uid="{BF85FBE2-EF99-482F-B742-D8EE68FD0026}"/>
    <cellStyle name="AggGreen 2 2 2 2 24" xfId="12621" xr:uid="{1C828C0E-98AD-443B-A262-75B66270DEFD}"/>
    <cellStyle name="AggGreen 2 2 2 2 25" xfId="13055" xr:uid="{E84B08B9-FA93-435C-BB5F-11AA97FE549B}"/>
    <cellStyle name="AggGreen 2 2 2 2 26" xfId="13492" xr:uid="{51213143-2E4C-44B9-93BC-DB0BD229696B}"/>
    <cellStyle name="AggGreen 2 2 2 2 27" xfId="13766" xr:uid="{A7C52DEB-CFD7-496C-806F-7B25C88ADC14}"/>
    <cellStyle name="AggGreen 2 2 2 2 28" xfId="13841" xr:uid="{C0B618A6-9CBF-40B0-9203-DA475902F368}"/>
    <cellStyle name="AggGreen 2 2 2 2 29" xfId="14832" xr:uid="{09EF09FC-A642-4805-9B20-B71CD5F3DA4B}"/>
    <cellStyle name="AggGreen 2 2 2 2 3" xfId="1557" xr:uid="{BEFFA260-DA9F-4EFF-8B2C-1949DDD1C0DE}"/>
    <cellStyle name="AggGreen 2 2 2 2 30" xfId="14543" xr:uid="{C0C2BF32-2CA4-45A5-A2F1-4AA532C832FC}"/>
    <cellStyle name="AggGreen 2 2 2 2 31" xfId="15684" xr:uid="{D54C1101-4E15-4304-B452-1274139A5961}"/>
    <cellStyle name="AggGreen 2 2 2 2 32" xfId="15951" xr:uid="{A9119AB1-21F4-40FA-B318-746D5C139C27}"/>
    <cellStyle name="AggGreen 2 2 2 2 33" xfId="16840" xr:uid="{CE7FF91A-129B-401D-9A07-F63066110FD4}"/>
    <cellStyle name="AggGreen 2 2 2 2 34" xfId="17303" xr:uid="{08142BBB-984F-4211-9F14-C213FFA92AD6}"/>
    <cellStyle name="AggGreen 2 2 2 2 35" xfId="17746" xr:uid="{71FBE384-A90D-454F-A2C4-8281F33A81A4}"/>
    <cellStyle name="AggGreen 2 2 2 2 36" xfId="18261" xr:uid="{C5EE9C1F-2F5D-4370-BA84-938B379364CB}"/>
    <cellStyle name="AggGreen 2 2 2 2 37" xfId="18658" xr:uid="{734575D5-2B68-48D6-A57B-8B84B874AB8D}"/>
    <cellStyle name="AggGreen 2 2 2 2 38" xfId="19085" xr:uid="{30B84DF1-1A10-40CA-B34C-F480B06E549C}"/>
    <cellStyle name="AggGreen 2 2 2 2 39" xfId="18821" xr:uid="{00F4DA01-7323-4BD1-AA3A-41ECC1A89707}"/>
    <cellStyle name="AggGreen 2 2 2 2 4" xfId="2617" xr:uid="{17B1051A-54D1-47ED-836E-8FE24AE31D40}"/>
    <cellStyle name="AggGreen 2 2 2 2 40" xfId="20177" xr:uid="{A6A9C04D-04A6-4C35-9C91-6F7EF0AFE19A}"/>
    <cellStyle name="AggGreen 2 2 2 2 41" xfId="20653" xr:uid="{F180EC66-9B44-4FFE-8AC4-A29DC71F18D7}"/>
    <cellStyle name="AggGreen 2 2 2 2 42" xfId="21110" xr:uid="{DD5A39C0-47E0-4D75-9F52-33FBA1131DC7}"/>
    <cellStyle name="AggGreen 2 2 2 2 43" xfId="21361" xr:uid="{51E68354-E931-4DBC-AEB1-AA48C5063A9A}"/>
    <cellStyle name="AggGreen 2 2 2 2 44" xfId="22041" xr:uid="{72EC1C47-3554-41E1-902C-06DA5DAB9149}"/>
    <cellStyle name="AggGreen 2 2 2 2 45" xfId="22470" xr:uid="{4CB50D60-8A14-4FE6-BD15-54B3BDF69FD9}"/>
    <cellStyle name="AggGreen 2 2 2 2 46" xfId="22760" xr:uid="{AA688DA1-D75E-455F-A996-2B016647BD1F}"/>
    <cellStyle name="AggGreen 2 2 2 2 47" xfId="23363" xr:uid="{4E4BBE37-5289-4B69-B1E4-E8BD305F9E23}"/>
    <cellStyle name="AggGreen 2 2 2 2 48" xfId="21801" xr:uid="{95E548B1-2B66-4E68-8723-355DCA8ACF7D}"/>
    <cellStyle name="AggGreen 2 2 2 2 49" xfId="23977" xr:uid="{BFBBD888-0096-42FB-8EE0-BD51B81425D4}"/>
    <cellStyle name="AggGreen 2 2 2 2 5" xfId="2933" xr:uid="{FEB23333-09BC-427D-B8AF-F6A6C2064E51}"/>
    <cellStyle name="AggGreen 2 2 2 2 50" xfId="24885" xr:uid="{C4943596-87A1-47E7-8D71-65CDEFEB7609}"/>
    <cellStyle name="AggGreen 2 2 2 2 51" xfId="25357" xr:uid="{7C193800-3F8A-4AC1-8AFD-F43FF7DAE0C3}"/>
    <cellStyle name="AggGreen 2 2 2 2 52" xfId="25801" xr:uid="{52FB2AE6-5C2B-444F-AC62-42E050646CBF}"/>
    <cellStyle name="AggGreen 2 2 2 2 53" xfId="26065" xr:uid="{417F8AB6-3570-41E1-911B-760EFBB4E8F8}"/>
    <cellStyle name="AggGreen 2 2 2 2 54" xfId="26567" xr:uid="{A5AB7C0F-A108-4931-A45B-480FB9BE4340}"/>
    <cellStyle name="AggGreen 2 2 2 2 55" xfId="27089" xr:uid="{6E879A40-5B6A-4005-8273-CFEB11E358D2}"/>
    <cellStyle name="AggGreen 2 2 2 2 56" xfId="27508" xr:uid="{4A2BC10E-6716-41CC-9C97-06EA8011612D}"/>
    <cellStyle name="AggGreen 2 2 2 2 57" xfId="25994" xr:uid="{9DAECD04-E5B1-4600-A0AF-0E4CC8437145}"/>
    <cellStyle name="AggGreen 2 2 2 2 58" xfId="28635" xr:uid="{02993B16-3771-483C-9CBC-C09176B76EE1}"/>
    <cellStyle name="AggGreen 2 2 2 2 59" xfId="29102" xr:uid="{E13A906D-C4C3-4922-A5D8-37BD92F242EF}"/>
    <cellStyle name="AggGreen 2 2 2 2 6" xfId="1824" xr:uid="{1C78A123-A07F-4F6A-97C9-EA4C1810263A}"/>
    <cellStyle name="AggGreen 2 2 2 2 60" xfId="29481" xr:uid="{ABEF10AC-0853-4DC2-804B-F644288D5269}"/>
    <cellStyle name="AggGreen 2 2 2 2 61" xfId="29891" xr:uid="{EF99BFF1-B4A5-4C7D-B9D2-E1FBA62481E7}"/>
    <cellStyle name="AggGreen 2 2 2 2 62" xfId="30297" xr:uid="{FA7A4F5C-32E0-4A73-9A35-CC937B4993A0}"/>
    <cellStyle name="AggGreen 2 2 2 2 63" xfId="30714" xr:uid="{C6A04B0D-28C9-4485-BE53-9B6836A643E0}"/>
    <cellStyle name="AggGreen 2 2 2 2 64" xfId="30408" xr:uid="{6B0D0B95-C9D7-4AE9-BF7A-3EBC179E6E54}"/>
    <cellStyle name="AggGreen 2 2 2 2 65" xfId="31330" xr:uid="{30FEF42F-518B-410A-AC05-CC91948A75CB}"/>
    <cellStyle name="AggGreen 2 2 2 2 7" xfId="4113" xr:uid="{7D9413EE-241B-4099-A498-D3B0F3E8A855}"/>
    <cellStyle name="AggGreen 2 2 2 2 8" xfId="4550" xr:uid="{B7F4F629-6E6C-4736-AD74-95D6A259E9BB}"/>
    <cellStyle name="AggGreen 2 2 2 2 9" xfId="3029" xr:uid="{058602AE-95AE-4949-89FA-0BADABD7152C}"/>
    <cellStyle name="AggGreen 2 2 2 20" xfId="10239" xr:uid="{E1D0AC4F-8BF4-4B9B-8BEE-0185B58D2871}"/>
    <cellStyle name="AggGreen 2 2 2 21" xfId="10635" xr:uid="{FC99A8B3-D285-4EE7-83F8-8B786A5D7EAF}"/>
    <cellStyle name="AggGreen 2 2 2 22" xfId="9150" xr:uid="{8741F3B7-67DD-41D9-BA52-81065C0AE218}"/>
    <cellStyle name="AggGreen 2 2 2 23" xfId="10839" xr:uid="{0255F208-6C96-4045-B221-24251698C312}"/>
    <cellStyle name="AggGreen 2 2 2 24" xfId="11933" xr:uid="{F923A3FC-FD9A-43C6-9F0A-E0FEDB8CC51E}"/>
    <cellStyle name="AggGreen 2 2 2 25" xfId="12406" xr:uid="{7F0E4B28-640D-46F4-A85F-55C4EEC5F820}"/>
    <cellStyle name="AggGreen 2 2 2 26" xfId="12840" xr:uid="{2B7A2646-2E00-4255-9A98-6B25E4471A10}"/>
    <cellStyle name="AggGreen 2 2 2 27" xfId="13277" xr:uid="{34CD977B-F389-4740-9881-68B1033B9069}"/>
    <cellStyle name="AggGreen 2 2 2 28" xfId="11514" xr:uid="{2A623F3A-3DEE-4682-9E4B-AFF13C499FC1}"/>
    <cellStyle name="AggGreen 2 2 2 29" xfId="14208" xr:uid="{EFCF9EDA-0A9F-496A-81CE-109488022FA4}"/>
    <cellStyle name="AggGreen 2 2 2 3" xfId="1063" xr:uid="{3445CC69-9D11-469D-BF49-390D8BB3999C}"/>
    <cellStyle name="AggGreen 2 2 2 30" xfId="14857" xr:uid="{085FF25F-49C3-4F75-816C-9872E614EBC1}"/>
    <cellStyle name="AggGreen 2 2 2 31" xfId="14946" xr:uid="{F5447753-D5D6-46E9-A089-95FA45FE9C95}"/>
    <cellStyle name="AggGreen 2 2 2 32" xfId="15630" xr:uid="{552D1048-BE98-4B53-B68E-B845567D262A}"/>
    <cellStyle name="AggGreen 2 2 2 33" xfId="15981" xr:uid="{AB0A7EFC-4DE4-4536-A567-657FF1A88C46}"/>
    <cellStyle name="AggGreen 2 2 2 34" xfId="16625" xr:uid="{7BC64EDC-B2AF-4291-93B2-485D4138DFFF}"/>
    <cellStyle name="AggGreen 2 2 2 35" xfId="17360" xr:uid="{E0250DC2-5E33-454C-9721-16DB8092A5CA}"/>
    <cellStyle name="AggGreen 2 2 2 36" xfId="17802" xr:uid="{B6336E47-304D-49BF-AAB4-09233942C5C2}"/>
    <cellStyle name="AggGreen 2 2 2 37" xfId="17736" xr:uid="{FE597B45-DC25-4317-AA37-3EE6D1B8C457}"/>
    <cellStyle name="AggGreen 2 2 2 38" xfId="18443" xr:uid="{6B77E465-2976-4D86-A19C-C128DF9C26B9}"/>
    <cellStyle name="AggGreen 2 2 2 39" xfId="17541" xr:uid="{2006279F-7C80-4738-9DBC-E278A8FC9422}"/>
    <cellStyle name="AggGreen 2 2 2 4" xfId="1711" xr:uid="{D9BC716D-58C0-4E40-8AD0-7A419C2E6CD7}"/>
    <cellStyle name="AggGreen 2 2 2 40" xfId="18215" xr:uid="{86F818B4-5826-4F76-9852-E5DD91237BAC}"/>
    <cellStyle name="AggGreen 2 2 2 41" xfId="19962" xr:uid="{8C2D33B5-7E85-4840-B49D-5BEF020D2E76}"/>
    <cellStyle name="AggGreen 2 2 2 42" xfId="20710" xr:uid="{10F1B4F0-0165-4B26-BB62-1CC685D20412}"/>
    <cellStyle name="AggGreen 2 2 2 43" xfId="21168" xr:uid="{81E4F642-1268-4B91-AFB4-3F3AA7F3ABF1}"/>
    <cellStyle name="AggGreen 2 2 2 44" xfId="20494" xr:uid="{A13C61C3-DE6A-47DA-BCB1-ECE8CE95807E}"/>
    <cellStyle name="AggGreen 2 2 2 45" xfId="22099" xr:uid="{78B7B436-7DA3-4E16-8A71-6203A86C6111}"/>
    <cellStyle name="AggGreen 2 2 2 46" xfId="22527" xr:uid="{3971DE8E-65DC-448F-A463-6EA21C4ACADD}"/>
    <cellStyle name="AggGreen 2 2 2 47" xfId="22180" xr:uid="{E162FD28-61DE-410F-945B-05D52D289DFC}"/>
    <cellStyle name="AggGreen 2 2 2 48" xfId="22786" xr:uid="{AE068009-D56C-4017-B1DA-C35C46C593E9}"/>
    <cellStyle name="AggGreen 2 2 2 49" xfId="23328" xr:uid="{86F20D0F-4EF1-421F-B75D-B85EA0B29F3A}"/>
    <cellStyle name="AggGreen 2 2 2 5" xfId="2402" xr:uid="{5E54BE8F-70E8-4BF0-86E8-1CA8ED23120E}"/>
    <cellStyle name="AggGreen 2 2 2 50" xfId="23771" xr:uid="{DC39D857-CE64-4CCD-9E26-717DBEF17384}"/>
    <cellStyle name="AggGreen 2 2 2 51" xfId="24670" xr:uid="{ED70E45D-BEF0-4E63-9F49-722100AABD4E}"/>
    <cellStyle name="AggGreen 2 2 2 52" xfId="25414" xr:uid="{5A6A4A5F-EB5D-4905-B463-D87CA479B5F0}"/>
    <cellStyle name="AggGreen 2 2 2 53" xfId="25588" xr:uid="{B84834E9-0721-4A25-9296-2E63AC6E80EC}"/>
    <cellStyle name="AggGreen 2 2 2 54" xfId="25389" xr:uid="{D47DC0C3-23BB-478F-87E1-A94FB5AAE200}"/>
    <cellStyle name="AggGreen 2 2 2 55" xfId="24451" xr:uid="{B523D28A-3F91-436D-89CD-4FAE2AF65BB4}"/>
    <cellStyle name="AggGreen 2 2 2 56" xfId="26878" xr:uid="{0CFBF22A-E5DD-4B43-8A0D-AA706F680A55}"/>
    <cellStyle name="AggGreen 2 2 2 57" xfId="27297" xr:uid="{B787D035-2E1B-4BB6-99BF-56977D5F5F2C}"/>
    <cellStyle name="AggGreen 2 2 2 58" xfId="25482" xr:uid="{56550357-CFD7-4FA1-A157-296F01D0AEA6}"/>
    <cellStyle name="AggGreen 2 2 2 59" xfId="28420" xr:uid="{2815EB95-05E0-4BFF-9082-AA08460A538E}"/>
    <cellStyle name="AggGreen 2 2 2 6" xfId="2072" xr:uid="{9DA1312F-E8A9-48A0-939F-2C877BD4E2D0}"/>
    <cellStyle name="AggGreen 2 2 2 60" xfId="28888" xr:uid="{00A508E0-95DB-4375-9E75-66F365B25ABA}"/>
    <cellStyle name="AggGreen 2 2 2 61" xfId="29528" xr:uid="{25FAA32F-0D51-4D96-863A-00B05A0F69B5}"/>
    <cellStyle name="AggGreen 2 2 2 62" xfId="29678" xr:uid="{F46B916F-6817-4B12-B6E0-D8225E942D07}"/>
    <cellStyle name="AggGreen 2 2 2 63" xfId="30086" xr:uid="{E27CC46E-7BCB-4CED-A546-1D0A5FDA0AFD}"/>
    <cellStyle name="AggGreen 2 2 2 64" xfId="30500" xr:uid="{774239D4-C530-405F-8B11-DE2E82A18D32}"/>
    <cellStyle name="AggGreen 2 2 2 65" xfId="28011" xr:uid="{67659F4C-F9D9-4C2A-86C9-4E0CBF6D3593}"/>
    <cellStyle name="AggGreen 2 2 2 66" xfId="31124" xr:uid="{43DBB919-0502-4DDE-A0E8-097121A1C6F2}"/>
    <cellStyle name="AggGreen 2 2 2 7" xfId="3315" xr:uid="{07E1F128-C50D-408A-8382-37C122C80908}"/>
    <cellStyle name="AggGreen 2 2 2 8" xfId="3898" xr:uid="{78AB2706-FC55-48E2-96CD-2E615F5D0ED1}"/>
    <cellStyle name="AggGreen 2 2 2 9" xfId="4336" xr:uid="{BF184313-06FA-43C0-A78A-324162A4EDF4}"/>
    <cellStyle name="AggGreen 2 2 3" xfId="710" xr:uid="{FF87A847-1BB8-4D78-8B2A-CAB92C3B5652}"/>
    <cellStyle name="AggGreen 2 2 3 10" xfId="5358" xr:uid="{97C81AAC-9A00-46E7-8FFF-EDF5745F0028}"/>
    <cellStyle name="AggGreen 2 2 3 11" xfId="5865" xr:uid="{FDDE937E-82FB-4923-A6FD-693A1201AB9B}"/>
    <cellStyle name="AggGreen 2 2 3 12" xfId="6137" xr:uid="{5F03D144-F8B1-44E5-A0D9-951CB1A1C517}"/>
    <cellStyle name="AggGreen 2 2 3 13" xfId="6339" xr:uid="{E0E637D9-2605-4037-80F7-6F7014B3F15C}"/>
    <cellStyle name="AggGreen 2 2 3 14" xfId="7430" xr:uid="{D286055F-CE04-4A0F-A959-3DFB88ACA79F}"/>
    <cellStyle name="AggGreen 2 2 3 15" xfId="7810" xr:uid="{BB2048EE-F037-444C-90AC-0CBB53C76DF2}"/>
    <cellStyle name="AggGreen 2 2 3 16" xfId="8327" xr:uid="{FE169749-4974-4D1D-9A82-F82DD5905AC0}"/>
    <cellStyle name="AggGreen 2 2 3 17" xfId="8164" xr:uid="{FF1DB64D-1129-4E9E-8D97-C09BCF66C0A5}"/>
    <cellStyle name="AggGreen 2 2 3 18" xfId="9644" xr:uid="{9A2F99E3-56B2-4271-B2A9-5E862DFB05F3}"/>
    <cellStyle name="AggGreen 2 2 3 19" xfId="10023" xr:uid="{250F3B2F-B58D-497D-94A0-F48E2F65D57F}"/>
    <cellStyle name="AggGreen 2 2 3 2" xfId="1184" xr:uid="{73913C7B-9CD4-46B3-A408-FD829ED5C211}"/>
    <cellStyle name="AggGreen 2 2 3 20" xfId="10444" xr:uid="{B74D754C-DAC2-4623-B20B-E56D4178E8E6}"/>
    <cellStyle name="AggGreen 2 2 3 21" xfId="10989" xr:uid="{15D847C4-1B8A-470B-9718-A7D12C9B6BA9}"/>
    <cellStyle name="AggGreen 2 2 3 22" xfId="9362" xr:uid="{8468B5AF-8040-4D83-962A-CF196C385153}"/>
    <cellStyle name="AggGreen 2 2 3 23" xfId="12063" xr:uid="{3D613690-6BBF-45B1-A701-21BB4928A834}"/>
    <cellStyle name="AggGreen 2 2 3 24" xfId="12536" xr:uid="{46E74D4F-CB36-4D8C-8895-FD2932A3B211}"/>
    <cellStyle name="AggGreen 2 2 3 25" xfId="12970" xr:uid="{8F31B99A-0D4A-42A5-9B7C-BC14317F9BF7}"/>
    <cellStyle name="AggGreen 2 2 3 26" xfId="13407" xr:uid="{70CD1DFA-DB2E-46E9-97A1-08042590FB90}"/>
    <cellStyle name="AggGreen 2 2 3 27" xfId="13845" xr:uid="{40AF4E1F-3C62-4AC5-BA09-9800B33F5320}"/>
    <cellStyle name="AggGreen 2 2 3 28" xfId="14198" xr:uid="{BCBFBBA9-5268-49EA-AAD1-40AFC2769D6B}"/>
    <cellStyle name="AggGreen 2 2 3 29" xfId="14678" xr:uid="{02ED9EB5-AC4F-498F-8984-ED8DCA35DF20}"/>
    <cellStyle name="AggGreen 2 2 3 3" xfId="1365" xr:uid="{76DFD927-7DC8-4F7E-8EEC-DB83D24B51AA}"/>
    <cellStyle name="AggGreen 2 2 3 30" xfId="15243" xr:uid="{C45A8C1B-1433-41FC-B6E9-108602036BE2}"/>
    <cellStyle name="AggGreen 2 2 3 31" xfId="14898" xr:uid="{56D66371-609B-4A0B-A2DD-79B1C58E2F49}"/>
    <cellStyle name="AggGreen 2 2 3 32" xfId="15863" xr:uid="{3603C86B-E7BB-4976-819E-8C237A464802}"/>
    <cellStyle name="AggGreen 2 2 3 33" xfId="16755" xr:uid="{78EBE237-2BF9-4907-BB17-8B73D23C7BC0}"/>
    <cellStyle name="AggGreen 2 2 3 34" xfId="17140" xr:uid="{76168FA7-481A-462A-B775-82A515E2F3CD}"/>
    <cellStyle name="AggGreen 2 2 3 35" xfId="17587" xr:uid="{2988C429-08B8-44B8-B5CF-AC821498FE7B}"/>
    <cellStyle name="AggGreen 2 2 3 36" xfId="17586" xr:uid="{E374D01F-8A74-41EE-9AD2-CB6C6CF2BDDA}"/>
    <cellStyle name="AggGreen 2 2 3 37" xfId="18573" xr:uid="{EA11FC0C-3F12-4326-B77D-120817CF6BF3}"/>
    <cellStyle name="AggGreen 2 2 3 38" xfId="18754" xr:uid="{446D16E4-F3BE-429F-9396-BCBB0B075386}"/>
    <cellStyle name="AggGreen 2 2 3 39" xfId="19332" xr:uid="{1912ADF1-A649-4D50-B82B-D76D23461283}"/>
    <cellStyle name="AggGreen 2 2 3 4" xfId="2532" xr:uid="{B5D4F049-D5B2-44EC-ACE2-7CA4D0A9B38D}"/>
    <cellStyle name="AggGreen 2 2 3 40" xfId="20092" xr:uid="{9062FEAD-76C5-4F14-B24F-B66D2E5D05E4}"/>
    <cellStyle name="AggGreen 2 2 3 41" xfId="20493" xr:uid="{492AA66F-3C03-4013-80AB-7361B69B98A3}"/>
    <cellStyle name="AggGreen 2 2 3 42" xfId="20947" xr:uid="{7F0A7E11-AA44-48D5-855A-5DB98B9D666E}"/>
    <cellStyle name="AggGreen 2 2 3 43" xfId="21633" xr:uid="{FA7611B6-D25D-4D3E-963C-450DF4F9DCA3}"/>
    <cellStyle name="AggGreen 2 2 3 44" xfId="21876" xr:uid="{ECA1328E-E55A-49B1-A2FE-03458EC64AA4}"/>
    <cellStyle name="AggGreen 2 2 3 45" xfId="22312" xr:uid="{8E62816E-0BDC-41B7-A503-7E45EF3E171B}"/>
    <cellStyle name="AggGreen 2 2 3 46" xfId="22830" xr:uid="{FC9778BE-13DB-4848-A3CA-725625A0C5A7}"/>
    <cellStyle name="AggGreen 2 2 3 47" xfId="22910" xr:uid="{87085E0F-346F-49B2-B8E1-C70DCBA2A39D}"/>
    <cellStyle name="AggGreen 2 2 3 48" xfId="23540" xr:uid="{A3AEFD72-9FC0-4F0C-B5A6-109A3AF3B98A}"/>
    <cellStyle name="AggGreen 2 2 3 49" xfId="23892" xr:uid="{CA308E92-C292-4F11-8984-FA27E114BC54}"/>
    <cellStyle name="AggGreen 2 2 3 5" xfId="3011" xr:uid="{ADAF2871-7CBF-4628-8CF8-1C5AE87AAFBB}"/>
    <cellStyle name="AggGreen 2 2 3 50" xfId="24800" xr:uid="{17D7ED29-5CE3-4D77-ADFB-C021AC34E65A}"/>
    <cellStyle name="AggGreen 2 2 3 51" xfId="25201" xr:uid="{DCF8842D-188E-4905-8CBC-1D36CE5A2A1C}"/>
    <cellStyle name="AggGreen 2 2 3 52" xfId="25716" xr:uid="{62D2790A-F488-4860-A3A5-61247E39C069}"/>
    <cellStyle name="AggGreen 2 2 3 53" xfId="26135" xr:uid="{FA22D297-D5E9-47C9-AC1C-5D707182843F}"/>
    <cellStyle name="AggGreen 2 2 3 54" xfId="26353" xr:uid="{4DA54B76-87F6-40B2-B408-068ED4AFB2AC}"/>
    <cellStyle name="AggGreen 2 2 3 55" xfId="27004" xr:uid="{86935D38-5474-4609-A235-CE4D18A5E2F4}"/>
    <cellStyle name="AggGreen 2 2 3 56" xfId="27423" xr:uid="{6AEEBCF8-F45E-45CB-BC37-6A4FF1D6DA8D}"/>
    <cellStyle name="AggGreen 2 2 3 57" xfId="27657" xr:uid="{E6561064-A4C8-4D69-8BD6-C662E12B0838}"/>
    <cellStyle name="AggGreen 2 2 3 58" xfId="28550" xr:uid="{06090289-0F06-4D84-8EAB-F07EA7754B29}"/>
    <cellStyle name="AggGreen 2 2 3 59" xfId="29017" xr:uid="{2D79BFE0-42D5-43F2-9901-A856C3C292BD}"/>
    <cellStyle name="AggGreen 2 2 3 6" xfId="3685" xr:uid="{0F26CE9E-65CE-481D-8068-CBB306F87C3D}"/>
    <cellStyle name="AggGreen 2 2 3 60" xfId="29344" xr:uid="{B899B55D-2BA3-49E1-8FF7-C3F2D1C43346}"/>
    <cellStyle name="AggGreen 2 2 3 61" xfId="29806" xr:uid="{A843F3D9-B220-4D71-8C77-2FC75E17A2E2}"/>
    <cellStyle name="AggGreen 2 2 3 62" xfId="30212" xr:uid="{703DEB87-BA40-4F91-9BB2-820C4C3D0CA8}"/>
    <cellStyle name="AggGreen 2 2 3 63" xfId="30629" xr:uid="{37597706-DCDD-4B5A-9910-C06D89FFDC19}"/>
    <cellStyle name="AggGreen 2 2 3 64" xfId="30830" xr:uid="{7961E245-19C5-4999-8044-C2767827A0F6}"/>
    <cellStyle name="AggGreen 2 2 3 65" xfId="31245" xr:uid="{A787E3FA-4D2B-4B70-B2AE-1C414E1A3AB6}"/>
    <cellStyle name="AggGreen 2 2 3 7" xfId="4028" xr:uid="{D10D1643-C66D-4570-8DF2-766C6525FD3B}"/>
    <cellStyle name="AggGreen 2 2 3 8" xfId="4465" xr:uid="{7C1D53A9-9246-41D2-BBCC-86B41549F554}"/>
    <cellStyle name="AggGreen 2 2 3 9" xfId="4983" xr:uid="{15E921AB-F132-4352-9DD5-1D7933E6CE3A}"/>
    <cellStyle name="AggGreen 2 3" xfId="261" xr:uid="{0E3E3B2A-8D19-45B0-8700-2C9C5497068E}"/>
    <cellStyle name="AggGreen 2 3 10" xfId="2856" xr:uid="{BB0D0F71-F367-44E2-A29E-3B9442416301}"/>
    <cellStyle name="AggGreen 2 3 11" xfId="3827" xr:uid="{3A8BF893-D90B-4EAF-B3BE-20A5F9CEB53C}"/>
    <cellStyle name="AggGreen 2 3 12" xfId="3807" xr:uid="{49C2C410-046A-4DFB-85E8-AD2CC8439FD3}"/>
    <cellStyle name="AggGreen 2 3 13" xfId="4660" xr:uid="{C040EB15-5596-41F4-806B-D928E1573FD7}"/>
    <cellStyle name="AggGreen 2 3 14" xfId="4754" xr:uid="{1A7BDA48-2FFF-47FA-BA73-913B1107C140}"/>
    <cellStyle name="AggGreen 2 3 15" xfId="4695" xr:uid="{DCB730A8-D830-41BD-9B67-D4B8208E8FB3}"/>
    <cellStyle name="AggGreen 2 3 16" xfId="4716" xr:uid="{741CEB32-50DD-4BD0-B25E-2C53AB210447}"/>
    <cellStyle name="AggGreen 2 3 17" xfId="6991" xr:uid="{5D183B60-6C8E-4468-9200-6F7F86EE5A1B}"/>
    <cellStyle name="AggGreen 2 3 18" xfId="7646" xr:uid="{F0684BF9-5E18-45D4-99E6-AA274D3269FE}"/>
    <cellStyle name="AggGreen 2 3 19" xfId="8123" xr:uid="{56761A98-BECA-4D48-B391-D22F4AA507A2}"/>
    <cellStyle name="AggGreen 2 3 2" xfId="600" xr:uid="{0B092B21-96D7-4EF8-BDDB-FCAB125E63A5}"/>
    <cellStyle name="AggGreen 2 3 2 10" xfId="4756" xr:uid="{F30B3033-9912-4429-BD10-BD036C8B0475}"/>
    <cellStyle name="AggGreen 2 3 2 11" xfId="5248" xr:uid="{96E4F923-2CC1-4A1D-B52C-44291AF3D1BE}"/>
    <cellStyle name="AggGreen 2 3 2 12" xfId="5115" xr:uid="{97F72A38-396D-4E32-A584-02D5D312966F}"/>
    <cellStyle name="AggGreen 2 3 2 13" xfId="6129" xr:uid="{C246BAE7-4F34-4E96-8439-C21EDAC9A7B9}"/>
    <cellStyle name="AggGreen 2 3 2 14" xfId="3800" xr:uid="{ED3551F2-1B62-49C6-9E20-60E253D8F89C}"/>
    <cellStyle name="AggGreen 2 3 2 15" xfId="7320" xr:uid="{9DFD6DEF-3C32-408F-8EE4-54065D8BA22A}"/>
    <cellStyle name="AggGreen 2 3 2 16" xfId="7186" xr:uid="{FE27E0CC-B4ED-48B2-871B-A011CA6EECEE}"/>
    <cellStyle name="AggGreen 2 3 2 17" xfId="8087" xr:uid="{2A62A4C5-C643-4BDB-AAD6-EA4DFF778FDF}"/>
    <cellStyle name="AggGreen 2 3 2 18" xfId="8806" xr:uid="{46F62AC3-3B40-406C-B8F5-A78E2A9D32F0}"/>
    <cellStyle name="AggGreen 2 3 2 19" xfId="9534" xr:uid="{C5EB87E8-EA48-4907-A325-88B1735BEAE4}"/>
    <cellStyle name="AggGreen 2 3 2 2" xfId="815" xr:uid="{F14051DB-90D9-4AE6-BD78-CB0BDA3E601F}"/>
    <cellStyle name="AggGreen 2 3 2 2 10" xfId="5463" xr:uid="{5BCA5153-048C-46B9-ABA0-215D5B65B23A}"/>
    <cellStyle name="AggGreen 2 3 2 2 11" xfId="5694" xr:uid="{C7532B95-DCA5-48CE-9766-19DAE5BB9A22}"/>
    <cellStyle name="AggGreen 2 3 2 2 12" xfId="6043" xr:uid="{0FAAC5E8-0819-4715-B486-FAFACE21A4C0}"/>
    <cellStyle name="AggGreen 2 3 2 2 13" xfId="6517" xr:uid="{026CB334-E494-4837-AA6A-CCEB10715D3E}"/>
    <cellStyle name="AggGreen 2 3 2 2 14" xfId="7535" xr:uid="{DA9104CC-381D-4B02-936E-0AC29CE20171}"/>
    <cellStyle name="AggGreen 2 3 2 2 15" xfId="6880" xr:uid="{DF692543-2266-46B8-80B2-BABF94956208}"/>
    <cellStyle name="AggGreen 2 3 2 2 16" xfId="6850" xr:uid="{F1574935-C6DB-44DD-B14F-6DEEE86D6BC5}"/>
    <cellStyle name="AggGreen 2 3 2 2 17" xfId="7691" xr:uid="{B688C591-79D0-4921-8D2A-038335FA0DC3}"/>
    <cellStyle name="AggGreen 2 3 2 2 18" xfId="9749" xr:uid="{77FB398F-A6B5-4DA7-A8B6-0DA93C5149E1}"/>
    <cellStyle name="AggGreen 2 3 2 2 19" xfId="9093" xr:uid="{70C3ABBC-08FD-435E-99E0-04E6F4CB9773}"/>
    <cellStyle name="AggGreen 2 3 2 2 2" xfId="1289" xr:uid="{2EEA54D4-8400-49D6-87D1-32BE1002E9DE}"/>
    <cellStyle name="AggGreen 2 3 2 2 20" xfId="9050" xr:uid="{44E281CF-5B42-4F73-ADBE-469550B6AEA6}"/>
    <cellStyle name="AggGreen 2 3 2 2 21" xfId="10573" xr:uid="{442FEDE6-F3B7-4D31-BDE8-E1F12D54516E}"/>
    <cellStyle name="AggGreen 2 3 2 2 22" xfId="11181" xr:uid="{8C526082-2216-4A46-A4A5-0BECADA6A154}"/>
    <cellStyle name="AggGreen 2 3 2 2 23" xfId="12168" xr:uid="{164E5FD8-67D8-4268-BF5E-90452A18636A}"/>
    <cellStyle name="AggGreen 2 3 2 2 24" xfId="12641" xr:uid="{051587B7-6639-4A2E-AD64-12F056FDB01B}"/>
    <cellStyle name="AggGreen 2 3 2 2 25" xfId="13075" xr:uid="{D7251237-8CA5-4A86-A3E3-37C2968F5E80}"/>
    <cellStyle name="AggGreen 2 3 2 2 26" xfId="13512" xr:uid="{EFACD4D1-4A96-43DA-A485-36917D3C8157}"/>
    <cellStyle name="AggGreen 2 3 2 2 27" xfId="12733" xr:uid="{C4C3BDDB-2731-4D16-B614-6869922FE814}"/>
    <cellStyle name="AggGreen 2 3 2 2 28" xfId="14136" xr:uid="{440DEE28-D771-4C77-B16F-D7B37FEB44B3}"/>
    <cellStyle name="AggGreen 2 3 2 2 29" xfId="13154" xr:uid="{C398EAB5-A525-4BB4-95B5-C463260CFE72}"/>
    <cellStyle name="AggGreen 2 3 2 2 3" xfId="1476" xr:uid="{E7C8CC29-3419-4D73-911F-18269297935C}"/>
    <cellStyle name="AggGreen 2 3 2 2 30" xfId="14213" xr:uid="{2B7F0469-F325-44BB-8260-A953DF74C2CB}"/>
    <cellStyle name="AggGreen 2 3 2 2 31" xfId="15497" xr:uid="{A4E22C40-DEAC-43E9-BE03-1DF4FE525D7A}"/>
    <cellStyle name="AggGreen 2 3 2 2 32" xfId="14863" xr:uid="{0415DAF0-25EE-4A7F-B6AE-2E8D7D653708}"/>
    <cellStyle name="AggGreen 2 3 2 2 33" xfId="16860" xr:uid="{07FF0FFC-0F3B-486A-9F42-61A524E37CE5}"/>
    <cellStyle name="AggGreen 2 3 2 2 34" xfId="16196" xr:uid="{8B55F64E-2D16-4102-B5E9-7748E6932788}"/>
    <cellStyle name="AggGreen 2 3 2 2 35" xfId="16147" xr:uid="{DBDC19C3-EE99-4CED-AAFE-AA288523DAD1}"/>
    <cellStyle name="AggGreen 2 3 2 2 36" xfId="18217" xr:uid="{EAC720A6-E6F4-41D0-8EFF-28BFAD9104F2}"/>
    <cellStyle name="AggGreen 2 3 2 2 37" xfId="18678" xr:uid="{53395AD9-7EBB-4BA7-A5B8-AF440263E46F}"/>
    <cellStyle name="AggGreen 2 3 2 2 38" xfId="18335" xr:uid="{ABC07F16-ED30-4C7B-B728-9BE61A1BC09D}"/>
    <cellStyle name="AggGreen 2 3 2 2 39" xfId="18920" xr:uid="{A2F27919-1241-4513-B73C-D59BFAC1F56F}"/>
    <cellStyle name="AggGreen 2 3 2 2 4" xfId="2637" xr:uid="{619619B1-3895-4B13-8ED9-D5C7801589AE}"/>
    <cellStyle name="AggGreen 2 3 2 2 40" xfId="20197" xr:uid="{EA8E0D2D-BE70-45B2-A15A-0670452EB3EC}"/>
    <cellStyle name="AggGreen 2 3 2 2 41" xfId="19528" xr:uid="{119ACA60-2FCD-4E51-96FD-8CDD614C27BF}"/>
    <cellStyle name="AggGreen 2 3 2 2 42" xfId="20552" xr:uid="{74DF5760-89B5-448D-B28D-C4C14463C8D0}"/>
    <cellStyle name="AggGreen 2 3 2 2 43" xfId="20355" xr:uid="{58BBEA8A-56DA-4B22-BFC7-C7B973275A57}"/>
    <cellStyle name="AggGreen 2 3 2 2 44" xfId="20649" xr:uid="{5397179F-1612-49A8-97EB-93340C0AE5DB}"/>
    <cellStyle name="AggGreen 2 3 2 2 45" xfId="21783" xr:uid="{55609DBC-B150-4F4C-B1EF-30921153F58B}"/>
    <cellStyle name="AggGreen 2 3 2 2 46" xfId="22298" xr:uid="{6D6E3F67-8F4A-4CD4-BBE1-2E2D3BB1F088}"/>
    <cellStyle name="AggGreen 2 3 2 2 47" xfId="22831" xr:uid="{AE8C1AF6-71F1-4D97-B878-8A65C6FD0D4D}"/>
    <cellStyle name="AggGreen 2 3 2 2 48" xfId="23438" xr:uid="{46F325D8-FC14-4732-8762-56AF5821ADB0}"/>
    <cellStyle name="AggGreen 2 3 2 2 49" xfId="23997" xr:uid="{FE6B6E44-72CB-40A0-AB95-EA8BB07785E4}"/>
    <cellStyle name="AggGreen 2 3 2 2 5" xfId="2173" xr:uid="{EA2EF93D-5C85-4A1A-8B49-AED5BA5C673A}"/>
    <cellStyle name="AggGreen 2 3 2 2 50" xfId="24905" xr:uid="{F7A3D30B-A433-4130-BA2D-46D6A0862D20}"/>
    <cellStyle name="AggGreen 2 3 2 2 51" xfId="24465" xr:uid="{12FC38AB-13B8-4940-AE3F-471216967AB0}"/>
    <cellStyle name="AggGreen 2 3 2 2 52" xfId="25821" xr:uid="{137EB754-B707-4949-8402-C5BC86C1071F}"/>
    <cellStyle name="AggGreen 2 3 2 2 53" xfId="25927" xr:uid="{2A4F6D58-3814-436C-90B7-BAF58745A798}"/>
    <cellStyle name="AggGreen 2 3 2 2 54" xfId="24200" xr:uid="{754ECD9E-A1F0-4373-BB5C-4128740F40F5}"/>
    <cellStyle name="AggGreen 2 3 2 2 55" xfId="27109" xr:uid="{56E065E4-DFA3-4A94-B0B9-9F866EE787F9}"/>
    <cellStyle name="AggGreen 2 3 2 2 56" xfId="27528" xr:uid="{00C1743F-5BB5-4861-842A-DE2EBA1015D2}"/>
    <cellStyle name="AggGreen 2 3 2 2 57" xfId="26701" xr:uid="{241FAA69-672F-41BF-AFE0-255BCF5AC9C4}"/>
    <cellStyle name="AggGreen 2 3 2 2 58" xfId="28655" xr:uid="{ACFA14AB-2F42-4770-B65B-48D6D8041686}"/>
    <cellStyle name="AggGreen 2 3 2 2 59" xfId="29122" xr:uid="{1603A4D5-0A38-4BF4-BD6B-B4DAD5BA0BB8}"/>
    <cellStyle name="AggGreen 2 3 2 2 6" xfId="1939" xr:uid="{D5E7F60E-DF2D-439A-96EB-9A13FDFCF81E}"/>
    <cellStyle name="AggGreen 2 3 2 2 60" xfId="27963" xr:uid="{B600E8E2-2C43-4717-B528-E2614BD0B5E4}"/>
    <cellStyle name="AggGreen 2 3 2 2 61" xfId="29911" xr:uid="{5FFD76E6-742F-4EC4-802B-4521C84A3562}"/>
    <cellStyle name="AggGreen 2 3 2 2 62" xfId="30317" xr:uid="{5412204B-7DC3-4079-BF53-407C8E7C5BEC}"/>
    <cellStyle name="AggGreen 2 3 2 2 63" xfId="30734" xr:uid="{5686C868-08FE-4030-8758-B63103A36918}"/>
    <cellStyle name="AggGreen 2 3 2 2 64" xfId="29265" xr:uid="{F474FC79-A58C-4800-89E6-E0AB1268C373}"/>
    <cellStyle name="AggGreen 2 3 2 2 65" xfId="31350" xr:uid="{F9D58A7D-3B3A-457C-A0B7-3E557C617DA2}"/>
    <cellStyle name="AggGreen 2 3 2 2 7" xfId="4133" xr:uid="{1092CF68-F895-49D1-B202-F42197D0655F}"/>
    <cellStyle name="AggGreen 2 3 2 2 8" xfId="4570" xr:uid="{D26E802E-7D60-4699-8A5B-1C2AE2BDB78F}"/>
    <cellStyle name="AggGreen 2 3 2 2 9" xfId="4921" xr:uid="{D234285B-AB7B-4774-8675-E882C6C89DCA}"/>
    <cellStyle name="AggGreen 2 3 2 20" xfId="9399" xr:uid="{129B22C2-C330-4230-AC49-5B016C77B9C7}"/>
    <cellStyle name="AggGreen 2 3 2 21" xfId="9003" xr:uid="{8FA02BFB-11A3-4FDB-BB57-CC02BA136568}"/>
    <cellStyle name="AggGreen 2 3 2 22" xfId="10874" xr:uid="{C6BBAAA7-898B-4C60-8944-08E50E25ED6E}"/>
    <cellStyle name="AggGreen 2 3 2 23" xfId="10557" xr:uid="{34B934FD-EF49-40A3-AE61-3F0F1C10405F}"/>
    <cellStyle name="AggGreen 2 3 2 24" xfId="11953" xr:uid="{28E57FA2-A89F-4E37-B501-6A986D907523}"/>
    <cellStyle name="AggGreen 2 3 2 25" xfId="12426" xr:uid="{EB6B1887-C171-42CD-939B-EDE94714E650}"/>
    <cellStyle name="AggGreen 2 3 2 26" xfId="12860" xr:uid="{4E58474D-ABAE-4C66-AEC7-D0B7CAA3DC7E}"/>
    <cellStyle name="AggGreen 2 3 2 27" xfId="13297" xr:uid="{FE9B11B5-B452-44D2-86C3-67657BD88E76}"/>
    <cellStyle name="AggGreen 2 3 2 28" xfId="13672" xr:uid="{267CCBC2-D588-47AF-8512-4D82740BC1C8}"/>
    <cellStyle name="AggGreen 2 3 2 29" xfId="14347" xr:uid="{90DCC17C-CC9D-45BF-9C12-BFA95B0EB94D}"/>
    <cellStyle name="AggGreen 2 3 2 3" xfId="1083" xr:uid="{99D9CCB7-6923-4806-9BE0-A7AFE0E9A698}"/>
    <cellStyle name="AggGreen 2 3 2 30" xfId="14369" xr:uid="{67D9B29B-128E-46DF-BACC-33B564592CD6}"/>
    <cellStyle name="AggGreen 2 3 2 31" xfId="14796" xr:uid="{09D60FC7-DB4D-49D7-827F-31ED20618057}"/>
    <cellStyle name="AggGreen 2 3 2 32" xfId="15239" xr:uid="{EE180D19-E776-4F9F-AF65-5957A84ED208}"/>
    <cellStyle name="AggGreen 2 3 2 33" xfId="15489" xr:uid="{7BBC4616-505E-4B4F-BC96-61D6C8BF9CFF}"/>
    <cellStyle name="AggGreen 2 3 2 34" xfId="16645" xr:uid="{54BAFEBE-E51F-4FB7-8CEC-31310BF0FE9E}"/>
    <cellStyle name="AggGreen 2 3 2 35" xfId="16508" xr:uid="{081C2663-F1A5-4893-A512-BCB3CD23AA88}"/>
    <cellStyle name="AggGreen 2 3 2 36" xfId="16100" xr:uid="{4DB7DFAC-96B7-432D-80A2-A4B6BA0A160A}"/>
    <cellStyle name="AggGreen 2 3 2 37" xfId="17581" xr:uid="{EDE37D5D-D8F6-4AC4-B6D7-467D752ACA6C}"/>
    <cellStyle name="AggGreen 2 3 2 38" xfId="18463" xr:uid="{BE9E5E92-1C15-426A-B335-0C2B73D434D6}"/>
    <cellStyle name="AggGreen 2 3 2 39" xfId="18873" xr:uid="{5E792E7D-2C01-41E1-AC72-0C9E91C7AF9E}"/>
    <cellStyle name="AggGreen 2 3 2 4" xfId="1409" xr:uid="{1C77F209-2AF9-443D-8F4A-9195D7EA9B90}"/>
    <cellStyle name="AggGreen 2 3 2 40" xfId="19192" xr:uid="{01F33EBB-0C37-49DD-8751-EAEEE01C4C8A}"/>
    <cellStyle name="AggGreen 2 3 2 41" xfId="19982" xr:uid="{435A8983-AF9B-44F9-97EC-540180402056}"/>
    <cellStyle name="AggGreen 2 3 2 42" xfId="19844" xr:uid="{9DEEC60F-D1E2-495F-A350-D0DC6F125179}"/>
    <cellStyle name="AggGreen 2 3 2 43" xfId="20743" xr:uid="{82251DD7-1533-4BB2-AAE7-CE936B7BFFE0}"/>
    <cellStyle name="AggGreen 2 3 2 44" xfId="21483" xr:uid="{4B78B022-9330-4035-AFB3-B74C51226174}"/>
    <cellStyle name="AggGreen 2 3 2 45" xfId="19482" xr:uid="{A4A529D2-FA72-4C5B-9B11-486C12C0E4BB}"/>
    <cellStyle name="AggGreen 2 3 2 46" xfId="20052" xr:uid="{D5A06299-9E72-4D05-AE47-321940D5292A}"/>
    <cellStyle name="AggGreen 2 3 2 47" xfId="22672" xr:uid="{AB00D907-FE00-4007-AF8D-07290F4AC32F}"/>
    <cellStyle name="AggGreen 2 3 2 48" xfId="23150" xr:uid="{D6E9EDBD-A7F4-4E63-AA7B-CB4DB07AB3CC}"/>
    <cellStyle name="AggGreen 2 3 2 49" xfId="23612" xr:uid="{1E237069-3EB9-4A9E-990F-80C8B7DF4BA9}"/>
    <cellStyle name="AggGreen 2 3 2 5" xfId="2422" xr:uid="{5DA80A21-97C9-4844-B87F-B488A3AD2A55}"/>
    <cellStyle name="AggGreen 2 3 2 50" xfId="23791" xr:uid="{95C119CF-DA01-4E72-9F40-A7BA8438D05F}"/>
    <cellStyle name="AggGreen 2 3 2 51" xfId="24690" xr:uid="{56A17C49-69C5-4547-98F9-F15E9C1BDB0F}"/>
    <cellStyle name="AggGreen 2 3 2 52" xfId="24393" xr:uid="{270FAE8C-A193-4EF7-BD81-E46097ABB67D}"/>
    <cellStyle name="AggGreen 2 3 2 53" xfId="25608" xr:uid="{0CFEA44B-AD4F-4F31-8688-31CE3E19550E}"/>
    <cellStyle name="AggGreen 2 3 2 54" xfId="26239" xr:uid="{0378234B-29C7-4D2D-885D-977962D7232E}"/>
    <cellStyle name="AggGreen 2 3 2 55" xfId="26435" xr:uid="{D73A84F7-3185-4364-AF82-0792DCBBE93D}"/>
    <cellStyle name="AggGreen 2 3 2 56" xfId="26898" xr:uid="{45E967BF-531E-43ED-8E95-35ADB5899B44}"/>
    <cellStyle name="AggGreen 2 3 2 57" xfId="27317" xr:uid="{24CDB863-073D-43E6-955F-25F2C1E4ECD1}"/>
    <cellStyle name="AggGreen 2 3 2 58" xfId="27772" xr:uid="{D54FE030-4698-4D2E-A199-BE0BC713DB21}"/>
    <cellStyle name="AggGreen 2 3 2 59" xfId="28440" xr:uid="{6F8920CE-294F-4593-8563-E8216D9BEEE7}"/>
    <cellStyle name="AggGreen 2 3 2 6" xfId="2838" xr:uid="{64E4830B-7EDD-4844-9DCA-DF16EF61E553}"/>
    <cellStyle name="AggGreen 2 3 2 60" xfId="28908" xr:uid="{826D8DDF-B1C9-4749-9C09-34E30D3E9771}"/>
    <cellStyle name="AggGreen 2 3 2 61" xfId="28782" xr:uid="{CEC380B3-3C76-4459-A0E2-86C993C07255}"/>
    <cellStyle name="AggGreen 2 3 2 62" xfId="29698" xr:uid="{CCE251A7-932E-4519-8818-118ED5E1392C}"/>
    <cellStyle name="AggGreen 2 3 2 63" xfId="30106" xr:uid="{AC9E9D3D-DAAC-45EA-B856-02E16F3477F9}"/>
    <cellStyle name="AggGreen 2 3 2 64" xfId="30520" xr:uid="{C8C1F8E1-4652-4411-8E76-1ED5680227B0}"/>
    <cellStyle name="AggGreen 2 3 2 65" xfId="30985" xr:uid="{13E2A2DB-8BFB-4AD9-A92B-5B50D829CF83}"/>
    <cellStyle name="AggGreen 2 3 2 66" xfId="31144" xr:uid="{0B927ACB-6571-4929-9C37-4B5DFA066CED}"/>
    <cellStyle name="AggGreen 2 3 2 7" xfId="3388" xr:uid="{749FCF6C-8C36-4D8C-9355-A9263320B4EC}"/>
    <cellStyle name="AggGreen 2 3 2 8" xfId="3918" xr:uid="{EE08EBDA-FA4C-4AE9-A9F7-2E1E6D710690}"/>
    <cellStyle name="AggGreen 2 3 2 9" xfId="4356" xr:uid="{97E00389-FF4A-40F7-B99A-A19530A0ACD1}"/>
    <cellStyle name="AggGreen 2 3 20" xfId="6832" xr:uid="{B2ED0291-0586-4C58-84D3-1D9221736DC4}"/>
    <cellStyle name="AggGreen 2 3 21" xfId="9205" xr:uid="{48B24E07-B33B-48F7-A554-34FEFBB7BA3D}"/>
    <cellStyle name="AggGreen 2 3 22" xfId="9856" xr:uid="{B87091E1-F309-4624-B21A-F19A68808489}"/>
    <cellStyle name="AggGreen 2 3 23" xfId="10299" xr:uid="{B8239D92-DC7B-4520-BCEF-FE5DBD1721B2}"/>
    <cellStyle name="AggGreen 2 3 24" xfId="10862" xr:uid="{60E52DF1-E5C1-4B08-A5C9-7F38BB0EA9E3}"/>
    <cellStyle name="AggGreen 2 3 25" xfId="10339" xr:uid="{D470D14E-C142-47FA-986F-ADAE22CDDFCF}"/>
    <cellStyle name="AggGreen 2 3 26" xfId="11617" xr:uid="{B80B63B3-C448-45DD-AB85-20CB5F8AEC49}"/>
    <cellStyle name="AggGreen 2 3 27" xfId="11485" xr:uid="{AD57549F-B2CE-47ED-B032-7E2F8A3EA6E7}"/>
    <cellStyle name="AggGreen 2 3 28" xfId="12525" xr:uid="{0CE1C8DC-6F3A-4FAF-830F-5100295924FD}"/>
    <cellStyle name="AggGreen 2 3 29" xfId="12769" xr:uid="{87733F9A-0345-446B-8AE5-4B51B40A478F}"/>
    <cellStyle name="AggGreen 2 3 3" xfId="669" xr:uid="{EAED8A06-CCE3-437D-AF64-3CACD89B8B01}"/>
    <cellStyle name="AggGreen 2 3 3 10" xfId="4841" xr:uid="{3F911AA2-CCAA-40E2-8255-A0CCA0B3B86B}"/>
    <cellStyle name="AggGreen 2 3 3 11" xfId="5317" xr:uid="{E15A7E1E-C0D1-4E26-9132-E986990817F6}"/>
    <cellStyle name="AggGreen 2 3 3 12" xfId="5836" xr:uid="{99915F15-716A-4552-9B8D-8B486A5B763B}"/>
    <cellStyle name="AggGreen 2 3 3 13" xfId="6195" xr:uid="{3A2F5215-3718-47A9-966B-5AC203300009}"/>
    <cellStyle name="AggGreen 2 3 3 14" xfId="3419" xr:uid="{9925880E-6638-452B-86CC-531989FFC8CE}"/>
    <cellStyle name="AggGreen 2 3 3 15" xfId="7389" xr:uid="{40CE117F-D3B7-4626-BFE6-CCE2D685B9AA}"/>
    <cellStyle name="AggGreen 2 3 3 16" xfId="7709" xr:uid="{A18F886F-20B2-41D2-9C29-BB7AE09084D6}"/>
    <cellStyle name="AggGreen 2 3 3 17" xfId="8565" xr:uid="{D7B76748-282A-4F70-81DF-34960007EF1C}"/>
    <cellStyle name="AggGreen 2 3 3 18" xfId="8896" xr:uid="{811BE8BF-C3B4-468E-9FF3-03BB0485ACED}"/>
    <cellStyle name="AggGreen 2 3 3 19" xfId="9603" xr:uid="{E6486985-A91C-4C13-8131-7E603732F605}"/>
    <cellStyle name="AggGreen 2 3 3 2" xfId="884" xr:uid="{B0F9F1A4-1E57-4692-B0B0-A6B3EEC22B5E}"/>
    <cellStyle name="AggGreen 2 3 3 2 10" xfId="5532" xr:uid="{A8F7E65F-04AF-444F-8DE4-59BC89595714}"/>
    <cellStyle name="AggGreen 2 3 3 2 11" xfId="6026" xr:uid="{7420C036-7A80-4AF7-A867-DA7A98A839B8}"/>
    <cellStyle name="AggGreen 2 3 3 2 12" xfId="6385" xr:uid="{D11F470A-7EBE-4055-8F47-1C2CE1A58A11}"/>
    <cellStyle name="AggGreen 2 3 3 2 13" xfId="6723" xr:uid="{C2D4C8B4-7361-4CF6-8E2B-D934E42D03DF}"/>
    <cellStyle name="AggGreen 2 3 3 2 14" xfId="7604" xr:uid="{18B277C0-F71D-46F2-8882-2D825568A37A}"/>
    <cellStyle name="AggGreen 2 3 3 2 15" xfId="8068" xr:uid="{447181ED-4040-4EAE-BFDE-2D6CB82C26D2}"/>
    <cellStyle name="AggGreen 2 3 3 2 16" xfId="8677" xr:uid="{1D99954D-3AD1-447B-885E-E9FFB9F6A180}"/>
    <cellStyle name="AggGreen 2 3 3 2 17" xfId="8936" xr:uid="{647D2E78-B64D-4149-8266-D585565973CA}"/>
    <cellStyle name="AggGreen 2 3 3 2 18" xfId="9818" xr:uid="{7FCF9C12-E98F-49DE-BEB5-77F8F3B3BEC3}"/>
    <cellStyle name="AggGreen 2 3 3 2 19" xfId="10287" xr:uid="{FCCA64B8-B93F-445A-91D0-54251A9F7ACF}"/>
    <cellStyle name="AggGreen 2 3 3 2 2" xfId="1358" xr:uid="{37517B14-F1D4-46E7-A6CF-CAA8F45DECF4}"/>
    <cellStyle name="AggGreen 2 3 3 2 20" xfId="10681" xr:uid="{39EAD892-0028-4E04-B3B8-E8953821348D}"/>
    <cellStyle name="AggGreen 2 3 3 2 21" xfId="11030" xr:uid="{DE0CA376-0D92-4577-8CB5-078579E7F404}"/>
    <cellStyle name="AggGreen 2 3 3 2 22" xfId="11340" xr:uid="{3BA485D1-0686-4A45-AC17-DEBCEF862A52}"/>
    <cellStyle name="AggGreen 2 3 3 2 23" xfId="12237" xr:uid="{8850EE60-EAB2-4188-8ED7-B94EF6CA1843}"/>
    <cellStyle name="AggGreen 2 3 3 2 24" xfId="12710" xr:uid="{40CCF939-8EC3-40D6-8BFB-966BF120C71B}"/>
    <cellStyle name="AggGreen 2 3 3 2 25" xfId="13144" xr:uid="{C6BE2840-FC97-47BF-B327-B7D4C612EE69}"/>
    <cellStyle name="AggGreen 2 3 3 2 26" xfId="13581" xr:uid="{45434478-A5F0-41BC-885A-08844A025FAF}"/>
    <cellStyle name="AggGreen 2 3 3 2 27" xfId="14053" xr:uid="{159EDE21-D715-4121-A818-81EF180DD55A}"/>
    <cellStyle name="AggGreen 2 3 3 2 28" xfId="14500" xr:uid="{54A4BE31-4C6F-4BDE-B0F3-76164E391E7F}"/>
    <cellStyle name="AggGreen 2 3 3 2 29" xfId="14934" xr:uid="{361024FA-4325-4725-97B1-F872C55567A3}"/>
    <cellStyle name="AggGreen 2 3 3 2 3" xfId="1807" xr:uid="{D7677D58-F2E3-48EA-A512-BDC97993A79E}"/>
    <cellStyle name="AggGreen 2 3 3 2 30" xfId="15404" xr:uid="{189F703E-7B2A-4127-9034-0ACC14C4ECD6}"/>
    <cellStyle name="AggGreen 2 3 3 2 31" xfId="15794" xr:uid="{218EA195-E407-4FFB-8863-7F0D38A1E8C3}"/>
    <cellStyle name="AggGreen 2 3 3 2 32" xfId="16016" xr:uid="{EDDD2285-72B2-4BAE-8629-96F41D61571B}"/>
    <cellStyle name="AggGreen 2 3 3 2 33" xfId="16929" xr:uid="{1D3BF6AF-FE27-43F7-BE10-DED29DB1FC7D}"/>
    <cellStyle name="AggGreen 2 3 3 2 34" xfId="17410" xr:uid="{A89F5458-8296-4945-B29A-845AB4368CF1}"/>
    <cellStyle name="AggGreen 2 3 3 2 35" xfId="17851" xr:uid="{3A6C4825-1EA1-4AB2-B8DB-BA5815AE8F5B}"/>
    <cellStyle name="AggGreen 2 3 3 2 36" xfId="18326" xr:uid="{3383A012-4042-4A42-B9D3-1C5ED5F1302D}"/>
    <cellStyle name="AggGreen 2 3 3 2 37" xfId="18747" xr:uid="{603F3C2F-A189-468E-B02B-53B9F23A6638}"/>
    <cellStyle name="AggGreen 2 3 3 2 38" xfId="19134" xr:uid="{0C2F3F54-CE15-4CEF-8C31-B5F69C141E55}"/>
    <cellStyle name="AggGreen 2 3 3 2 39" xfId="19364" xr:uid="{C06AD6D6-5E2C-47D5-A381-FE097D95D048}"/>
    <cellStyle name="AggGreen 2 3 3 2 4" xfId="2706" xr:uid="{33259FF5-ED42-4679-B9D9-EB0CF2AA6F2C}"/>
    <cellStyle name="AggGreen 2 3 3 2 40" xfId="20266" xr:uid="{A380F2D2-1E81-46E4-B31A-B062AA30A1CA}"/>
    <cellStyle name="AggGreen 2 3 3 2 41" xfId="20759" xr:uid="{EF720DC6-1A3A-492B-A811-D100AB1A29AA}"/>
    <cellStyle name="AggGreen 2 3 3 2 42" xfId="21218" xr:uid="{7BCADA70-6282-4C03-831D-233AEE628496}"/>
    <cellStyle name="AggGreen 2 3 3 2 43" xfId="21710" xr:uid="{5FB31478-334F-4464-BA9C-C1E90ADB571A}"/>
    <cellStyle name="AggGreen 2 3 3 2 44" xfId="22149" xr:uid="{04F0CD95-A971-4805-8E09-3F7A95CD32C4}"/>
    <cellStyle name="AggGreen 2 3 3 2 45" xfId="22576" xr:uid="{090725CD-04D8-40BE-A0F4-F79ADE6CDE69}"/>
    <cellStyle name="AggGreen 2 3 3 2 46" xfId="23021" xr:uid="{2F327C8E-914C-4FE9-9ADE-E6E7B5BAC629}"/>
    <cellStyle name="AggGreen 2 3 3 2 47" xfId="23423" xr:uid="{D52D3A46-6CD2-4B5A-8ADC-A03ED9F62DE5}"/>
    <cellStyle name="AggGreen 2 3 3 2 48" xfId="23686" xr:uid="{C2924062-1A7E-42B9-BA7A-6667751B3FC3}"/>
    <cellStyle name="AggGreen 2 3 3 2 49" xfId="24066" xr:uid="{0A1F2279-CA19-41EC-8D32-30087AFAB400}"/>
    <cellStyle name="AggGreen 2 3 3 2 5" xfId="3226" xr:uid="{6932EF36-3259-4F93-9A9F-A304CB78ADD4}"/>
    <cellStyle name="AggGreen 2 3 3 2 50" xfId="24974" xr:uid="{1C918815-502E-49AC-B9E0-27B065DF68DE}"/>
    <cellStyle name="AggGreen 2 3 3 2 51" xfId="25462" xr:uid="{537D787B-585D-4C3F-819E-AA530C27DCE7}"/>
    <cellStyle name="AggGreen 2 3 3 2 52" xfId="25890" xr:uid="{EF5F8EE4-985D-4009-AA6F-2DD23F29C232}"/>
    <cellStyle name="AggGreen 2 3 3 2 53" xfId="26328" xr:uid="{721986AA-AAD6-4F97-92B5-5615B0EBD223}"/>
    <cellStyle name="AggGreen 2 3 3 2 54" xfId="26757" xr:uid="{977E7954-2813-450C-8AF1-4468B904324C}"/>
    <cellStyle name="AggGreen 2 3 3 2 55" xfId="27178" xr:uid="{C14DEA21-DFEC-4CCD-905F-4BC076BA2839}"/>
    <cellStyle name="AggGreen 2 3 3 2 56" xfId="27597" xr:uid="{FD66E14F-8D5B-442C-9FF3-E3353BEBEED9}"/>
    <cellStyle name="AggGreen 2 3 3 2 57" xfId="27835" xr:uid="{87D18ADC-6FDD-42E6-AFB4-8F4073E83627}"/>
    <cellStyle name="AggGreen 2 3 3 2 58" xfId="28724" xr:uid="{AAA973CC-0530-4509-8F70-00769AC9E3E7}"/>
    <cellStyle name="AggGreen 2 3 3 2 59" xfId="29191" xr:uid="{EEFFF8A3-304B-4AA1-9F38-48660D23ECDD}"/>
    <cellStyle name="AggGreen 2 3 3 2 6" xfId="3781" xr:uid="{E6A19551-EE17-4C0E-B742-046C208BDAE2}"/>
    <cellStyle name="AggGreen 2 3 3 2 60" xfId="29573" xr:uid="{9F5A5300-743C-48DA-895F-DE6DCC1F1FA3}"/>
    <cellStyle name="AggGreen 2 3 3 2 61" xfId="29980" xr:uid="{FE91E297-55CE-4C9A-B2E3-A1123F783CE0}"/>
    <cellStyle name="AggGreen 2 3 3 2 62" xfId="30386" xr:uid="{1429DDED-EB18-438B-B95C-176825012324}"/>
    <cellStyle name="AggGreen 2 3 3 2 63" xfId="30803" xr:uid="{757E8854-B709-4B9A-8613-3CFF0E6D2632}"/>
    <cellStyle name="AggGreen 2 3 3 2 64" xfId="31048" xr:uid="{5CE58463-752B-403F-B1D5-3CBE87EF0087}"/>
    <cellStyle name="AggGreen 2 3 3 2 65" xfId="31419" xr:uid="{55A0F36B-9DDD-45A0-93CF-478AD05A060B}"/>
    <cellStyle name="AggGreen 2 3 3 2 7" xfId="4202" xr:uid="{C419C06F-59E4-4A83-8649-75AFF7D0B3C0}"/>
    <cellStyle name="AggGreen 2 3 3 2 8" xfId="4639" xr:uid="{50F353B3-E3DB-47F7-AD2E-0266CCCE48FB}"/>
    <cellStyle name="AggGreen 2 3 3 2 9" xfId="5085" xr:uid="{3A623AC9-E8EE-4C3E-82FF-64CC0F0F421F}"/>
    <cellStyle name="AggGreen 2 3 3 20" xfId="9923" xr:uid="{CAC7A9EC-5550-48F3-8D54-24DC6A3055C8}"/>
    <cellStyle name="AggGreen 2 3 3 21" xfId="10354" xr:uid="{33418EAB-B91A-40B2-A65B-5C9A2A447AEF}"/>
    <cellStyle name="AggGreen 2 3 3 22" xfId="10832" xr:uid="{2F943C7A-80E9-4731-9EA8-AB7DEAC95272}"/>
    <cellStyle name="AggGreen 2 3 3 23" xfId="11189" xr:uid="{F330F7A0-184C-4F03-9F3F-E798D456C12D}"/>
    <cellStyle name="AggGreen 2 3 3 24" xfId="12022" xr:uid="{A7BBCABC-4D98-4185-BFE1-13E60E8D9E9A}"/>
    <cellStyle name="AggGreen 2 3 3 25" xfId="12495" xr:uid="{7590EF55-8997-4651-856B-738019D59182}"/>
    <cellStyle name="AggGreen 2 3 3 26" xfId="12929" xr:uid="{D55CC7A2-D213-44B1-8881-4433B3CF79AB}"/>
    <cellStyle name="AggGreen 2 3 3 27" xfId="13366" xr:uid="{F60E8DD0-7F01-4314-A12C-6C566FF351C1}"/>
    <cellStyle name="AggGreen 2 3 3 28" xfId="13809" xr:uid="{FD0087C8-5E89-44D1-B6E0-FCD595212181}"/>
    <cellStyle name="AggGreen 2 3 3 29" xfId="14446" xr:uid="{F3213FFA-C8D0-4E1B-BB2C-6852793D193F}"/>
    <cellStyle name="AggGreen 2 3 3 3" xfId="1152" xr:uid="{472978E8-98EA-418E-9E38-C621FD525C27}"/>
    <cellStyle name="AggGreen 2 3 3 30" xfId="14575" xr:uid="{51956155-CE6F-4732-A80A-EDFAB0CC6D30}"/>
    <cellStyle name="AggGreen 2 3 3 31" xfId="11368" xr:uid="{DA968348-9EFB-471F-A4CC-7A7A2CD15B79}"/>
    <cellStyle name="AggGreen 2 3 3 32" xfId="14636" xr:uid="{47F765D0-7800-4D62-9E6D-E9B4D874444E}"/>
    <cellStyle name="AggGreen 2 3 3 33" xfId="15811" xr:uid="{68DEC2DA-0692-4327-84C5-AC9F7FE7DC99}"/>
    <cellStyle name="AggGreen 2 3 3 34" xfId="16714" xr:uid="{2C10BF71-868D-464E-8A73-343E9EEFEDEC}"/>
    <cellStyle name="AggGreen 2 3 3 35" xfId="17037" xr:uid="{DE5CE633-DA67-4F8E-93A6-34F76F209C2C}"/>
    <cellStyle name="AggGreen 2 3 3 36" xfId="17485" xr:uid="{CD1F1BBC-93A9-4454-B652-9EAC25358B18}"/>
    <cellStyle name="AggGreen 2 3 3 37" xfId="18205" xr:uid="{89E7ADD8-5755-4EC0-A9A4-947911A226E9}"/>
    <cellStyle name="AggGreen 2 3 3 38" xfId="18532" xr:uid="{C83CA218-078A-4580-9F0A-A01862CE72B2}"/>
    <cellStyle name="AggGreen 2 3 3 39" xfId="18344" xr:uid="{69355FC0-10CF-4225-853C-4F324F84A5E0}"/>
    <cellStyle name="AggGreen 2 3 3 4" xfId="1519" xr:uid="{6EC2FF48-20CC-4CBB-9B36-0EE46F1A9D9A}"/>
    <cellStyle name="AggGreen 2 3 3 40" xfId="19328" xr:uid="{299EDB24-6AD3-4A84-AEBC-8806236D98AE}"/>
    <cellStyle name="AggGreen 2 3 3 41" xfId="20051" xr:uid="{C1624CFE-470E-4793-8009-7D7539A2B312}"/>
    <cellStyle name="AggGreen 2 3 3 42" xfId="20389" xr:uid="{AAF2E9D7-12F0-4C04-A759-65E92F276CBF}"/>
    <cellStyle name="AggGreen 2 3 3 43" xfId="20842" xr:uid="{6274A7C7-6F91-44D3-A395-017092856BBA}"/>
    <cellStyle name="AggGreen 2 3 3 44" xfId="21621" xr:uid="{6C4284C6-BB55-4D2E-A59F-B87B79834293}"/>
    <cellStyle name="AggGreen 2 3 3 45" xfId="21775" xr:uid="{E7F21870-5C47-47C2-8C8C-3A24D37C452A}"/>
    <cellStyle name="AggGreen 2 3 3 46" xfId="22212" xr:uid="{26BC429B-8E45-4D79-9E3F-C83CBB956808}"/>
    <cellStyle name="AggGreen 2 3 3 47" xfId="22798" xr:uid="{0A5CA018-4EEC-41FA-AB0D-114B46E6C825}"/>
    <cellStyle name="AggGreen 2 3 3 48" xfId="23003" xr:uid="{C16A3002-8EC2-43AB-9FCA-6FEF466C81A2}"/>
    <cellStyle name="AggGreen 2 3 3 49" xfId="23593" xr:uid="{74D19494-DC21-4E06-95AB-5E71C17EE1AE}"/>
    <cellStyle name="AggGreen 2 3 3 5" xfId="2491" xr:uid="{13DFC970-1134-423D-ABEA-C23590EF60DE}"/>
    <cellStyle name="AggGreen 2 3 3 50" xfId="23860" xr:uid="{241511AB-1274-4C25-8881-CD0E2A4A9C70}"/>
    <cellStyle name="AggGreen 2 3 3 51" xfId="24759" xr:uid="{4125BCEE-9E71-4B33-BCC4-1FA222D156BE}"/>
    <cellStyle name="AggGreen 2 3 3 52" xfId="25099" xr:uid="{57CC1F57-96D7-4EDA-9889-AF550B96B0BF}"/>
    <cellStyle name="AggGreen 2 3 3 53" xfId="25677" xr:uid="{7C028674-33A0-417F-AE72-625E45E214E6}"/>
    <cellStyle name="AggGreen 2 3 3 54" xfId="26102" xr:uid="{F1FE1563-053B-4D7F-AFD8-839507F848E5}"/>
    <cellStyle name="AggGreen 2 3 3 55" xfId="26571" xr:uid="{157815E7-B163-412C-AB7C-A723880FE0BA}"/>
    <cellStyle name="AggGreen 2 3 3 56" xfId="26967" xr:uid="{B5052EE7-37E4-4FA8-99C0-AF127B85CA63}"/>
    <cellStyle name="AggGreen 2 3 3 57" xfId="27386" xr:uid="{A2A76FCC-AAE9-48BE-A11C-45D750913C2D}"/>
    <cellStyle name="AggGreen 2 3 3 58" xfId="27781" xr:uid="{D15A541E-17CB-49D6-8FA3-8836426A7497}"/>
    <cellStyle name="AggGreen 2 3 3 59" xfId="28509" xr:uid="{83001C59-4A0E-4E94-B2BE-8EFCA70C1DD7}"/>
    <cellStyle name="AggGreen 2 3 3 6" xfId="2975" xr:uid="{1DC18CC0-D972-42A4-BA53-0CE36294EE17}"/>
    <cellStyle name="AggGreen 2 3 3 60" xfId="28977" xr:uid="{87FD909C-DA1F-400C-8954-2EC7C843856E}"/>
    <cellStyle name="AggGreen 2 3 3 61" xfId="29253" xr:uid="{878D5C42-4B93-45D5-B940-053B5751F317}"/>
    <cellStyle name="AggGreen 2 3 3 62" xfId="29767" xr:uid="{E1EDC5E4-1895-43E8-826E-D5EB023589C8}"/>
    <cellStyle name="AggGreen 2 3 3 63" xfId="30175" xr:uid="{C01AA2CB-803A-4295-B4E3-6AB1130D58C4}"/>
    <cellStyle name="AggGreen 2 3 3 64" xfId="30589" xr:uid="{ADC7448B-DA17-4343-98A4-7FFF9E28FAB9}"/>
    <cellStyle name="AggGreen 2 3 3 65" xfId="30828" xr:uid="{FE2B7C3F-EBBB-433F-ADC1-EF44CFAB5D3A}"/>
    <cellStyle name="AggGreen 2 3 3 66" xfId="31213" xr:uid="{C8F5F602-7E50-45B9-BEB6-28463F69DABD}"/>
    <cellStyle name="AggGreen 2 3 3 7" xfId="1841" xr:uid="{028D2642-C89B-4662-A7AB-92298A9297CE}"/>
    <cellStyle name="AggGreen 2 3 3 8" xfId="3987" xr:uid="{6E4ABEF1-050B-4A19-94F6-A7EF89C4C0E5}"/>
    <cellStyle name="AggGreen 2 3 3 9" xfId="4425" xr:uid="{BCD7C12B-7160-48DE-92EC-2E1A68B9212A}"/>
    <cellStyle name="AggGreen 2 3 30" xfId="11675" xr:uid="{1192E159-665F-4548-BEBD-4AADAA0BF9A3}"/>
    <cellStyle name="AggGreen 2 3 31" xfId="13675" xr:uid="{9C83E0E5-D092-41D1-882F-EA571FCCA3FE}"/>
    <cellStyle name="AggGreen 2 3 32" xfId="14509" xr:uid="{CB27CD14-F96D-4037-A27F-ED531A04F5BF}"/>
    <cellStyle name="AggGreen 2 3 33" xfId="14090" xr:uid="{DBAF3CA5-21AA-46E5-B485-D42B7365A0CB}"/>
    <cellStyle name="AggGreen 2 3 34" xfId="14670" xr:uid="{8BDC8035-C576-41B1-91D8-192F13F73137}"/>
    <cellStyle name="AggGreen 2 3 35" xfId="14109" xr:uid="{C2F61C92-7370-40A5-AF70-BF3CC8FBA890}"/>
    <cellStyle name="AggGreen 2 3 36" xfId="16312" xr:uid="{7CB11349-128F-4054-A866-63EDAE6ED149}"/>
    <cellStyle name="AggGreen 2 3 37" xfId="16972" xr:uid="{E1D5918D-ECB4-40EA-991A-5B2DAD8E8853}"/>
    <cellStyle name="AggGreen 2 3 38" xfId="17423" xr:uid="{E5F169AC-12CC-43AD-84B2-07AF78CE4CA8}"/>
    <cellStyle name="AggGreen 2 3 39" xfId="18244" xr:uid="{B026A8BD-061E-4D84-A8BE-729E76C53C67}"/>
    <cellStyle name="AggGreen 2 3 4" xfId="665" xr:uid="{AB15F646-F093-415D-8F00-A7E7D4F74A97}"/>
    <cellStyle name="AggGreen 2 3 4 10" xfId="4229" xr:uid="{DD989E76-F68C-483B-9F02-A0F82B1CDBE8}"/>
    <cellStyle name="AggGreen 2 3 4 11" xfId="5313" xr:uid="{6DC1D69F-2BFC-44E9-9777-D136EA059433}"/>
    <cellStyle name="AggGreen 2 3 4 12" xfId="5549" xr:uid="{A6AC08BB-A146-4C26-904E-106150F9B2BC}"/>
    <cellStyle name="AggGreen 2 3 4 13" xfId="5569" xr:uid="{D7E8CB87-A512-4A23-A737-3E9CD5A0161E}"/>
    <cellStyle name="AggGreen 2 3 4 14" xfId="6565" xr:uid="{D8215080-D797-4049-9F2E-3EEDE0FEBA98}"/>
    <cellStyle name="AggGreen 2 3 4 15" xfId="7385" xr:uid="{D1BE6F8A-DF3E-47E3-8E53-8AD49AED3E39}"/>
    <cellStyle name="AggGreen 2 3 4 16" xfId="8024" xr:uid="{E2C9B69A-B400-4B19-A608-069A6D773EB6}"/>
    <cellStyle name="AggGreen 2 3 4 17" xfId="6836" xr:uid="{A8A242E0-BCEE-49BD-BB14-C646708A7A40}"/>
    <cellStyle name="AggGreen 2 3 4 18" xfId="8027" xr:uid="{C788EED3-B54B-4411-8123-DCF81FCDCF2D}"/>
    <cellStyle name="AggGreen 2 3 4 19" xfId="9599" xr:uid="{A9444A8E-4A4A-41F0-941A-6E784B4C00FE}"/>
    <cellStyle name="AggGreen 2 3 4 2" xfId="880" xr:uid="{FFC7D059-E429-4763-8207-0B368921C360}"/>
    <cellStyle name="AggGreen 2 3 4 2 10" xfId="5528" xr:uid="{59F6F7DE-C56F-4F72-B5A3-2B4530448818}"/>
    <cellStyle name="AggGreen 2 3 4 2 11" xfId="6022" xr:uid="{D8968E4E-1A0D-4326-9A14-A0B9EF815C5A}"/>
    <cellStyle name="AggGreen 2 3 4 2 12" xfId="6381" xr:uid="{BE0C959B-A26B-4117-A2D8-46132D59A14A}"/>
    <cellStyle name="AggGreen 2 3 4 2 13" xfId="6719" xr:uid="{09BF9A80-57FF-4B4C-804C-249458CA3B86}"/>
    <cellStyle name="AggGreen 2 3 4 2 14" xfId="7600" xr:uid="{3B7CF25D-0ECF-4D2C-A9E2-620AEC4ED74C}"/>
    <cellStyle name="AggGreen 2 3 4 2 15" xfId="8064" xr:uid="{5DF6ADE7-00FC-46F0-BAF9-8987C479F875}"/>
    <cellStyle name="AggGreen 2 3 4 2 16" xfId="8673" xr:uid="{2E92BA00-ABFA-43BD-BFA0-02658FF51799}"/>
    <cellStyle name="AggGreen 2 3 4 2 17" xfId="8932" xr:uid="{A7C88081-2525-44D5-8A52-54C1C47D02E3}"/>
    <cellStyle name="AggGreen 2 3 4 2 18" xfId="9814" xr:uid="{7D925AE5-7D6D-4986-9C02-427B3FD1001E}"/>
    <cellStyle name="AggGreen 2 3 4 2 19" xfId="10283" xr:uid="{A474C62D-3DC1-43C5-9A7F-B8BD8892569F}"/>
    <cellStyle name="AggGreen 2 3 4 2 2" xfId="1354" xr:uid="{59D77F2A-11B8-4871-A8E3-DFF975CF2A93}"/>
    <cellStyle name="AggGreen 2 3 4 2 20" xfId="10677" xr:uid="{D5F09B9E-C997-45FB-AA9B-955F6818174F}"/>
    <cellStyle name="AggGreen 2 3 4 2 21" xfId="11026" xr:uid="{DCCFF740-A746-4AF8-BB61-C3FD9962F29F}"/>
    <cellStyle name="AggGreen 2 3 4 2 22" xfId="11336" xr:uid="{F83A5EA4-2168-4A3E-B670-E37F14B04F38}"/>
    <cellStyle name="AggGreen 2 3 4 2 23" xfId="12233" xr:uid="{A86736F9-FB8E-4A5F-B58D-4C9CF75661B3}"/>
    <cellStyle name="AggGreen 2 3 4 2 24" xfId="12706" xr:uid="{43AAA3EB-1DD5-42E0-A3C0-C539921124C7}"/>
    <cellStyle name="AggGreen 2 3 4 2 25" xfId="13140" xr:uid="{24FF5431-57DB-41A6-A552-22A7C0753853}"/>
    <cellStyle name="AggGreen 2 3 4 2 26" xfId="13577" xr:uid="{6A99F693-75E5-4420-A5B4-FAB84E2EEADF}"/>
    <cellStyle name="AggGreen 2 3 4 2 27" xfId="14049" xr:uid="{12DFFC50-5A47-449E-89DB-6EC6FDA2EB32}"/>
    <cellStyle name="AggGreen 2 3 4 2 28" xfId="14496" xr:uid="{3749B0B6-38EF-462C-B41B-CA124EB47C5F}"/>
    <cellStyle name="AggGreen 2 3 4 2 29" xfId="14930" xr:uid="{E3BB7327-45DA-4138-8A45-3A7A988194C5}"/>
    <cellStyle name="AggGreen 2 3 4 2 3" xfId="1803" xr:uid="{EC9BF55B-BABB-411F-898F-24908E033AFB}"/>
    <cellStyle name="AggGreen 2 3 4 2 30" xfId="15400" xr:uid="{6938B0EB-E3C5-4394-B5AF-337F2C9E25C6}"/>
    <cellStyle name="AggGreen 2 3 4 2 31" xfId="15790" xr:uid="{0DC5F4E3-7E11-4043-9114-32CB775A117E}"/>
    <cellStyle name="AggGreen 2 3 4 2 32" xfId="16012" xr:uid="{FE7A1C65-02F4-45BE-A0B3-603D2A301F47}"/>
    <cellStyle name="AggGreen 2 3 4 2 33" xfId="16925" xr:uid="{5951960B-7821-4D1C-8F83-A822B7FAFB9A}"/>
    <cellStyle name="AggGreen 2 3 4 2 34" xfId="17406" xr:uid="{70A07837-BB94-44E2-ADD2-A488457E4009}"/>
    <cellStyle name="AggGreen 2 3 4 2 35" xfId="17847" xr:uid="{8265802D-E615-496D-B7B0-A656159490A7}"/>
    <cellStyle name="AggGreen 2 3 4 2 36" xfId="18322" xr:uid="{1FA7440F-4BF7-4872-81D3-2DFB078B0462}"/>
    <cellStyle name="AggGreen 2 3 4 2 37" xfId="18743" xr:uid="{E64858DA-7701-481A-BB9E-BCFC6F9FF752}"/>
    <cellStyle name="AggGreen 2 3 4 2 38" xfId="19130" xr:uid="{5BA24F51-5448-489D-964C-1BEABF190CBF}"/>
    <cellStyle name="AggGreen 2 3 4 2 39" xfId="19360" xr:uid="{218CEC00-C75A-4496-B772-F46C58DBBA10}"/>
    <cellStyle name="AggGreen 2 3 4 2 4" xfId="2702" xr:uid="{D615F18E-04CE-4312-8D6D-A6CF5C6AEC60}"/>
    <cellStyle name="AggGreen 2 3 4 2 40" xfId="20262" xr:uid="{C00B769C-22AA-4F9D-B1F9-F92626A13221}"/>
    <cellStyle name="AggGreen 2 3 4 2 41" xfId="20755" xr:uid="{60FFBBB9-83EC-403B-9BE8-21FE22B06B93}"/>
    <cellStyle name="AggGreen 2 3 4 2 42" xfId="21214" xr:uid="{E7C6E0FF-E9BF-40DF-BBBE-4B3BDF3C51F6}"/>
    <cellStyle name="AggGreen 2 3 4 2 43" xfId="21706" xr:uid="{71A7B95D-BD1C-4238-BEDD-1679E6AD7AD4}"/>
    <cellStyle name="AggGreen 2 3 4 2 44" xfId="22145" xr:uid="{05922741-560A-4A25-86B6-24E398D049EA}"/>
    <cellStyle name="AggGreen 2 3 4 2 45" xfId="22572" xr:uid="{F83A4638-E68E-4AF6-ACE3-91D1799D9DFC}"/>
    <cellStyle name="AggGreen 2 3 4 2 46" xfId="23017" xr:uid="{0E7F738C-629B-44D3-B0D2-C024ACF29272}"/>
    <cellStyle name="AggGreen 2 3 4 2 47" xfId="23419" xr:uid="{6D339786-6575-4B35-9FC4-6667900AFB5C}"/>
    <cellStyle name="AggGreen 2 3 4 2 48" xfId="23682" xr:uid="{380B9755-B940-415C-B94E-C32431F482E1}"/>
    <cellStyle name="AggGreen 2 3 4 2 49" xfId="24062" xr:uid="{A6ECE80E-0153-4A96-B6F7-A7456124485F}"/>
    <cellStyle name="AggGreen 2 3 4 2 5" xfId="3222" xr:uid="{B067357F-9BE3-45F1-8E70-62CDC9632AE4}"/>
    <cellStyle name="AggGreen 2 3 4 2 50" xfId="24970" xr:uid="{2AC17153-65BD-4AE2-BAA7-024BD1386A5A}"/>
    <cellStyle name="AggGreen 2 3 4 2 51" xfId="25458" xr:uid="{93617B83-D4F1-4705-BF0C-3F8C654363B7}"/>
    <cellStyle name="AggGreen 2 3 4 2 52" xfId="25886" xr:uid="{D5CA1647-EC1B-4731-8148-713CEE68BA00}"/>
    <cellStyle name="AggGreen 2 3 4 2 53" xfId="26324" xr:uid="{97EC6281-8F11-46D6-BE17-6026B7AF0C7C}"/>
    <cellStyle name="AggGreen 2 3 4 2 54" xfId="26753" xr:uid="{4A001C62-09A2-4585-AE24-9EBEA5064623}"/>
    <cellStyle name="AggGreen 2 3 4 2 55" xfId="27174" xr:uid="{60532939-B5E8-476F-8D8F-89820FB4D318}"/>
    <cellStyle name="AggGreen 2 3 4 2 56" xfId="27593" xr:uid="{58A379C2-D9EB-4E71-A5F4-1A985B39C467}"/>
    <cellStyle name="AggGreen 2 3 4 2 57" xfId="27831" xr:uid="{8B4BFAE1-091F-476F-A8BB-D101D87B1450}"/>
    <cellStyle name="AggGreen 2 3 4 2 58" xfId="28720" xr:uid="{2F8EE456-A3F9-4C53-9BC4-7BD88E9CB131}"/>
    <cellStyle name="AggGreen 2 3 4 2 59" xfId="29187" xr:uid="{F39CD8B0-8771-49CB-A3EC-600A8AA3D264}"/>
    <cellStyle name="AggGreen 2 3 4 2 6" xfId="3777" xr:uid="{09B2F3EF-DA58-4925-9B35-744991A9F591}"/>
    <cellStyle name="AggGreen 2 3 4 2 60" xfId="29569" xr:uid="{D532980F-AB24-4066-B150-0F9FD4F28E56}"/>
    <cellStyle name="AggGreen 2 3 4 2 61" xfId="29976" xr:uid="{92BC319E-8807-4E49-B63C-56354CB74375}"/>
    <cellStyle name="AggGreen 2 3 4 2 62" xfId="30382" xr:uid="{83F2DBFF-C8BC-4256-9019-0FD8C29451D7}"/>
    <cellStyle name="AggGreen 2 3 4 2 63" xfId="30799" xr:uid="{FE9E172A-2E15-49B6-8458-8E84D60C0FB7}"/>
    <cellStyle name="AggGreen 2 3 4 2 64" xfId="31044" xr:uid="{FF237C54-E590-471C-8B7F-6650864A57E9}"/>
    <cellStyle name="AggGreen 2 3 4 2 65" xfId="31415" xr:uid="{4B9AA5E7-42C8-4071-8F07-70CC488D9A98}"/>
    <cellStyle name="AggGreen 2 3 4 2 7" xfId="4198" xr:uid="{876F40E5-B4A9-433D-BE98-832B191A8396}"/>
    <cellStyle name="AggGreen 2 3 4 2 8" xfId="4635" xr:uid="{50A4D745-533E-4530-9DF6-18A2C3912E43}"/>
    <cellStyle name="AggGreen 2 3 4 2 9" xfId="5081" xr:uid="{BFD108B6-9A3C-4FCB-B3D3-61A81C4F0599}"/>
    <cellStyle name="AggGreen 2 3 4 20" xfId="10243" xr:uid="{86D7DB93-801A-46D4-A820-D99D6AB7E3CA}"/>
    <cellStyle name="AggGreen 2 3 4 21" xfId="10638" xr:uid="{CC9EBEC0-752F-4970-A8FA-FFBB792BEF1D}"/>
    <cellStyle name="AggGreen 2 3 4 22" xfId="9887" xr:uid="{F7B59888-95DA-4FA9-B3A8-6912D29B12C0}"/>
    <cellStyle name="AggGreen 2 3 4 23" xfId="11185" xr:uid="{9A0989CF-4D7A-4974-879A-2AAFA7FF722F}"/>
    <cellStyle name="AggGreen 2 3 4 24" xfId="12018" xr:uid="{53D5452D-7FCE-4420-9C25-96372AC6AEBF}"/>
    <cellStyle name="AggGreen 2 3 4 25" xfId="12491" xr:uid="{0B7C63E3-A903-4698-94B3-2002EFE0C12C}"/>
    <cellStyle name="AggGreen 2 3 4 26" xfId="12925" xr:uid="{88942BEB-E19F-48DC-A89B-0F08BD0BD547}"/>
    <cellStyle name="AggGreen 2 3 4 27" xfId="13362" xr:uid="{8885CA29-4DF0-43DC-96F8-CAAF594725C9}"/>
    <cellStyle name="AggGreen 2 3 4 28" xfId="11764" xr:uid="{E66AFE0F-B954-417E-82F2-63F3B84659C3}"/>
    <cellStyle name="AggGreen 2 3 4 29" xfId="11361" xr:uid="{4E603F1D-DC0A-460F-B5AC-A93C6B805AAB}"/>
    <cellStyle name="AggGreen 2 3 4 3" xfId="1148" xr:uid="{0BE5076B-0024-4A29-8D19-46534362A2AB}"/>
    <cellStyle name="AggGreen 2 3 4 30" xfId="14890" xr:uid="{440457CA-6637-469D-AA1F-6E4231772B7A}"/>
    <cellStyle name="AggGreen 2 3 4 31" xfId="15010" xr:uid="{950890D4-963C-4569-90F2-F7F890A8398D}"/>
    <cellStyle name="AggGreen 2 3 4 32" xfId="15710" xr:uid="{C0062589-943B-41D7-9F08-7142C9674261}"/>
    <cellStyle name="AggGreen 2 3 4 33" xfId="15984" xr:uid="{0913FF8A-BF0C-4DB7-9840-7DACFE64174B}"/>
    <cellStyle name="AggGreen 2 3 4 34" xfId="16710" xr:uid="{826F90A3-C938-46C3-ADB5-59D292939C95}"/>
    <cellStyle name="AggGreen 2 3 4 35" xfId="17364" xr:uid="{972B6F6C-EB23-4FBA-AE69-FF1AEEEDDD7E}"/>
    <cellStyle name="AggGreen 2 3 4 36" xfId="17806" xr:uid="{23E4F12A-25D8-4917-A9E3-35A3B5C7283F}"/>
    <cellStyle name="AggGreen 2 3 4 37" xfId="17509" xr:uid="{CAE8E664-F804-42A4-AB8B-4E08B8489549}"/>
    <cellStyle name="AggGreen 2 3 4 38" xfId="18528" xr:uid="{A4076952-1AAE-47FC-BC42-D706FAE6B4F5}"/>
    <cellStyle name="AggGreen 2 3 4 39" xfId="18227" xr:uid="{C2EB6733-81A2-437A-A1D5-2664F0E99B87}"/>
    <cellStyle name="AggGreen 2 3 4 4" xfId="1706" xr:uid="{750C245B-D85E-4C29-AE4F-42E54F485977}"/>
    <cellStyle name="AggGreen 2 3 4 40" xfId="18272" xr:uid="{E739EFBD-1311-4384-A210-40812EE61523}"/>
    <cellStyle name="AggGreen 2 3 4 41" xfId="20047" xr:uid="{663C4DFA-878C-4AA4-B932-6CEAF6A009C8}"/>
    <cellStyle name="AggGreen 2 3 4 42" xfId="20714" xr:uid="{BCB8F763-1B04-419C-B6A6-588598A9EABD}"/>
    <cellStyle name="AggGreen 2 3 4 43" xfId="21172" xr:uid="{4BBCCCB1-6BE8-44D4-A3B9-7A55B2357EE3}"/>
    <cellStyle name="AggGreen 2 3 4 44" xfId="20856" xr:uid="{E37DEF94-20F8-4625-A5B4-D0C3A6C88E84}"/>
    <cellStyle name="AggGreen 2 3 4 45" xfId="22103" xr:uid="{3044066C-2A8D-4728-A5CC-D5E08EFD8BFF}"/>
    <cellStyle name="AggGreen 2 3 4 46" xfId="22531" xr:uid="{90B717A8-AFD0-478D-A316-F3597ECF6955}"/>
    <cellStyle name="AggGreen 2 3 4 47" xfId="22047" xr:uid="{CCDE2CA9-7CFB-4484-98EE-B0136CFCED46}"/>
    <cellStyle name="AggGreen 2 3 4 48" xfId="22917" xr:uid="{8DDBCD09-9D21-44DF-8C62-72839967A888}"/>
    <cellStyle name="AggGreen 2 3 4 49" xfId="23116" xr:uid="{2BD415A6-B9F9-41A2-A212-BCEE8FFC772C}"/>
    <cellStyle name="AggGreen 2 3 4 5" xfId="2487" xr:uid="{EF678FDB-0AF0-406B-B1A2-D01585DBC8BB}"/>
    <cellStyle name="AggGreen 2 3 4 50" xfId="23856" xr:uid="{0812A2BF-71DC-4D37-A416-E69676BA1A47}"/>
    <cellStyle name="AggGreen 2 3 4 51" xfId="24755" xr:uid="{9389E5F4-2AF5-4C26-B49F-306ABDD33383}"/>
    <cellStyle name="AggGreen 2 3 4 52" xfId="25418" xr:uid="{C2A0EB6A-A69A-447B-A9BC-D2A17DFD23E6}"/>
    <cellStyle name="AggGreen 2 3 4 53" xfId="25673" xr:uid="{BB51E945-A65B-41F0-9009-52A6A2D16FEE}"/>
    <cellStyle name="AggGreen 2 3 4 54" xfId="24538" xr:uid="{5C1176B8-1C65-4A9D-AF57-1AD7B790B8E9}"/>
    <cellStyle name="AggGreen 2 3 4 55" xfId="25059" xr:uid="{22CE4DFE-9B0A-4E14-B088-B58A01B72A10}"/>
    <cellStyle name="AggGreen 2 3 4 56" xfId="26963" xr:uid="{23EF2AA4-FACC-46FE-A5A5-B21C26ABC4BC}"/>
    <cellStyle name="AggGreen 2 3 4 57" xfId="27382" xr:uid="{614FFFD5-D92F-43F1-A8C3-9B9A8741E785}"/>
    <cellStyle name="AggGreen 2 3 4 58" xfId="27761" xr:uid="{124F6520-5DF4-4891-925A-83886CA8877E}"/>
    <cellStyle name="AggGreen 2 3 4 59" xfId="28505" xr:uid="{0BB64C0B-7315-4E96-8442-66C25303DAF9}"/>
    <cellStyle name="AggGreen 2 3 4 6" xfId="2073" xr:uid="{0897648D-7D52-4028-8D89-FCB242578C0F}"/>
    <cellStyle name="AggGreen 2 3 4 60" xfId="28973" xr:uid="{D66FE89C-7494-405A-A169-50B3FB36B923}"/>
    <cellStyle name="AggGreen 2 3 4 61" xfId="29532" xr:uid="{1AE2F610-19E7-41EC-9B4B-A7C179FE57F6}"/>
    <cellStyle name="AggGreen 2 3 4 62" xfId="29763" xr:uid="{8D0CAE10-5103-43D6-BAF3-6C9963A98B80}"/>
    <cellStyle name="AggGreen 2 3 4 63" xfId="30171" xr:uid="{DEF0D92D-E7F1-4C79-BBDA-ACAB2013B578}"/>
    <cellStyle name="AggGreen 2 3 4 64" xfId="30585" xr:uid="{DA0035EE-05B9-4B15-A808-926EED504006}"/>
    <cellStyle name="AggGreen 2 3 4 65" xfId="30869" xr:uid="{A0168D1A-8B53-4222-BE14-9B864F8CEABB}"/>
    <cellStyle name="AggGreen 2 3 4 66" xfId="31209" xr:uid="{B3487BDB-C088-40A3-B192-758FC8617FEF}"/>
    <cellStyle name="AggGreen 2 3 4 7" xfId="3267" xr:uid="{669993BD-F24B-4CC7-AD08-329B70B95112}"/>
    <cellStyle name="AggGreen 2 3 4 8" xfId="3983" xr:uid="{5387ACF0-210E-4C6C-ADE2-1CBC716B2AFE}"/>
    <cellStyle name="AggGreen 2 3 4 9" xfId="4421" xr:uid="{F485BDFA-CAC5-421C-BB4C-27A0915308DC}"/>
    <cellStyle name="AggGreen 2 3 40" xfId="16082" xr:uid="{44B3163F-70D3-4944-91F0-A66BAB9864D1}"/>
    <cellStyle name="AggGreen 2 3 41" xfId="17779" xr:uid="{002D3B94-94FA-4E55-8611-83E3AE1BA001}"/>
    <cellStyle name="AggGreen 2 3 42" xfId="18992" xr:uid="{F06F4E76-D012-4C8C-AB75-D717F3DD8FAA}"/>
    <cellStyle name="AggGreen 2 3 43" xfId="19645" xr:uid="{39DFF6FA-7A47-46E1-BAB6-0E4B518941D1}"/>
    <cellStyle name="AggGreen 2 3 44" xfId="20319" xr:uid="{CCFF1FB6-6739-48D1-B5A6-7337993C123C}"/>
    <cellStyle name="AggGreen 2 3 45" xfId="20775" xr:uid="{D026434A-A146-4873-9168-5630D294147B}"/>
    <cellStyle name="AggGreen 2 3 46" xfId="20869" xr:uid="{4C275175-E201-4896-B9CB-289B59E164BA}"/>
    <cellStyle name="AggGreen 2 3 47" xfId="21082" xr:uid="{08CDCCB5-6D9F-4F94-968E-A9EC4DFF9EE6}"/>
    <cellStyle name="AggGreen 2 3 48" xfId="21244" xr:uid="{A1E1126D-995F-49BE-A2D8-4741BFB73A46}"/>
    <cellStyle name="AggGreen 2 3 49" xfId="22259" xr:uid="{52684852-204F-4B92-8E4C-07ACB200ED0D}"/>
    <cellStyle name="AggGreen 2 3 5" xfId="938" xr:uid="{85131384-7FA2-4FBA-9B4F-5A45B931865E}"/>
    <cellStyle name="AggGreen 2 3 50" xfId="21694" xr:uid="{FF940C85-5C03-48C3-9123-E03D9885085D}"/>
    <cellStyle name="AggGreen 2 3 51" xfId="23601" xr:uid="{F5A0F61B-F6B0-4F4B-B2A1-252116893994}"/>
    <cellStyle name="AggGreen 2 3 52" xfId="23394" xr:uid="{55DB013C-DBD7-4A9B-B6C1-C4B19313A2EB}"/>
    <cellStyle name="AggGreen 2 3 53" xfId="24365" xr:uid="{D2B9F474-BB21-43A4-A71B-8DDFC5BE6DC8}"/>
    <cellStyle name="AggGreen 2 3 54" xfId="25035" xr:uid="{96F33A09-97CC-41E4-B906-A16215DCEC5A}"/>
    <cellStyle name="AggGreen 2 3 55" xfId="24503" xr:uid="{835C7554-1073-4FF2-BE88-1F19BB2C341B}"/>
    <cellStyle name="AggGreen 2 3 56" xfId="24484" xr:uid="{29A39460-074F-44B3-8174-50DEBC3B827F}"/>
    <cellStyle name="AggGreen 2 3 57" xfId="26705" xr:uid="{61CAF3EE-A4C1-4995-BFDB-AB1AB97A62F3}"/>
    <cellStyle name="AggGreen 2 3 58" xfId="26614" xr:uid="{37F51CCD-4CC1-482B-855C-C23494172C55}"/>
    <cellStyle name="AggGreen 2 3 59" xfId="26531" xr:uid="{AC935B58-8766-4D02-A4CA-2211449EFF70}"/>
    <cellStyle name="AggGreen 2 3 6" xfId="1591" xr:uid="{81C00B2B-0C17-4C56-A7C4-283A24D0D07A}"/>
    <cellStyle name="AggGreen 2 3 60" xfId="26028" xr:uid="{9EDBD306-D843-48FE-821C-92CE5043BE25}"/>
    <cellStyle name="AggGreen 2 3 61" xfId="28136" xr:uid="{C95EEE68-A74B-4210-9647-156B42FF2005}"/>
    <cellStyle name="AggGreen 2 3 62" xfId="28020" xr:uid="{90091778-9676-4847-BD8C-4A7A09A3B154}"/>
    <cellStyle name="AggGreen 2 3 63" xfId="29199" xr:uid="{7A2BD140-B81A-4090-9234-2281D2B164F7}"/>
    <cellStyle name="AggGreen 2 3 64" xfId="29359" xr:uid="{2C6F461B-FF41-494A-893A-9D40F6403950}"/>
    <cellStyle name="AggGreen 2 3 65" xfId="29796" xr:uid="{7266BC01-08ED-4320-835E-A1EC9476A5E5}"/>
    <cellStyle name="AggGreen 2 3 66" xfId="29212" xr:uid="{EABA99AB-403C-4E01-B7B1-E9C39D83A0D9}"/>
    <cellStyle name="AggGreen 2 3 67" xfId="30812" xr:uid="{E473331D-AB80-4EC5-89A1-B6586697B71D}"/>
    <cellStyle name="AggGreen 2 3 68" xfId="29581" xr:uid="{7BAE49AA-26B2-45DB-BC84-CC3E2BED1210}"/>
    <cellStyle name="AggGreen 2 3 7" xfId="2085" xr:uid="{9D3EAA73-46F8-4825-8203-4333091E95AC}"/>
    <cellStyle name="AggGreen 2 3 8" xfId="1842" xr:uid="{4F7ACDC9-E3B1-4EDF-9580-025622C2BB23}"/>
    <cellStyle name="AggGreen 2 3 9" xfId="3692" xr:uid="{DAB35A3A-80A6-453C-8D35-06D82CDBA132}"/>
    <cellStyle name="AggGreen 3" xfId="402" xr:uid="{C1CA799E-509A-43B9-9C0C-EBFE30F0D853}"/>
    <cellStyle name="AggGreen 3 2" xfId="529" xr:uid="{B02C68B2-1F5F-4556-AC6C-86A6174002B4}"/>
    <cellStyle name="AggGreen 3 2 10" xfId="4752" xr:uid="{674A3DFC-7C06-4E0E-8148-453901664D92}"/>
    <cellStyle name="AggGreen 3 2 11" xfId="5177" xr:uid="{F626B23A-B08E-4BB2-A1E8-E5C24D57AC2D}"/>
    <cellStyle name="AggGreen 3 2 12" xfId="3811" xr:uid="{9C15452A-B565-4591-A169-1A01CB52519C}"/>
    <cellStyle name="AggGreen 3 2 13" xfId="5979" xr:uid="{56C0A939-A769-41E9-A83A-695E69E0815B}"/>
    <cellStyle name="AggGreen 3 2 14" xfId="6698" xr:uid="{35453363-208E-4BAB-9022-FCA6ED69DC41}"/>
    <cellStyle name="AggGreen 3 2 15" xfId="7249" xr:uid="{60F90A94-93F9-4E2C-8C54-6005BDFF17B2}"/>
    <cellStyle name="AggGreen 3 2 16" xfId="8038" xr:uid="{1C9316B2-FCA1-453C-8360-4B21778EF720}"/>
    <cellStyle name="AggGreen 3 2 17" xfId="7121" xr:uid="{60599BEA-D545-4E8F-ADE6-6523E6052065}"/>
    <cellStyle name="AggGreen 3 2 18" xfId="8911" xr:uid="{FDEA7CCB-4135-4FDB-9054-3F8B18B32A12}"/>
    <cellStyle name="AggGreen 3 2 19" xfId="9463" xr:uid="{D6829BA4-507F-495F-9AE4-5A6C2588E481}"/>
    <cellStyle name="AggGreen 3 2 2" xfId="744" xr:uid="{D934068F-A725-4503-89A1-C72881D53159}"/>
    <cellStyle name="AggGreen 3 2 2 10" xfId="5392" xr:uid="{B13FA9C5-EF01-4669-86F1-746E98EEB7F5}"/>
    <cellStyle name="AggGreen 3 2 2 11" xfId="4833" xr:uid="{63B2C60A-701E-44D6-A541-2C131672DAA5}"/>
    <cellStyle name="AggGreen 3 2 2 12" xfId="6066" xr:uid="{D96E09D6-94FB-4A68-885C-0C2D730E3F4A}"/>
    <cellStyle name="AggGreen 3 2 2 13" xfId="6155" xr:uid="{3398B4B4-B302-43BF-B51D-12E0699A4766}"/>
    <cellStyle name="AggGreen 3 2 2 14" xfId="7464" xr:uid="{05B7B05C-53AD-4527-96C8-8D5D1194B3B1}"/>
    <cellStyle name="AggGreen 3 2 2 15" xfId="6755" xr:uid="{72EFAA06-E81D-468A-88BB-7BFD97CF712C}"/>
    <cellStyle name="AggGreen 3 2 2 16" xfId="8286" xr:uid="{32C3C80F-825F-415E-9800-A796585AAD4F}"/>
    <cellStyle name="AggGreen 3 2 2 17" xfId="8660" xr:uid="{DBD4CCE4-F6B4-4909-B753-8E05985A51D8}"/>
    <cellStyle name="AggGreen 3 2 2 18" xfId="9678" xr:uid="{DB7320B2-8ECC-400F-88D8-C5505AF88A7D}"/>
    <cellStyle name="AggGreen 3 2 2 19" xfId="8967" xr:uid="{8FC3FD89-E388-441F-8F34-AAA672EA9CAB}"/>
    <cellStyle name="AggGreen 3 2 2 2" xfId="1218" xr:uid="{187C69C2-2133-413E-A4FD-D6607043959C}"/>
    <cellStyle name="AggGreen 3 2 2 20" xfId="10221" xr:uid="{FAF1CC6F-7A0D-4395-BA2F-5B3CFB6C972D}"/>
    <cellStyle name="AggGreen 3 2 2 21" xfId="10718" xr:uid="{EAA9EEDB-D07B-492A-A651-AE535069A54D}"/>
    <cellStyle name="AggGreen 3 2 2 22" xfId="9283" xr:uid="{44312A9B-0184-49CB-BDAF-FFAB8AAC2F43}"/>
    <cellStyle name="AggGreen 3 2 2 23" xfId="12097" xr:uid="{80A726C8-56AE-4FA4-820B-9EAA995FADBA}"/>
    <cellStyle name="AggGreen 3 2 2 24" xfId="12570" xr:uid="{8AE8DC30-2BF3-4C22-AA0C-D203AE612141}"/>
    <cellStyle name="AggGreen 3 2 2 25" xfId="13004" xr:uid="{D677835F-F3BF-4BAD-A7A9-B3E731CC6709}"/>
    <cellStyle name="AggGreen 3 2 2 26" xfId="13441" xr:uid="{841F1553-4679-473D-A73E-7F8BFC91E1C1}"/>
    <cellStyle name="AggGreen 3 2 2 27" xfId="13699" xr:uid="{9F7B3D5C-611A-400A-8BCF-AF82F68DF343}"/>
    <cellStyle name="AggGreen 3 2 2 28" xfId="11358" xr:uid="{D3696BBE-7556-4D3A-8283-31CFB1F0AEA9}"/>
    <cellStyle name="AggGreen 3 2 2 29" xfId="13637" xr:uid="{CE0054F8-2F95-4687-979E-45BA0D9AD455}"/>
    <cellStyle name="AggGreen 3 2 2 3" xfId="1485" xr:uid="{BF3FC57B-F38B-4916-BC4F-3282694DF4B2}"/>
    <cellStyle name="AggGreen 3 2 2 30" xfId="14694" xr:uid="{8E8AC623-633F-43C6-AFFB-5D011255A0CF}"/>
    <cellStyle name="AggGreen 3 2 2 31" xfId="15658" xr:uid="{F10E87F4-AD86-4C27-AF27-5CF103162905}"/>
    <cellStyle name="AggGreen 3 2 2 32" xfId="15749" xr:uid="{8DAA68B5-DA1A-4669-B96A-9DCF5EA58842}"/>
    <cellStyle name="AggGreen 3 2 2 33" xfId="16789" xr:uid="{A37A6D60-CA29-4F5C-B513-AD28792CCF8C}"/>
    <cellStyle name="AggGreen 3 2 2 34" xfId="16064" xr:uid="{4D5ADB7F-42C4-4882-BE5F-D04344EB793D}"/>
    <cellStyle name="AggGreen 3 2 2 35" xfId="17342" xr:uid="{D491A402-8F5F-494D-BD90-62002AFDE604}"/>
    <cellStyle name="AggGreen 3 2 2 36" xfId="17480" xr:uid="{0710F3F1-A349-44D1-8AF3-2A4011525B59}"/>
    <cellStyle name="AggGreen 3 2 2 37" xfId="18607" xr:uid="{628D715E-181B-423E-995F-6C1D5C3EC42A}"/>
    <cellStyle name="AggGreen 3 2 2 38" xfId="18902" xr:uid="{CE2318BC-4CCD-4505-9464-FC6B1A79918A}"/>
    <cellStyle name="AggGreen 3 2 2 39" xfId="19205" xr:uid="{5731DB9E-9C10-4B31-B8A2-FD984A444E1A}"/>
    <cellStyle name="AggGreen 3 2 2 4" xfId="2566" xr:uid="{2486C707-089F-44EB-A28A-E15BAB9C5AAB}"/>
    <cellStyle name="AggGreen 3 2 2 40" xfId="20126" xr:uid="{46E6E10D-E051-4EC1-9CF4-F46C330E7B1A}"/>
    <cellStyle name="AggGreen 3 2 2 41" xfId="19397" xr:uid="{3A369A6D-E8AF-48D9-AF07-6513FC066DE2}"/>
    <cellStyle name="AggGreen 3 2 2 42" xfId="19537" xr:uid="{360ECA25-44E3-4276-B8CC-62DE14AD452F}"/>
    <cellStyle name="AggGreen 3 2 2 43" xfId="21042" xr:uid="{D3CB216D-86BE-4506-8B0E-A608CCA6A62F}"/>
    <cellStyle name="AggGreen 3 2 2 44" xfId="21626" xr:uid="{D3C0A573-CE6C-4D3E-A751-B7C09592915A}"/>
    <cellStyle name="AggGreen 3 2 2 45" xfId="21412" xr:uid="{E6937A23-3B9A-4185-A857-62B7EEAC84EA}"/>
    <cellStyle name="AggGreen 3 2 2 46" xfId="22696" xr:uid="{584AD4EA-468A-4FD5-B124-853F3F996BA1}"/>
    <cellStyle name="AggGreen 3 2 2 47" xfId="23177" xr:uid="{1F052504-ADEB-4A26-A6FF-B33029D611DF}"/>
    <cellStyle name="AggGreen 3 2 2 48" xfId="23454" xr:uid="{206769FC-12B7-402C-AD87-F9E20C98FE41}"/>
    <cellStyle name="AggGreen 3 2 2 49" xfId="23926" xr:uid="{C58A979F-A75A-4997-8579-0B5A34B5A1B5}"/>
    <cellStyle name="AggGreen 3 2 2 5" xfId="2864" xr:uid="{A49D84FB-71B9-40B8-ADF0-97BFD2470371}"/>
    <cellStyle name="AggGreen 3 2 2 50" xfId="24834" xr:uid="{0B9A8CFC-133F-4622-843B-74F816A83033}"/>
    <cellStyle name="AggGreen 3 2 2 51" xfId="24122" xr:uid="{9F6947E4-9F16-45A1-9F7A-445FD4A0D934}"/>
    <cellStyle name="AggGreen 3 2 2 52" xfId="25750" xr:uid="{32992E3C-D83B-4E2D-A982-ADC8FBA58CD1}"/>
    <cellStyle name="AggGreen 3 2 2 53" xfId="26001" xr:uid="{00B8E8B6-E2B2-4E45-B96E-BB784A73FADD}"/>
    <cellStyle name="AggGreen 3 2 2 54" xfId="25949" xr:uid="{2148C38E-BFB6-4D7B-B618-E8CB6BB8FA5D}"/>
    <cellStyle name="AggGreen 3 2 2 55" xfId="27038" xr:uid="{E72E35AF-0AAC-4D05-A691-598471E99203}"/>
    <cellStyle name="AggGreen 3 2 2 56" xfId="27457" xr:uid="{88D7770E-66D0-443C-AFB5-475562405EC9}"/>
    <cellStyle name="AggGreen 3 2 2 57" xfId="27199" xr:uid="{3304FACB-2CF2-4FD8-80BF-5C10CC88166A}"/>
    <cellStyle name="AggGreen 3 2 2 58" xfId="28584" xr:uid="{9473E255-18C4-4896-A7D2-65A050EC7874}"/>
    <cellStyle name="AggGreen 3 2 2 59" xfId="29051" xr:uid="{AB22BBA4-47D2-4847-9507-5989572DEBBD}"/>
    <cellStyle name="AggGreen 3 2 2 6" xfId="2939" xr:uid="{1C7C0FD8-30A6-45CE-9467-6EE45AA48D4C}"/>
    <cellStyle name="AggGreen 3 2 2 60" xfId="28328" xr:uid="{1C205579-84AC-4B38-AC00-E474DBEBB8E6}"/>
    <cellStyle name="AggGreen 3 2 2 61" xfId="29840" xr:uid="{4E2CF54C-D841-4519-AA51-5CFC2A644DB4}"/>
    <cellStyle name="AggGreen 3 2 2 62" xfId="30246" xr:uid="{74418BE5-A920-4257-AF53-99B7FA0DC84C}"/>
    <cellStyle name="AggGreen 3 2 2 63" xfId="30663" xr:uid="{5332FD42-7558-4799-9170-208F92252C42}"/>
    <cellStyle name="AggGreen 3 2 2 64" xfId="29554" xr:uid="{ECBEB395-77EE-47E5-BB2E-2949F0D37E1B}"/>
    <cellStyle name="AggGreen 3 2 2 65" xfId="31279" xr:uid="{0B71839F-8A4A-4AD4-8421-9494C6F0BCBF}"/>
    <cellStyle name="AggGreen 3 2 2 7" xfId="4062" xr:uid="{D148EC23-C2DD-4973-9153-7508CA191970}"/>
    <cellStyle name="AggGreen 3 2 2 8" xfId="4499" xr:uid="{18E2D733-21D3-4053-990B-47F2C8609514}"/>
    <cellStyle name="AggGreen 3 2 2 9" xfId="3325" xr:uid="{C93992C3-A608-418E-8906-A6D9EF7BE6EC}"/>
    <cellStyle name="AggGreen 3 2 20" xfId="10257" xr:uid="{464111F4-6281-40B4-B208-9FB6BED2E4E8}"/>
    <cellStyle name="AggGreen 3 2 21" xfId="10650" xr:uid="{BCE5DFC7-C237-474C-91CF-00CD12FBDFB6}"/>
    <cellStyle name="AggGreen 3 2 22" xfId="11003" xr:uid="{8508DB6D-98F2-4459-AA88-587922424228}"/>
    <cellStyle name="AggGreen 3 2 23" xfId="11315" xr:uid="{B41CAEEB-9611-47F8-BAA8-173D3601A745}"/>
    <cellStyle name="AggGreen 3 2 24" xfId="11882" xr:uid="{C398FE28-E5FB-4A87-8CB3-D86241BD5504}"/>
    <cellStyle name="AggGreen 3 2 25" xfId="12355" xr:uid="{5E76C622-077A-4559-9164-67BA701B104E}"/>
    <cellStyle name="AggGreen 3 2 26" xfId="12789" xr:uid="{7F74BF72-9611-433B-A4CF-CA8BD74D7FEE}"/>
    <cellStyle name="AggGreen 3 2 27" xfId="13226" xr:uid="{2729EC08-8FB0-4493-9722-6FC3D1AAF43E}"/>
    <cellStyle name="AggGreen 3 2 28" xfId="14022" xr:uid="{5249EDDB-0750-4337-8A26-4DA32E131DFC}"/>
    <cellStyle name="AggGreen 3 2 29" xfId="14314" xr:uid="{D3318C4A-37EC-4530-974D-CF88A430BA0F}"/>
    <cellStyle name="AggGreen 3 2 3" xfId="1012" xr:uid="{DD1851D3-B167-48DF-8899-ED2063E9BE15}"/>
    <cellStyle name="AggGreen 3 2 30" xfId="14795" xr:uid="{039B9915-6719-478C-B722-0EFFDCF22A86}"/>
    <cellStyle name="AggGreen 3 2 31" xfId="15120" xr:uid="{9ABF9FEE-0939-4636-AA51-93AF056F5F90}"/>
    <cellStyle name="AggGreen 3 2 32" xfId="15766" xr:uid="{CC33CA27-B017-479F-90DC-FA7B132FEF3D}"/>
    <cellStyle name="AggGreen 3 2 33" xfId="15991" xr:uid="{1042F8F3-DF0D-428B-8552-EB30387791BA}"/>
    <cellStyle name="AggGreen 3 2 34" xfId="16574" xr:uid="{860A7951-5551-4756-8AD4-1A0CCF0B303C}"/>
    <cellStyle name="AggGreen 3 2 35" xfId="17379" xr:uid="{86D11446-9D7B-4E26-B954-13EF63ED059D}"/>
    <cellStyle name="AggGreen 3 2 36" xfId="17821" xr:uid="{375CF965-24E4-42D6-9DFE-A5D37A2DB2E2}"/>
    <cellStyle name="AggGreen 3 2 37" xfId="18297" xr:uid="{1D2C419A-1C8D-40A2-97E8-D69D4AA0A173}"/>
    <cellStyle name="AggGreen 3 2 38" xfId="18392" xr:uid="{411AD8B3-8F15-45D1-B315-2F8875AB6DEE}"/>
    <cellStyle name="AggGreen 3 2 39" xfId="19108" xr:uid="{10D9E28B-5C56-4F7B-BA84-B53646B0B0ED}"/>
    <cellStyle name="AggGreen 3 2 4" xfId="1751" xr:uid="{3105A556-EA98-4B59-A8AE-2969B6A14424}"/>
    <cellStyle name="AggGreen 3 2 40" xfId="19340" xr:uid="{30F79445-EAB2-431D-B0C3-F2F9E39D1026}"/>
    <cellStyle name="AggGreen 3 2 41" xfId="19911" xr:uid="{6DAF8376-8FE5-4F0D-8294-150DC1F93C9E}"/>
    <cellStyle name="AggGreen 3 2 42" xfId="20728" xr:uid="{C7A649AD-918E-4D3D-8EC1-2DC54C0D0F30}"/>
    <cellStyle name="AggGreen 3 2 43" xfId="21187" xr:uid="{CE317167-23E7-45AF-BFC4-AB6A3E5C52AE}"/>
    <cellStyle name="AggGreen 3 2 44" xfId="21679" xr:uid="{80BD10ED-BE2D-4362-B88D-E63A0FCFFC81}"/>
    <cellStyle name="AggGreen 3 2 45" xfId="22118" xr:uid="{A417D8FF-033A-4477-B507-FC2C20C1A7C6}"/>
    <cellStyle name="AggGreen 3 2 46" xfId="22545" xr:uid="{2F900742-6809-44CB-973B-81B309BDAD5E}"/>
    <cellStyle name="AggGreen 3 2 47" xfId="22991" xr:uid="{7A02267B-3F9D-4FF4-8BBD-2737483DAC79}"/>
    <cellStyle name="AggGreen 3 2 48" xfId="23395" xr:uid="{8EF44504-A9E2-416C-9460-5D6CA7FAF482}"/>
    <cellStyle name="AggGreen 3 2 49" xfId="23661" xr:uid="{1CDBD390-019F-4DBB-9780-665541221EAF}"/>
    <cellStyle name="AggGreen 3 2 5" xfId="2351" xr:uid="{0A4EA942-E2C2-430B-B8A9-14C32F88ABE1}"/>
    <cellStyle name="AggGreen 3 2 50" xfId="23720" xr:uid="{4701E9A5-C1B2-4717-8298-3EFEEBCBCF59}"/>
    <cellStyle name="AggGreen 3 2 51" xfId="24619" xr:uid="{48419D78-E42E-420B-B312-F2C7E862B109}"/>
    <cellStyle name="AggGreen 3 2 52" xfId="25433" xr:uid="{43990189-25C6-487E-81E1-A6D903BCEB6A}"/>
    <cellStyle name="AggGreen 3 2 53" xfId="25537" xr:uid="{A4209AD8-1301-4504-85B8-1F8850169B6A}"/>
    <cellStyle name="AggGreen 3 2 54" xfId="26299" xr:uid="{D78A95E3-6DCD-45C5-B3CB-1BD258E6A515}"/>
    <cellStyle name="AggGreen 3 2 55" xfId="26612" xr:uid="{35750C67-9BF1-410E-BFFB-2ABFF3DFBD82}"/>
    <cellStyle name="AggGreen 3 2 56" xfId="26827" xr:uid="{3BFEA6E0-96B7-46BE-8BAA-B51AD14CACBD}"/>
    <cellStyle name="AggGreen 3 2 57" xfId="27246" xr:uid="{7053E0A9-B94D-43AD-A270-00C3659BBE30}"/>
    <cellStyle name="AggGreen 3 2 58" xfId="27674" xr:uid="{CAC91043-D8FF-4C53-85F0-A55E37AFC240}"/>
    <cellStyle name="AggGreen 3 2 59" xfId="28369" xr:uid="{C3CBC8B6-2A7F-4CDD-A678-E0E461463FE1}"/>
    <cellStyle name="AggGreen 3 2 6" xfId="3195" xr:uid="{FE68BF9E-17DE-4F6B-BAFB-BC4D199E9ED7}"/>
    <cellStyle name="AggGreen 3 2 60" xfId="28837" xr:uid="{37A4F0E9-89D2-48B3-84FA-8411A45DEF0F}"/>
    <cellStyle name="AggGreen 3 2 61" xfId="29542" xr:uid="{FA69BC10-8D69-42CB-85E9-59B7BF850B73}"/>
    <cellStyle name="AggGreen 3 2 62" xfId="29627" xr:uid="{3C653F21-1C4C-40B7-972E-0E6A151D0742}"/>
    <cellStyle name="AggGreen 3 2 63" xfId="30035" xr:uid="{5C4BB266-F1AC-4316-B217-95830DF002D6}"/>
    <cellStyle name="AggGreen 3 2 64" xfId="30449" xr:uid="{B886D355-A623-4084-B194-0BE79B8148D5}"/>
    <cellStyle name="AggGreen 3 2 65" xfId="30841" xr:uid="{8837D1F9-AE83-4A6A-89FC-3A74B33AFDB5}"/>
    <cellStyle name="AggGreen 3 2 66" xfId="31073" xr:uid="{48E88B49-B831-4A2D-A09D-09009D09B988}"/>
    <cellStyle name="AggGreen 3 2 7" xfId="2151" xr:uid="{DEA52590-66CB-4001-AB22-9FA268A181D7}"/>
    <cellStyle name="AggGreen 3 2 8" xfId="3847" xr:uid="{B9F4B781-D82C-4B3D-A4EF-1CABB11806CE}"/>
    <cellStyle name="AggGreen 3 2 9" xfId="4285" xr:uid="{4A34758E-7F4E-4B51-9592-40B3C04BE7DF}"/>
    <cellStyle name="AggGreen 3 3" xfId="709" xr:uid="{FBEA734C-D946-4456-A448-C15C24639246}"/>
    <cellStyle name="AggGreen 3 3 10" xfId="5357" xr:uid="{0024F2F3-D179-417F-B8E5-1ACD9004F117}"/>
    <cellStyle name="AggGreen 3 3 11" xfId="5837" xr:uid="{E2D7B99E-E624-4531-97E8-0223C1B35D01}"/>
    <cellStyle name="AggGreen 3 3 12" xfId="5760" xr:uid="{4B5E95AE-CF6E-425D-BB22-202037A250E4}"/>
    <cellStyle name="AggGreen 3 3 13" xfId="6488" xr:uid="{72130FE6-AFB5-4534-A601-C2BC874691CC}"/>
    <cellStyle name="AggGreen 3 3 14" xfId="7429" xr:uid="{1841CA0E-8A60-4AB3-B20C-31A8C01E03B7}"/>
    <cellStyle name="AggGreen 3 3 15" xfId="8011" xr:uid="{1F6BAE48-4A96-44AA-BEBD-68F9787B145F}"/>
    <cellStyle name="AggGreen 3 3 16" xfId="7951" xr:uid="{DAB074BD-EC8A-421A-A404-E2F458996D28}"/>
    <cellStyle name="AggGreen 3 3 17" xfId="8796" xr:uid="{5237FF97-3878-47DF-985F-B25260F054C6}"/>
    <cellStyle name="AggGreen 3 3 18" xfId="9643" xr:uid="{D579CD6A-FE56-40DE-8312-E226C8C414EC}"/>
    <cellStyle name="AggGreen 3 3 19" xfId="10229" xr:uid="{D5FFC141-4454-483B-98DC-51BD9B4ED2F5}"/>
    <cellStyle name="AggGreen 3 3 2" xfId="1183" xr:uid="{76F306E9-6371-4D71-A2C6-D387BEC4D37A}"/>
    <cellStyle name="AggGreen 3 3 20" xfId="10627" xr:uid="{DA2F4323-D77E-4E96-B5A6-1C980443FC22}"/>
    <cellStyle name="AggGreen 3 3 21" xfId="10467" xr:uid="{51596609-86AA-4715-B084-812C5926D298}"/>
    <cellStyle name="AggGreen 3 3 22" xfId="11283" xr:uid="{4CC2352E-FB26-4056-ACEF-A67070D79D5B}"/>
    <cellStyle name="AggGreen 3 3 23" xfId="12062" xr:uid="{C1105E57-D982-42B3-AF14-8A1703A25446}"/>
    <cellStyle name="AggGreen 3 3 24" xfId="12535" xr:uid="{E4301851-B162-4B9A-A633-8DA49B1784C3}"/>
    <cellStyle name="AggGreen 3 3 25" xfId="12969" xr:uid="{54D9F913-2E7F-4DA6-8164-B40A9EDC7484}"/>
    <cellStyle name="AggGreen 3 3 26" xfId="13406" xr:uid="{0B84764D-1023-4E8F-842A-0013F74D08E3}"/>
    <cellStyle name="AggGreen 3 3 27" xfId="11443" xr:uid="{FBF8A12D-4D2E-4414-B4E5-9D47399FF97E}"/>
    <cellStyle name="AggGreen 3 3 28" xfId="14396" xr:uid="{811BCA09-6638-4382-9C63-34ABFD67828A}"/>
    <cellStyle name="AggGreen 3 3 29" xfId="14877" xr:uid="{A0A33C6C-F161-4F63-8C1E-B1911C84B239}"/>
    <cellStyle name="AggGreen 3 3 3" xfId="1449" xr:uid="{418B5F6E-F671-4694-90BF-DA6412EB9342}"/>
    <cellStyle name="AggGreen 3 3 30" xfId="14808" xr:uid="{21B6020A-36BD-477E-802E-66072A4AAC11}"/>
    <cellStyle name="AggGreen 3 3 31" xfId="14998" xr:uid="{5EEBF3C5-31F2-4E58-97D4-590C5B97543C}"/>
    <cellStyle name="AggGreen 3 3 32" xfId="15976" xr:uid="{7CE595E7-AB6D-4FFD-8FA7-D613A0DE6BB1}"/>
    <cellStyle name="AggGreen 3 3 33" xfId="16754" xr:uid="{EEBADB54-4311-46AE-8563-E6C91B33DE11}"/>
    <cellStyle name="AggGreen 3 3 34" xfId="17350" xr:uid="{4634DDEE-5127-41A4-A0A3-0208149F97F1}"/>
    <cellStyle name="AggGreen 3 3 35" xfId="17792" xr:uid="{C208FC60-3766-412B-9C77-2BD492898170}"/>
    <cellStyle name="AggGreen 3 3 36" xfId="18111" xr:uid="{01B3E128-E799-488B-A62A-3EA11EEFD011}"/>
    <cellStyle name="AggGreen 3 3 37" xfId="18572" xr:uid="{0D1014D8-FC89-414F-B0AE-0FAAA52753F7}"/>
    <cellStyle name="AggGreen 3 3 38" xfId="18928" xr:uid="{D1661294-0E7C-4CC5-B705-E8D466304ED7}"/>
    <cellStyle name="AggGreen 3 3 39" xfId="19015" xr:uid="{9EBCF192-ACDA-4F27-9491-3D3FEA1AFF71}"/>
    <cellStyle name="AggGreen 3 3 4" xfId="2531" xr:uid="{6BA52C32-6AE3-4501-A099-892A759A786E}"/>
    <cellStyle name="AggGreen 3 3 40" xfId="20091" xr:uid="{56789F0B-ED52-4F68-AD7D-BDE899CB785D}"/>
    <cellStyle name="AggGreen 3 3 41" xfId="20701" xr:uid="{15D412D3-7D38-4614-96F0-DB422CBBF424}"/>
    <cellStyle name="AggGreen 3 3 42" xfId="21158" xr:uid="{DC1A5CB0-BC38-413A-9631-25209CC5A8E5}"/>
    <cellStyle name="AggGreen 3 3 43" xfId="21559" xr:uid="{03D9F112-2D46-436A-A945-91F9F77F3D77}"/>
    <cellStyle name="AggGreen 3 3 44" xfId="22089" xr:uid="{13094BB0-B455-4583-B34C-B7E6F10E0421}"/>
    <cellStyle name="AggGreen 3 3 45" xfId="22517" xr:uid="{72A6C025-D3F3-4FF3-B50A-7CAEAC60CA96}"/>
    <cellStyle name="AggGreen 3 3 46" xfId="20663" xr:uid="{6B566D64-163B-4939-8DB6-7241ABA2D567}"/>
    <cellStyle name="AggGreen 3 3 47" xfId="23214" xr:uid="{44C89A32-0B86-4E08-99C6-3CF3EB328AE0}"/>
    <cellStyle name="AggGreen 3 3 48" xfId="23255" xr:uid="{975D71B7-6251-4A72-9583-5EA057706D84}"/>
    <cellStyle name="AggGreen 3 3 49" xfId="23891" xr:uid="{7EFC04A2-5899-44CB-BB7B-8358FE5640C5}"/>
    <cellStyle name="AggGreen 3 3 5" xfId="2303" xr:uid="{65DFFBCF-617A-4D5A-A0AC-F331319EC42B}"/>
    <cellStyle name="AggGreen 3 3 50" xfId="24799" xr:uid="{E221A4AB-3186-4F03-8893-7F05F473A37E}"/>
    <cellStyle name="AggGreen 3 3 51" xfId="25404" xr:uid="{009E6E5B-A83B-4578-8CAB-AF0EEBC056B4}"/>
    <cellStyle name="AggGreen 3 3 52" xfId="25715" xr:uid="{2B1EDF41-87DE-477E-9B93-417C7D54333D}"/>
    <cellStyle name="AggGreen 3 3 53" xfId="25197" xr:uid="{C22A5E84-255F-401A-9BA9-88729141A4F8}"/>
    <cellStyle name="AggGreen 3 3 54" xfId="26507" xr:uid="{823C34F9-BF9C-47F4-AEB5-B6C946E45161}"/>
    <cellStyle name="AggGreen 3 3 55" xfId="27003" xr:uid="{687044C2-B9EF-4036-A669-739280258361}"/>
    <cellStyle name="AggGreen 3 3 56" xfId="27422" xr:uid="{F8DD3A82-CF17-4404-9EF8-B5A9BA0BB3CE}"/>
    <cellStyle name="AggGreen 3 3 57" xfId="27777" xr:uid="{756BA733-E2AB-498B-8B38-EF03C337E5CB}"/>
    <cellStyle name="AggGreen 3 3 58" xfId="28549" xr:uid="{106F1473-F814-4D79-8DCF-ED50DDEE271C}"/>
    <cellStyle name="AggGreen 3 3 59" xfId="29016" xr:uid="{23D4F693-6640-4183-9586-00B0C9642DC4}"/>
    <cellStyle name="AggGreen 3 3 6" xfId="2283" xr:uid="{D3FBBAAC-8EA8-491E-A87E-475EFE228FBF}"/>
    <cellStyle name="AggGreen 3 3 60" xfId="29519" xr:uid="{60B3E0C7-1EDD-434F-9696-C5556F7E0DF5}"/>
    <cellStyle name="AggGreen 3 3 61" xfId="29805" xr:uid="{6514B839-FE97-473D-88BE-598CC13C23FB}"/>
    <cellStyle name="AggGreen 3 3 62" xfId="30211" xr:uid="{36525D02-CD76-42DF-90FF-761DD07AD0A5}"/>
    <cellStyle name="AggGreen 3 3 63" xfId="30628" xr:uid="{BCF6225C-8DAA-4744-86D7-F05ED9131A1E}"/>
    <cellStyle name="AggGreen 3 3 64" xfId="30947" xr:uid="{49017E77-7AAE-4D87-8631-43923812C4FE}"/>
    <cellStyle name="AggGreen 3 3 65" xfId="31244" xr:uid="{E1F24EA3-4564-40D1-89BE-372657198770}"/>
    <cellStyle name="AggGreen 3 3 7" xfId="4027" xr:uid="{41C5C2D6-0EFE-485D-A56C-C97475091EF4}"/>
    <cellStyle name="AggGreen 3 3 8" xfId="4464" xr:uid="{C906CB77-0253-402A-AB62-4AE62DC136EC}"/>
    <cellStyle name="AggGreen 3 3 9" xfId="4846" xr:uid="{9D0117DE-0EE3-4A4F-BCEA-07526D4127FA}"/>
    <cellStyle name="AggGreen 4" xfId="260" xr:uid="{00FC83E1-1D75-438F-AFCC-2394AAFB8A1A}"/>
    <cellStyle name="AggGreen 4 10" xfId="3270" xr:uid="{7A2D2173-C94F-4CCF-8860-2C93686F63F3}"/>
    <cellStyle name="AggGreen 4 11" xfId="4209" xr:uid="{B957283D-43BF-4A61-B8F1-4EFFC0D5350E}"/>
    <cellStyle name="AggGreen 4 12" xfId="3171" xr:uid="{B8BA4FE3-4DE0-4EF5-BE3B-5E8825728944}"/>
    <cellStyle name="AggGreen 4 13" xfId="3416" xr:uid="{4322C9EA-0335-41F2-A78E-B1089E531C00}"/>
    <cellStyle name="AggGreen 4 14" xfId="4827" xr:uid="{3B92FE8A-1EEB-4E20-80DA-6721E2BAFDC3}"/>
    <cellStyle name="AggGreen 4 15" xfId="6307" xr:uid="{96370CAE-7E7D-43FF-B31E-58A636B76431}"/>
    <cellStyle name="AggGreen 4 16" xfId="6427" xr:uid="{3BF830D2-089F-403B-989D-6026174F7892}"/>
    <cellStyle name="AggGreen 4 17" xfId="6990" xr:uid="{B2313747-E7AB-4A48-AA95-45952EA56566}"/>
    <cellStyle name="AggGreen 4 18" xfId="7082" xr:uid="{2AE7D591-8486-4D8E-A647-A75F71CD3C4A}"/>
    <cellStyle name="AggGreen 4 19" xfId="8601" xr:uid="{C713BCE8-0748-45FE-B54A-62A83437D101}"/>
    <cellStyle name="AggGreen 4 2" xfId="599" xr:uid="{909419BC-9DE0-46FB-B1DE-7E686EFA637E}"/>
    <cellStyle name="AggGreen 4 2 10" xfId="4958" xr:uid="{27EE805D-C850-412A-A5F2-69B8062F1563}"/>
    <cellStyle name="AggGreen 4 2 11" xfId="5247" xr:uid="{D089DA28-4E69-49C3-AF81-DB0514BCDE94}"/>
    <cellStyle name="AggGreen 4 2 12" xfId="5003" xr:uid="{8F6FF977-5DA1-4E08-955D-C636597D99A0}"/>
    <cellStyle name="AggGreen 4 2 13" xfId="5582" xr:uid="{94D4F330-BB99-459C-9782-42D83D6EB7AA}"/>
    <cellStyle name="AggGreen 4 2 14" xfId="4689" xr:uid="{086414B6-88AE-473B-AC94-26AD0691935C}"/>
    <cellStyle name="AggGreen 4 2 15" xfId="7319" xr:uid="{FBD9BE4C-81D1-4FDD-8B77-A935F129F68A}"/>
    <cellStyle name="AggGreen 4 2 16" xfId="7101" xr:uid="{11FAB550-9241-4FDA-8BB2-E2E80CBFD10E}"/>
    <cellStyle name="AggGreen 4 2 17" xfId="7863" xr:uid="{C698C68D-2D3E-4EE1-BDEB-9E16814DD438}"/>
    <cellStyle name="AggGreen 4 2 18" xfId="8804" xr:uid="{584A4BF7-F26E-4775-81F4-F0FCB95512D4}"/>
    <cellStyle name="AggGreen 4 2 19" xfId="9533" xr:uid="{D5EE9CD4-A2F7-46C7-914C-BE4D9F270E7F}"/>
    <cellStyle name="AggGreen 4 2 2" xfId="814" xr:uid="{4132A7C0-7354-4DE9-B909-0A64F2FE9636}"/>
    <cellStyle name="AggGreen 4 2 2 10" xfId="5462" xr:uid="{C071BE16-2219-4EAC-BA96-0F8D90F5613B}"/>
    <cellStyle name="AggGreen 4 2 2 11" xfId="5814" xr:uid="{5B5A6071-65B0-45EA-BD0D-1AEC94716781}"/>
    <cellStyle name="AggGreen 4 2 2 12" xfId="4221" xr:uid="{005E2B76-3772-4D6A-ADD7-2C77E7C4C901}"/>
    <cellStyle name="AggGreen 4 2 2 13" xfId="6568" xr:uid="{3CD9CCD3-DDEC-4215-B7C1-B8D547E8BD0E}"/>
    <cellStyle name="AggGreen 4 2 2 14" xfId="7534" xr:uid="{A6D52CDD-0342-4781-8228-C3C351F3136A}"/>
    <cellStyle name="AggGreen 4 2 2 15" xfId="7203" xr:uid="{76894B68-ED74-4AA8-A299-472626A3288B}"/>
    <cellStyle name="AggGreen 4 2 2 16" xfId="8331" xr:uid="{88D6244C-CC84-4598-8B66-5AD08F37E5A6}"/>
    <cellStyle name="AggGreen 4 2 2 17" xfId="8747" xr:uid="{4C46D908-AB47-4AD9-AFE0-09F5970994F8}"/>
    <cellStyle name="AggGreen 4 2 2 18" xfId="9748" xr:uid="{5E1D9F5C-5808-4F60-8180-41B12367A686}"/>
    <cellStyle name="AggGreen 4 2 2 19" xfId="9416" xr:uid="{D9929CD0-7B16-4C4C-9695-F9BEE3ED528A}"/>
    <cellStyle name="AggGreen 4 2 2 2" xfId="1288" xr:uid="{F8ED2C57-2B86-4AB6-8C9C-3AAAA8088C6C}"/>
    <cellStyle name="AggGreen 4 2 2 20" xfId="9032" xr:uid="{BE21210D-8391-4A5C-B1EC-A47613EA0FB2}"/>
    <cellStyle name="AggGreen 4 2 2 21" xfId="10729" xr:uid="{F1804967-44D2-4174-968B-C5732D12CD18}"/>
    <cellStyle name="AggGreen 4 2 2 22" xfId="10317" xr:uid="{D828F07C-A345-46F4-B63B-945A2C8AB590}"/>
    <cellStyle name="AggGreen 4 2 2 23" xfId="12167" xr:uid="{3F9EB27F-E342-496E-BE37-F9E3E28DF0D5}"/>
    <cellStyle name="AggGreen 4 2 2 24" xfId="12640" xr:uid="{9C42C84D-E95B-47CC-AAA3-4774A1F137F7}"/>
    <cellStyle name="AggGreen 4 2 2 25" xfId="13074" xr:uid="{27CBBEEC-B392-4DF5-8A3A-19C6FD983837}"/>
    <cellStyle name="AggGreen 4 2 2 26" xfId="13511" xr:uid="{ADB9822F-4C3F-4BB6-B4A3-335925D14AB0}"/>
    <cellStyle name="AggGreen 4 2 2 27" xfId="13721" xr:uid="{54C32B85-C9A3-49D7-96D9-BD27886F79B5}"/>
    <cellStyle name="AggGreen 4 2 2 28" xfId="14332" xr:uid="{597E47B6-AE13-4B23-B691-D3374C73173D}"/>
    <cellStyle name="AggGreen 4 2 2 29" xfId="14111" xr:uid="{402DAD01-9C14-4540-B624-5E616040B454}"/>
    <cellStyle name="AggGreen 4 2 2 3" xfId="1420" xr:uid="{F4DD594D-5050-46F2-9931-BCA57F84F6BB}"/>
    <cellStyle name="AggGreen 4 2 2 30" xfId="14125" xr:uid="{C8B3418B-1C6D-47EB-AA03-EF679F7D1FB0}"/>
    <cellStyle name="AggGreen 4 2 2 31" xfId="14976" xr:uid="{1C752E85-6E5C-41C7-AEDE-2BE27AD853C8}"/>
    <cellStyle name="AggGreen 4 2 2 32" xfId="15581" xr:uid="{38C42A74-B310-46B9-AB70-EAC4B2AA9E3D}"/>
    <cellStyle name="AggGreen 4 2 2 33" xfId="16859" xr:uid="{FF9FEBF1-6B36-4988-833B-210581ECC9C0}"/>
    <cellStyle name="AggGreen 4 2 2 34" xfId="16525" xr:uid="{E1852517-00A8-4ED3-9DCF-A5AD77C21FC0}"/>
    <cellStyle name="AggGreen 4 2 2 35" xfId="16738" xr:uid="{521E6E14-5BE2-4051-80A4-7040F426C5E4}"/>
    <cellStyle name="AggGreen 4 2 2 36" xfId="17939" xr:uid="{460839E9-6EE5-4A47-9B47-D9C9FAA91A88}"/>
    <cellStyle name="AggGreen 4 2 2 37" xfId="18677" xr:uid="{2C2C1B67-19A1-45E6-AD26-B0ABED3CECC7}"/>
    <cellStyle name="AggGreen 4 2 2 38" xfId="18932" xr:uid="{B3579674-DAD0-47AB-8CCB-F3DD3B91EFBF}"/>
    <cellStyle name="AggGreen 4 2 2 39" xfId="19214" xr:uid="{8BF5F517-E6DA-4BE9-A1B9-2BD1E3368076}"/>
    <cellStyle name="AggGreen 4 2 2 4" xfId="2636" xr:uid="{84005D87-22C6-438E-85EE-C4D26F5E9602}"/>
    <cellStyle name="AggGreen 4 2 2 40" xfId="20196" xr:uid="{30B9E928-A1C4-4761-9423-E90B1CC784DE}"/>
    <cellStyle name="AggGreen 4 2 2 41" xfId="19861" xr:uid="{A3650326-C3CA-4F59-AD61-57B06218F225}"/>
    <cellStyle name="AggGreen 4 2 2 42" xfId="20617" xr:uid="{6C7EAE5D-C9F0-4F53-9928-28541BAB0E0B}"/>
    <cellStyle name="AggGreen 4 2 2 43" xfId="21580" xr:uid="{5DF4FC2B-5818-468E-8E4D-D0A49DEE15E3}"/>
    <cellStyle name="AggGreen 4 2 2 44" xfId="21043" xr:uid="{80730668-AE67-4B4C-B031-223C8B8970AC}"/>
    <cellStyle name="AggGreen 4 2 2 45" xfId="21756" xr:uid="{E89D7B44-09BA-42EA-A338-320932809A96}"/>
    <cellStyle name="AggGreen 4 2 2 46" xfId="22717" xr:uid="{5E7E24AF-C003-48D7-82EA-1432C86E0FB2}"/>
    <cellStyle name="AggGreen 4 2 2 47" xfId="23219" xr:uid="{84A9021D-9D8B-4E83-8FF7-C4E81CCEEBB1}"/>
    <cellStyle name="AggGreen 4 2 2 48" xfId="23634" xr:uid="{5F797E8C-316B-4A8D-BDF2-A2AF6B9815D8}"/>
    <cellStyle name="AggGreen 4 2 2 49" xfId="23996" xr:uid="{999B0188-3EE0-4651-BD71-26C0BE65BE18}"/>
    <cellStyle name="AggGreen 4 2 2 5" xfId="2886" xr:uid="{299702F1-4833-4E45-9AFA-8235B0652016}"/>
    <cellStyle name="AggGreen 4 2 2 50" xfId="24904" xr:uid="{05B70A90-946C-4136-A4A7-EED9F4B9ECEF}"/>
    <cellStyle name="AggGreen 4 2 2 51" xfId="24565" xr:uid="{AEC5F209-1303-4B70-A819-6E59991E7084}"/>
    <cellStyle name="AggGreen 4 2 2 52" xfId="25820" xr:uid="{1C8478A7-5F7C-4EC5-B6B3-E59D49E045CB}"/>
    <cellStyle name="AggGreen 4 2 2 53" xfId="25995" xr:uid="{F02A84F5-5BE3-4ACB-A707-075DD5A78F85}"/>
    <cellStyle name="AggGreen 4 2 2 54" xfId="26403" xr:uid="{59A9B5CC-D084-47EA-8768-C2D09B64A0D9}"/>
    <cellStyle name="AggGreen 4 2 2 55" xfId="27108" xr:uid="{F9BD7457-EF8D-4E4D-A332-9A18EC55CCA6}"/>
    <cellStyle name="AggGreen 4 2 2 56" xfId="27527" xr:uid="{C749B08C-4BE5-49F1-9474-4482163D0061}"/>
    <cellStyle name="AggGreen 4 2 2 57" xfId="27208" xr:uid="{F3427754-DA93-472A-8E43-6AE96AF5ED92}"/>
    <cellStyle name="AggGreen 4 2 2 58" xfId="28654" xr:uid="{1B828796-976A-4F08-AED3-8058408E26C3}"/>
    <cellStyle name="AggGreen 4 2 2 59" xfId="29121" xr:uid="{5F59491C-B786-4750-83C7-4FA565E491D8}"/>
    <cellStyle name="AggGreen 4 2 2 6" xfId="3446" xr:uid="{204BB699-7A23-4EAA-BB40-0DF5D92FF7AA}"/>
    <cellStyle name="AggGreen 4 2 2 60" xfId="27978" xr:uid="{4BDFA8D8-72DE-4A59-B156-370354E7F26F}"/>
    <cellStyle name="AggGreen 4 2 2 61" xfId="29910" xr:uid="{F781EACB-A480-47DA-812C-DA07D2A89069}"/>
    <cellStyle name="AggGreen 4 2 2 62" xfId="30316" xr:uid="{011B1D4B-FBFD-4ED3-9830-25F281EAD72A}"/>
    <cellStyle name="AggGreen 4 2 2 63" xfId="30733" xr:uid="{90B3F198-0726-4F7C-98F0-1279A2DEB5D0}"/>
    <cellStyle name="AggGreen 4 2 2 64" xfId="29207" xr:uid="{219A7588-8CC3-4EFA-B9E9-9B6DB63D7631}"/>
    <cellStyle name="AggGreen 4 2 2 65" xfId="31349" xr:uid="{ADC31152-4274-4BC0-8698-983580ACBF4B}"/>
    <cellStyle name="AggGreen 4 2 2 7" xfId="4132" xr:uid="{EC447489-C40D-463F-8A3C-5C4D0562CA6D}"/>
    <cellStyle name="AggGreen 4 2 2 8" xfId="4569" xr:uid="{3F4EE4D1-0F0A-45F6-AAAC-FD019E31428E}"/>
    <cellStyle name="AggGreen 4 2 2 9" xfId="4017" xr:uid="{25E6A711-B7DE-4DA3-B8A1-2798F1C4DAC9}"/>
    <cellStyle name="AggGreen 4 2 20" xfId="9187" xr:uid="{F3B6F22A-E972-49CB-A5D8-29DA79B1C287}"/>
    <cellStyle name="AggGreen 4 2 21" xfId="9047" xr:uid="{AC75CF4A-C024-4052-BCA7-96287F04AA11}"/>
    <cellStyle name="AggGreen 4 2 22" xfId="10977" xr:uid="{1DC46D3E-C4A5-4C48-885C-5AED4C4FE996}"/>
    <cellStyle name="AggGreen 4 2 23" xfId="10859" xr:uid="{2E387733-9DC1-4FF6-9B68-B0ADAD93ADDD}"/>
    <cellStyle name="AggGreen 4 2 24" xfId="11952" xr:uid="{BB3E27BB-6C62-4E99-A044-72CC62461E85}"/>
    <cellStyle name="AggGreen 4 2 25" xfId="12425" xr:uid="{4314E611-ED26-4863-9ED8-C996853D3495}"/>
    <cellStyle name="AggGreen 4 2 26" xfId="12859" xr:uid="{E63E2F30-A2D1-4575-8858-507D8544CE16}"/>
    <cellStyle name="AggGreen 4 2 27" xfId="13296" xr:uid="{4DE20FB0-470C-4AFA-8CCE-668A528B4013}"/>
    <cellStyle name="AggGreen 4 2 28" xfId="13915" xr:uid="{C2DCED1F-4DB8-4573-83A9-0432825BC6D4}"/>
    <cellStyle name="AggGreen 4 2 29" xfId="14173" xr:uid="{6B1CD1A8-298D-4885-83A2-6B8096AC3836}"/>
    <cellStyle name="AggGreen 4 2 3" xfId="1082" xr:uid="{DDB74BDE-3BDE-4207-95E4-22E863CB481B}"/>
    <cellStyle name="AggGreen 4 2 30" xfId="11579" xr:uid="{893DEF76-6F42-43C1-8154-604F8C51DC7B}"/>
    <cellStyle name="AggGreen 4 2 31" xfId="15210" xr:uid="{F0AFE372-A2AC-439B-B1F5-89F0ABC55AEB}"/>
    <cellStyle name="AggGreen 4 2 32" xfId="15472" xr:uid="{A476A1AA-4D75-4C27-A130-78187428028A}"/>
    <cellStyle name="AggGreen 4 2 33" xfId="14143" xr:uid="{ABBC23BA-CAB8-45E4-A58A-575051D8E35B}"/>
    <cellStyle name="AggGreen 4 2 34" xfId="16644" xr:uid="{99A64E81-5FD9-40D2-B845-02ED7BAE75AD}"/>
    <cellStyle name="AggGreen 4 2 35" xfId="16423" xr:uid="{954BC724-5171-470B-B599-CF7E77A0901A}"/>
    <cellStyle name="AggGreen 4 2 36" xfId="16168" xr:uid="{9A22DAAC-C445-45FB-B7A3-790E6FC767DD}"/>
    <cellStyle name="AggGreen 4 2 37" xfId="16257" xr:uid="{B0563D15-D6ED-402B-B61D-56A271F079B0}"/>
    <cellStyle name="AggGreen 4 2 38" xfId="18462" xr:uid="{CF83F06F-8971-4DFF-9DF6-9B0772CB613B}"/>
    <cellStyle name="AggGreen 4 2 39" xfId="18563" xr:uid="{42B4F491-9A76-4D35-8114-346A94DDEFF6}"/>
    <cellStyle name="AggGreen 4 2 4" xfId="1376" xr:uid="{A677C579-7EF1-4A42-876F-3C7B0D7CB1BF}"/>
    <cellStyle name="AggGreen 4 2 40" xfId="19212" xr:uid="{32F2234C-43A9-4287-B999-121ADEAD5F85}"/>
    <cellStyle name="AggGreen 4 2 41" xfId="19981" xr:uid="{01DE1493-E3A9-48D4-B23E-F8031908ACE8}"/>
    <cellStyle name="AggGreen 4 2 42" xfId="20276" xr:uid="{B61B4AE8-B443-4D18-B00F-A3A746A49385}"/>
    <cellStyle name="AggGreen 4 2 43" xfId="19519" xr:uid="{209D341C-363A-453C-A15B-C33F8BC750F2}"/>
    <cellStyle name="AggGreen 4 2 44" xfId="21459" xr:uid="{3C9227AE-FAE6-4009-8977-147B5C6EFD28}"/>
    <cellStyle name="AggGreen 4 2 45" xfId="19486" xr:uid="{8216D96C-0CC1-4EA4-BB02-9DF7EE4303FD}"/>
    <cellStyle name="AggGreen 4 2 46" xfId="19682" xr:uid="{0283DFA7-39E3-464F-8627-7D15E11B6EDC}"/>
    <cellStyle name="AggGreen 4 2 47" xfId="22891" xr:uid="{0249364A-86E7-4976-BB0A-F816896FD29A}"/>
    <cellStyle name="AggGreen 4 2 48" xfId="22937" xr:uid="{9C7E88BA-2C5C-4CC8-8A5B-ADDE72D21ED6}"/>
    <cellStyle name="AggGreen 4 2 49" xfId="23529" xr:uid="{028E86A2-3FE7-4CBC-850B-AD1B7CF07D31}"/>
    <cellStyle name="AggGreen 4 2 5" xfId="2421" xr:uid="{602E1353-D263-4D44-BF66-BAB2117D6EA8}"/>
    <cellStyle name="AggGreen 4 2 50" xfId="23790" xr:uid="{EB144D19-9CBD-43B2-95DD-F1EC79B7255A}"/>
    <cellStyle name="AggGreen 4 2 51" xfId="24689" xr:uid="{06AE86EC-9100-412E-8871-760EC0FCA8D1}"/>
    <cellStyle name="AggGreen 4 2 52" xfId="24992" xr:uid="{997A3F65-C102-4D17-9548-A325142C0483}"/>
    <cellStyle name="AggGreen 4 2 53" xfId="25607" xr:uid="{6DED6D1E-3127-45CD-9597-BCE37242FE51}"/>
    <cellStyle name="AggGreen 4 2 54" xfId="26198" xr:uid="{9DFBDEEE-3738-4DD2-B77A-EFCA1BB1A5F4}"/>
    <cellStyle name="AggGreen 4 2 55" xfId="26338" xr:uid="{DDC2F014-D395-4C8A-B102-7E23845F4426}"/>
    <cellStyle name="AggGreen 4 2 56" xfId="26897" xr:uid="{9E2F577F-0651-4A1B-BCF3-32206E4522CC}"/>
    <cellStyle name="AggGreen 4 2 57" xfId="27316" xr:uid="{4974033B-D60B-4E4F-9292-47EBC49DC311}"/>
    <cellStyle name="AggGreen 4 2 58" xfId="27640" xr:uid="{BBC10C63-1C9F-48C5-B55E-6C2F4881FBB1}"/>
    <cellStyle name="AggGreen 4 2 59" xfId="28439" xr:uid="{660DC6A7-27CA-4D55-97A9-CD8FD3ECB452}"/>
    <cellStyle name="AggGreen 4 2 6" xfId="3083" xr:uid="{D91C1130-BAFF-4363-ABC2-8EA00B03426E}"/>
    <cellStyle name="AggGreen 4 2 60" xfId="28907" xr:uid="{29378B12-65C1-4E71-BEEB-9C2891CAA265}"/>
    <cellStyle name="AggGreen 4 2 61" xfId="28197" xr:uid="{DBE42C23-9D79-4346-B78B-ADD89FEF706B}"/>
    <cellStyle name="AggGreen 4 2 62" xfId="29697" xr:uid="{D10FBC6D-C7DE-4546-ADD7-1D18EA77EADB}"/>
    <cellStyle name="AggGreen 4 2 63" xfId="30105" xr:uid="{4447F704-5985-4D05-A9E3-B982570D8F69}"/>
    <cellStyle name="AggGreen 4 2 64" xfId="30519" xr:uid="{AA60349E-7452-429C-AB12-3FEFE52FE75B}"/>
    <cellStyle name="AggGreen 4 2 65" xfId="30843" xr:uid="{A65EF9B4-8DDE-40F3-80E1-E12FDB14B9D4}"/>
    <cellStyle name="AggGreen 4 2 66" xfId="31143" xr:uid="{6A9DBBAC-C05A-4137-823C-3A7EC6F0AAF8}"/>
    <cellStyle name="AggGreen 4 2 7" xfId="3596" xr:uid="{EBDDB30C-82E8-48B1-BC09-1D7DC5DAA650}"/>
    <cellStyle name="AggGreen 4 2 8" xfId="3917" xr:uid="{0B2C0EC9-2AF7-4D9D-94C8-F827C2644BC3}"/>
    <cellStyle name="AggGreen 4 2 9" xfId="4355" xr:uid="{0419026D-0731-4146-9320-F6CFC31C7391}"/>
    <cellStyle name="AggGreen 4 20" xfId="8741" xr:uid="{D4705D71-3B15-410A-BB41-FA5222BFDE10}"/>
    <cellStyle name="AggGreen 4 21" xfId="9204" xr:uid="{A1B9F52B-DF29-42A2-BDBD-348B46D9E085}"/>
    <cellStyle name="AggGreen 4 22" xfId="9060" xr:uid="{59303903-A36A-4C0E-A084-3987CCA0597C}"/>
    <cellStyle name="AggGreen 4 23" xfId="9154" xr:uid="{8713E1F2-CC3A-4B1C-8F44-ED370374A2FC}"/>
    <cellStyle name="AggGreen 4 24" xfId="10090" xr:uid="{86390CF8-F6D1-47F2-A764-9C9DF2C8E2B2}"/>
    <cellStyle name="AggGreen 4 25" xfId="11114" xr:uid="{44E7D0DA-C914-40F2-B1E1-4455DE0B8699}"/>
    <cellStyle name="AggGreen 4 26" xfId="11616" xr:uid="{A9539303-11B5-4F68-8B30-EFEB5B03F493}"/>
    <cellStyle name="AggGreen 4 27" xfId="11486" xr:uid="{F42A32E3-9117-4DC8-B3DC-12362721C350}"/>
    <cellStyle name="AggGreen 4 28" xfId="11653" xr:uid="{7F3DD19E-3B60-4C5B-904C-3AA268D08642}"/>
    <cellStyle name="AggGreen 4 29" xfId="13151" xr:uid="{CF2D7B3F-7A8A-4E31-8F3D-A78E5335FFA2}"/>
    <cellStyle name="AggGreen 4 3" xfId="514" xr:uid="{639012D1-F55E-4DEF-AC95-C2E4AFACCBAD}"/>
    <cellStyle name="AggGreen 4 3 10" xfId="4850" xr:uid="{F026DD21-4EE4-4C42-B826-7AAF988C48CF}"/>
    <cellStyle name="AggGreen 4 3 11" xfId="5162" xr:uid="{E7F3F59E-AB2A-4A9B-A24F-5BA22B95D3A2}"/>
    <cellStyle name="AggGreen 4 3 12" xfId="5790" xr:uid="{5CB5BC20-400C-4558-824A-0F44C699A9C1}"/>
    <cellStyle name="AggGreen 4 3 13" xfId="6038" xr:uid="{CBB7E678-DA3E-4A24-B6F0-52580F0F6F7C}"/>
    <cellStyle name="AggGreen 4 3 14" xfId="6161" xr:uid="{640B093F-FB78-40D7-A09F-D6A4CE787A2C}"/>
    <cellStyle name="AggGreen 4 3 15" xfId="7234" xr:uid="{FD8FEA10-B6B3-4A9B-9788-A4FF510783B5}"/>
    <cellStyle name="AggGreen 4 3 16" xfId="7968" xr:uid="{21C06279-6EFF-43B1-AFD9-1ACFB34A83D2}"/>
    <cellStyle name="AggGreen 4 3 17" xfId="6843" xr:uid="{9BB61236-57F2-4BCB-8C4C-AC574B4A917A}"/>
    <cellStyle name="AggGreen 4 3 18" xfId="8740" xr:uid="{1CEA7EDD-2929-473F-AC64-A718896AE873}"/>
    <cellStyle name="AggGreen 4 3 19" xfId="9448" xr:uid="{861ADA53-4DAE-455F-A19F-8B3A2C2E3E9B}"/>
    <cellStyle name="AggGreen 4 3 2" xfId="729" xr:uid="{B4654C8C-FBB2-424E-BCC2-C1C402A09DA7}"/>
    <cellStyle name="AggGreen 4 3 2 10" xfId="5377" xr:uid="{F12B164F-CC32-4D91-A70A-B1D9D7DBA83A}"/>
    <cellStyle name="AggGreen 4 3 2 11" xfId="3331" xr:uid="{6CEA1015-F2D3-4C29-808F-E0B802A61A57}"/>
    <cellStyle name="AggGreen 4 3 2 12" xfId="6302" xr:uid="{E7B887C6-D629-4DDA-85FF-74ECC01C2241}"/>
    <cellStyle name="AggGreen 4 3 2 13" xfId="6571" xr:uid="{EFFA8881-3BBA-49F2-BEA3-DAEEC3EF97A9}"/>
    <cellStyle name="AggGreen 4 3 2 14" xfId="7449" xr:uid="{44EEE425-F171-457E-A442-BBA8FC527A84}"/>
    <cellStyle name="AggGreen 4 3 2 15" xfId="7761" xr:uid="{FCAF985E-17AA-4188-9790-77D4EE512243}"/>
    <cellStyle name="AggGreen 4 3 2 16" xfId="8611" xr:uid="{0F9B09EA-CF17-4977-9BD2-868AEE6D7B53}"/>
    <cellStyle name="AggGreen 4 3 2 17" xfId="7223" xr:uid="{C1461557-ECB4-4E60-B989-3928E323F7A1}"/>
    <cellStyle name="AggGreen 4 3 2 18" xfId="9663" xr:uid="{B5E04DA0-6867-466F-9AD9-26D05136592C}"/>
    <cellStyle name="AggGreen 4 3 2 19" xfId="9974" xr:uid="{FEA9AF58-E9B2-49D1-AE7A-48D1B791CB2B}"/>
    <cellStyle name="AggGreen 4 3 2 2" xfId="1203" xr:uid="{5A3842F8-0948-43FD-81B3-9AEED38D462E}"/>
    <cellStyle name="AggGreen 4 3 2 20" xfId="10402" xr:uid="{94C5AE30-CF9B-40CE-B5A6-0CF259D2DF9F}"/>
    <cellStyle name="AggGreen 4 3 2 21" xfId="10688" xr:uid="{C92F77F0-D1AA-4A83-907B-68605074A2BB}"/>
    <cellStyle name="AggGreen 4 3 2 22" xfId="11144" xr:uid="{9D8072F1-26BF-4C7C-9760-17265CEA0F87}"/>
    <cellStyle name="AggGreen 4 3 2 23" xfId="12082" xr:uid="{A59C8846-595B-4D56-BA71-AC9162FC6090}"/>
    <cellStyle name="AggGreen 4 3 2 24" xfId="12555" xr:uid="{6592B4F9-A8D8-492F-BAFC-4E428EE00761}"/>
    <cellStyle name="AggGreen 4 3 2 25" xfId="12989" xr:uid="{572D4121-78A4-4D50-B45F-77A3795C23AE}"/>
    <cellStyle name="AggGreen 4 3 2 26" xfId="13426" xr:uid="{F262DA14-4F30-4231-9ACC-1695F07E3211}"/>
    <cellStyle name="AggGreen 4 3 2 27" xfId="13982" xr:uid="{5DB2299E-433E-4A92-914A-95850E06305C}"/>
    <cellStyle name="AggGreen 4 3 2 28" xfId="11374" xr:uid="{1D3DD44F-94C6-4414-9FDB-B8C5CF46D349}"/>
    <cellStyle name="AggGreen 4 3 2 29" xfId="14627" xr:uid="{9FA2F14C-BAE4-40E6-AEE5-81C888B56D5B}"/>
    <cellStyle name="AggGreen 4 3 2 3" xfId="1492" xr:uid="{0E69793D-8000-46ED-84DD-8CA462EDFB4C}"/>
    <cellStyle name="AggGreen 4 3 2 30" xfId="11444" xr:uid="{5E91AB16-33AB-4449-BD4A-26516D080AE8}"/>
    <cellStyle name="AggGreen 4 3 2 31" xfId="15050" xr:uid="{F5C89B8D-0ACD-4C82-B430-D46D97AA4235}"/>
    <cellStyle name="AggGreen 4 3 2 32" xfId="15838" xr:uid="{DBA0C6BC-448D-4FC4-8689-487ACB4D3D02}"/>
    <cellStyle name="AggGreen 4 3 2 33" xfId="16774" xr:uid="{5A27DB3A-4733-4EE9-9F25-B3FC57B6CDB4}"/>
    <cellStyle name="AggGreen 4 3 2 34" xfId="17089" xr:uid="{50318CB9-FA9D-4C36-96FE-059444DA8F6B}"/>
    <cellStyle name="AggGreen 4 3 2 35" xfId="17537" xr:uid="{0E489E20-C488-43CA-87A9-C3FDC96695E5}"/>
    <cellStyle name="AggGreen 4 3 2 36" xfId="16053" xr:uid="{09E05FE7-A2CE-4B7E-BCF2-B556A7510C30}"/>
    <cellStyle name="AggGreen 4 3 2 37" xfId="18592" xr:uid="{C19C82DD-EBF0-4C5A-AF58-FFD23E15B8D6}"/>
    <cellStyle name="AggGreen 4 3 2 38" xfId="18125" xr:uid="{D80C986F-E14F-47BF-BA38-825784500552}"/>
    <cellStyle name="AggGreen 4 3 2 39" xfId="18853" xr:uid="{DB813C3F-E6D3-42E2-8B0C-33DCFE98EA9A}"/>
    <cellStyle name="AggGreen 4 3 2 4" xfId="2551" xr:uid="{2D087E8E-1320-4533-9811-3F64F7BF3A18}"/>
    <cellStyle name="AggGreen 4 3 2 40" xfId="20111" xr:uid="{CB6420D6-FC64-4965-8C49-83D1918DC914}"/>
    <cellStyle name="AggGreen 4 3 2 41" xfId="20443" xr:uid="{ABE7D071-31A6-4072-9EAA-E6908FD2DCF4}"/>
    <cellStyle name="AggGreen 4 3 2 42" xfId="20895" xr:uid="{5794885C-D4E0-4ED0-8435-E88032D51C0A}"/>
    <cellStyle name="AggGreen 4 3 2 43" xfId="21114" xr:uid="{3367B46C-6B7D-47AD-A3BA-D7C4C91AF85F}"/>
    <cellStyle name="AggGreen 4 3 2 44" xfId="21825" xr:uid="{3648E51D-A548-4BBE-93C8-26827ED63867}"/>
    <cellStyle name="AggGreen 4 3 2 45" xfId="22261" xr:uid="{9DBCB74F-6405-450E-BAEB-3753A8481D53}"/>
    <cellStyle name="AggGreen 4 3 2 46" xfId="22954" xr:uid="{4DF5BEF7-E27D-4A74-8721-46DEF085E46A}"/>
    <cellStyle name="AggGreen 4 3 2 47" xfId="22913" xr:uid="{D5D97370-C570-498E-8B10-A3DD9C252CA6}"/>
    <cellStyle name="AggGreen 4 3 2 48" xfId="23644" xr:uid="{A3E92ED4-0A92-40BB-9036-6B8D2F860238}"/>
    <cellStyle name="AggGreen 4 3 2 49" xfId="23911" xr:uid="{0A42CC3A-7CB6-43B4-97A4-B9EAEA16590B}"/>
    <cellStyle name="AggGreen 4 3 2 5" xfId="3153" xr:uid="{269C01F5-CC2F-48A8-A6B7-53546B5060C5}"/>
    <cellStyle name="AggGreen 4 3 2 50" xfId="24819" xr:uid="{0C8CCF06-D396-4DDA-B94E-E29FA5624F5E}"/>
    <cellStyle name="AggGreen 4 3 2 51" xfId="25150" xr:uid="{6F12A1B1-A747-467E-B4F9-658E8B300105}"/>
    <cellStyle name="AggGreen 4 3 2 52" xfId="25735" xr:uid="{794EA4A5-6FFA-4AAF-9288-600086BE5C58}"/>
    <cellStyle name="AggGreen 4 3 2 53" xfId="26261" xr:uid="{4EF560FF-98C1-45D5-89ED-B33366564741}"/>
    <cellStyle name="AggGreen 4 3 2 54" xfId="26368" xr:uid="{16FFDCD1-17F4-4469-B796-0D06FEEAA81A}"/>
    <cellStyle name="AggGreen 4 3 2 55" xfId="27023" xr:uid="{26EF3B09-F666-4467-A5B3-8E9FFB1F8584}"/>
    <cellStyle name="AggGreen 4 3 2 56" xfId="27442" xr:uid="{4F6E9100-FAB8-440D-A03A-348A531A1618}"/>
    <cellStyle name="AggGreen 4 3 2 57" xfId="27696" xr:uid="{E7C1DA7F-B82C-4A41-BC1B-2801808A161B}"/>
    <cellStyle name="AggGreen 4 3 2 58" xfId="28569" xr:uid="{37006222-B9E9-432B-BB98-43DFF41F47AF}"/>
    <cellStyle name="AggGreen 4 3 2 59" xfId="29036" xr:uid="{B90B8312-6E22-416A-9C8A-331E06B5CF15}"/>
    <cellStyle name="AggGreen 4 3 2 6" xfId="3705" xr:uid="{D0D7F705-6061-46B0-89AC-C8FD8472A290}"/>
    <cellStyle name="AggGreen 4 3 2 60" xfId="29300" xr:uid="{170D7635-C033-4667-8E80-B02CCA244416}"/>
    <cellStyle name="AggGreen 4 3 2 61" xfId="29825" xr:uid="{FD4E3B0C-42D3-4CD0-8D2F-47F464791A5E}"/>
    <cellStyle name="AggGreen 4 3 2 62" xfId="30231" xr:uid="{6FBFCED4-6543-423C-8593-9E1EF49566C5}"/>
    <cellStyle name="AggGreen 4 3 2 63" xfId="30648" xr:uid="{0DC9781C-F465-4150-BD90-715BFC2BAACF}"/>
    <cellStyle name="AggGreen 4 3 2 64" xfId="28774" xr:uid="{E1C418C1-A550-4765-9B7C-DE65D37066F9}"/>
    <cellStyle name="AggGreen 4 3 2 65" xfId="31264" xr:uid="{13650907-596E-4324-A829-47F91C62F6CC}"/>
    <cellStyle name="AggGreen 4 3 2 7" xfId="4047" xr:uid="{8F9FD519-3FF6-4115-824E-B643AE232FA8}"/>
    <cellStyle name="AggGreen 4 3 2 8" xfId="4484" xr:uid="{032CE391-52DB-4B69-A644-94CDD79B5516}"/>
    <cellStyle name="AggGreen 4 3 2 9" xfId="3761" xr:uid="{2566BC23-78E1-4A45-9948-760E3172624E}"/>
    <cellStyle name="AggGreen 4 3 20" xfId="10184" xr:uid="{2BF98D02-292D-4CF1-92D5-027F1FAC010F}"/>
    <cellStyle name="AggGreen 4 3 21" xfId="10590" xr:uid="{1B944A23-F6C4-4BBE-B80C-9A1157E6AA1D}"/>
    <cellStyle name="AggGreen 4 3 22" xfId="9068" xr:uid="{A0D19B96-23B4-436A-B73A-76EBFDFB221A}"/>
    <cellStyle name="AggGreen 4 3 23" xfId="11042" xr:uid="{D913DEBF-FE64-4C14-9C50-50C0C5C850FB}"/>
    <cellStyle name="AggGreen 4 3 24" xfId="11867" xr:uid="{5B00121F-07B8-4343-B263-A9DC8483CB06}"/>
    <cellStyle name="AggGreen 4 3 25" xfId="12340" xr:uid="{121E7E74-95A4-480F-A8B4-470704A88B2C}"/>
    <cellStyle name="AggGreen 4 3 26" xfId="12774" xr:uid="{C8FE9B48-6E2D-43CD-8AC2-239D4AD3C555}"/>
    <cellStyle name="AggGreen 4 3 27" xfId="13211" xr:uid="{7A733494-6589-461D-8BA1-82D81A4BED7B}"/>
    <cellStyle name="AggGreen 4 3 28" xfId="12269" xr:uid="{7A498712-C91C-4DD2-AE3E-B588B1B8F677}"/>
    <cellStyle name="AggGreen 4 3 29" xfId="14454" xr:uid="{531153FB-020A-4368-86A8-9AEA0F5B02F9}"/>
    <cellStyle name="AggGreen 4 3 3" xfId="997" xr:uid="{DA03FE0C-F846-4845-BE33-AED7B1FD03BA}"/>
    <cellStyle name="AggGreen 4 3 30" xfId="11847" xr:uid="{23B833B3-F9C7-4C71-8A29-D99EE4B9E449}"/>
    <cellStyle name="AggGreen 4 3 31" xfId="15117" xr:uid="{EE876333-CCA2-42E6-A5DF-CEEC729A1D28}"/>
    <cellStyle name="AggGreen 4 3 32" xfId="15465" xr:uid="{4CEEB57D-C0AD-4759-B2F2-78D4EAB04148}"/>
    <cellStyle name="AggGreen 4 3 33" xfId="15952" xr:uid="{ECE91FA8-56E3-45AE-974C-0E3E44324420}"/>
    <cellStyle name="AggGreen 4 3 34" xfId="16559" xr:uid="{3806DEE8-8689-4C49-9D7C-5AC3C595DD3D}"/>
    <cellStyle name="AggGreen 4 3 35" xfId="17304" xr:uid="{E84B413D-B13C-40AD-9ACF-7F2CE7510B54}"/>
    <cellStyle name="AggGreen 4 3 36" xfId="17747" xr:uid="{DD98BD3F-1422-4DC1-8021-0E030B7190A4}"/>
    <cellStyle name="AggGreen 4 3 37" xfId="18132" xr:uid="{A357B7CF-A646-4ADB-A8A3-BA19ED2D7AC5}"/>
    <cellStyle name="AggGreen 4 3 38" xfId="18377" xr:uid="{3E36C912-46A4-4BCE-93F7-5BD6260461CD}"/>
    <cellStyle name="AggGreen 4 3 39" xfId="18886" xr:uid="{18E83E6D-8D74-45A9-AB08-79C71BD67DE8}"/>
    <cellStyle name="AggGreen 4 3 4" xfId="1733" xr:uid="{35DEDE6E-8D28-4CC0-91A0-6EDABA954195}"/>
    <cellStyle name="AggGreen 4 3 40" xfId="19083" xr:uid="{717CC6F6-A025-49B4-9403-077EABAA8775}"/>
    <cellStyle name="AggGreen 4 3 41" xfId="19896" xr:uid="{A1ECECE1-B98A-4CEC-AA81-FF412564C7CA}"/>
    <cellStyle name="AggGreen 4 3 42" xfId="20655" xr:uid="{C20FCE90-59BD-4852-A543-9C68D0BB7925}"/>
    <cellStyle name="AggGreen 4 3 43" xfId="21112" xr:uid="{77DCEC0A-C066-4397-9DAE-0872F631F12A}"/>
    <cellStyle name="AggGreen 4 3 44" xfId="21321" xr:uid="{E2C806D8-48A8-4A80-810C-C973595182D9}"/>
    <cellStyle name="AggGreen 4 3 45" xfId="22043" xr:uid="{1B827BE4-616D-43F4-8D6F-C885F768479C}"/>
    <cellStyle name="AggGreen 4 3 46" xfId="22472" xr:uid="{DB0D3099-2300-4CD5-B915-2C8048F01A79}"/>
    <cellStyle name="AggGreen 4 3 47" xfId="21599" xr:uid="{34A55336-EE8E-4EAC-A067-820B39D4D7C2}"/>
    <cellStyle name="AggGreen 4 3 48" xfId="23161" xr:uid="{7A02E9B2-E748-49AE-92CC-98456632094E}"/>
    <cellStyle name="AggGreen 4 3 49" xfId="21457" xr:uid="{6C9A61C5-DB03-4377-ABE4-FCE424EF784F}"/>
    <cellStyle name="AggGreen 4 3 5" xfId="2336" xr:uid="{E398E4E5-97ED-48D3-BF39-DD35F6BD0BFE}"/>
    <cellStyle name="AggGreen 4 3 50" xfId="23705" xr:uid="{109F611D-702C-4E44-B790-894AA2B2E288}"/>
    <cellStyle name="AggGreen 4 3 51" xfId="24604" xr:uid="{ECF44D92-2EFC-4A97-BC6A-ED181829EBFA}"/>
    <cellStyle name="AggGreen 4 3 52" xfId="25359" xr:uid="{1CCBD8AD-EC99-47E7-91B3-E81C625D1B76}"/>
    <cellStyle name="AggGreen 4 3 53" xfId="25522" xr:uid="{669B666E-6ADB-4FDE-B8F6-277FCA979793}"/>
    <cellStyle name="AggGreen 4 3 54" xfId="25257" xr:uid="{48F77182-F2A9-4BA5-A128-A3EF4577B850}"/>
    <cellStyle name="AggGreen 4 3 55" xfId="26633" xr:uid="{8F7AA052-B98E-43FC-97A3-6B5B5BD7A8DA}"/>
    <cellStyle name="AggGreen 4 3 56" xfId="26812" xr:uid="{DC8E1FDA-D8BD-4B6C-BB63-81D10CA760CF}"/>
    <cellStyle name="AggGreen 4 3 57" xfId="27231" xr:uid="{9927072F-1708-4680-A581-023D70214645}"/>
    <cellStyle name="AggGreen 4 3 58" xfId="25186" xr:uid="{DA1A75D4-FECC-4DFE-A768-9AA63A27D30E}"/>
    <cellStyle name="AggGreen 4 3 59" xfId="28354" xr:uid="{693BB170-D928-4135-9220-53C03D05817F}"/>
    <cellStyle name="AggGreen 4 3 6" xfId="2070" xr:uid="{D4313F95-23FB-4FFF-8042-763B8A669E3F}"/>
    <cellStyle name="AggGreen 4 3 60" xfId="28822" xr:uid="{8C5E2485-7FB3-4851-98A3-CC89883D7A7A}"/>
    <cellStyle name="AggGreen 4 3 61" xfId="29482" xr:uid="{50DA02DE-6480-40CD-A208-EA7180CDF6BE}"/>
    <cellStyle name="AggGreen 4 3 62" xfId="29612" xr:uid="{EE84E2C4-AF4A-4FC0-8D7B-5BCA79819B3A}"/>
    <cellStyle name="AggGreen 4 3 63" xfId="30020" xr:uid="{C9ED4AD2-D60C-4A5D-8EC2-595ED5B97331}"/>
    <cellStyle name="AggGreen 4 3 64" xfId="30434" xr:uid="{9F7A6FF7-75A3-4419-8CBA-08B003F3BB48}"/>
    <cellStyle name="AggGreen 4 3 65" xfId="30955" xr:uid="{75FED948-F45F-423F-8545-C53BCDDDBB8E}"/>
    <cellStyle name="AggGreen 4 3 66" xfId="31058" xr:uid="{A9649D5A-BC69-46E8-88F1-0BA52ECC84DA}"/>
    <cellStyle name="AggGreen 4 3 7" xfId="3254" xr:uid="{24A96C83-07DA-4E95-A3AE-901000631721}"/>
    <cellStyle name="AggGreen 4 3 8" xfId="3832" xr:uid="{0B9B574F-7BFD-49AC-B731-AD3D212D5DED}"/>
    <cellStyle name="AggGreen 4 3 9" xfId="4270" xr:uid="{9FE883F8-6706-45D7-BC32-9BBC5DCB3D5B}"/>
    <cellStyle name="AggGreen 4 30" xfId="12741" xr:uid="{64514D25-0012-49D7-943D-052BC0402F16}"/>
    <cellStyle name="AggGreen 4 31" xfId="11699" xr:uid="{86C2CF88-31D3-445F-8953-8A3FDFB90AE8}"/>
    <cellStyle name="AggGreen 4 32" xfId="11686" xr:uid="{0A924781-59C9-498B-956C-1F789051EBC0}"/>
    <cellStyle name="AggGreen 4 33" xfId="15028" xr:uid="{3BE3CF2A-53AF-4C01-9FD7-3D1ED5B72DB2}"/>
    <cellStyle name="AggGreen 4 34" xfId="15112" xr:uid="{6E7513C2-2F4D-4A35-9952-D896E34C33F7}"/>
    <cellStyle name="AggGreen 4 35" xfId="15697" xr:uid="{E078E4C2-5189-454F-8115-3E0A7907403F}"/>
    <cellStyle name="AggGreen 4 36" xfId="16311" xr:uid="{D2511AAF-E593-42F8-BA9E-2F4F58B2FA2F}"/>
    <cellStyle name="AggGreen 4 37" xfId="16404" xr:uid="{A74FE9F3-7D1D-4251-87F3-67384510A6D7}"/>
    <cellStyle name="AggGreen 4 38" xfId="17276" xr:uid="{32966673-238E-4F5B-9908-B0DD2F64CA98}"/>
    <cellStyle name="AggGreen 4 39" xfId="17976" xr:uid="{F9DDE20E-5DE8-4590-95C2-8A9E263A3C64}"/>
    <cellStyle name="AggGreen 4 4" xfId="632" xr:uid="{3A7643F8-54FE-40DA-9228-64F66CE5278D}"/>
    <cellStyle name="AggGreen 4 4 10" xfId="3806" xr:uid="{9CD49529-8197-454D-9796-97632361870B}"/>
    <cellStyle name="AggGreen 4 4 11" xfId="5280" xr:uid="{83069777-9E64-4D46-AE6D-30C185F65C70}"/>
    <cellStyle name="AggGreen 4 4 12" xfId="5681" xr:uid="{39737C48-FE4D-408B-9504-666CCAB80229}"/>
    <cellStyle name="AggGreen 4 4 13" xfId="1828" xr:uid="{46718C63-0AD9-4D16-BB6C-8D7F761A6508}"/>
    <cellStyle name="AggGreen 4 4 14" xfId="5145" xr:uid="{FEDBD1DA-2CC2-43FF-9CC5-7F138EDB6B22}"/>
    <cellStyle name="AggGreen 4 4 15" xfId="7352" xr:uid="{DBF12F61-10B8-4F1F-8D0D-1C8D24AF0F89}"/>
    <cellStyle name="AggGreen 4 4 16" xfId="7890" xr:uid="{32006CD1-FB45-4823-95E4-4F160847A7AF}"/>
    <cellStyle name="AggGreen 4 4 17" xfId="8131" xr:uid="{A098D14D-A691-4096-A5E9-B8A243D4A6EE}"/>
    <cellStyle name="AggGreen 4 4 18" xfId="7043" xr:uid="{6FC78A5F-A812-4FE0-9C9B-DF5931A46DC8}"/>
    <cellStyle name="AggGreen 4 4 19" xfId="9566" xr:uid="{0130450F-976F-43C3-BFCD-D9E23E179383}"/>
    <cellStyle name="AggGreen 4 4 2" xfId="847" xr:uid="{A8A79DA9-F94B-4AF5-9A23-E7C8EF805176}"/>
    <cellStyle name="AggGreen 4 4 2 10" xfId="5495" xr:uid="{500A520A-F537-4110-88B6-B306A594EAC7}"/>
    <cellStyle name="AggGreen 4 4 2 11" xfId="4999" xr:uid="{D404F51C-6BAF-4136-B518-5187D40EA75C}"/>
    <cellStyle name="AggGreen 4 4 2 12" xfId="6159" xr:uid="{C7AB55F6-6FCC-4EB2-8C22-AE68EB4EC8FA}"/>
    <cellStyle name="AggGreen 4 4 2 13" xfId="6532" xr:uid="{612B4148-D3BA-4B4E-90F1-F955CF384DEE}"/>
    <cellStyle name="AggGreen 4 4 2 14" xfId="7567" xr:uid="{4B1F996E-6C9E-4477-A32E-CDF3CBD5D3EA}"/>
    <cellStyle name="AggGreen 4 4 2 15" xfId="7207" xr:uid="{B9E2959B-C25D-40E1-AA02-74A1BF98AD26}"/>
    <cellStyle name="AggGreen 4 4 2 16" xfId="8238" xr:uid="{C869D8B1-6996-4509-83FE-1EB63C1516A9}"/>
    <cellStyle name="AggGreen 4 4 2 17" xfId="8881" xr:uid="{F2A35E61-D65A-446B-9D07-1666C65725C1}"/>
    <cellStyle name="AggGreen 4 4 2 18" xfId="9781" xr:uid="{E43E2B42-338E-4911-B944-9AD058B6AA33}"/>
    <cellStyle name="AggGreen 4 4 2 19" xfId="9420" xr:uid="{BBEBA339-626C-4434-9269-4D25228736A1}"/>
    <cellStyle name="AggGreen 4 4 2 2" xfId="1321" xr:uid="{4E4F955C-19CD-4CCA-96EA-056443FC43C2}"/>
    <cellStyle name="AggGreen 4 4 2 20" xfId="9138" xr:uid="{3033CA0E-F421-42FB-9657-D906D5C670B5}"/>
    <cellStyle name="AggGreen 4 4 2 21" xfId="10754" xr:uid="{E59D8250-D396-4843-8372-22BB46AC6CB4}"/>
    <cellStyle name="AggGreen 4 4 2 22" xfId="8961" xr:uid="{0ECDFD52-E4A6-4C7F-885D-8BB738EFED44}"/>
    <cellStyle name="AggGreen 4 4 2 23" xfId="12200" xr:uid="{77608F7E-6120-469F-BC77-8C6BE031EE72}"/>
    <cellStyle name="AggGreen 4 4 2 24" xfId="12673" xr:uid="{BB9616B3-F9F5-40CD-8838-D0B4CF393190}"/>
    <cellStyle name="AggGreen 4 4 2 25" xfId="13107" xr:uid="{1483B3DF-44F3-4437-BF42-D9CBD6DD1E78}"/>
    <cellStyle name="AggGreen 4 4 2 26" xfId="13544" xr:uid="{DE15A720-3577-49BB-8134-4E8AF84B57D7}"/>
    <cellStyle name="AggGreen 4 4 2 27" xfId="13820" xr:uid="{31EAE559-8CA1-46B7-945F-93A1B3C9AB28}"/>
    <cellStyle name="AggGreen 4 4 2 28" xfId="11644" xr:uid="{7CBB2E1D-C35F-41EB-A965-34167D999FE1}"/>
    <cellStyle name="AggGreen 4 4 2 29" xfId="14323" xr:uid="{33ABC988-EBB2-4A4D-9E44-553B721CA054}"/>
    <cellStyle name="AggGreen 4 4 2 3" xfId="1770" xr:uid="{F546BB60-4A71-4CDA-8E46-CAF62618E900}"/>
    <cellStyle name="AggGreen 4 4 2 30" xfId="15137" xr:uid="{4865BEF0-97C2-4317-B4C4-25366366119B}"/>
    <cellStyle name="AggGreen 4 4 2 31" xfId="15164" xr:uid="{5CC57C52-18E2-49FA-9B51-EA2668DDBADE}"/>
    <cellStyle name="AggGreen 4 4 2 32" xfId="15527" xr:uid="{DB4A1C29-2448-4519-842C-64AEA47241A2}"/>
    <cellStyle name="AggGreen 4 4 2 33" xfId="16892" xr:uid="{BDC5ECE7-0A2A-42A0-AB76-BEDFFFD916B8}"/>
    <cellStyle name="AggGreen 4 4 2 34" xfId="16529" xr:uid="{3C2E4759-E823-45A0-B29D-E9A23B48B6FB}"/>
    <cellStyle name="AggGreen 4 4 2 35" xfId="16749" xr:uid="{CA783A26-180F-467E-BFCB-F01E427B0F22}"/>
    <cellStyle name="AggGreen 4 4 2 36" xfId="17777" xr:uid="{0B661438-3B28-4A96-ADCD-23E79C4EC1F0}"/>
    <cellStyle name="AggGreen 4 4 2 37" xfId="18710" xr:uid="{1DAE0954-AD89-408B-B1C1-50B3C50DF704}"/>
    <cellStyle name="AggGreen 4 4 2 38" xfId="18967" xr:uid="{A2D81995-90EF-4680-8AE7-B9F578679F96}"/>
    <cellStyle name="AggGreen 4 4 2 39" xfId="19254" xr:uid="{979ECCAD-8FB8-4FE2-8735-67F2E3092365}"/>
    <cellStyle name="AggGreen 4 4 2 4" xfId="2669" xr:uid="{23795840-8280-456A-9788-AD50D387E7B1}"/>
    <cellStyle name="AggGreen 4 4 2 40" xfId="20229" xr:uid="{40EA3C7C-EE9B-4DF0-9C67-213B5DB21017}"/>
    <cellStyle name="AggGreen 4 4 2 41" xfId="19865" xr:uid="{E30C64A8-F296-4E4E-A079-FAE14CAAEFDF}"/>
    <cellStyle name="AggGreen 4 4 2 42" xfId="19398" xr:uid="{50F120CC-47E3-4409-8A3B-2195C21F8E13}"/>
    <cellStyle name="AggGreen 4 4 2 43" xfId="21521" xr:uid="{F3F80CD7-5840-46A0-9C56-B57B12C695E1}"/>
    <cellStyle name="AggGreen 4 4 2 44" xfId="19677" xr:uid="{78B4AEA3-5BF8-4C8C-B82E-E7AA43D4BAF5}"/>
    <cellStyle name="AggGreen 4 4 2 45" xfId="21822" xr:uid="{04D5099E-8831-4FEC-9E48-558FF7C7B18A}"/>
    <cellStyle name="AggGreen 4 4 2 46" xfId="22808" xr:uid="{9951DF45-C8AB-464B-88DD-53BA9883010B}"/>
    <cellStyle name="AggGreen 4 4 2 47" xfId="23253" xr:uid="{4F97CF0F-EA33-4092-84A5-D8B7E61751EF}"/>
    <cellStyle name="AggGreen 4 4 2 48" xfId="23617" xr:uid="{9B99E5B2-BFA2-4FA3-B1A8-4E979AB9BB70}"/>
    <cellStyle name="AggGreen 4 4 2 49" xfId="24029" xr:uid="{0DCE4964-B7B2-4611-B246-D695862BA9A3}"/>
    <cellStyle name="AggGreen 4 4 2 5" xfId="2986" xr:uid="{B166B574-ED4B-45E6-848B-6847AA750F67}"/>
    <cellStyle name="AggGreen 4 4 2 50" xfId="24937" xr:uid="{2C510ED4-5C81-4767-8617-9CF6CBD4D00C}"/>
    <cellStyle name="AggGreen 4 4 2 51" xfId="24431" xr:uid="{32C508EF-E702-41D9-9F5D-92019DCCD2FE}"/>
    <cellStyle name="AggGreen 4 4 2 52" xfId="25853" xr:uid="{379123D0-6FDF-43D1-95AB-7E6B3AEE00BD}"/>
    <cellStyle name="AggGreen 4 4 2 53" xfId="26105" xr:uid="{19ED74C4-87EB-4CC3-B3E2-F81439E563E6}"/>
    <cellStyle name="AggGreen 4 4 2 54" xfId="24411" xr:uid="{BA6A5CF3-A6D6-4569-99FB-ABC33CABC041}"/>
    <cellStyle name="AggGreen 4 4 2 55" xfId="27141" xr:uid="{DDF31943-844B-466C-8482-742AA0C64A13}"/>
    <cellStyle name="AggGreen 4 4 2 56" xfId="27560" xr:uid="{C509844F-F3A8-4544-A916-1D49097C68E3}"/>
    <cellStyle name="AggGreen 4 4 2 57" xfId="25972" xr:uid="{F38FF766-B8D5-416C-8886-9EA622213747}"/>
    <cellStyle name="AggGreen 4 4 2 58" xfId="28687" xr:uid="{D4535E4F-8A3D-4074-B2B4-E9483EF37E02}"/>
    <cellStyle name="AggGreen 4 4 2 59" xfId="29154" xr:uid="{329DF76C-E24A-46FF-BD2A-5419E2682988}"/>
    <cellStyle name="AggGreen 4 4 2 6" xfId="3544" xr:uid="{4FAE5746-4094-4597-8E75-A6289E6237B7}"/>
    <cellStyle name="AggGreen 4 4 2 60" xfId="28094" xr:uid="{4745E344-9BF8-487C-A63A-33F57D063D43}"/>
    <cellStyle name="AggGreen 4 4 2 61" xfId="29943" xr:uid="{2459AC1A-FE98-402F-8C12-3C93AEB97DAA}"/>
    <cellStyle name="AggGreen 4 4 2 62" xfId="30349" xr:uid="{B721D1C9-843F-4A98-B6DA-77B3BA47BD35}"/>
    <cellStyle name="AggGreen 4 4 2 63" xfId="30766" xr:uid="{14506C6B-CC4F-43EF-A6B5-374B3AAAC612}"/>
    <cellStyle name="AggGreen 4 4 2 64" xfId="30416" xr:uid="{FE06A570-048C-4EA1-B66B-6A36324D4CA3}"/>
    <cellStyle name="AggGreen 4 4 2 65" xfId="31382" xr:uid="{1446F2A9-72E8-429F-B47A-910C55B21B0B}"/>
    <cellStyle name="AggGreen 4 4 2 7" xfId="4165" xr:uid="{7E88B055-3E79-4FE5-97D3-ABA780B2FF59}"/>
    <cellStyle name="AggGreen 4 4 2 8" xfId="4602" xr:uid="{C1F4C817-CD64-4B78-A9E8-1CE7D3AC027B}"/>
    <cellStyle name="AggGreen 4 4 2 9" xfId="3798" xr:uid="{802AA629-A49B-455E-929E-954F34D2696A}"/>
    <cellStyle name="AggGreen 4 4 20" xfId="10103" xr:uid="{E1910387-659F-4625-87D1-0A50698ED23C}"/>
    <cellStyle name="AggGreen 4 4 21" xfId="10519" xr:uid="{2FE5596B-6781-4481-A1A9-3EB1510BB256}"/>
    <cellStyle name="AggGreen 4 4 22" xfId="9438" xr:uid="{AD64BF45-4D8D-4C77-8122-3871631303FF}"/>
    <cellStyle name="AggGreen 4 4 23" xfId="10815" xr:uid="{1F74F17D-D196-45C9-8300-AFC7D7E5610F}"/>
    <cellStyle name="AggGreen 4 4 24" xfId="11985" xr:uid="{E70EB67C-5C8A-45C0-AF45-BBB7E36718CD}"/>
    <cellStyle name="AggGreen 4 4 25" xfId="12458" xr:uid="{56EB6D22-D7D0-4490-9D82-F25B0194422F}"/>
    <cellStyle name="AggGreen 4 4 26" xfId="12892" xr:uid="{C132989A-8ABB-4407-8A29-7FA328BD139C}"/>
    <cellStyle name="AggGreen 4 4 27" xfId="13329" xr:uid="{077AD47A-903F-4FC4-9618-320DA82A39E5}"/>
    <cellStyle name="AggGreen 4 4 28" xfId="13396" xr:uid="{67EC0BDC-5E71-4278-8E23-87D84DFD74DD}"/>
    <cellStyle name="AggGreen 4 4 29" xfId="13698" xr:uid="{5C248D98-416D-4C8C-93F4-095915C183BB}"/>
    <cellStyle name="AggGreen 4 4 3" xfId="1115" xr:uid="{769CEEF6-7D90-4B54-A59C-E195F82B8EBA}"/>
    <cellStyle name="AggGreen 4 4 30" xfId="14644" xr:uid="{1CA630C7-4163-4F9C-A91B-38828A3856DD}"/>
    <cellStyle name="AggGreen 4 4 31" xfId="15075" xr:uid="{23C1D21E-6F6F-4CD7-849F-9A92B294919C}"/>
    <cellStyle name="AggGreen 4 4 32" xfId="15536" xr:uid="{2B2E182E-223D-4B4B-A317-FEE0BC148D21}"/>
    <cellStyle name="AggGreen 4 4 33" xfId="15913" xr:uid="{CB95E37D-9E6E-446B-9020-F0A7BB4965F0}"/>
    <cellStyle name="AggGreen 4 4 34" xfId="16677" xr:uid="{1AF9AA96-EC70-4A61-8542-B9B22FB99F20}"/>
    <cellStyle name="AggGreen 4 4 35" xfId="17222" xr:uid="{86F59BBB-7ADB-49D4-9D05-227BCF059502}"/>
    <cellStyle name="AggGreen 4 4 36" xfId="17667" xr:uid="{B50FD068-0A5C-4896-A267-D6292425CD05}"/>
    <cellStyle name="AggGreen 4 4 37" xfId="17312" xr:uid="{65662373-97F3-4BB7-8AC3-E7CD6813CFAE}"/>
    <cellStyle name="AggGreen 4 4 38" xfId="18495" xr:uid="{1D3A1A72-784B-4922-B4C9-4C22A7CE311A}"/>
    <cellStyle name="AggGreen 4 4 39" xfId="18296" xr:uid="{1ECB196E-6024-44A7-822D-C5EFA59ED0AE}"/>
    <cellStyle name="AggGreen 4 4 4" xfId="1633" xr:uid="{BE0F5E07-021B-4008-9601-4B509749108E}"/>
    <cellStyle name="AggGreen 4 4 40" xfId="19247" xr:uid="{C582343D-EE9C-40F6-8C6F-6EDDF086DAC0}"/>
    <cellStyle name="AggGreen 4 4 41" xfId="20014" xr:uid="{0BDC2216-1C58-4FF3-824A-1FFEC6FF608E}"/>
    <cellStyle name="AggGreen 4 4 42" xfId="20575" xr:uid="{E6FE0411-4CDD-4D78-87C1-6538D0ACABBD}"/>
    <cellStyle name="AggGreen 4 4 43" xfId="21028" xr:uid="{2DCAD772-1A65-48BE-97F7-2517487E531F}"/>
    <cellStyle name="AggGreen 4 4 44" xfId="21089" xr:uid="{17C54648-AB65-4B8C-BA94-DA204E3F61EE}"/>
    <cellStyle name="AggGreen 4 4 45" xfId="21959" xr:uid="{EE25A6F2-25FA-4233-9ED0-2DDD8EC2056F}"/>
    <cellStyle name="AggGreen 4 4 46" xfId="22390" xr:uid="{5B58F699-7CEF-47A4-96E1-C05C0C7D2527}"/>
    <cellStyle name="AggGreen 4 4 47" xfId="22468" xr:uid="{307C908C-F5A6-4AF7-90EF-00CE47CFBEE9}"/>
    <cellStyle name="AggGreen 4 4 48" xfId="22697" xr:uid="{F2B1E7B5-A444-4068-BC94-496199C1F90F}"/>
    <cellStyle name="AggGreen 4 4 49" xfId="23651" xr:uid="{B65DA5CF-0B20-4EBA-B6B0-7B57621A1BF3}"/>
    <cellStyle name="AggGreen 4 4 5" xfId="2454" xr:uid="{FB20EA5E-2C76-47B5-8732-9340FD0C17C8}"/>
    <cellStyle name="AggGreen 4 4 50" xfId="23823" xr:uid="{62AC21DD-0504-4057-90C8-E4D49BD97279}"/>
    <cellStyle name="AggGreen 4 4 51" xfId="24722" xr:uid="{03D3021B-3659-4058-9EC4-90F1BF25C385}"/>
    <cellStyle name="AggGreen 4 4 52" xfId="25283" xr:uid="{4DC4B0C4-8B47-4596-BA3A-92A5B3AD4B96}"/>
    <cellStyle name="AggGreen 4 4 53" xfId="25640" xr:uid="{F5B272D8-0913-4BAD-9A6B-4FA75F8C5E29}"/>
    <cellStyle name="AggGreen 4 4 54" xfId="25897" xr:uid="{95DA9896-B21D-4EC5-AA84-2AEC59E308FD}"/>
    <cellStyle name="AggGreen 4 4 55" xfId="26103" xr:uid="{3E7B7FC2-0661-43D1-94E3-5F03E08A5317}"/>
    <cellStyle name="AggGreen 4 4 56" xfId="26930" xr:uid="{A1EE8B43-4DE4-4C40-8736-A70776163FD4}"/>
    <cellStyle name="AggGreen 4 4 57" xfId="27349" xr:uid="{44BF202D-0734-4648-BDBE-2CD5809BC70D}"/>
    <cellStyle name="AggGreen 4 4 58" xfId="24517" xr:uid="{F607210D-7FFE-4BA3-ACDB-002272BAF8D5}"/>
    <cellStyle name="AggGreen 4 4 59" xfId="28472" xr:uid="{0BD432B0-A8DC-4412-9BEE-F2DA133A6081}"/>
    <cellStyle name="AggGreen 4 4 6" xfId="1900" xr:uid="{842E92EC-DA51-43FC-9BE9-17D6EB070D5D}"/>
    <cellStyle name="AggGreen 4 4 60" xfId="28940" xr:uid="{162A9981-FF63-42BC-9A89-72CE466785D6}"/>
    <cellStyle name="AggGreen 4 4 61" xfId="29411" xr:uid="{0A7C1BBA-D37A-4BF6-BF95-E1013E59AE0B}"/>
    <cellStyle name="AggGreen 4 4 62" xfId="29730" xr:uid="{CAA63B9A-8592-41EA-890C-9CA4866A31EE}"/>
    <cellStyle name="AggGreen 4 4 63" xfId="30138" xr:uid="{2308C0F8-3E43-4F11-87E2-8F72A6A18948}"/>
    <cellStyle name="AggGreen 4 4 64" xfId="30552" xr:uid="{2BE43283-E3AE-4BE0-9CAA-766B51A39BDF}"/>
    <cellStyle name="AggGreen 4 4 65" xfId="30984" xr:uid="{13EA5EF8-A876-476E-AF9A-AC658F908A58}"/>
    <cellStyle name="AggGreen 4 4 66" xfId="31176" xr:uid="{199BBB73-3758-48FC-93C8-BC166F3572C6}"/>
    <cellStyle name="AggGreen 4 4 7" xfId="2811" xr:uid="{D01D7D4F-5569-4A98-A44C-F02ADD2ED8E9}"/>
    <cellStyle name="AggGreen 4 4 8" xfId="3950" xr:uid="{C91C76B3-5A37-4927-AF0F-67EFCAD42DCB}"/>
    <cellStyle name="AggGreen 4 4 9" xfId="4388" xr:uid="{165B7C57-D6D8-48B8-80D1-4547CE4A0213}"/>
    <cellStyle name="AggGreen 4 40" xfId="17717" xr:uid="{D4D24DA4-768A-431A-990C-30BEE0F72629}"/>
    <cellStyle name="AggGreen 4 41" xfId="18910" xr:uid="{E982690F-F78B-4EE7-B6E6-EA504011AD2F}"/>
    <cellStyle name="AggGreen 4 42" xfId="18057" xr:uid="{F39F5D62-B00E-4A0D-9B89-8672045ADD8C}"/>
    <cellStyle name="AggGreen 4 43" xfId="19644" xr:uid="{8AD1D806-5F29-4048-9370-2498FEB30EF4}"/>
    <cellStyle name="AggGreen 4 44" xfId="19737" xr:uid="{F446A490-2E33-4C43-BF89-A130E753BB6A}"/>
    <cellStyle name="AggGreen 4 45" xfId="20609" xr:uid="{8B75CD5B-153E-453A-8FDD-68288A8D2649}"/>
    <cellStyle name="AggGreen 4 46" xfId="21103" xr:uid="{C1598C5A-8D70-4AE1-BAB9-4763C8D1389E}"/>
    <cellStyle name="AggGreen 4 47" xfId="19870" xr:uid="{89A1F68D-F4FE-4F1D-9237-4BEA08B498EC}"/>
    <cellStyle name="AggGreen 4 48" xfId="21867" xr:uid="{9A888B64-6E0C-4F89-89F7-38C9612A5EB7}"/>
    <cellStyle name="AggGreen 4 49" xfId="22097" xr:uid="{A42519E5-E303-4DA7-8BF0-0FAD81346930}"/>
    <cellStyle name="AggGreen 4 5" xfId="937" xr:uid="{8AE992C3-7813-41AD-83CF-C30F2F9E69A1}"/>
    <cellStyle name="AggGreen 4 50" xfId="23188" xr:uid="{0D799067-9B73-4FA0-A2FD-43CFC4139148}"/>
    <cellStyle name="AggGreen 4 51" xfId="23031" xr:uid="{3E289EA1-CF57-4EBE-AB77-57B218D4F895}"/>
    <cellStyle name="AggGreen 4 52" xfId="22929" xr:uid="{8BE192E2-0FF1-4862-B2DA-8C231A839ABA}"/>
    <cellStyle name="AggGreen 4 53" xfId="24364" xr:uid="{4BE8B6CE-87D4-40DA-B577-724D2FA5B03A}"/>
    <cellStyle name="AggGreen 4 54" xfId="25034" xr:uid="{E4D753C0-DD2E-4F2A-A1C6-0691EE6AF5E5}"/>
    <cellStyle name="AggGreen 4 55" xfId="25193" xr:uid="{29608500-3E64-4E77-8878-3225DA91D90A}"/>
    <cellStyle name="AggGreen 4 56" xfId="24215" xr:uid="{4DCF35AE-E839-465D-A671-9A6B6B766F22}"/>
    <cellStyle name="AggGreen 4 57" xfId="26484" xr:uid="{324A3B16-FB71-4E45-9D94-07BEB49BFDAC}"/>
    <cellStyle name="AggGreen 4 58" xfId="26109" xr:uid="{17643FAA-D9DC-4295-8F55-80F9C967D7F0}"/>
    <cellStyle name="AggGreen 4 59" xfId="25476" xr:uid="{D9BA27AD-DE69-42BE-8BE9-A44475D90313}"/>
    <cellStyle name="AggGreen 4 6" xfId="1534" xr:uid="{0122B9DA-813D-419C-9536-94BDC3DDA563}"/>
    <cellStyle name="AggGreen 4 60" xfId="26460" xr:uid="{E73E2D53-D928-46FA-9760-E7262EC65942}"/>
    <cellStyle name="AggGreen 4 61" xfId="28135" xr:uid="{FEA24765-50D0-4251-87E2-B2D7DC54EC02}"/>
    <cellStyle name="AggGreen 4 62" xfId="28021" xr:uid="{2565AC22-B210-42FD-B3A9-9F0A08A024FA}"/>
    <cellStyle name="AggGreen 4 63" xfId="28062" xr:uid="{7CC98BDE-1B8E-4748-AA58-C53DA23AB4C7}"/>
    <cellStyle name="AggGreen 4 64" xfId="27909" xr:uid="{C919EFBB-3DA0-46ED-AA22-2E29CC0559AF}"/>
    <cellStyle name="AggGreen 4 65" xfId="29381" xr:uid="{E4AAD484-F33E-4B6B-A44C-AB608CE24075}"/>
    <cellStyle name="AggGreen 4 66" xfId="29376" xr:uid="{DED619A9-8570-4CD3-9FF4-C56D6209C29A}"/>
    <cellStyle name="AggGreen 4 67" xfId="30811" xr:uid="{9A0FA32E-C437-46D1-ADC6-65DD4D744F52}"/>
    <cellStyle name="AggGreen 4 68" xfId="28274" xr:uid="{BF8F580E-FF40-4D54-A39E-3415F5006727}"/>
    <cellStyle name="AggGreen 4 7" xfId="2084" xr:uid="{07DBCC8C-B61D-4182-8C00-39D5345B12BA}"/>
    <cellStyle name="AggGreen 4 8" xfId="2206" xr:uid="{F2A6FC56-518C-4183-8817-A2116FBCEE6C}"/>
    <cellStyle name="AggGreen 4 9" xfId="2897" xr:uid="{77C74D6E-AD81-4289-B9AA-2B55AF6EF403}"/>
    <cellStyle name="AggGreen 5" xfId="76" xr:uid="{74782D46-EE93-4856-85F0-93DC50C466F2}"/>
    <cellStyle name="AggGreen 5 10" xfId="16128" xr:uid="{7DDE0833-4A27-448D-B654-C1E397EF47E7}"/>
    <cellStyle name="AggGreen 5 11" xfId="18960" xr:uid="{876729EB-8E32-436D-A85A-8B514D77C3DF}"/>
    <cellStyle name="AggGreen 5 12" xfId="19461" xr:uid="{9FEF8616-7DE3-4601-89D3-6C848EA5E90C}"/>
    <cellStyle name="AggGreen 5 13" xfId="22479" xr:uid="{BA51436C-6AFE-4E01-91E0-8B131C0B1BD4}"/>
    <cellStyle name="AggGreen 5 14" xfId="24182" xr:uid="{BC992617-65E1-4DED-9C97-F6EEC6EBA08F}"/>
    <cellStyle name="AggGreen 5 15" xfId="26539" xr:uid="{E0954195-7CB1-43B7-94B3-9C325CC42CD9}"/>
    <cellStyle name="AggGreen 5 16" xfId="27975" xr:uid="{E93165C1-C050-4160-A46E-51BBDB5FA7FE}"/>
    <cellStyle name="AggGreen 5 2" xfId="921" xr:uid="{28E525F4-757E-4A0D-8CA0-C3A867CD0037}"/>
    <cellStyle name="AggGreen 5 3" xfId="1904" xr:uid="{12E9B9C9-64C8-4A7E-B2C1-4E86C160B3E7}"/>
    <cellStyle name="AggGreen 5 4" xfId="3582" xr:uid="{7254A4F0-F86D-4366-971A-6E9261544B18}"/>
    <cellStyle name="AggGreen 5 5" xfId="3328" xr:uid="{A1F3BBA5-1A53-4BBA-AEE3-168ED41815FB}"/>
    <cellStyle name="AggGreen 5 6" xfId="6817" xr:uid="{D8F15E08-A554-4F83-8AEA-D63C69729619}"/>
    <cellStyle name="AggGreen 5 7" xfId="8483" xr:uid="{87D02548-FF44-4EE1-9431-6F7DEA2D8C4E}"/>
    <cellStyle name="AggGreen 5 8" xfId="9031" xr:uid="{B31ABF98-9731-4EBE-BEC0-BC4E6553D899}"/>
    <cellStyle name="AggGreen 5 9" xfId="11436" xr:uid="{79F4AC41-F548-4728-8633-72A14F265E02}"/>
    <cellStyle name="AggGreen_Bbdr" xfId="25" xr:uid="{6AF3ED15-6184-4190-B432-7DD1899DD1D6}"/>
    <cellStyle name="AggGreen12" xfId="22" xr:uid="{7FBA6500-DA27-44F6-BD14-3A6FF781C884}"/>
    <cellStyle name="AggGreen12 2" xfId="115" xr:uid="{EE1B7331-A7DD-45BC-9BC0-7144F65CFB6F}"/>
    <cellStyle name="AggGreen12 2 2" xfId="405" xr:uid="{FE8470F5-6E8E-48DD-82DE-4CC091F37F07}"/>
    <cellStyle name="AggGreen12 2 2 2" xfId="598" xr:uid="{7093A909-17B6-4E06-84D8-E6800D7789A7}"/>
    <cellStyle name="AggGreen12 2 2 2 10" xfId="4871" xr:uid="{9BE8E04B-C4DE-4797-9273-62DE9D7026C5}"/>
    <cellStyle name="AggGreen12 2 2 2 11" xfId="5246" xr:uid="{19C31085-9C49-4696-A6D0-FE799B1391C9}"/>
    <cellStyle name="AggGreen12 2 2 2 12" xfId="5959" xr:uid="{B91951D3-5F80-46B9-A0E6-FF9FC45FD64E}"/>
    <cellStyle name="AggGreen12 2 2 2 13" xfId="6276" xr:uid="{9D2CB6B4-4D96-4E9B-9DA0-BDA0B6006953}"/>
    <cellStyle name="AggGreen12 2 2 2 14" xfId="6132" xr:uid="{6F6B7528-9AEB-4D10-9EAE-1BA0628A9840}"/>
    <cellStyle name="AggGreen12 2 2 2 15" xfId="7318" xr:uid="{85F7A698-C5AD-484B-932B-1E4C0A8D1FD9}"/>
    <cellStyle name="AggGreen12 2 2 2 16" xfId="7708" xr:uid="{04ABD9F0-0C10-449B-A52B-557EC74EE92A}"/>
    <cellStyle name="AggGreen12 2 2 2 17" xfId="8398" xr:uid="{958F311D-C8B7-423B-B350-127A527A12C4}"/>
    <cellStyle name="AggGreen12 2 2 2 18" xfId="7126" xr:uid="{4F4094AA-4026-4F3C-8330-73C21052D1D6}"/>
    <cellStyle name="AggGreen12 2 2 2 19" xfId="9532" xr:uid="{A5F60BB2-9921-4F2F-A036-4CCD66B9EB8C}"/>
    <cellStyle name="AggGreen12 2 2 2 2" xfId="813" xr:uid="{5D8A91BF-D59B-4330-911E-5048781661B4}"/>
    <cellStyle name="AggGreen12 2 2 2 2 10" xfId="5461" xr:uid="{60D789E7-A1DF-4CCC-B7EC-8D8F35EEEBE3}"/>
    <cellStyle name="AggGreen12 2 2 2 2 11" xfId="4013" xr:uid="{73E13D7E-1779-48D6-A79B-E9EA0251EC84}"/>
    <cellStyle name="AggGreen12 2 2 2 2 12" xfId="6046" xr:uid="{FB791855-A64D-449A-9DE0-418D084A653A}"/>
    <cellStyle name="AggGreen12 2 2 2 2 13" xfId="6580" xr:uid="{7BE3E69C-F056-41F3-9B53-B6BCB720E836}"/>
    <cellStyle name="AggGreen12 2 2 2 2 14" xfId="7533" xr:uid="{D826CA6A-4298-4A8E-A54B-AD70BB24884E}"/>
    <cellStyle name="AggGreen12 2 2 2 2 15" xfId="7074" xr:uid="{E44B86E5-7329-46B7-A994-DC4ECC8D2780}"/>
    <cellStyle name="AggGreen12 2 2 2 2 16" xfId="8170" xr:uid="{3F976FDB-003B-47FF-9973-DE9778ADC3DA}"/>
    <cellStyle name="AggGreen12 2 2 2 2 17" xfId="8735" xr:uid="{ED8FF6B0-DC5E-4DFB-89E0-782817D67714}"/>
    <cellStyle name="AggGreen12 2 2 2 2 18" xfId="9747" xr:uid="{BB389EA2-E68C-4A4B-87AE-D2410FD4B596}"/>
    <cellStyle name="AggGreen12 2 2 2 2 19" xfId="9287" xr:uid="{461FC399-5551-4DA3-A47D-46F3FD975967}"/>
    <cellStyle name="AggGreen12 2 2 2 2 2" xfId="1287" xr:uid="{556B5014-CF80-4AA1-8D44-33082B4F9ABB}"/>
    <cellStyle name="AggGreen12 2 2 2 2 20" xfId="9861" xr:uid="{08735BB8-0849-455F-B358-5FA71B70EAF2}"/>
    <cellStyle name="AggGreen12 2 2 2 2 21" xfId="10697" xr:uid="{EB016AD6-6ABB-4CA8-8462-C9B97AAFFF49}"/>
    <cellStyle name="AggGreen12 2 2 2 2 22" xfId="11053" xr:uid="{E1806B37-93D5-4E5D-8057-C5FF89CC8633}"/>
    <cellStyle name="AggGreen12 2 2 2 2 23" xfId="12166" xr:uid="{B30E8A1D-803A-4003-980C-C658680F66A3}"/>
    <cellStyle name="AggGreen12 2 2 2 2 24" xfId="12639" xr:uid="{3D2E7291-6023-4953-9ED3-48D14AF4CCA0}"/>
    <cellStyle name="AggGreen12 2 2 2 2 25" xfId="13073" xr:uid="{3585F08F-DAD0-4E1C-B73A-D09EB6891D41}"/>
    <cellStyle name="AggGreen12 2 2 2 2 26" xfId="13510" xr:uid="{29F2E0E1-53AE-4AD8-8D26-DD2C96977FC3}"/>
    <cellStyle name="AggGreen12 2 2 2 2 27" xfId="13615" xr:uid="{58C3283E-9941-4B61-9A79-09DE347E6DBA}"/>
    <cellStyle name="AggGreen12 2 2 2 2 28" xfId="12297" xr:uid="{99B60D2A-9B62-411F-8266-90CFE8CCAAC3}"/>
    <cellStyle name="AggGreen12 2 2 2 2 29" xfId="14386" xr:uid="{AEF55AEE-11D0-4B19-ADFC-286166E8F32C}"/>
    <cellStyle name="AggGreen12 2 2 2 2 3" xfId="1477" xr:uid="{CEC976EB-858E-4932-80AC-C04A02D8D2B0}"/>
    <cellStyle name="AggGreen12 2 2 2 2 30" xfId="15110" xr:uid="{E150C874-6B43-426B-BEDD-3585F5A74F91}"/>
    <cellStyle name="AggGreen12 2 2 2 2 31" xfId="14272" xr:uid="{FAA41DBB-8678-4064-87EA-E806B7A387F7}"/>
    <cellStyle name="AggGreen12 2 2 2 2 32" xfId="15751" xr:uid="{0A985B00-0CF4-4414-B848-F2B90C6BC31A}"/>
    <cellStyle name="AggGreen12 2 2 2 2 33" xfId="16858" xr:uid="{B1B6D352-C988-4D3B-ABCA-49C289B8C749}"/>
    <cellStyle name="AggGreen12 2 2 2 2 34" xfId="16395" xr:uid="{F5A78369-D611-400C-BD81-02AEB42374CB}"/>
    <cellStyle name="AggGreen12 2 2 2 2 35" xfId="16977" xr:uid="{0D4BD36E-CCDE-49F3-A2E4-902A7AA73B2B}"/>
    <cellStyle name="AggGreen12 2 2 2 2 36" xfId="18121" xr:uid="{90CD1132-7A36-40B0-BBA6-66902F545876}"/>
    <cellStyle name="AggGreen12 2 2 2 2 37" xfId="18676" xr:uid="{D9D0F0B6-8F02-4FBB-B42A-50DA39FC6FE2}"/>
    <cellStyle name="AggGreen12 2 2 2 2 38" xfId="18834" xr:uid="{30FDE097-7546-45A4-ADB6-C7D6B1E54720}"/>
    <cellStyle name="AggGreen12 2 2 2 2 39" xfId="19171" xr:uid="{1CD34DDC-2720-4704-B16C-CDD56B209A17}"/>
    <cellStyle name="AggGreen12 2 2 2 2 4" xfId="2635" xr:uid="{A8819D87-2603-4196-9A62-D1455F7DD729}"/>
    <cellStyle name="AggGreen12 2 2 2 2 40" xfId="20195" xr:uid="{DD6C0F8D-D3AF-49A7-9B57-9F7EDC8D0572}"/>
    <cellStyle name="AggGreen12 2 2 2 2 41" xfId="19730" xr:uid="{97CFEB7E-28A7-43EC-A7D7-26A4C2123BC8}"/>
    <cellStyle name="AggGreen12 2 2 2 2 42" xfId="19464" xr:uid="{95305B0D-DEF0-464F-9C3B-80677E34F383}"/>
    <cellStyle name="AggGreen12 2 2 2 2 43" xfId="19672" xr:uid="{709FB0ED-2F61-4E45-8874-D5255C830643}"/>
    <cellStyle name="AggGreen12 2 2 2 2 44" xfId="21495" xr:uid="{D129FA68-4FA3-4C92-B2BB-F00EB9F427C1}"/>
    <cellStyle name="AggGreen12 2 2 2 2 45" xfId="21904" xr:uid="{FD633071-258C-49D4-81AF-4102A99DF6EC}"/>
    <cellStyle name="AggGreen12 2 2 2 2 46" xfId="22624" xr:uid="{39E7568F-325F-4C7F-8536-E562DAE1A30D}"/>
    <cellStyle name="AggGreen12 2 2 2 2 47" xfId="23108" xr:uid="{A8EDFCD9-524F-445F-80A5-C29D6E7BFBE7}"/>
    <cellStyle name="AggGreen12 2 2 2 2 48" xfId="23441" xr:uid="{876401AD-54DA-4192-A8F8-893676C65A48}"/>
    <cellStyle name="AggGreen12 2 2 2 2 49" xfId="23995" xr:uid="{E9CA9BAB-2B13-4A4D-9DD2-0336CC143E20}"/>
    <cellStyle name="AggGreen12 2 2 2 2 5" xfId="2782" xr:uid="{015E2C87-536C-4299-9E9B-71D05EF94D3B}"/>
    <cellStyle name="AggGreen12 2 2 2 2 50" xfId="24903" xr:uid="{276527BB-9EC5-48B1-89C0-445F1AE0CA3E}"/>
    <cellStyle name="AggGreen12 2 2 2 2 51" xfId="24336" xr:uid="{BD4806AE-0ECB-4C7C-A06E-33205DCBDD1E}"/>
    <cellStyle name="AggGreen12 2 2 2 2 52" xfId="25819" xr:uid="{45790369-C4F3-4C5F-9396-A4FE1FBBAD1E}"/>
    <cellStyle name="AggGreen12 2 2 2 2 53" xfId="25928" xr:uid="{AF03BB90-6D85-4038-A651-A191F0F1667E}"/>
    <cellStyle name="AggGreen12 2 2 2 2 54" xfId="26559" xr:uid="{6B0B84F0-D47B-4054-801B-4699D914899D}"/>
    <cellStyle name="AggGreen12 2 2 2 2 55" xfId="27107" xr:uid="{74053065-1E87-40FD-BDA3-B1C836A42AE3}"/>
    <cellStyle name="AggGreen12 2 2 2 2 56" xfId="27526" xr:uid="{69DF5F35-44A7-437C-A7B8-99C90BF7E8A8}"/>
    <cellStyle name="AggGreen12 2 2 2 2 57" xfId="26777" xr:uid="{F280621D-956F-4ED8-AA42-63E246607323}"/>
    <cellStyle name="AggGreen12 2 2 2 2 58" xfId="28653" xr:uid="{253BA738-80E5-44B0-A294-91AA56E33251}"/>
    <cellStyle name="AggGreen12 2 2 2 2 59" xfId="29120" xr:uid="{4FE65D98-AD2F-448C-9251-F98E56184FF9}"/>
    <cellStyle name="AggGreen12 2 2 2 2 6" xfId="1862" xr:uid="{5888174B-C32A-475F-B7DC-41E4B3CFA982}"/>
    <cellStyle name="AggGreen12 2 2 2 2 60" xfId="28300" xr:uid="{865256E3-3A0F-4DD2-B0FF-734A54C5D5C1}"/>
    <cellStyle name="AggGreen12 2 2 2 2 61" xfId="29909" xr:uid="{F82D9CE0-3B04-4C22-B332-B0950EA3B970}"/>
    <cellStyle name="AggGreen12 2 2 2 2 62" xfId="30315" xr:uid="{E6DE3B13-1164-4179-B3C4-1D9891494192}"/>
    <cellStyle name="AggGreen12 2 2 2 2 63" xfId="30732" xr:uid="{7D015979-5687-4428-92BA-915BB16C54BE}"/>
    <cellStyle name="AggGreen12 2 2 2 2 64" xfId="29419" xr:uid="{24BF8397-EC97-4B2E-9CD4-7076B3D30D6A}"/>
    <cellStyle name="AggGreen12 2 2 2 2 65" xfId="31348" xr:uid="{DA7AE5EA-2920-4E29-949C-5BED39460BD2}"/>
    <cellStyle name="AggGreen12 2 2 2 2 7" xfId="4131" xr:uid="{7258A890-AF01-4DF8-9C74-D7AA1869521C}"/>
    <cellStyle name="AggGreen12 2 2 2 2 8" xfId="4568" xr:uid="{970E4232-D282-4AC1-A30E-AA3978E2E163}"/>
    <cellStyle name="AggGreen12 2 2 2 2 9" xfId="3484" xr:uid="{E08C37AD-0C2D-4589-A555-840CD7DC6FBB}"/>
    <cellStyle name="AggGreen12 2 2 2 20" xfId="9922" xr:uid="{9929455C-4C3B-42E0-ACFE-B74F011CF0E4}"/>
    <cellStyle name="AggGreen12 2 2 2 21" xfId="10353" xr:uid="{6C82A95B-BB99-4815-9932-2A69BEEDD273}"/>
    <cellStyle name="AggGreen12 2 2 2 22" xfId="10984" xr:uid="{25C66927-4018-4451-9FED-7A987C2E1E4A}"/>
    <cellStyle name="AggGreen12 2 2 2 23" xfId="10526" xr:uid="{75A3F214-61F3-4AD4-A4FB-873E8A61520B}"/>
    <cellStyle name="AggGreen12 2 2 2 24" xfId="11951" xr:uid="{88250C85-EECD-4371-8599-E0046B1CF762}"/>
    <cellStyle name="AggGreen12 2 2 2 25" xfId="12424" xr:uid="{827D4654-70DC-4460-A2FB-27D1974AFDC0}"/>
    <cellStyle name="AggGreen12 2 2 2 26" xfId="12858" xr:uid="{878B8725-4599-4155-8F46-025C631D9BCF}"/>
    <cellStyle name="AggGreen12 2 2 2 27" xfId="13295" xr:uid="{928CBD00-ECAE-4DC3-8D22-457D21143FD7}"/>
    <cellStyle name="AggGreen12 2 2 2 28" xfId="11664" xr:uid="{870D5D9E-97CE-48AE-A21F-E83A3665F8D2}"/>
    <cellStyle name="AggGreen12 2 2 2 29" xfId="14371" xr:uid="{6CA0584F-9185-48D7-AD9E-E8C8A25CD663}"/>
    <cellStyle name="AggGreen12 2 2 2 3" xfId="1081" xr:uid="{529B8053-34D2-4BAB-AC86-7E0E55484BDE}"/>
    <cellStyle name="AggGreen12 2 2 2 30" xfId="14248" xr:uid="{D2A06395-5274-4A3B-A8C8-B28FAAC8F2AB}"/>
    <cellStyle name="AggGreen12 2 2 2 31" xfId="14533" xr:uid="{84DD33F8-B94B-4A20-8E13-919B7E1DAD50}"/>
    <cellStyle name="AggGreen12 2 2 2 32" xfId="14966" xr:uid="{8F78E2D1-D5D7-4F04-9AD1-ABFFE54CF58E}"/>
    <cellStyle name="AggGreen12 2 2 2 33" xfId="15810" xr:uid="{F8C21387-FE8C-456B-B340-2CA191866B64}"/>
    <cellStyle name="AggGreen12 2 2 2 34" xfId="16643" xr:uid="{1EE2ACC7-87C2-4AFC-B61A-6B43B45274AF}"/>
    <cellStyle name="AggGreen12 2 2 2 35" xfId="17036" xr:uid="{80D437E6-46B0-40B9-8DB3-F873DB3C202A}"/>
    <cellStyle name="AggGreen12 2 2 2 36" xfId="17484" xr:uid="{CF558671-6EB9-409C-BD8B-71900CAC58C2}"/>
    <cellStyle name="AggGreen12 2 2 2 37" xfId="16043" xr:uid="{E2BBA6BF-9444-49E9-8394-D2FDCC52FC16}"/>
    <cellStyle name="AggGreen12 2 2 2 38" xfId="18461" xr:uid="{0EBADAF8-8514-4D71-9708-5E90CD5EDE4F}"/>
    <cellStyle name="AggGreen12 2 2 2 39" xfId="17016" xr:uid="{46EDCE93-159F-46CE-851F-43F62F7B0150}"/>
    <cellStyle name="AggGreen12 2 2 2 4" xfId="1378" xr:uid="{D48B82FA-B0FF-4C93-AD7D-52D6E440F885}"/>
    <cellStyle name="AggGreen12 2 2 2 40" xfId="19249" xr:uid="{D620BF10-BB5F-4CF4-9598-5E02A7A3E4A1}"/>
    <cellStyle name="AggGreen12 2 2 2 41" xfId="19980" xr:uid="{6918B49F-6604-4840-9001-E17453551BE0}"/>
    <cellStyle name="AggGreen12 2 2 2 42" xfId="20388" xr:uid="{B4898125-8473-44E2-8900-4425E90BCBE3}"/>
    <cellStyle name="AggGreen12 2 2 2 43" xfId="20841" xr:uid="{BFA38743-D823-4336-A277-0FCF355D6BDF}"/>
    <cellStyle name="AggGreen12 2 2 2 44" xfId="21608" xr:uid="{89D87259-20C1-458A-B16B-A3152212B60B}"/>
    <cellStyle name="AggGreen12 2 2 2 45" xfId="21774" xr:uid="{A4FF3F5C-4D73-41BE-9D00-E3A644C6B5A8}"/>
    <cellStyle name="AggGreen12 2 2 2 46" xfId="22211" xr:uid="{41DE7BF3-5476-4BCE-87BE-EFB3F1BC02E4}"/>
    <cellStyle name="AggGreen12 2 2 2 47" xfId="20897" xr:uid="{6B44527C-8967-4B22-AE75-B27B0C822880}"/>
    <cellStyle name="AggGreen12 2 2 2 48" xfId="21820" xr:uid="{B7743485-8D9C-49C2-9B4E-2F32BBB952DE}"/>
    <cellStyle name="AggGreen12 2 2 2 49" xfId="23535" xr:uid="{73BE1099-CA4A-460A-A3DD-F12AABE9E353}"/>
    <cellStyle name="AggGreen12 2 2 2 5" xfId="2420" xr:uid="{D9EDA0FC-A78A-4714-8DBB-2FFED064CFAF}"/>
    <cellStyle name="AggGreen12 2 2 2 50" xfId="23789" xr:uid="{517A1281-891C-4696-9CE8-3FDD510117C6}"/>
    <cellStyle name="AggGreen12 2 2 2 51" xfId="24688" xr:uid="{4F9F3AA5-F036-4331-856D-5E6BDBF2631F}"/>
    <cellStyle name="AggGreen12 2 2 2 52" xfId="25098" xr:uid="{ABC62125-6451-4FBD-BAEC-FE501C40820F}"/>
    <cellStyle name="AggGreen12 2 2 2 53" xfId="25606" xr:uid="{325F304A-812F-480D-9715-157E7A0A523D}"/>
    <cellStyle name="AggGreen12 2 2 2 54" xfId="25479" xr:uid="{3A14FDC4-7AEE-43C9-BA25-DF926EB05A7F}"/>
    <cellStyle name="AggGreen12 2 2 2 55" xfId="26237" xr:uid="{5D6CEDF0-E3ED-48C1-9451-490741E1A90F}"/>
    <cellStyle name="AggGreen12 2 2 2 56" xfId="26896" xr:uid="{3B4E589F-6A22-4C01-B548-9B693D20F789}"/>
    <cellStyle name="AggGreen12 2 2 2 57" xfId="27315" xr:uid="{DEF6BA64-0B6F-4630-B61F-6A2D71367705}"/>
    <cellStyle name="AggGreen12 2 2 2 58" xfId="27762" xr:uid="{EDA2BCA3-27B1-4341-B1CF-B22AED3AC517}"/>
    <cellStyle name="AggGreen12 2 2 2 59" xfId="28438" xr:uid="{BEBDC5E0-8521-469B-97CE-C7AF6B4EBE8F}"/>
    <cellStyle name="AggGreen12 2 2 2 6" xfId="1986" xr:uid="{B1C031A1-3375-45FB-A048-058184920ACA}"/>
    <cellStyle name="AggGreen12 2 2 2 60" xfId="28906" xr:uid="{F5E65C78-5E61-4CFF-92DE-665B7A580C04}"/>
    <cellStyle name="AggGreen12 2 2 2 61" xfId="29252" xr:uid="{8F6A0B78-7113-4A42-8A74-84C8CFA6B887}"/>
    <cellStyle name="AggGreen12 2 2 2 62" xfId="29696" xr:uid="{BF6BA17B-F279-4538-AD9A-D17971446F93}"/>
    <cellStyle name="AggGreen12 2 2 2 63" xfId="30104" xr:uid="{3405B57A-D0B9-4D95-814C-35AA9619B201}"/>
    <cellStyle name="AggGreen12 2 2 2 64" xfId="30518" xr:uid="{A3D485E6-3490-4C82-9908-EE93D24B92A2}"/>
    <cellStyle name="AggGreen12 2 2 2 65" xfId="30958" xr:uid="{2417168C-D805-40C1-8CF8-86196364024E}"/>
    <cellStyle name="AggGreen12 2 2 2 66" xfId="31142" xr:uid="{5C0A7974-B127-4BA3-8BD5-6BE7FA1EC4F3}"/>
    <cellStyle name="AggGreen12 2 2 2 7" xfId="2305" xr:uid="{256697ED-58BC-4F6A-B9BF-632433DF664A}"/>
    <cellStyle name="AggGreen12 2 2 2 8" xfId="3916" xr:uid="{EF95FEEF-6A23-4B22-A1A8-5A4E13BFFB63}"/>
    <cellStyle name="AggGreen12 2 2 2 9" xfId="4354" xr:uid="{178F5176-B7C5-4089-9D0E-656D774BD31F}"/>
    <cellStyle name="AggGreen12 2 2 3" xfId="712" xr:uid="{B3163420-C6FC-4683-8480-07DAFA446AE5}"/>
    <cellStyle name="AggGreen12 2 2 3 10" xfId="5360" xr:uid="{D0DAD2C8-0650-48B7-885F-0F4EFA44FEDF}"/>
    <cellStyle name="AggGreen12 2 2 3 11" xfId="5758" xr:uid="{A3B1BA5A-0493-4E77-9A98-2E1892D5F120}"/>
    <cellStyle name="AggGreen12 2 2 3 12" xfId="4928" xr:uid="{8F0D98AF-6F12-4EF2-8C9A-B6CF61AA285E}"/>
    <cellStyle name="AggGreen12 2 2 3 13" xfId="6545" xr:uid="{4C48B605-36C2-4FDE-BB2E-3EDC2B505139}"/>
    <cellStyle name="AggGreen12 2 2 3 14" xfId="7432" xr:uid="{661A2C49-034F-497E-B932-D9119C7E2CFA}"/>
    <cellStyle name="AggGreen12 2 2 3 15" xfId="7698" xr:uid="{C76A5A34-495A-4910-BBA1-3707D19B0096}"/>
    <cellStyle name="AggGreen12 2 2 3 16" xfId="8169" xr:uid="{BD185D73-E60C-4162-A6A2-767EFD5C655F}"/>
    <cellStyle name="AggGreen12 2 2 3 17" xfId="7666" xr:uid="{78FD2B1C-622C-4C22-8046-CB8E8C28315D}"/>
    <cellStyle name="AggGreen12 2 2 3 18" xfId="9646" xr:uid="{690FA0CD-EA54-41EC-86BD-681DD85506A8}"/>
    <cellStyle name="AggGreen12 2 2 3 19" xfId="9913" xr:uid="{3ECDA328-A55E-4E3A-A34A-A8C65BED8C63}"/>
    <cellStyle name="AggGreen12 2 2 3 2" xfId="1186" xr:uid="{7F6053C8-0CB2-408D-9C9D-28DC851C6F2D}"/>
    <cellStyle name="AggGreen12 2 2 3 20" xfId="10344" xr:uid="{16D1C070-7E7B-4B2C-9031-F461BFAA38FC}"/>
    <cellStyle name="AggGreen12 2 2 3 21" xfId="10894" xr:uid="{81C59C96-0F3D-4D5A-9ACF-93E95A924E9A}"/>
    <cellStyle name="AggGreen12 2 2 3 22" xfId="11250" xr:uid="{7DA845F9-74BC-4F6D-A7C2-F899FCFD200E}"/>
    <cellStyle name="AggGreen12 2 2 3 23" xfId="12065" xr:uid="{F5AB66CB-2967-4A05-93C1-C13F684ED20A}"/>
    <cellStyle name="AggGreen12 2 2 3 24" xfId="12538" xr:uid="{D1A1D2D7-31E9-4636-94D1-F8CE65E105C2}"/>
    <cellStyle name="AggGreen12 2 2 3 25" xfId="12972" xr:uid="{A92AD388-4E6A-4F86-93D1-EFAAB3C18E2C}"/>
    <cellStyle name="AggGreen12 2 2 3 26" xfId="13409" xr:uid="{6B67AFD6-C73E-40FB-9F5E-5AA4C9D1C781}"/>
    <cellStyle name="AggGreen12 2 2 3 27" xfId="13928" xr:uid="{6B4BF06F-8AA0-4D45-A7FE-086ECB5849B5}"/>
    <cellStyle name="AggGreen12 2 2 3 28" xfId="14299" xr:uid="{9327B942-E00F-43E8-9B2B-7D36426C5AA5}"/>
    <cellStyle name="AggGreen12 2 2 3 29" xfId="14564" xr:uid="{9915E051-4F9D-40B8-84AF-905B775FAAC9}"/>
    <cellStyle name="AggGreen12 2 2 3 3" xfId="1448" xr:uid="{7B33E0B4-3DB1-421D-91F3-46D72369229F}"/>
    <cellStyle name="AggGreen12 2 2 3 30" xfId="15275" xr:uid="{99964E5C-191A-4E8E-B627-306DD64F045B}"/>
    <cellStyle name="AggGreen12 2 2 3 31" xfId="15750" xr:uid="{55B882A4-1B7C-4E99-8E31-82C738674D3D}"/>
    <cellStyle name="AggGreen12 2 2 3 32" xfId="15808" xr:uid="{A4D1712B-722B-47CD-92D1-6EF7136171D5}"/>
    <cellStyle name="AggGreen12 2 2 3 33" xfId="16757" xr:uid="{9C156898-191D-4D1C-9EE1-C7CC56D91383}"/>
    <cellStyle name="AggGreen12 2 2 3 34" xfId="17026" xr:uid="{CF6E2346-D307-4A71-B276-CBE92E29962E}"/>
    <cellStyle name="AggGreen12 2 2 3 35" xfId="17473" xr:uid="{CB212194-DAA7-4279-8F5F-D43628E3ACC2}"/>
    <cellStyle name="AggGreen12 2 2 3 36" xfId="18009" xr:uid="{87E2F00E-3FEE-4433-82C5-E7B8ADF42EC3}"/>
    <cellStyle name="AggGreen12 2 2 3 37" xfId="18575" xr:uid="{CD4267F0-E94A-4681-8A96-22B18B7D13EB}"/>
    <cellStyle name="AggGreen12 2 2 3 38" xfId="17625" xr:uid="{8DEAAEBF-B0F2-4BC0-9CD8-BCF96A58AF55}"/>
    <cellStyle name="AggGreen12 2 2 3 39" xfId="19251" xr:uid="{EA315897-5D1A-46B6-862F-FE215E3B330D}"/>
    <cellStyle name="AggGreen12 2 2 3 4" xfId="2534" xr:uid="{D67DC2E1-9FF0-41DA-92CF-C8FC091D5A05}"/>
    <cellStyle name="AggGreen12 2 2 3 40" xfId="20094" xr:uid="{5DFB6B37-927B-4274-8C28-807CFCC75C4E}"/>
    <cellStyle name="AggGreen12 2 2 3 41" xfId="20377" xr:uid="{38010BA1-DD4B-48A6-9CA7-CA12BF680B5F}"/>
    <cellStyle name="AggGreen12 2 2 3 42" xfId="20831" xr:uid="{9FCE610A-A193-47A2-A966-78DB6C22AD82}"/>
    <cellStyle name="AggGreen12 2 2 3 43" xfId="20780" xr:uid="{D2A71F35-E5C5-4BF0-B77F-F929575A55AD}"/>
    <cellStyle name="AggGreen12 2 2 3 44" xfId="21763" xr:uid="{6AA8A6F9-61A9-472B-9828-1F3C996A6D37}"/>
    <cellStyle name="AggGreen12 2 2 3 45" xfId="22202" xr:uid="{7D30D76C-7764-4BBE-B361-B2DD06F2FF8C}"/>
    <cellStyle name="AggGreen12 2 2 3 46" xfId="22904" xr:uid="{61A5A1E8-82C1-4B7E-8D11-63178488180D}"/>
    <cellStyle name="AggGreen12 2 2 3 47" xfId="22240" xr:uid="{C14BC6F7-0EB8-4A9C-A7DC-ECB137E4AE4D}"/>
    <cellStyle name="AggGreen12 2 2 3 48" xfId="23466" xr:uid="{26572F2C-D368-4627-B3BB-C8CC9EE956EA}"/>
    <cellStyle name="AggGreen12 2 2 3 49" xfId="23894" xr:uid="{75552E28-5AB2-49F2-873B-6327F0C4DFBB}"/>
    <cellStyle name="AggGreen12 2 2 3 5" xfId="3096" xr:uid="{FD5231A4-E551-42DB-A522-58AF367A3829}"/>
    <cellStyle name="AggGreen12 2 2 3 50" xfId="24802" xr:uid="{2FDDF093-FEEB-4684-9B14-C0318009DDA5}"/>
    <cellStyle name="AggGreen12 2 2 3 51" xfId="25088" xr:uid="{2C59B976-B1DF-4904-AC39-8B5820A2984D}"/>
    <cellStyle name="AggGreen12 2 2 3 52" xfId="25718" xr:uid="{6DCD1BF7-24B3-4CD9-9598-FD87BC06E7E3}"/>
    <cellStyle name="AggGreen12 2 2 3 53" xfId="26209" xr:uid="{3850917A-B8AD-4F32-9D73-1217CC89E769}"/>
    <cellStyle name="AggGreen12 2 2 3 54" xfId="26538" xr:uid="{218047F8-7F09-45F8-88D5-B185B92711C7}"/>
    <cellStyle name="AggGreen12 2 2 3 55" xfId="27006" xr:uid="{4FA099D9-B934-4F11-8E9A-7C8A950C26E5}"/>
    <cellStyle name="AggGreen12 2 2 3 56" xfId="27425" xr:uid="{1F49EB2C-C022-4E2C-8E72-D71D9A2AD5C2}"/>
    <cellStyle name="AggGreen12 2 2 3 57" xfId="26461" xr:uid="{3E12F252-3138-44D3-B47E-34C11499C32B}"/>
    <cellStyle name="AggGreen12 2 2 3 58" xfId="28552" xr:uid="{A6FE60F8-1DA9-4E53-83E9-81E6F2978F85}"/>
    <cellStyle name="AggGreen12 2 2 3 59" xfId="29019" xr:uid="{3ABAB81E-E66C-49AF-92B8-961ABEE1A31D}"/>
    <cellStyle name="AggGreen12 2 2 3 6" xfId="2907" xr:uid="{B06777E7-FF14-49D5-967C-E1114954D4A2}"/>
    <cellStyle name="AggGreen12 2 2 3 60" xfId="29243" xr:uid="{CAD70EA0-5252-4293-9EFF-C9B3E0A7619C}"/>
    <cellStyle name="AggGreen12 2 2 3 61" xfId="29808" xr:uid="{A59125B3-E439-46B3-AEB3-69F077EFE2A5}"/>
    <cellStyle name="AggGreen12 2 2 3 62" xfId="30214" xr:uid="{61F9729B-B7DD-42EE-9218-EECE97F296B3}"/>
    <cellStyle name="AggGreen12 2 2 3 63" xfId="30631" xr:uid="{8B2D2E6C-AA3D-43B6-982E-7EEAE1A83A9C}"/>
    <cellStyle name="AggGreen12 2 2 3 64" xfId="31019" xr:uid="{DAC1416F-C4EE-4C45-B418-325A5F4F765C}"/>
    <cellStyle name="AggGreen12 2 2 3 65" xfId="31247" xr:uid="{57393ADA-268E-43DD-A44C-715458704DE7}"/>
    <cellStyle name="AggGreen12 2 2 3 7" xfId="4030" xr:uid="{7EDF04AA-9323-450A-8CA8-DE6CF287BADC}"/>
    <cellStyle name="AggGreen12 2 2 3 8" xfId="4467" xr:uid="{628DA683-E691-4BA9-81A3-E38DE6D448BE}"/>
    <cellStyle name="AggGreen12 2 2 3 9" xfId="4265" xr:uid="{A6417FDE-0B90-4F60-9AA2-30673FF3BB40}"/>
    <cellStyle name="AggGreen12 2 3" xfId="263" xr:uid="{FB690A81-7D2F-468E-8D98-74D7821A2FD2}"/>
    <cellStyle name="AggGreen12 2 3 10" xfId="3551" xr:uid="{07F55A49-5B17-4336-80CF-ED380829BAE5}"/>
    <cellStyle name="AggGreen12 2 3 11" xfId="2730" xr:uid="{4CA7F284-E990-45CD-BD50-9ABA245742C7}"/>
    <cellStyle name="AggGreen12 2 3 12" xfId="3825" xr:uid="{A4DF5911-37DE-4B4D-AC05-A80F2692440E}"/>
    <cellStyle name="AggGreen12 2 3 13" xfId="3458" xr:uid="{0A26B013-E5EB-4662-AD7D-08CDBF013919}"/>
    <cellStyle name="AggGreen12 2 3 14" xfId="4794" xr:uid="{C2557F91-1CB7-4649-8F5B-284434097EAC}"/>
    <cellStyle name="AggGreen12 2 3 15" xfId="6150" xr:uid="{6FA04B25-21D1-46AB-AD6D-8787BF03F9D9}"/>
    <cellStyle name="AggGreen12 2 3 16" xfId="6095" xr:uid="{A780920C-599D-424B-8CB4-D8102A65585C}"/>
    <cellStyle name="AggGreen12 2 3 17" xfId="6993" xr:uid="{0A9AC4AA-D28B-4783-94A4-013DB424E530}"/>
    <cellStyle name="AggGreen12 2 3 18" xfId="6952" xr:uid="{6E88F788-4E96-43FA-AD04-A141BFCDFC29}"/>
    <cellStyle name="AggGreen12 2 3 19" xfId="8518" xr:uid="{13B2DDD0-2202-40DB-B7C7-C77B84D79832}"/>
    <cellStyle name="AggGreen12 2 3 2" xfId="602" xr:uid="{5CD3E4F8-C7D0-4A90-80F4-EEE361081FD9}"/>
    <cellStyle name="AggGreen12 2 3 2 10" xfId="4733" xr:uid="{6143BD6A-476D-4582-975F-749021523EAB}"/>
    <cellStyle name="AggGreen12 2 3 2 11" xfId="5250" xr:uid="{9B9AB669-CC6C-4284-B99C-F20E0E049D3D}"/>
    <cellStyle name="AggGreen12 2 3 2 12" xfId="4817" xr:uid="{9350EFFF-F73D-4BC0-A9A0-1AC57DB5A6E6}"/>
    <cellStyle name="AggGreen12 2 3 2 13" xfId="5545" xr:uid="{A1331A4F-BAED-4B24-99D6-EDB3C9CA432D}"/>
    <cellStyle name="AggGreen12 2 3 2 14" xfId="6152" xr:uid="{5D652DF7-97B6-4DA5-85BF-037E31B84E2D}"/>
    <cellStyle name="AggGreen12 2 3 2 15" xfId="7322" xr:uid="{B0B79458-8DA0-457C-B39D-CAD5442FBE71}"/>
    <cellStyle name="AggGreen12 2 3 2 16" xfId="7122" xr:uid="{0F7EC19B-9A2D-4091-858F-24C7AAFE7979}"/>
    <cellStyle name="AggGreen12 2 3 2 17" xfId="8287" xr:uid="{351592E3-16EF-4BC9-B33A-90F5325895D6}"/>
    <cellStyle name="AggGreen12 2 3 2 18" xfId="8761" xr:uid="{EBDA7B0C-82CE-421E-8F1B-85E43A53CB36}"/>
    <cellStyle name="AggGreen12 2 3 2 19" xfId="9536" xr:uid="{9215B63F-131A-474A-A458-F76B48F90359}"/>
    <cellStyle name="AggGreen12 2 3 2 2" xfId="817" xr:uid="{EC637064-10AF-47AC-B0BC-7F6FF8747A8C}"/>
    <cellStyle name="AggGreen12 2 3 2 2 10" xfId="5465" xr:uid="{FD86384F-9C83-4ED0-B0E3-00469573A50C}"/>
    <cellStyle name="AggGreen12 2 3 2 2 11" xfId="4674" xr:uid="{6ECFFDE1-A4BF-43DF-9966-B8666A5C72C1}"/>
    <cellStyle name="AggGreen12 2 3 2 2 12" xfId="5583" xr:uid="{EC24DFCA-5C35-4D36-A1EA-2812AB253F49}"/>
    <cellStyle name="AggGreen12 2 3 2 2 13" xfId="3061" xr:uid="{C4C0420F-F7EF-450C-BF8D-C6B6AF78E89F}"/>
    <cellStyle name="AggGreen12 2 3 2 2 14" xfId="7537" xr:uid="{C3C0AC06-F4AF-4404-95B6-F199B29E60CD}"/>
    <cellStyle name="AggGreen12 2 3 2 2 15" xfId="7096" xr:uid="{24AF1A81-A37A-445B-9C14-A1E002F05630}"/>
    <cellStyle name="AggGreen12 2 3 2 2 16" xfId="8210" xr:uid="{5B5CAD71-B060-4FC0-9DD1-578BFBD1E183}"/>
    <cellStyle name="AggGreen12 2 3 2 2 17" xfId="8743" xr:uid="{DC254A98-2BE3-4A72-8B29-57103C638C64}"/>
    <cellStyle name="AggGreen12 2 3 2 2 18" xfId="9751" xr:uid="{B86947FC-B66E-47AD-B8ED-0A93812EE86B}"/>
    <cellStyle name="AggGreen12 2 3 2 2 19" xfId="9081" xr:uid="{A9A7D65C-ABAE-4516-871F-E88BE73C699D}"/>
    <cellStyle name="AggGreen12 2 3 2 2 2" xfId="1291" xr:uid="{0F118FBE-EF25-4CDA-BBD3-C87078A2B8CE}"/>
    <cellStyle name="AggGreen12 2 3 2 2 20" xfId="9439" xr:uid="{388325E7-0B3D-454F-8E9E-1D329A6D6DD5}"/>
    <cellStyle name="AggGreen12 2 3 2 2 21" xfId="9634" xr:uid="{69E17296-2699-47A9-AEC5-C5505C7B8341}"/>
    <cellStyle name="AggGreen12 2 3 2 2 22" xfId="10772" xr:uid="{67C951C0-D37B-49A8-8ED5-9E36716ED268}"/>
    <cellStyle name="AggGreen12 2 3 2 2 23" xfId="12170" xr:uid="{C7C25EF4-07BA-47BE-ACE8-2A67C7A465B9}"/>
    <cellStyle name="AggGreen12 2 3 2 2 24" xfId="12643" xr:uid="{9FAB4961-D6E4-47D3-9D08-DF68C30F37C8}"/>
    <cellStyle name="AggGreen12 2 3 2 2 25" xfId="13077" xr:uid="{426ECE36-FB69-4CAA-A6F8-1DA7539706D1}"/>
    <cellStyle name="AggGreen12 2 3 2 2 26" xfId="13514" xr:uid="{1AB317D4-5F0B-4ED5-9761-46F9598595F9}"/>
    <cellStyle name="AggGreen12 2 3 2 2 27" xfId="13594" xr:uid="{2DEC5069-4A2B-4C74-ADFD-88E608E5F4D4}"/>
    <cellStyle name="AggGreen12 2 3 2 2 28" xfId="14232" xr:uid="{F8483871-0BE2-46C7-B3B7-8EAE0BFB43DF}"/>
    <cellStyle name="AggGreen12 2 3 2 2 29" xfId="13885" xr:uid="{43BB5648-ABB6-4EF8-9604-125D7E62F189}"/>
    <cellStyle name="AggGreen12 2 3 2 2 3" xfId="1475" xr:uid="{1B383BEA-6831-43E8-AA00-FD0F22350672}"/>
    <cellStyle name="AggGreen12 2 3 2 2 30" xfId="15156" xr:uid="{3EE66BB2-F144-4842-87EF-34AC364D4C74}"/>
    <cellStyle name="AggGreen12 2 3 2 2 31" xfId="15331" xr:uid="{412D2CAC-6362-4BFB-833C-6B821B03858C}"/>
    <cellStyle name="AggGreen12 2 3 2 2 32" xfId="15625" xr:uid="{C9F906D5-868E-47F7-8CCE-7CF1F19B81D5}"/>
    <cellStyle name="AggGreen12 2 3 2 2 33" xfId="16862" xr:uid="{39C4CAD7-B351-41B6-83E6-07A2091D29F8}"/>
    <cellStyle name="AggGreen12 2 3 2 2 34" xfId="16418" xr:uid="{F2577450-69FF-4754-A37C-254833409E0A}"/>
    <cellStyle name="AggGreen12 2 3 2 2 35" xfId="16549" xr:uid="{93FE4A1A-6BDC-490E-A3A5-8FE6157003EC}"/>
    <cellStyle name="AggGreen12 2 3 2 2 36" xfId="17226" xr:uid="{557FEE32-F674-4F9E-A5FD-3E6E5C8B123A}"/>
    <cellStyle name="AggGreen12 2 3 2 2 37" xfId="18680" xr:uid="{A313B9F3-5FFD-4947-9263-474582F05E7B}"/>
    <cellStyle name="AggGreen12 2 3 2 2 38" xfId="18934" xr:uid="{12C0CBD1-B592-4824-B131-7B15E7D80A6A}"/>
    <cellStyle name="AggGreen12 2 3 2 2 39" xfId="19158" xr:uid="{EE796031-CBB3-4E15-AC13-A4FEAD812B88}"/>
    <cellStyle name="AggGreen12 2 3 2 2 4" xfId="2639" xr:uid="{712F28F5-7FCB-4A0B-BB6F-3DFECDC3F262}"/>
    <cellStyle name="AggGreen12 2 3 2 2 40" xfId="20199" xr:uid="{FF559089-FADD-4AD1-943A-DB4620290CFC}"/>
    <cellStyle name="AggGreen12 2 3 2 2 41" xfId="19513" xr:uid="{32442B9B-EC6E-4F02-ADF9-53DD31DA1CC8}"/>
    <cellStyle name="AggGreen12 2 3 2 2 42" xfId="19504" xr:uid="{18DF3C1A-F48F-4909-9E00-A1F9026DE15A}"/>
    <cellStyle name="AggGreen12 2 3 2 2 43" xfId="21583" xr:uid="{72E3494B-489A-4BEE-BF72-F7DC0B87AC2E}"/>
    <cellStyle name="AggGreen12 2 3 2 2 44" xfId="20891" xr:uid="{9262CD28-9A0C-4431-9DC7-D4A5736E5ECC}"/>
    <cellStyle name="AggGreen12 2 3 2 2 45" xfId="21066" xr:uid="{E269EAE8-317D-48C9-ACC1-2AFCD0223EA0}"/>
    <cellStyle name="AggGreen12 2 3 2 2 46" xfId="22603" xr:uid="{BE30FB52-124E-429B-9BD1-4BA86F93EDBB}"/>
    <cellStyle name="AggGreen12 2 3 2 2 47" xfId="23221" xr:uid="{74F22032-B1CE-4A2C-A479-141628B468C5}"/>
    <cellStyle name="AggGreen12 2 3 2 2 48" xfId="23198" xr:uid="{2D67C3CE-E870-458C-91D9-316105688703}"/>
    <cellStyle name="AggGreen12 2 3 2 2 49" xfId="23999" xr:uid="{AC32429E-591E-4856-9B90-0AE397BCADFE}"/>
    <cellStyle name="AggGreen12 2 3 2 2 5" xfId="2760" xr:uid="{43859014-B5F7-4545-9D54-3525BD6186F7}"/>
    <cellStyle name="AggGreen12 2 3 2 2 50" xfId="24907" xr:uid="{7491CF0A-B6BD-438B-9CA0-20FFAA2E5778}"/>
    <cellStyle name="AggGreen12 2 3 2 2 51" xfId="24227" xr:uid="{4B565498-65F8-4C8D-9CC9-7BB2CC7AE1CA}"/>
    <cellStyle name="AggGreen12 2 3 2 2 52" xfId="25823" xr:uid="{D67DD9F8-A186-4657-83F2-18EEAD58C8F7}"/>
    <cellStyle name="AggGreen12 2 3 2 2 53" xfId="25001" xr:uid="{CD38CB6F-B1BD-492F-AAA7-615A3D73F749}"/>
    <cellStyle name="AggGreen12 2 3 2 2 54" xfId="25303" xr:uid="{24D4CED3-18F2-451F-AA24-C8929072190B}"/>
    <cellStyle name="AggGreen12 2 3 2 2 55" xfId="27111" xr:uid="{17BAA88C-F681-4D0B-8D8B-499827884B1B}"/>
    <cellStyle name="AggGreen12 2 3 2 2 56" xfId="27530" xr:uid="{0622BACB-22B9-4A8F-AE69-D0C0EF821544}"/>
    <cellStyle name="AggGreen12 2 3 2 2 57" xfId="26451" xr:uid="{62BCFF47-5708-4BFB-9DBA-C4AEC2F57048}"/>
    <cellStyle name="AggGreen12 2 3 2 2 58" xfId="28657" xr:uid="{D5B53A4B-10F2-43C1-B656-0051C14E9070}"/>
    <cellStyle name="AggGreen12 2 3 2 2 59" xfId="29124" xr:uid="{39B8EAA5-3BE6-46F7-9845-AF578C5FFF78}"/>
    <cellStyle name="AggGreen12 2 3 2 2 6" xfId="3381" xr:uid="{390858FF-1D49-4B92-ABBD-873F83266CB1}"/>
    <cellStyle name="AggGreen12 2 3 2 2 60" xfId="28162" xr:uid="{1863BD24-7679-4C32-AEE1-3DAE059E9D9A}"/>
    <cellStyle name="AggGreen12 2 3 2 2 61" xfId="29913" xr:uid="{E1970DC8-8D56-429A-B60E-65F94B1CBFC7}"/>
    <cellStyle name="AggGreen12 2 3 2 2 62" xfId="30319" xr:uid="{88C12AE5-D2F4-4181-ACDA-994C0B69F552}"/>
    <cellStyle name="AggGreen12 2 3 2 2 63" xfId="30736" xr:uid="{8544F965-BE10-4521-ABAF-082EBBAD8404}"/>
    <cellStyle name="AggGreen12 2 3 2 2 64" xfId="28189" xr:uid="{D1F0B613-671D-4193-B579-B9F44756F200}"/>
    <cellStyle name="AggGreen12 2 3 2 2 65" xfId="31352" xr:uid="{6D96C004-0D73-4D9A-A029-965C22C5F913}"/>
    <cellStyle name="AggGreen12 2 3 2 2 7" xfId="4135" xr:uid="{5BD3767B-1F2F-4B46-BD1D-42B6133670D7}"/>
    <cellStyle name="AggGreen12 2 3 2 2 8" xfId="4572" xr:uid="{87AC3AA3-EAA3-4BAC-9E18-1C797723F986}"/>
    <cellStyle name="AggGreen12 2 3 2 2 9" xfId="5017" xr:uid="{DE3C0327-553B-4A1D-AB76-72F675BEAF39}"/>
    <cellStyle name="AggGreen12 2 3 2 20" xfId="9335" xr:uid="{77668001-1AEE-4ABF-BAFF-94F1581CC8D0}"/>
    <cellStyle name="AggGreen12 2 3 2 21" xfId="10047" xr:uid="{A37117C0-3D0E-4E97-9C04-BDE53EC9E345}"/>
    <cellStyle name="AggGreen12 2 3 2 22" xfId="10759" xr:uid="{CB667EA8-2CBE-41C8-A08A-0DEBFB960863}"/>
    <cellStyle name="AggGreen12 2 3 2 23" xfId="10016" xr:uid="{55BD08CB-232A-4FC2-A8A6-F046C2BE6BBA}"/>
    <cellStyle name="AggGreen12 2 3 2 24" xfId="11955" xr:uid="{2C51BC05-DF53-44CF-9F3E-50401BC3C209}"/>
    <cellStyle name="AggGreen12 2 3 2 25" xfId="12428" xr:uid="{E7C0E5F3-F0AF-4BD2-BCD8-16504DA95F0B}"/>
    <cellStyle name="AggGreen12 2 3 2 26" xfId="12862" xr:uid="{780051AB-14F0-49AC-A06A-1BBB2DDFF4C6}"/>
    <cellStyle name="AggGreen12 2 3 2 27" xfId="13299" xr:uid="{E2D7348C-009B-44CA-BEA2-99CB4F1C774C}"/>
    <cellStyle name="AggGreen12 2 3 2 28" xfId="13725" xr:uid="{4CF60B6A-2DC0-4E86-8D3C-C2FE06BD04EC}"/>
    <cellStyle name="AggGreen12 2 3 2 29" xfId="14404" xr:uid="{165AA6EF-8118-4C03-8EBD-286AA2041A38}"/>
    <cellStyle name="AggGreen12 2 3 2 3" xfId="1085" xr:uid="{A19FD46A-4F94-45B2-B32E-889D93D6EF5D}"/>
    <cellStyle name="AggGreen12 2 3 2 30" xfId="14819" xr:uid="{18C2011B-5BDA-49C7-9E1B-80DC928E3BA3}"/>
    <cellStyle name="AggGreen12 2 3 2 31" xfId="14791" xr:uid="{B725FC08-0CA2-473F-9A14-202B4AD3DD38}"/>
    <cellStyle name="AggGreen12 2 3 2 32" xfId="14321" xr:uid="{DFD6F94A-0782-46AD-845B-FA15E745DBF0}"/>
    <cellStyle name="AggGreen12 2 3 2 33" xfId="15644" xr:uid="{0C8E3A35-B456-45F6-8983-D53A546F33E0}"/>
    <cellStyle name="AggGreen12 2 3 2 34" xfId="16647" xr:uid="{E28F342C-605E-4222-BDB1-0CFBB3F5FD19}"/>
    <cellStyle name="AggGreen12 2 3 2 35" xfId="16444" xr:uid="{457FAF3B-CABB-4C6C-84FD-26A4A7E17F22}"/>
    <cellStyle name="AggGreen12 2 3 2 36" xfId="17165" xr:uid="{4076A8D9-1E5E-4BA3-871C-011F4CAD4705}"/>
    <cellStyle name="AggGreen12 2 3 2 37" xfId="18022" xr:uid="{6772E909-A997-4DE4-9AA6-383058F85EE7}"/>
    <cellStyle name="AggGreen12 2 3 2 38" xfId="18465" xr:uid="{8612F3E8-928E-40FC-851D-D1B452B98BB2}"/>
    <cellStyle name="AggGreen12 2 3 2 39" xfId="18854" xr:uid="{39E8FB9B-B446-4E3C-8923-EDFA1191FFE6}"/>
    <cellStyle name="AggGreen12 2 3 2 4" xfId="1627" xr:uid="{EDEA5592-5180-4CE4-AACA-8B2E5853E5FB}"/>
    <cellStyle name="AggGreen12 2 3 2 40" xfId="19218" xr:uid="{27221518-7CB7-462C-B70F-E01E120A7C82}"/>
    <cellStyle name="AggGreen12 2 3 2 41" xfId="19984" xr:uid="{4B3A7E30-6FCE-4E49-BC31-366110420453}"/>
    <cellStyle name="AggGreen12 2 3 2 42" xfId="19778" xr:uid="{D42A7E18-28BF-47AA-988E-44FF414BFF89}"/>
    <cellStyle name="AggGreen12 2 3 2 43" xfId="19594" xr:uid="{3BD5CC99-6923-4DB9-882A-450F630B6C78}"/>
    <cellStyle name="AggGreen12 2 3 2 44" xfId="21282" xr:uid="{E4ACC5AB-38E0-4DDE-8CFD-E148569EA18E}"/>
    <cellStyle name="AggGreen12 2 3 2 45" xfId="20999" xr:uid="{8D2C89AA-9700-4632-A91E-4126F22B1C22}"/>
    <cellStyle name="AggGreen12 2 3 2 46" xfId="21918" xr:uid="{99D471DC-0D75-4909-9A54-AEB6AC4ADB2D}"/>
    <cellStyle name="AggGreen12 2 3 2 47" xfId="22721" xr:uid="{37BE4B9F-D29E-4DC3-82E1-DCEA183A47E8}"/>
    <cellStyle name="AggGreen12 2 3 2 48" xfId="23131" xr:uid="{3474A60C-B491-46AF-92A0-26F36F218D73}"/>
    <cellStyle name="AggGreen12 2 3 2 49" xfId="23278" xr:uid="{5FEF927B-43FD-47DB-8691-7BD803B691F1}"/>
    <cellStyle name="AggGreen12 2 3 2 5" xfId="2424" xr:uid="{F96426B4-722B-4A76-9D61-23BEB38FE40C}"/>
    <cellStyle name="AggGreen12 2 3 2 50" xfId="23793" xr:uid="{3B300368-C446-4AAE-9FBC-D118E290D2BC}"/>
    <cellStyle name="AggGreen12 2 3 2 51" xfId="24692" xr:uid="{E50C6A5E-70B0-4A30-92CE-3D78ADED970A}"/>
    <cellStyle name="AggGreen12 2 3 2 52" xfId="24405" xr:uid="{EE3F29BC-FE84-47FA-8FFD-E63A00F3D2FB}"/>
    <cellStyle name="AggGreen12 2 3 2 53" xfId="25610" xr:uid="{DBC6D884-57E2-412B-808D-B6C9BF58C473}"/>
    <cellStyle name="AggGreen12 2 3 2 54" xfId="26007" xr:uid="{A71B0295-C126-4E1B-909B-0558C35E65AF}"/>
    <cellStyle name="AggGreen12 2 3 2 55" xfId="24595" xr:uid="{CD6231CF-2BC5-414A-BB31-73A7834319C3}"/>
    <cellStyle name="AggGreen12 2 3 2 56" xfId="26900" xr:uid="{ACA1C7A1-D8D1-4B28-A928-099ADBE56560}"/>
    <cellStyle name="AggGreen12 2 3 2 57" xfId="27319" xr:uid="{16E24DC3-A8E1-4EB8-86B8-8DA5BB548574}"/>
    <cellStyle name="AggGreen12 2 3 2 58" xfId="27788" xr:uid="{B8EFDF3C-12C4-437E-93A3-1ADB4400C118}"/>
    <cellStyle name="AggGreen12 2 3 2 59" xfId="28442" xr:uid="{0FFC0A5A-4751-44F7-A30A-B697513641B6}"/>
    <cellStyle name="AggGreen12 2 3 2 6" xfId="2890" xr:uid="{38232749-2B36-4637-8E25-50A8E19E0FD0}"/>
    <cellStyle name="AggGreen12 2 3 2 60" xfId="28910" xr:uid="{DC410AF5-4D1D-4EB9-97E2-6F0EDB90D205}"/>
    <cellStyle name="AggGreen12 2 3 2 61" xfId="28219" xr:uid="{B55D62B4-7787-410F-A82A-1F02E3F3258B}"/>
    <cellStyle name="AggGreen12 2 3 2 62" xfId="29700" xr:uid="{EBCDDEBA-1B98-4165-A2EB-705836A40E63}"/>
    <cellStyle name="AggGreen12 2 3 2 63" xfId="30108" xr:uid="{278D39DD-6E46-4DE0-9188-3EB6AEA87AD6}"/>
    <cellStyle name="AggGreen12 2 3 2 64" xfId="30522" xr:uid="{4BA64EB0-0DD5-411C-A366-FC8A2E10339E}"/>
    <cellStyle name="AggGreen12 2 3 2 65" xfId="27938" xr:uid="{946CD759-5BB4-475F-AD27-006BDB193F51}"/>
    <cellStyle name="AggGreen12 2 3 2 66" xfId="31146" xr:uid="{6F276CF7-EA1F-4982-B645-080CDD41DDF3}"/>
    <cellStyle name="AggGreen12 2 3 2 7" xfId="3535" xr:uid="{E30D547C-470A-407E-B843-3DF7D34AB184}"/>
    <cellStyle name="AggGreen12 2 3 2 8" xfId="3920" xr:uid="{A7E156BD-11C6-44D6-A773-FEC39C22D50C}"/>
    <cellStyle name="AggGreen12 2 3 2 9" xfId="4358" xr:uid="{66EB17C4-E079-4E1D-8BBB-995ED0D23568}"/>
    <cellStyle name="AggGreen12 2 3 20" xfId="8281" xr:uid="{2EE436B6-BD8E-4F82-8595-2D632437E2F8}"/>
    <cellStyle name="AggGreen12 2 3 21" xfId="9207" xr:uid="{AB836030-7A4A-4221-8396-D91F2D151224}"/>
    <cellStyle name="AggGreen12 2 3 22" xfId="9294" xr:uid="{249143AD-84FF-40A9-8A6A-5CCB48286A77}"/>
    <cellStyle name="AggGreen12 2 3 23" xfId="9104" xr:uid="{D1C51640-D0F5-4DDE-9BB7-9D055A5B4434}"/>
    <cellStyle name="AggGreen12 2 3 24" xfId="10480" xr:uid="{B8B02BBC-B121-4697-B1C8-EF431D6BAAD0}"/>
    <cellStyle name="AggGreen12 2 3 25" xfId="11056" xr:uid="{F14E7CC9-21C5-4767-8692-D21DABF35B7E}"/>
    <cellStyle name="AggGreen12 2 3 26" xfId="11619" xr:uid="{CD4B6074-A569-4D6D-9C4C-C48FEF18144D}"/>
    <cellStyle name="AggGreen12 2 3 27" xfId="11483" xr:uid="{1CA12D68-5042-4A69-BAC9-FEE78C166E33}"/>
    <cellStyle name="AggGreen12 2 3 28" xfId="12335" xr:uid="{31530978-47CF-4B43-BF0A-C90D58B73DDE}"/>
    <cellStyle name="AggGreen12 2 3 29" xfId="11393" xr:uid="{B15F0BEC-41B4-47B3-B23A-B9406BC9740A}"/>
    <cellStyle name="AggGreen12 2 3 3" xfId="551" xr:uid="{4C123CD4-E1D9-448C-B5E7-C1CD179A2BC8}"/>
    <cellStyle name="AggGreen12 2 3 3 10" xfId="4717" xr:uid="{9D261982-8108-4041-8C5F-3A0DE1E0674A}"/>
    <cellStyle name="AggGreen12 2 3 3 11" xfId="5199" xr:uid="{56DE24D2-813D-4811-B831-61E4DED88B7B}"/>
    <cellStyle name="AggGreen12 2 3 3 12" xfId="5997" xr:uid="{5A88E9CA-B5BF-4EA4-B332-D73F95868BB9}"/>
    <cellStyle name="AggGreen12 2 3 3 13" xfId="6359" xr:uid="{333B7AB4-6ABE-405B-BCFC-140DBB4BEB4D}"/>
    <cellStyle name="AggGreen12 2 3 3 14" xfId="3824" xr:uid="{970D2A1C-F349-4AE2-A200-B370B0BF0698}"/>
    <cellStyle name="AggGreen12 2 3 3 15" xfId="7271" xr:uid="{99021FEF-04E8-4B24-B620-132F87EE03F2}"/>
    <cellStyle name="AggGreen12 2 3 3 16" xfId="7026" xr:uid="{17F685C5-F2E9-4D26-813A-935D4147CD57}"/>
    <cellStyle name="AggGreen12 2 3 3 17" xfId="7873" xr:uid="{0D6A7608-2DEB-4B26-8BE8-986CCF046CA1}"/>
    <cellStyle name="AggGreen12 2 3 3 18" xfId="8733" xr:uid="{1E0A553F-EA26-4AD3-9482-90C5FAF53C75}"/>
    <cellStyle name="AggGreen12 2 3 3 19" xfId="9485" xr:uid="{01140836-8934-4476-85C2-D195D6B2D9EE}"/>
    <cellStyle name="AggGreen12 2 3 3 2" xfId="766" xr:uid="{98A57A07-A801-48EF-A21F-31D1497301A1}"/>
    <cellStyle name="AggGreen12 2 3 3 2 10" xfId="5414" xr:uid="{9AFEFDBF-6E31-4FB1-B66F-1DE3EE6E6322}"/>
    <cellStyle name="AggGreen12 2 3 3 2 11" xfId="5645" xr:uid="{AD5C7206-9E3E-4969-AADC-62B98AAEDEDF}"/>
    <cellStyle name="AggGreen12 2 3 3 2 12" xfId="2738" xr:uid="{44B358F8-487B-4746-873C-C2DA27459E1D}"/>
    <cellStyle name="AggGreen12 2 3 3 2 13" xfId="5704" xr:uid="{1A74D739-A9E8-4A2C-84CC-97783FA6A9AD}"/>
    <cellStyle name="AggGreen12 2 3 3 2 14" xfId="7486" xr:uid="{4F49F51B-03C9-4AEB-8581-712BCDCCF3E0}"/>
    <cellStyle name="AggGreen12 2 3 3 2 15" xfId="7056" xr:uid="{D93AA536-6EA7-4670-9FFA-0CF61C55875C}"/>
    <cellStyle name="AggGreen12 2 3 3 2 16" xfId="8508" xr:uid="{63EB97B5-14D2-4371-9C66-52C98D219031}"/>
    <cellStyle name="AggGreen12 2 3 3 2 17" xfId="8858" xr:uid="{CA4D02EA-1143-4945-9E4A-A5748CBC72BE}"/>
    <cellStyle name="AggGreen12 2 3 3 2 18" xfId="9700" xr:uid="{F1CADE31-38D2-44CD-9FC1-610A245CCDEA}"/>
    <cellStyle name="AggGreen12 2 3 3 2 19" xfId="9269" xr:uid="{0E1B4686-778B-492E-8EBD-7FAE8F127EC1}"/>
    <cellStyle name="AggGreen12 2 3 3 2 2" xfId="1240" xr:uid="{B77DD33F-81A9-49F0-B3B6-1F6DF0F9F987}"/>
    <cellStyle name="AggGreen12 2 3 3 2 20" xfId="9938" xr:uid="{45B4F558-FFDA-4AA1-B6C8-EEE5B0EC7ABD}"/>
    <cellStyle name="AggGreen12 2 3 3 2 21" xfId="10238" xr:uid="{6EAB350D-0A20-4CE8-935E-A39231BACAED}"/>
    <cellStyle name="AggGreen12 2 3 3 2 22" xfId="11078" xr:uid="{E21866BC-45E8-4286-8A15-B22DA49DD574}"/>
    <cellStyle name="AggGreen12 2 3 3 2 23" xfId="12119" xr:uid="{1420BB87-8E25-4200-9572-B6F294703BB6}"/>
    <cellStyle name="AggGreen12 2 3 3 2 24" xfId="12592" xr:uid="{76B9A45C-EEED-4ED4-A6C3-60F95A4E0CCC}"/>
    <cellStyle name="AggGreen12 2 3 3 2 25" xfId="13026" xr:uid="{BD2DFECB-E596-449D-8783-05DDDD3C92C2}"/>
    <cellStyle name="AggGreen12 2 3 3 2 26" xfId="13463" xr:uid="{14A06789-1E35-4851-80AA-65F6A3761339}"/>
    <cellStyle name="AggGreen12 2 3 3 2 27" xfId="11679" xr:uid="{7BE2A9FD-CCAB-4328-9BFE-3EAB76510265}"/>
    <cellStyle name="AggGreen12 2 3 3 2 28" xfId="13935" xr:uid="{86C573AC-2AB0-4999-930B-658D06FB1527}"/>
    <cellStyle name="AggGreen12 2 3 3 2 29" xfId="14210" xr:uid="{549CB966-7338-48DD-B1FA-BC38CD4A570A}"/>
    <cellStyle name="AggGreen12 2 3 3 2 3" xfId="1541" xr:uid="{6FD51C54-DE68-433A-B379-DB8E04250954}"/>
    <cellStyle name="AggGreen12 2 3 3 2 30" xfId="14812" xr:uid="{1034744C-956C-476A-8EBD-28B6F981CEC9}"/>
    <cellStyle name="AggGreen12 2 3 3 2 31" xfId="15431" xr:uid="{27D2F357-AABC-4F10-A30C-CC82AEF0BA77}"/>
    <cellStyle name="AggGreen12 2 3 3 2 32" xfId="15469" xr:uid="{616A11FF-F26D-4B13-A466-0372AAADAD4D}"/>
    <cellStyle name="AggGreen12 2 3 3 2 33" xfId="16811" xr:uid="{037CD74E-E08A-46E2-BFC6-01EFFCD5FCEA}"/>
    <cellStyle name="AggGreen12 2 3 3 2 34" xfId="16378" xr:uid="{702BA521-12D4-4F7A-B245-A6F8D2371541}"/>
    <cellStyle name="AggGreen12 2 3 3 2 35" xfId="17052" xr:uid="{34C13B85-F06E-468A-9040-462B60CA231B}"/>
    <cellStyle name="AggGreen12 2 3 3 2 36" xfId="16080" xr:uid="{C22D0CFF-B79C-4D39-88F9-C588E9B2EB80}"/>
    <cellStyle name="AggGreen12 2 3 3 2 37" xfId="18629" xr:uid="{DB42B704-3FD9-445C-82F5-B97AF57B2FAD}"/>
    <cellStyle name="AggGreen12 2 3 3 2 38" xfId="19020" xr:uid="{68D33BA0-226B-44F3-8ACB-CA449D7D720C}"/>
    <cellStyle name="AggGreen12 2 3 3 2 39" xfId="18094" xr:uid="{E2EF2829-7D31-4F00-8CF8-636394A431E1}"/>
    <cellStyle name="AggGreen12 2 3 3 2 4" xfId="2588" xr:uid="{5A4392AB-37A2-4526-9C80-58A69E9ED04D}"/>
    <cellStyle name="AggGreen12 2 3 3 2 40" xfId="20148" xr:uid="{F722C652-4986-4413-976E-CFE4E89EBB3E}"/>
    <cellStyle name="AggGreen12 2 3 3 2 41" xfId="19712" xr:uid="{BBF1422F-7CCB-4519-BC67-0D3ECC50C9A1}"/>
    <cellStyle name="AggGreen12 2 3 3 2 42" xfId="20535" xr:uid="{15E2E09B-F601-4939-8B98-891278A2B00F}"/>
    <cellStyle name="AggGreen12 2 3 3 2 43" xfId="21273" xr:uid="{349010D3-56EA-4725-A981-249EC8FFF919}"/>
    <cellStyle name="AggGreen12 2 3 3 2 44" xfId="21228" xr:uid="{985537DE-91A8-4074-9D0F-E281C5F61ABF}"/>
    <cellStyle name="AggGreen12 2 3 3 2 45" xfId="22016" xr:uid="{E2E37DB4-851B-4E44-9F6A-20D5BB0C6102}"/>
    <cellStyle name="AggGreen12 2 3 3 2 46" xfId="22535" xr:uid="{9BF96679-7264-4ED0-9CD9-224BC17E4A43}"/>
    <cellStyle name="AggGreen12 2 3 3 2 47" xfId="23299" xr:uid="{FC5B3F59-A34A-422A-948E-00C72285E73F}"/>
    <cellStyle name="AggGreen12 2 3 3 2 48" xfId="21748" xr:uid="{5AD2ED28-870F-4B13-A136-B50E49526E09}"/>
    <cellStyle name="AggGreen12 2 3 3 2 49" xfId="23948" xr:uid="{16AA37B5-A35F-4EE4-AC63-04DACEB3A886}"/>
    <cellStyle name="AggGreen12 2 3 3 2 5" xfId="2259" xr:uid="{2C317E9B-9BDD-4ACF-8146-D59D6A23E07A}"/>
    <cellStyle name="AggGreen12 2 3 3 2 50" xfId="24856" xr:uid="{18CF2B84-2A39-49F7-899B-21C17AAA75DC}"/>
    <cellStyle name="AggGreen12 2 3 3 2 51" xfId="24559" xr:uid="{A4E663C4-33EF-49A7-8F31-C5B65028150B}"/>
    <cellStyle name="AggGreen12 2 3 3 2 52" xfId="25772" xr:uid="{AD4B71ED-4128-4AB9-9638-DD0181C7E871}"/>
    <cellStyle name="AggGreen12 2 3 3 2 53" xfId="24324" xr:uid="{11B35ADA-32B5-447D-9A5E-C5AECD20F744}"/>
    <cellStyle name="AggGreen12 2 3 3 2 54" xfId="26573" xr:uid="{1A28D2EE-3F78-4573-81D1-2CF1F843B506}"/>
    <cellStyle name="AggGreen12 2 3 3 2 55" xfId="27060" xr:uid="{C7E39A8B-25D3-4C01-A421-44B510674D18}"/>
    <cellStyle name="AggGreen12 2 3 3 2 56" xfId="27479" xr:uid="{92C533A9-B7F5-41B1-907E-C6EEEBECDDC2}"/>
    <cellStyle name="AggGreen12 2 3 3 2 57" xfId="25116" xr:uid="{6098E7DE-1C8B-45F2-A19A-A44746043901}"/>
    <cellStyle name="AggGreen12 2 3 3 2 58" xfId="28606" xr:uid="{C24D7E6D-1C41-41E9-B678-2088886E8B44}"/>
    <cellStyle name="AggGreen12 2 3 3 2 59" xfId="29073" xr:uid="{E9E904CF-74FB-4556-B9B6-B8F8A08DE986}"/>
    <cellStyle name="AggGreen12 2 3 3 2 6" xfId="2742" xr:uid="{B57730FE-9D49-4D99-B762-F15FE358EDD7}"/>
    <cellStyle name="AggGreen12 2 3 3 2 60" xfId="28788" xr:uid="{EEE723ED-F239-4A6B-BAAF-223AEEE390A5}"/>
    <cellStyle name="AggGreen12 2 3 3 2 61" xfId="29862" xr:uid="{E4553C3E-AC7D-4422-B88C-D1896254399D}"/>
    <cellStyle name="AggGreen12 2 3 3 2 62" xfId="30268" xr:uid="{2A3E2531-A9E1-47BA-AFD2-AB0FB1743EF1}"/>
    <cellStyle name="AggGreen12 2 3 3 2 63" xfId="30685" xr:uid="{C1848FE5-17F8-4261-A741-A5637E9EA0C9}"/>
    <cellStyle name="AggGreen12 2 3 3 2 64" xfId="30407" xr:uid="{D844A86E-851C-48CB-97D4-973CCF73C114}"/>
    <cellStyle name="AggGreen12 2 3 3 2 65" xfId="31301" xr:uid="{C28A68CD-D6A8-4116-A3F8-0C0353D458F5}"/>
    <cellStyle name="AggGreen12 2 3 3 2 7" xfId="4084" xr:uid="{06369C9E-9053-4C68-9CCF-94B828CCDEFF}"/>
    <cellStyle name="AggGreen12 2 3 3 2 8" xfId="4521" xr:uid="{DC535542-2B19-4301-83F5-596F33BA9841}"/>
    <cellStyle name="AggGreen12 2 3 3 2 9" xfId="3378" xr:uid="{791DD60D-5B48-44EB-88A1-127136211183}"/>
    <cellStyle name="AggGreen12 2 3 3 20" xfId="9238" xr:uid="{D463F61E-29CD-4FAA-B625-6C3410E77561}"/>
    <cellStyle name="AggGreen12 2 3 3 21" xfId="9337" xr:uid="{15792E70-09A4-4393-8273-EF03EC5AF76E}"/>
    <cellStyle name="AggGreen12 2 3 3 22" xfId="10929" xr:uid="{A19734BB-D15C-4438-8ECC-B6E1C6EE4D6F}"/>
    <cellStyle name="AggGreen12 2 3 3 23" xfId="10337" xr:uid="{D832E7D3-F33B-4EB8-B0BF-D70970EEE850}"/>
    <cellStyle name="AggGreen12 2 3 3 24" xfId="11904" xr:uid="{03183E75-859A-4854-8078-0163B8B1F0C9}"/>
    <cellStyle name="AggGreen12 2 3 3 25" xfId="12377" xr:uid="{2C31DE35-2686-458F-91A7-1EBDF96F2ABE}"/>
    <cellStyle name="AggGreen12 2 3 3 26" xfId="12811" xr:uid="{44B0D006-67F2-4381-91ED-38DDBE12C96E}"/>
    <cellStyle name="AggGreen12 2 3 3 27" xfId="13248" xr:uid="{57444BE6-CA98-4805-BB6A-CC28AD4A228D}"/>
    <cellStyle name="AggGreen12 2 3 3 28" xfId="11858" xr:uid="{BAC1368F-7D5A-45E9-895E-76116D54EEFB}"/>
    <cellStyle name="AggGreen12 2 3 3 29" xfId="14442" xr:uid="{6E25E015-D886-42D3-85F5-A73977C050AC}"/>
    <cellStyle name="AggGreen12 2 3 3 3" xfId="1034" xr:uid="{C0DCE4C1-9AA2-4C80-9893-74E7DE54A11B}"/>
    <cellStyle name="AggGreen12 2 3 3 30" xfId="14904" xr:uid="{89D5E0A1-8015-4319-8609-DA1BA8C9CB6D}"/>
    <cellStyle name="AggGreen12 2 3 3 31" xfId="15375" xr:uid="{F76E9B43-16DB-45D4-A5A1-5D038E4158E5}"/>
    <cellStyle name="AggGreen12 2 3 3 32" xfId="11708" xr:uid="{D6E62893-6A5A-4017-B8F9-06BD4A0B95B9}"/>
    <cellStyle name="AggGreen12 2 3 3 33" xfId="14244" xr:uid="{1037AECA-9FA1-45D3-B30D-ACC7A7FE2E35}"/>
    <cellStyle name="AggGreen12 2 3 3 34" xfId="16596" xr:uid="{B8818C80-106D-4B13-BC2E-01EF835F6818}"/>
    <cellStyle name="AggGreen12 2 3 3 35" xfId="16348" xr:uid="{5DAF5DCB-8223-49FB-8D16-5B7522202457}"/>
    <cellStyle name="AggGreen12 2 3 3 36" xfId="16446" xr:uid="{D4831851-7B8D-4764-ACE1-29B8D6FD1552}"/>
    <cellStyle name="AggGreen12 2 3 3 37" xfId="18119" xr:uid="{623CE670-8608-4225-BD2F-3676912A7975}"/>
    <cellStyle name="AggGreen12 2 3 3 38" xfId="18414" xr:uid="{B1C8FEF2-7E6D-4FD5-8BC9-84C1A50E9E52}"/>
    <cellStyle name="AggGreen12 2 3 3 39" xfId="18805" xr:uid="{4C0F8D9C-46B7-4B27-8DF5-9886428A4981}"/>
    <cellStyle name="AggGreen12 2 3 3 4" xfId="1379" xr:uid="{4F81F0FA-7DCE-4205-BB5B-ECF79EC19885}"/>
    <cellStyle name="AggGreen12 2 3 3 40" xfId="19142" xr:uid="{8B740B0C-2D90-4E01-AAC9-E0138E2250C8}"/>
    <cellStyle name="AggGreen12 2 3 3 41" xfId="19933" xr:uid="{827B2285-A79F-499A-B891-8EC714629094}"/>
    <cellStyle name="AggGreen12 2 3 3 42" xfId="19681" xr:uid="{8F448D6F-D64F-4E56-BC12-36C05C4898BF}"/>
    <cellStyle name="AggGreen12 2 3 3 43" xfId="20683" xr:uid="{01C35044-8191-499C-96A8-7915CC40BBF3}"/>
    <cellStyle name="AggGreen12 2 3 3 44" xfId="20954" xr:uid="{566A52DA-5C88-4E85-AB9F-0FEDF6E0AE1C}"/>
    <cellStyle name="AggGreen12 2 3 3 45" xfId="20634" xr:uid="{4F978E43-E2A5-4C8A-9B3C-2B6502252456}"/>
    <cellStyle name="AggGreen12 2 3 3 46" xfId="22018" xr:uid="{CBBE239B-B4A8-487B-889B-D5FA9AF998C5}"/>
    <cellStyle name="AggGreen12 2 3 3 47" xfId="21044" xr:uid="{DC173A52-8A48-4354-A1A1-DB4289178CC6}"/>
    <cellStyle name="AggGreen12 2 3 3 48" xfId="23078" xr:uid="{0651F582-5836-4945-AAF2-6E50D3B6F963}"/>
    <cellStyle name="AggGreen12 2 3 3 49" xfId="23495" xr:uid="{433F8649-51D1-4775-9CD0-DE50945612D7}"/>
    <cellStyle name="AggGreen12 2 3 3 5" xfId="2373" xr:uid="{1AB5906B-C5B1-4AAA-8395-0349B014D778}"/>
    <cellStyle name="AggGreen12 2 3 3 50" xfId="23742" xr:uid="{11644E62-A22F-479F-8423-5BFF258148BB}"/>
    <cellStyle name="AggGreen12 2 3 3 51" xfId="24641" xr:uid="{1DD3B13B-4D2A-482E-91DE-4DA24ED3FB0D}"/>
    <cellStyle name="AggGreen12 2 3 3 52" xfId="24456" xr:uid="{68E37167-B38A-4DAC-A901-7711AE98F04E}"/>
    <cellStyle name="AggGreen12 2 3 3 53" xfId="25559" xr:uid="{36E1FA10-3948-4EAB-9D30-AE0CB4859DC9}"/>
    <cellStyle name="AggGreen12 2 3 3 54" xfId="24199" xr:uid="{2E03AAC1-D99B-41FC-BDCA-20EB404D1BA3}"/>
    <cellStyle name="AggGreen12 2 3 3 55" xfId="26211" xr:uid="{4A3E3AE4-EBF6-46F3-9469-0C615574CD44}"/>
    <cellStyle name="AggGreen12 2 3 3 56" xfId="26849" xr:uid="{7C3A527F-9E55-40B9-AAE4-D0AF14C6AD67}"/>
    <cellStyle name="AggGreen12 2 3 3 57" xfId="27268" xr:uid="{63EC36D6-4A58-47D4-BC0B-C440B550727F}"/>
    <cellStyle name="AggGreen12 2 3 3 58" xfId="27641" xr:uid="{6770F042-43C9-40D6-A5DB-ECF2439ABA66}"/>
    <cellStyle name="AggGreen12 2 3 3 59" xfId="28391" xr:uid="{F0434830-3E4F-41AF-8F47-480D1F55D2B2}"/>
    <cellStyle name="AggGreen12 2 3 3 6" xfId="2733" xr:uid="{5428FD88-959F-4F1A-9CB2-5E96C5433650}"/>
    <cellStyle name="AggGreen12 2 3 3 60" xfId="28859" xr:uid="{CDC2926B-52C4-4582-8159-3DADF7230D11}"/>
    <cellStyle name="AggGreen12 2 3 3 61" xfId="28741" xr:uid="{2AD27C4E-7088-4D30-AE42-B6B9DCB7CB4B}"/>
    <cellStyle name="AggGreen12 2 3 3 62" xfId="29649" xr:uid="{EC08EA12-2DE9-4C15-9C31-11AFE80B8340}"/>
    <cellStyle name="AggGreen12 2 3 3 63" xfId="30057" xr:uid="{248DB156-485E-47BB-BBA3-162F7FF4F33A}"/>
    <cellStyle name="AggGreen12 2 3 3 64" xfId="30471" xr:uid="{DE6C2C24-1B51-4825-8640-074DB426DEF6}"/>
    <cellStyle name="AggGreen12 2 3 3 65" xfId="30836" xr:uid="{CAE8EE3E-65A7-426B-80AE-253191F85C47}"/>
    <cellStyle name="AggGreen12 2 3 3 66" xfId="31095" xr:uid="{5B4243A2-1D7A-4380-807D-454AB28ACE7C}"/>
    <cellStyle name="AggGreen12 2 3 3 7" xfId="2074" xr:uid="{08E72D6F-E45C-4875-8F85-66385D56622B}"/>
    <cellStyle name="AggGreen12 2 3 3 8" xfId="3869" xr:uid="{9D3E64E9-6AA9-43BF-8758-F39A07A435C2}"/>
    <cellStyle name="AggGreen12 2 3 3 9" xfId="4307" xr:uid="{F8CAD078-C843-4D39-BC36-B2021D2B8270}"/>
    <cellStyle name="AggGreen12 2 3 30" xfId="12305" xr:uid="{101B5D0D-80C5-4588-8D18-01310F54D77E}"/>
    <cellStyle name="AggGreen12 2 3 31" xfId="11583" xr:uid="{FD7CBB3C-1ED2-4C2F-A95C-0EBAEF66572E}"/>
    <cellStyle name="AggGreen12 2 3 32" xfId="14218" xr:uid="{517C5EA1-0403-41DB-AF1E-D98D6B25F59B}"/>
    <cellStyle name="AggGreen12 2 3 33" xfId="13910" xr:uid="{3334167A-851D-4ACD-9EF2-49B26B81C8F6}"/>
    <cellStyle name="AggGreen12 2 3 34" xfId="15729" xr:uid="{014E955A-E73F-4781-9C27-9C011096C538}"/>
    <cellStyle name="AggGreen12 2 3 35" xfId="14993" xr:uid="{181D82F4-175B-4DEA-954B-667DF03F792A}"/>
    <cellStyle name="AggGreen12 2 3 36" xfId="16314" xr:uid="{2FCAC2E3-E30B-4DAA-A2F0-210EC2471782}"/>
    <cellStyle name="AggGreen12 2 3 37" xfId="16271" xr:uid="{1BA821E2-A0EC-4441-A80E-E350337C3FB9}"/>
    <cellStyle name="AggGreen12 2 3 38" xfId="17210" xr:uid="{4FC9479F-9011-43FB-B19D-AE9783926EDB}"/>
    <cellStyle name="AggGreen12 2 3 39" xfId="17285" xr:uid="{E202B532-32ED-468C-9F7F-D2591EFAF86B}"/>
    <cellStyle name="AggGreen12 2 3 4" xfId="631" xr:uid="{618E212C-5964-4C75-8A95-2B58C6B84CC8}"/>
    <cellStyle name="AggGreen12 2 3 4 10" xfId="4823" xr:uid="{E3C7905C-E857-4B63-9D9F-73FBA6A32671}"/>
    <cellStyle name="AggGreen12 2 3 4 11" xfId="5279" xr:uid="{8FE6287F-6809-4BB0-9A7D-19C8A892262E}"/>
    <cellStyle name="AggGreen12 2 3 4 12" xfId="5850" xr:uid="{7B386501-2755-4A9C-9CDF-924066E6E112}"/>
    <cellStyle name="AggGreen12 2 3 4 13" xfId="2860" xr:uid="{9A038BCE-27E3-4BFC-BBC7-C73687BF5773}"/>
    <cellStyle name="AggGreen12 2 3 4 14" xfId="6675" xr:uid="{E5BEF997-519A-48B6-845C-5BC236DD22D0}"/>
    <cellStyle name="AggGreen12 2 3 4 15" xfId="7351" xr:uid="{1D2990EB-4CCA-4CB5-A68A-F7B6D319F89D}"/>
    <cellStyle name="AggGreen12 2 3 4 16" xfId="6759" xr:uid="{2AF49FF6-1683-4D44-93A6-E6F345A0891B}"/>
    <cellStyle name="AggGreen12 2 3 4 17" xfId="8216" xr:uid="{B2DBA330-A3C8-4EA5-94D2-5B1DCB0EC4E6}"/>
    <cellStyle name="AggGreen12 2 3 4 18" xfId="7930" xr:uid="{811917C9-4816-4234-A101-66200728A3CA}"/>
    <cellStyle name="AggGreen12 2 3 4 19" xfId="9565" xr:uid="{78C5EFED-E7F0-4BED-9CF8-C1405A9FFE10}"/>
    <cellStyle name="AggGreen12 2 3 4 2" xfId="846" xr:uid="{B3E68385-607E-4942-B875-22ECFA2CD40B}"/>
    <cellStyle name="AggGreen12 2 3 4 2 10" xfId="5494" xr:uid="{159F1E57-F72A-44BA-9FEA-FE00A14CCC1E}"/>
    <cellStyle name="AggGreen12 2 3 4 2 11" xfId="3514" xr:uid="{E5DAAD88-668F-410C-AAE7-54A205C9D48F}"/>
    <cellStyle name="AggGreen12 2 3 4 2 12" xfId="3731" xr:uid="{FD441F55-FB46-4207-AD74-11B34ECC56E2}"/>
    <cellStyle name="AggGreen12 2 3 4 2 13" xfId="6628" xr:uid="{E56A191B-888A-4EB1-A971-AF16A176E957}"/>
    <cellStyle name="AggGreen12 2 3 4 2 14" xfId="7566" xr:uid="{84678BC1-D9DC-4FCE-80F0-AF4BAFA1811A}"/>
    <cellStyle name="AggGreen12 2 3 4 2 15" xfId="6881" xr:uid="{5B2E7458-0B4D-4C9F-93AF-0F6F2978DFB5}"/>
    <cellStyle name="AggGreen12 2 3 4 2 16" xfId="7944" xr:uid="{15F7AA52-BB9C-4A7F-888B-51ED60CEE034}"/>
    <cellStyle name="AggGreen12 2 3 4 2 17" xfId="8726" xr:uid="{5C7A327E-5EC5-498F-B13A-094315CC5F24}"/>
    <cellStyle name="AggGreen12 2 3 4 2 18" xfId="9780" xr:uid="{629A2D7E-F83F-4D24-8690-5979CA4382FC}"/>
    <cellStyle name="AggGreen12 2 3 4 2 19" xfId="9094" xr:uid="{7941BCFB-EBCF-4368-B0AD-9A4FE407E1A0}"/>
    <cellStyle name="AggGreen12 2 3 4 2 2" xfId="1320" xr:uid="{265309A4-9A6A-45EC-AD66-26BC566E3AF3}"/>
    <cellStyle name="AggGreen12 2 3 4 2 20" xfId="9440" xr:uid="{DC177CC8-BBCD-42C3-AE00-246DB40BD8D9}"/>
    <cellStyle name="AggGreen12 2 3 4 2 21" xfId="10702" xr:uid="{60B87606-8CC8-4DCC-82F5-4E777D3DACB7}"/>
    <cellStyle name="AggGreen12 2 3 4 2 22" xfId="11132" xr:uid="{086A8558-3587-4C77-94BB-8237EAEFBEE5}"/>
    <cellStyle name="AggGreen12 2 3 4 2 23" xfId="12199" xr:uid="{26BA5716-48E7-4968-A41B-3887E602B951}"/>
    <cellStyle name="AggGreen12 2 3 4 2 24" xfId="12672" xr:uid="{F76A6923-5D15-4C18-93C5-1CF7D0AD940B}"/>
    <cellStyle name="AggGreen12 2 3 4 2 25" xfId="13106" xr:uid="{0340E457-7FEE-4E9E-A5E7-768472428B52}"/>
    <cellStyle name="AggGreen12 2 3 4 2 26" xfId="13543" xr:uid="{2A6A1F0C-E3DC-4107-B1D8-12ADD57BFE5B}"/>
    <cellStyle name="AggGreen12 2 3 4 2 27" xfId="11506" xr:uid="{5CCCC969-23C9-4F41-887C-05710C4099E0}"/>
    <cellStyle name="AggGreen12 2 3 4 2 28" xfId="13631" xr:uid="{49BCBE63-2BD4-4787-97DB-302F75DDFD28}"/>
    <cellStyle name="AggGreen12 2 3 4 2 29" xfId="12747" xr:uid="{9A212134-45C9-45C6-A379-5BE9099274F5}"/>
    <cellStyle name="AggGreen12 2 3 4 2 3" xfId="1769" xr:uid="{6D664288-09E4-4E0C-8BFF-A55D857DAC38}"/>
    <cellStyle name="AggGreen12 2 3 4 2 30" xfId="15138" xr:uid="{2EA49DE7-8E5E-40D7-94B4-9CA4062AC36D}"/>
    <cellStyle name="AggGreen12 2 3 4 2 31" xfId="15280" xr:uid="{C0A1D7D8-4EFF-4E44-BA71-D4B782627326}"/>
    <cellStyle name="AggGreen12 2 3 4 2 32" xfId="15388" xr:uid="{027EC01E-51F6-4B7F-A511-B258A7DFB27A}"/>
    <cellStyle name="AggGreen12 2 3 4 2 33" xfId="16891" xr:uid="{91CB402D-BE3E-4DEA-9644-9091092A8A55}"/>
    <cellStyle name="AggGreen12 2 3 4 2 34" xfId="16197" xr:uid="{27F10A16-D82A-4264-9B0F-C905A2EA65C8}"/>
    <cellStyle name="AggGreen12 2 3 4 2 35" xfId="16550" xr:uid="{137131D5-EAC1-46BD-9C81-03C3FF50BBC5}"/>
    <cellStyle name="AggGreen12 2 3 4 2 36" xfId="18084" xr:uid="{36281B8C-FDD6-45E6-9062-3E4C1FAE3A24}"/>
    <cellStyle name="AggGreen12 2 3 4 2 37" xfId="18709" xr:uid="{A5DD5AD1-F144-4D35-BF99-AFC81C23E257}"/>
    <cellStyle name="AggGreen12 2 3 4 2 38" xfId="18927" xr:uid="{1AE9213C-88C9-4645-9F74-4045B035AFCA}"/>
    <cellStyle name="AggGreen12 2 3 4 2 39" xfId="19087" xr:uid="{9FE0B4CF-7045-485F-9450-4AF04486A6C8}"/>
    <cellStyle name="AggGreen12 2 3 4 2 4" xfId="2668" xr:uid="{127E9604-5F68-4F4C-99D8-8D53018B1C54}"/>
    <cellStyle name="AggGreen12 2 3 4 2 40" xfId="20228" xr:uid="{6C45810C-49D3-4BC4-805D-E7BD8EE090F2}"/>
    <cellStyle name="AggGreen12 2 3 4 2 41" xfId="19529" xr:uid="{155ED968-A2E6-49D2-9A67-94B44F68FCC1}"/>
    <cellStyle name="AggGreen12 2 3 4 2 42" xfId="19786" xr:uid="{B59EFE77-2F0D-4F84-93EE-6D5C217FFCBC}"/>
    <cellStyle name="AggGreen12 2 3 4 2 43" xfId="21558" xr:uid="{94B08646-0503-42AD-A917-0EB1E53B997C}"/>
    <cellStyle name="AggGreen12 2 3 4 2 44" xfId="20700" xr:uid="{B37D9FED-F512-4E0D-B536-634E33C675B6}"/>
    <cellStyle name="AggGreen12 2 3 4 2 45" xfId="22100" xr:uid="{91DEE5D4-BD7E-4D05-BE6A-7F72C714DAED}"/>
    <cellStyle name="AggGreen12 2 3 4 2 46" xfId="19568" xr:uid="{B3F0E850-0D71-44DA-A9A6-5FB6ECF7FAAA}"/>
    <cellStyle name="AggGreen12 2 3 4 2 47" xfId="23213" xr:uid="{30527744-16EB-4A91-B4C8-B0A044988DC0}"/>
    <cellStyle name="AggGreen12 2 3 4 2 48" xfId="21812" xr:uid="{0E2EBFAB-8738-4946-B2E6-630A046CDAA9}"/>
    <cellStyle name="AggGreen12 2 3 4 2 49" xfId="24028" xr:uid="{D4F4DBC5-1DA5-4782-9226-67991A54847D}"/>
    <cellStyle name="AggGreen12 2 3 4 2 5" xfId="1919" xr:uid="{FF47B89A-9D71-47EC-AA6B-8B03E69FB845}"/>
    <cellStyle name="AggGreen12 2 3 4 2 50" xfId="24936" xr:uid="{4B80892C-9916-4C48-B8BD-FAABE5755383}"/>
    <cellStyle name="AggGreen12 2 3 4 2 51" xfId="24134" xr:uid="{658C44B2-EDE9-497D-86BA-6DBEC283F53C}"/>
    <cellStyle name="AggGreen12 2 3 4 2 52" xfId="25852" xr:uid="{A4238045-8D05-45B0-A11C-856E44F7CFD8}"/>
    <cellStyle name="AggGreen12 2 3 4 2 53" xfId="25929" xr:uid="{E713BD38-B867-4942-91D6-92AC2AD4DDEE}"/>
    <cellStyle name="AggGreen12 2 3 4 2 54" xfId="26310" xr:uid="{007268DC-ECBC-47A1-BB77-FA0CF351D645}"/>
    <cellStyle name="AggGreen12 2 3 4 2 55" xfId="27140" xr:uid="{91A156F8-B80F-4EAA-803D-53FB86FCB073}"/>
    <cellStyle name="AggGreen12 2 3 4 2 56" xfId="27559" xr:uid="{783DD872-0D95-4860-A43D-E2EEA3C2795C}"/>
    <cellStyle name="AggGreen12 2 3 4 2 57" xfId="27623" xr:uid="{6844C628-EDE0-468A-B9CF-51B260EAA1E3}"/>
    <cellStyle name="AggGreen12 2 3 4 2 58" xfId="28686" xr:uid="{242A387E-FA16-4BAA-81E8-A007ECB7337D}"/>
    <cellStyle name="AggGreen12 2 3 4 2 59" xfId="29153" xr:uid="{20EF566E-5463-415F-9515-47413B6697AC}"/>
    <cellStyle name="AggGreen12 2 3 4 2 6" xfId="2014" xr:uid="{5390CA29-1EE3-42CD-BA45-7AC500E08954}"/>
    <cellStyle name="AggGreen12 2 3 4 2 60" xfId="28754" xr:uid="{D5576011-03BD-419E-ACB1-BA0593154586}"/>
    <cellStyle name="AggGreen12 2 3 4 2 61" xfId="29942" xr:uid="{6707656C-BFC7-4F0F-B7F6-62BBCABA362A}"/>
    <cellStyle name="AggGreen12 2 3 4 2 62" xfId="30348" xr:uid="{F1ED3254-B0D6-47A5-8737-7D3C21D5595D}"/>
    <cellStyle name="AggGreen12 2 3 4 2 63" xfId="30765" xr:uid="{C863413B-3E7D-4F5A-8999-08DE194F077C}"/>
    <cellStyle name="AggGreen12 2 3 4 2 64" xfId="29477" xr:uid="{F136AE91-BEFC-41DD-8DAF-19313DE14B13}"/>
    <cellStyle name="AggGreen12 2 3 4 2 65" xfId="31381" xr:uid="{932D6D9F-E072-437D-A96C-29387D439DC4}"/>
    <cellStyle name="AggGreen12 2 3 4 2 7" xfId="4164" xr:uid="{92AD2CD0-4886-48A8-8B20-3E9F82561D57}"/>
    <cellStyle name="AggGreen12 2 3 4 2 8" xfId="4601" xr:uid="{35F9EADE-15A7-4CA9-AB6C-50D71D8F90AE}"/>
    <cellStyle name="AggGreen12 2 3 4 2 9" xfId="3433" xr:uid="{833578E9-2210-4A29-A5A9-5580E7603938}"/>
    <cellStyle name="AggGreen12 2 3 4 20" xfId="9070" xr:uid="{CB22CB08-FB39-4C51-841C-DB3A7FEC4075}"/>
    <cellStyle name="AggGreen12 2 3 4 21" xfId="10181" xr:uid="{26882FBB-EB36-443C-8A32-92370274D478}"/>
    <cellStyle name="AggGreen12 2 3 4 22" xfId="10490" xr:uid="{D1ABE3FD-0F0D-4419-B422-B4783C9410F0}"/>
    <cellStyle name="AggGreen12 2 3 4 23" xfId="11292" xr:uid="{305EDD74-2204-4855-831B-15040D916748}"/>
    <cellStyle name="AggGreen12 2 3 4 24" xfId="11984" xr:uid="{707D9E77-9619-404C-BA48-D8DF00A1A124}"/>
    <cellStyle name="AggGreen12 2 3 4 25" xfId="12457" xr:uid="{837648AC-127C-4383-BB48-F33570D385DB}"/>
    <cellStyle name="AggGreen12 2 3 4 26" xfId="12891" xr:uid="{BFE75BA5-98E0-468F-9889-854F0BDD162F}"/>
    <cellStyle name="AggGreen12 2 3 4 27" xfId="13328" xr:uid="{BC2DC4A2-6500-4DB2-956D-682266F21454}"/>
    <cellStyle name="AggGreen12 2 3 4 28" xfId="13589" xr:uid="{9804A683-2427-42A3-AF28-BF412773A345}"/>
    <cellStyle name="AggGreen12 2 3 4 29" xfId="11352" xr:uid="{053CB1C9-4DA8-4556-A804-4CAA927A24FF}"/>
    <cellStyle name="AggGreen12 2 3 4 3" xfId="1114" xr:uid="{A04B3E37-54AE-4CB7-8A1D-226814EE3E09}"/>
    <cellStyle name="AggGreen12 2 3 4 30" xfId="14845" xr:uid="{62FBDD95-FF88-4385-AD80-51C9DAA5E668}"/>
    <cellStyle name="AggGreen12 2 3 4 31" xfId="15151" xr:uid="{E4A3E8BA-722F-45F1-8941-6A9F96B9CBE4}"/>
    <cellStyle name="AggGreen12 2 3 4 32" xfId="15621" xr:uid="{8D4990DC-3341-42B8-BA6B-77BEF8B96115}"/>
    <cellStyle name="AggGreen12 2 3 4 33" xfId="14987" xr:uid="{201DABF3-D30A-4BBE-85FA-DBCF98F22DB4}"/>
    <cellStyle name="AggGreen12 2 3 4 34" xfId="16676" xr:uid="{63F000B3-28A1-4E08-B39F-97EEFF96217D}"/>
    <cellStyle name="AggGreen12 2 3 4 35" xfId="16068" xr:uid="{147E6819-4377-496F-A68D-8FF7F6BC6BB6}"/>
    <cellStyle name="AggGreen12 2 3 4 36" xfId="17147" xr:uid="{07901028-F28F-4B32-8D12-0E96EEEF2D65}"/>
    <cellStyle name="AggGreen12 2 3 4 37" xfId="17961" xr:uid="{AE71F221-A4D3-4637-8A44-CC2200D2262D}"/>
    <cellStyle name="AggGreen12 2 3 4 38" xfId="18494" xr:uid="{35EA4679-856B-4EC2-83BF-3303CF51F919}"/>
    <cellStyle name="AggGreen12 2 3 4 39" xfId="18876" xr:uid="{86F843CC-A41D-434D-BE5E-2BB6350A4039}"/>
    <cellStyle name="AggGreen12 2 3 4 4" xfId="1725" xr:uid="{A4EFEE12-59BF-45BB-AA09-785B166AECB6}"/>
    <cellStyle name="AggGreen12 2 3 4 40" xfId="19153" xr:uid="{F20CB2E1-9AAE-48CF-BCD7-951FDD0E6E62}"/>
    <cellStyle name="AggGreen12 2 3 4 41" xfId="20013" xr:uid="{787E05B2-4718-4ACF-A9E8-3DF99A513394}"/>
    <cellStyle name="AggGreen12 2 3 4 42" xfId="19796" xr:uid="{62E41705-2D98-4B78-AB19-D641577EE852}"/>
    <cellStyle name="AggGreen12 2 3 4 43" xfId="20445" xr:uid="{51F6F3E5-C041-45D2-B13D-3F9A6FE65658}"/>
    <cellStyle name="AggGreen12 2 3 4 44" xfId="21454" xr:uid="{F14B6960-F1FB-43A1-8C65-2CA95902817A}"/>
    <cellStyle name="AggGreen12 2 3 4 45" xfId="20833" xr:uid="{AFCD599A-C620-4779-9466-F9B72CE78563}"/>
    <cellStyle name="AggGreen12 2 3 4 46" xfId="22106" xr:uid="{67E6AE63-204C-4260-83BD-F0265D5B01E8}"/>
    <cellStyle name="AggGreen12 2 3 4 47" xfId="22598" xr:uid="{B14B2C18-38F4-4F56-BF2D-C4F38A1D9F40}"/>
    <cellStyle name="AggGreen12 2 3 4 48" xfId="23153" xr:uid="{F0D154E6-BB51-4F76-9366-9815F6892BAD}"/>
    <cellStyle name="AggGreen12 2 3 4 49" xfId="22854" xr:uid="{C676A403-F1EA-4073-9251-62D18D16E8A4}"/>
    <cellStyle name="AggGreen12 2 3 4 5" xfId="2453" xr:uid="{214BFAD6-DAB0-4535-BC21-D12038A8A6BE}"/>
    <cellStyle name="AggGreen12 2 3 4 50" xfId="23822" xr:uid="{F8E08736-3A2D-42BE-BB3B-C6F272CE0D6D}"/>
    <cellStyle name="AggGreen12 2 3 4 51" xfId="24721" xr:uid="{51442ED4-4489-4778-A644-E03A7797E965}"/>
    <cellStyle name="AggGreen12 2 3 4 52" xfId="24223" xr:uid="{68D15BB6-CC35-48D9-A154-5CD33D388790}"/>
    <cellStyle name="AggGreen12 2 3 4 53" xfId="25639" xr:uid="{03F1579F-4FB1-410B-A22F-FEA8BF5B277F}"/>
    <cellStyle name="AggGreen12 2 3 4 54" xfId="24421" xr:uid="{8E86B900-DBC1-4D8A-9920-10870D1A9500}"/>
    <cellStyle name="AggGreen12 2 3 4 55" xfId="24280" xr:uid="{2836CF52-B0C7-4456-ADB1-608307DDE316}"/>
    <cellStyle name="AggGreen12 2 3 4 56" xfId="26929" xr:uid="{61E03CEE-B015-493B-B086-CD7078805C1D}"/>
    <cellStyle name="AggGreen12 2 3 4 57" xfId="27348" xr:uid="{36D7FD90-F2F5-4C30-A80B-9DD7AE2678E8}"/>
    <cellStyle name="AggGreen12 2 3 4 58" xfId="26452" xr:uid="{AC36644B-11F7-449C-BAB4-A0C6545C94F9}"/>
    <cellStyle name="AggGreen12 2 3 4 59" xfId="28471" xr:uid="{E00791AF-62F2-43ED-95D0-D1BCC0CB226B}"/>
    <cellStyle name="AggGreen12 2 3 4 6" xfId="2755" xr:uid="{FD7933FD-6E4D-45FC-AD1D-FD4429180951}"/>
    <cellStyle name="AggGreen12 2 3 4 60" xfId="28939" xr:uid="{A740FC7E-5667-4E2A-84FA-7B1507E767AB}"/>
    <cellStyle name="AggGreen12 2 3 4 61" xfId="29005" xr:uid="{67CB8719-E3BA-486B-90A0-C828FD905F02}"/>
    <cellStyle name="AggGreen12 2 3 4 62" xfId="29729" xr:uid="{9F8A0B12-6BAB-4DC3-8CBD-4A878466791A}"/>
    <cellStyle name="AggGreen12 2 3 4 63" xfId="30137" xr:uid="{971F42C4-3777-4711-B174-79760F26DD76}"/>
    <cellStyle name="AggGreen12 2 3 4 64" xfId="30551" xr:uid="{204FBE5D-8452-4F44-A0E2-D672C7461E78}"/>
    <cellStyle name="AggGreen12 2 3 4 65" xfId="30895" xr:uid="{DDCF3A1B-6B09-4FC2-9ED3-5753A99631D6}"/>
    <cellStyle name="AggGreen12 2 3 4 66" xfId="31175" xr:uid="{2D71326A-E2CC-481B-876B-D69691C1A27A}"/>
    <cellStyle name="AggGreen12 2 3 4 7" xfId="3243" xr:uid="{EB88EE00-C3ED-4A91-A123-D8BD4F738BFA}"/>
    <cellStyle name="AggGreen12 2 3 4 8" xfId="3949" xr:uid="{7565FB31-5C4C-4BF8-9568-CD53070B6DAE}"/>
    <cellStyle name="AggGreen12 2 3 4 9" xfId="4387" xr:uid="{2E49F277-8693-4715-A5C6-156FC391CD67}"/>
    <cellStyle name="AggGreen12 2 3 40" xfId="17126" xr:uid="{F9BFCEAB-2D79-433D-8C30-A03EF82967CD}"/>
    <cellStyle name="AggGreen12 2 3 41" xfId="18559" xr:uid="{80FA9C88-2672-4F14-B710-A8383A467CA2}"/>
    <cellStyle name="AggGreen12 2 3 42" xfId="18946" xr:uid="{B598D3DE-970E-4BC2-93A4-04E55305303A}"/>
    <cellStyle name="AggGreen12 2 3 43" xfId="19647" xr:uid="{89CDDCB1-DCE0-4AE0-871C-39EE7C28362E}"/>
    <cellStyle name="AggGreen12 2 3 44" xfId="19602" xr:uid="{62802EBF-8CE1-454D-B227-5382C30EFF39}"/>
    <cellStyle name="AggGreen12 2 3 45" xfId="19782" xr:uid="{4751C135-369C-4E36-98C2-C8D4BC60A312}"/>
    <cellStyle name="AggGreen12 2 3 46" xfId="20941" xr:uid="{87BAA0FA-78E7-45AC-88C4-ADED1544F906}"/>
    <cellStyle name="AggGreen12 2 3 47" xfId="21433" xr:uid="{8E4B0FAA-1667-4F3B-8C43-27D5CAE50076}"/>
    <cellStyle name="AggGreen12 2 3 48" xfId="21786" xr:uid="{336D7C23-477E-4EDA-A763-B949FD3B094C}"/>
    <cellStyle name="AggGreen12 2 3 49" xfId="22161" xr:uid="{5B7CDBFE-8780-4668-BD4E-92A39E34510D}"/>
    <cellStyle name="AggGreen12 2 3 5" xfId="940" xr:uid="{D97E27E1-8D8F-4472-AAFF-920C29B9CB5B}"/>
    <cellStyle name="AggGreen12 2 3 50" xfId="22430" xr:uid="{2F993EB6-FCDB-4931-979A-8BB4F045B758}"/>
    <cellStyle name="AggGreen12 2 3 51" xfId="23087" xr:uid="{8550B3E6-488B-4808-88A8-9B1C45003637}"/>
    <cellStyle name="AggGreen12 2 3 52" xfId="23632" xr:uid="{58110163-91E6-488A-BD62-DB72496A56B8}"/>
    <cellStyle name="AggGreen12 2 3 53" xfId="24367" xr:uid="{B5A2216D-AA39-4455-84DE-3E96E53E85BC}"/>
    <cellStyle name="AggGreen12 2 3 54" xfId="24453" xr:uid="{CE8D01DF-F87D-447F-9FAD-947068C31A81}"/>
    <cellStyle name="AggGreen12 2 3 55" xfId="25256" xr:uid="{D4B0BAA9-6689-47A4-8680-2722A726C101}"/>
    <cellStyle name="AggGreen12 2 3 56" xfId="25331" xr:uid="{585B0396-E4E4-407E-A5D6-D5E6D0C3B1BE}"/>
    <cellStyle name="AggGreen12 2 3 57" xfId="25122" xr:uid="{D2117AAA-7681-4287-9DB3-D420CA54ABE2}"/>
    <cellStyle name="AggGreen12 2 3 58" xfId="26722" xr:uid="{D2EF292D-D886-4BD4-AEA3-806DAC5A09E3}"/>
    <cellStyle name="AggGreen12 2 3 59" xfId="26994" xr:uid="{DC8C1FB4-05C5-471D-8AB5-932873B4C293}"/>
    <cellStyle name="AggGreen12 2 3 6" xfId="1537" xr:uid="{E85D206E-687A-4D9D-B6BF-792C36616F3B}"/>
    <cellStyle name="AggGreen12 2 3 60" xfId="26779" xr:uid="{C511236E-70DA-4DD0-B148-3FE973F5D38F}"/>
    <cellStyle name="AggGreen12 2 3 61" xfId="28138" xr:uid="{2D99BE02-6614-4C57-8A08-991C2983FA54}"/>
    <cellStyle name="AggGreen12 2 3 62" xfId="28018" xr:uid="{37EE0971-8B32-4D20-88D6-C5EC59DD0B7C}"/>
    <cellStyle name="AggGreen12 2 3 63" xfId="28236" xr:uid="{484AAEFB-6EF2-4B68-800B-BEFE2413902D}"/>
    <cellStyle name="AggGreen12 2 3 64" xfId="28745" xr:uid="{910BB5DC-6713-4139-9F37-A983F812CEE5}"/>
    <cellStyle name="AggGreen12 2 3 65" xfId="29608" xr:uid="{59D69836-DCC6-42B2-B405-081AA4EAEF28}"/>
    <cellStyle name="AggGreen12 2 3 66" xfId="29414" xr:uid="{10ECB747-B278-4C8D-A077-E332E69E8227}"/>
    <cellStyle name="AggGreen12 2 3 67" xfId="28047" xr:uid="{CC979769-E34F-4B47-8B4B-09AFA1630D70}"/>
    <cellStyle name="AggGreen12 2 3 68" xfId="29461" xr:uid="{519345D6-8A39-4D2F-8F4A-9C72E0556206}"/>
    <cellStyle name="AggGreen12 2 3 7" xfId="2087" xr:uid="{040C1086-798B-4404-9630-484BC2F772EA}"/>
    <cellStyle name="AggGreen12 2 3 8" xfId="1961" xr:uid="{C347DD5E-717B-4356-996D-5494931B13BA}"/>
    <cellStyle name="AggGreen12 2 3 9" xfId="3537" xr:uid="{C93FA67A-9754-4B12-AF49-5E843DCF66B4}"/>
    <cellStyle name="AggGreen12 3" xfId="404" xr:uid="{83396624-5A8E-48EF-9C44-A992673DB914}"/>
    <cellStyle name="AggGreen12 3 2" xfId="528" xr:uid="{68985DA6-95E4-4C82-B9FD-7ECFB67D5EFB}"/>
    <cellStyle name="AggGreen12 3 2 10" xfId="4953" xr:uid="{1101CDAA-79F1-4B87-AA84-EBBC8E307B5F}"/>
    <cellStyle name="AggGreen12 3 2 11" xfId="5176" xr:uid="{4BEF2CD0-D8E1-480E-BF42-9DDB448A5808}"/>
    <cellStyle name="AggGreen12 3 2 12" xfId="4757" xr:uid="{4EACC40F-D335-4F2B-AF64-0E2EAF27DF10}"/>
    <cellStyle name="AggGreen12 3 2 13" xfId="6298" xr:uid="{00DBA62C-3FB6-47D0-850C-DBC4AE2A8116}"/>
    <cellStyle name="AggGreen12 3 2 14" xfId="6528" xr:uid="{2ACB17B0-FDA5-4955-A1D6-EDB97CA02822}"/>
    <cellStyle name="AggGreen12 3 2 15" xfId="7248" xr:uid="{1A7D3E72-2A03-4F73-B191-5FC08AE74CA3}"/>
    <cellStyle name="AggGreen12 3 2 16" xfId="7851" xr:uid="{12B2DBB0-76C3-4352-9FCB-0F9869D9091D}"/>
    <cellStyle name="AggGreen12 3 2 17" xfId="8647" xr:uid="{8AB256C0-18F2-498F-AE2D-5632FBDB165F}"/>
    <cellStyle name="AggGreen12 3 2 18" xfId="8840" xr:uid="{36E87396-44FD-421F-AA60-51280C470110}"/>
    <cellStyle name="AggGreen12 3 2 19" xfId="9462" xr:uid="{879B524D-B802-47AD-B0DC-85E2BD42251B}"/>
    <cellStyle name="AggGreen12 3 2 2" xfId="743" xr:uid="{98BD573D-D526-4FCF-9EFF-79440AA82A94}"/>
    <cellStyle name="AggGreen12 3 2 2 10" xfId="5391" xr:uid="{23564D61-A3CE-4DC1-920C-AAE49B6E1731}"/>
    <cellStyle name="AggGreen12 3 2 2 11" xfId="5094" xr:uid="{70B21828-020A-4843-BA82-69174420A194}"/>
    <cellStyle name="AggGreen12 3 2 2 12" xfId="5641" xr:uid="{736856CF-DE73-42CB-99D7-FA6081D174C1}"/>
    <cellStyle name="AggGreen12 3 2 2 13" xfId="6450" xr:uid="{2730EDDA-ED70-4C70-85E8-5A75B9EB37B6}"/>
    <cellStyle name="AggGreen12 3 2 2 14" xfId="7463" xr:uid="{F3032AB1-FF3C-4F3D-A44C-213D4D080C40}"/>
    <cellStyle name="AggGreen12 3 2 2 15" xfId="6903" xr:uid="{FD705554-0998-4EA1-BCB7-89221480C62C}"/>
    <cellStyle name="AggGreen12 3 2 2 16" xfId="7994" xr:uid="{FFE89F51-228D-4428-A5EC-27158003972B}"/>
    <cellStyle name="AggGreen12 3 2 2 17" xfId="8704" xr:uid="{7EF2C7B5-FCDC-4931-B891-6D0912306DEA}"/>
    <cellStyle name="AggGreen12 3 2 2 18" xfId="9677" xr:uid="{71BA72AE-8248-4B71-A0BB-CD08201079B8}"/>
    <cellStyle name="AggGreen12 3 2 2 19" xfId="9116" xr:uid="{A5F34ACA-9F9C-4F70-A7AF-DF7B40F2B9F5}"/>
    <cellStyle name="AggGreen12 3 2 2 2" xfId="1217" xr:uid="{A8CFF091-CFA7-4627-88B9-D4DAC50846B2}"/>
    <cellStyle name="AggGreen12 3 2 2 20" xfId="9939" xr:uid="{3E1A99C3-B354-4880-A9AC-04EF11252849}"/>
    <cellStyle name="AggGreen12 3 2 2 21" xfId="10625" xr:uid="{2F59E8F2-1765-4147-878E-B66AF337F3FC}"/>
    <cellStyle name="AggGreen12 3 2 2 22" xfId="10879" xr:uid="{46580E70-0F15-4BE5-B82B-BEB961F4A5DF}"/>
    <cellStyle name="AggGreen12 3 2 2 23" xfId="12096" xr:uid="{EBA4FA51-4E4A-42D6-8FD7-A841F877EFB6}"/>
    <cellStyle name="AggGreen12 3 2 2 24" xfId="12569" xr:uid="{6AE416AB-87C6-4651-A6C4-8ADFAE9C36F3}"/>
    <cellStyle name="AggGreen12 3 2 2 25" xfId="13003" xr:uid="{9976A9DE-B7F7-4AC7-9147-3B70081FE37B}"/>
    <cellStyle name="AggGreen12 3 2 2 26" xfId="13440" xr:uid="{D3A2A13E-9450-4CD8-B651-4B6E0F38E1D2}"/>
    <cellStyle name="AggGreen12 3 2 2 27" xfId="12955" xr:uid="{444F878F-AB6F-4713-ADDA-FA424BB126AD}"/>
    <cellStyle name="AggGreen12 3 2 2 28" xfId="12306" xr:uid="{0DE610BC-29CB-4B6A-BE3B-266B2F0495F7}"/>
    <cellStyle name="AggGreen12 3 2 2 29" xfId="14067" xr:uid="{4042AD92-BDA0-4201-8A30-452D71F20DD5}"/>
    <cellStyle name="AggGreen12 3 2 2 3" xfId="1435" xr:uid="{68E54D82-B66D-4345-9703-EA830CB85521}"/>
    <cellStyle name="AggGreen12 3 2 2 30" xfId="15317" xr:uid="{80BDEB16-6C02-4F85-AFAA-AA0E4C6B12D3}"/>
    <cellStyle name="AggGreen12 3 2 2 31" xfId="15440" xr:uid="{08E6C309-E813-4DD5-A0E9-DD5FC71D5835}"/>
    <cellStyle name="AggGreen12 3 2 2 32" xfId="15578" xr:uid="{8782FA79-13D3-413F-9D98-FA6DC0738098}"/>
    <cellStyle name="AggGreen12 3 2 2 33" xfId="16788" xr:uid="{F121BEB9-9C7B-434F-8A64-8BC25E7CFD9F}"/>
    <cellStyle name="AggGreen12 3 2 2 34" xfId="16220" xr:uid="{45B0A108-BD52-4C44-8295-6D9F66383DA7}"/>
    <cellStyle name="AggGreen12 3 2 2 35" xfId="17053" xr:uid="{5940A3A5-0184-4C43-878F-FFAA96182707}"/>
    <cellStyle name="AggGreen12 3 2 2 36" xfId="18052" xr:uid="{11E31690-1F70-493B-BB29-C455270F9590}"/>
    <cellStyle name="AggGreen12 3 2 2 37" xfId="18606" xr:uid="{A729DD9B-3616-40B2-8DCA-5194826F61F4}"/>
    <cellStyle name="AggGreen12 3 2 2 38" xfId="18783" xr:uid="{977824F6-581D-4CDE-AC41-1C017BC048BC}"/>
    <cellStyle name="AggGreen12 3 2 2 39" xfId="18785" xr:uid="{034CDDA3-1BBB-4700-A9FB-DD4AEE981360}"/>
    <cellStyle name="AggGreen12 3 2 2 4" xfId="2565" xr:uid="{A5A11E76-1CD4-4805-BCB5-3F8C50B86D58}"/>
    <cellStyle name="AggGreen12 3 2 2 40" xfId="20125" xr:uid="{4AE9F8C8-30BE-45BD-A1BF-95941FDF769A}"/>
    <cellStyle name="AggGreen12 3 2 2 41" xfId="19553" xr:uid="{7EC4EAF2-D89A-4F36-898C-91738597A6D1}"/>
    <cellStyle name="AggGreen12 3 2 2 42" xfId="20661" xr:uid="{91B50089-0E6D-4333-A69A-C67DFA88F554}"/>
    <cellStyle name="AggGreen12 3 2 2 43" xfId="21251" xr:uid="{77731666-AEF8-4ECE-82A7-E587BF4B5967}"/>
    <cellStyle name="AggGreen12 3 2 2 44" xfId="21581" xr:uid="{A80D1F2C-818B-46B1-BA57-9B1400662DEB}"/>
    <cellStyle name="AggGreen12 3 2 2 45" xfId="22073" xr:uid="{CB70EAE0-B7EB-415C-B7CD-9883FE7083E3}"/>
    <cellStyle name="AggGreen12 3 2 2 46" xfId="21743" xr:uid="{2085E137-11F9-4A7F-9B83-7284970161F3}"/>
    <cellStyle name="AggGreen12 3 2 2 47" xfId="23055" xr:uid="{FDD545D5-F0BD-4CF4-B34D-DC279CDD8EDD}"/>
    <cellStyle name="AggGreen12 3 2 2 48" xfId="22801" xr:uid="{FA6461EE-9358-4817-9183-5CC97F3B0A69}"/>
    <cellStyle name="AggGreen12 3 2 2 49" xfId="23925" xr:uid="{465E3483-F87D-45A6-A0C9-398B89130C14}"/>
    <cellStyle name="AggGreen12 3 2 2 5" xfId="2492" xr:uid="{9D86D795-E004-4BBE-9488-9585EB57E4AA}"/>
    <cellStyle name="AggGreen12 3 2 2 50" xfId="24833" xr:uid="{53C87AC2-1FD2-4C35-BD03-0737F2DEF080}"/>
    <cellStyle name="AggGreen12 3 2 2 51" xfId="24274" xr:uid="{56D2BBD9-4112-41C0-8F89-A3A629344AD2}"/>
    <cellStyle name="AggGreen12 3 2 2 52" xfId="25749" xr:uid="{2C365305-F201-4CBC-909F-9832DFBC221D}"/>
    <cellStyle name="AggGreen12 3 2 2 53" xfId="24477" xr:uid="{BAF18700-E813-4987-8319-CB0A40B6BDB8}"/>
    <cellStyle name="AggGreen12 3 2 2 54" xfId="26374" xr:uid="{C3BE0BB7-46A4-4E65-AC16-416CEC8A02D4}"/>
    <cellStyle name="AggGreen12 3 2 2 55" xfId="27037" xr:uid="{7E67F535-DFC4-41E1-87FC-50F4AAE18C89}"/>
    <cellStyle name="AggGreen12 3 2 2 56" xfId="27456" xr:uid="{18EE1691-993E-4F53-9C3E-3A6800DA23BE}"/>
    <cellStyle name="AggGreen12 3 2 2 57" xfId="26270" xr:uid="{905CC16B-31DD-4BC8-AFB7-F68E6CFD1E73}"/>
    <cellStyle name="AggGreen12 3 2 2 58" xfId="28583" xr:uid="{C4D88BC4-43CB-4638-B01C-9F1220B1582A}"/>
    <cellStyle name="AggGreen12 3 2 2 59" xfId="29050" xr:uid="{00D748BB-A73A-4DDE-840E-20D6DFD92211}"/>
    <cellStyle name="AggGreen12 3 2 2 6" xfId="3103" xr:uid="{0B6587FF-94AF-4A1B-8823-7FC5B6BC4282}"/>
    <cellStyle name="AggGreen12 3 2 2 60" xfId="28748" xr:uid="{65EA18AD-C4CC-4CE6-AA52-17B774B9B692}"/>
    <cellStyle name="AggGreen12 3 2 2 61" xfId="29839" xr:uid="{D1C6E7E0-9712-48B2-83CC-8EF27CD54787}"/>
    <cellStyle name="AggGreen12 3 2 2 62" xfId="30245" xr:uid="{DB62901B-7ECA-432B-88E6-33FAF941294B}"/>
    <cellStyle name="AggGreen12 3 2 2 63" xfId="30662" xr:uid="{B3A92074-A833-4063-9B4C-CE99ED0F8433}"/>
    <cellStyle name="AggGreen12 3 2 2 64" xfId="28309" xr:uid="{575C6701-8202-4805-B8C2-6C6E5DA52842}"/>
    <cellStyle name="AggGreen12 3 2 2 65" xfId="31278" xr:uid="{EE01B268-4399-427D-A4BC-4E5FD4EAEE94}"/>
    <cellStyle name="AggGreen12 3 2 2 7" xfId="4061" xr:uid="{6727BBFD-3D94-46C9-B98C-E29BC785CFA5}"/>
    <cellStyle name="AggGreen12 3 2 2 8" xfId="4498" xr:uid="{B82A6386-9410-4AE9-A98C-D87B31669A1E}"/>
    <cellStyle name="AggGreen12 3 2 2 9" xfId="4227" xr:uid="{030FF000-5B57-45BD-964E-FD685213C9D4}"/>
    <cellStyle name="AggGreen12 3 2 20" xfId="10063" xr:uid="{4EA72C10-8006-4F35-989B-D3875EE25B9A}"/>
    <cellStyle name="AggGreen12 3 2 21" xfId="10481" xr:uid="{FDDB8B63-016A-4B5E-89D7-987F615F67D0}"/>
    <cellStyle name="AggGreen12 3 2 22" xfId="10736" xr:uid="{6BC7C8A8-C870-4F5F-A32F-3380958A2144}"/>
    <cellStyle name="AggGreen12 3 2 23" xfId="11141" xr:uid="{9EF4F8BA-AAB1-4606-B4AC-BDD8E508F7B3}"/>
    <cellStyle name="AggGreen12 3 2 24" xfId="11881" xr:uid="{070C5E42-8A3A-4000-923B-56650B06C7C6}"/>
    <cellStyle name="AggGreen12 3 2 25" xfId="12354" xr:uid="{A3BBEB18-F046-4789-BE2C-181C783351DA}"/>
    <cellStyle name="AggGreen12 3 2 26" xfId="12788" xr:uid="{19F7E8EF-2B11-4BA6-B21A-646993919B17}"/>
    <cellStyle name="AggGreen12 3 2 27" xfId="13225" xr:uid="{52721374-620D-45D6-AB49-C6DF76922A8E}"/>
    <cellStyle name="AggGreen12 3 2 28" xfId="13736" xr:uid="{84D1386D-315E-4254-AC2B-38A1DCBE1CCD}"/>
    <cellStyle name="AggGreen12 3 2 29" xfId="14168" xr:uid="{66559F41-3547-46A3-AC8B-3E44A6024645}"/>
    <cellStyle name="AggGreen12 3 2 3" xfId="1011" xr:uid="{55DEB196-726D-4E42-8460-165014DA6C75}"/>
    <cellStyle name="AggGreen12 3 2 30" xfId="14705" xr:uid="{7EDAF73F-A4AE-48EE-BE49-5BC73AB9B1E3}"/>
    <cellStyle name="AggGreen12 3 2 31" xfId="14728" xr:uid="{E4BD87C6-FEB3-4FD8-8CA1-F07D4111093E}"/>
    <cellStyle name="AggGreen12 3 2 32" xfId="15525" xr:uid="{075DDC11-F5A6-4959-8200-5C805E097D00}"/>
    <cellStyle name="AggGreen12 3 2 33" xfId="15889" xr:uid="{9EE6C3E4-BCF6-4A44-AFAA-A61333B7A542}"/>
    <cellStyle name="AggGreen12 3 2 34" xfId="16573" xr:uid="{FF10DC80-94E8-4FBD-AFB1-06D4B650A7CC}"/>
    <cellStyle name="AggGreen12 3 2 35" xfId="17180" xr:uid="{B87D4CED-0E91-42D2-A324-1CDE529F78B4}"/>
    <cellStyle name="AggGreen12 3 2 36" xfId="17626" xr:uid="{D7AE50E5-FCA0-4F3B-AD92-1DA1F1F4160E}"/>
    <cellStyle name="AggGreen12 3 2 37" xfId="17051" xr:uid="{248EC23A-1C58-4095-A532-D435A0A92A34}"/>
    <cellStyle name="AggGreen12 3 2 38" xfId="18391" xr:uid="{F0F317E9-59A2-4CE7-8AA9-C6640B498B99}"/>
    <cellStyle name="AggGreen12 3 2 39" xfId="19001" xr:uid="{C7494DB7-B1C1-4762-B13D-B12F465D8E44}"/>
    <cellStyle name="AggGreen12 3 2 4" xfId="1667" xr:uid="{C17E92AC-9E8E-4EA0-ADEF-B7B3A7B98AC5}"/>
    <cellStyle name="AggGreen12 3 2 40" xfId="16129" xr:uid="{EAAEA303-A5BB-4D56-A97E-FFD92649374F}"/>
    <cellStyle name="AggGreen12 3 2 41" xfId="19910" xr:uid="{0BFCB4FA-8F68-4B76-92ED-0EB435DC485A}"/>
    <cellStyle name="AggGreen12 3 2 42" xfId="20533" xr:uid="{EFD8EA8F-DD61-4CCB-AADB-4DC57A90ACB3}"/>
    <cellStyle name="AggGreen12 3 2 43" xfId="20986" xr:uid="{20B71930-3432-451F-9E1B-8B250B233315}"/>
    <cellStyle name="AggGreen12 3 2 44" xfId="21362" xr:uid="{9801C518-C96D-44AE-95AC-F3191C5D0A7D}"/>
    <cellStyle name="AggGreen12 3 2 45" xfId="21917" xr:uid="{EFE97E43-3874-4EB1-AF09-7F57015E6239}"/>
    <cellStyle name="AggGreen12 3 2 46" xfId="22351" xr:uid="{A3E1B600-7942-4958-928B-9536D006AE1B}"/>
    <cellStyle name="AggGreen12 3 2 47" xfId="22731" xr:uid="{017B7A6D-F356-4B40-891E-ACFAEE967218}"/>
    <cellStyle name="AggGreen12 3 2 48" xfId="23283" xr:uid="{FD4A02ED-7DB1-46E7-89A2-594EA9D7CDD8}"/>
    <cellStyle name="AggGreen12 3 2 49" xfId="22610" xr:uid="{B63A870A-643A-4910-80B7-00F2F47785FF}"/>
    <cellStyle name="AggGreen12 3 2 5" xfId="2350" xr:uid="{2478B0BF-E414-4F0C-97B5-8BF4CF9C9402}"/>
    <cellStyle name="AggGreen12 3 2 50" xfId="23719" xr:uid="{3BE2F6BD-AAF4-4E13-BF8D-E07D8A4093B8}"/>
    <cellStyle name="AggGreen12 3 2 51" xfId="24618" xr:uid="{FBEC8962-CD83-4BFD-9987-B48CBA945018}"/>
    <cellStyle name="AggGreen12 3 2 52" xfId="25242" xr:uid="{EDF30F1C-9B44-4B7D-8D08-192ED8B0EE23}"/>
    <cellStyle name="AggGreen12 3 2 53" xfId="25536" xr:uid="{B10AA6F9-A0DA-415F-96AD-08B99054651D}"/>
    <cellStyle name="AggGreen12 3 2 54" xfId="26036" xr:uid="{AD79B0A8-1BE9-42CB-9B5C-87A3352C691A}"/>
    <cellStyle name="AggGreen12 3 2 55" xfId="26229" xr:uid="{492F40FA-601F-4D98-9BA4-FF73295DFC45}"/>
    <cellStyle name="AggGreen12 3 2 56" xfId="26826" xr:uid="{B117587D-14E1-4CF4-9D39-E1EB8D9B17E6}"/>
    <cellStyle name="AggGreen12 3 2 57" xfId="27245" xr:uid="{D5FD07FA-8336-41DF-A2A5-44516085D6BD}"/>
    <cellStyle name="AggGreen12 3 2 58" xfId="27795" xr:uid="{CD4072C9-6786-48E7-BA62-686033FD085D}"/>
    <cellStyle name="AggGreen12 3 2 59" xfId="28368" xr:uid="{07CC4246-6DE9-47A1-ABB7-16AEDE267413}"/>
    <cellStyle name="AggGreen12 3 2 6" xfId="2901" xr:uid="{526DEAE9-FC33-436D-A4CD-9D1BE3363556}"/>
    <cellStyle name="AggGreen12 3 2 60" xfId="28836" xr:uid="{A8DF96CE-F62A-4E99-8549-F512AE058A4F}"/>
    <cellStyle name="AggGreen12 3 2 61" xfId="29380" xr:uid="{CACCF247-8BE3-485A-BF52-19A5EE208563}"/>
    <cellStyle name="AggGreen12 3 2 62" xfId="29626" xr:uid="{441F2193-2BAC-4FD5-9529-660F404244D2}"/>
    <cellStyle name="AggGreen12 3 2 63" xfId="30034" xr:uid="{506F2F72-4E7B-4252-8CCF-474F927385EE}"/>
    <cellStyle name="AggGreen12 3 2 64" xfId="30448" xr:uid="{6F3673BC-FBF9-44C5-B0C4-CC536E1DF17A}"/>
    <cellStyle name="AggGreen12 3 2 65" xfId="30956" xr:uid="{D9102F8F-5CAD-4D67-BC05-56817B1E93EA}"/>
    <cellStyle name="AggGreen12 3 2 66" xfId="31072" xr:uid="{8E4B4BA9-DD82-4085-B452-A7841B59D961}"/>
    <cellStyle name="AggGreen12 3 2 7" xfId="3749" xr:uid="{DFC0D76D-0C8D-4B00-9783-5706DE9EA6D8}"/>
    <cellStyle name="AggGreen12 3 2 8" xfId="3846" xr:uid="{91E53692-6165-4D33-901E-67D567468405}"/>
    <cellStyle name="AggGreen12 3 2 9" xfId="4284" xr:uid="{CC42357C-DC77-4D07-B6B7-6C4DF335685F}"/>
    <cellStyle name="AggGreen12 3 3" xfId="711" xr:uid="{C099825D-315B-48A5-B9ED-54ED4873A1DD}"/>
    <cellStyle name="AggGreen12 3 3 10" xfId="5359" xr:uid="{E3611C86-B3A7-4F8D-B624-086B7EC6D865}"/>
    <cellStyle name="AggGreen12 3 3 11" xfId="4701" xr:uid="{2821E797-C8FA-4995-8AC4-F6381A2C561F}"/>
    <cellStyle name="AggGreen12 3 3 12" xfId="6122" xr:uid="{CF106F42-B6DE-49DA-860C-977F5888DFC7}"/>
    <cellStyle name="AggGreen12 3 3 13" xfId="5894" xr:uid="{EEB66831-82EF-4515-93E8-599101AB21F2}"/>
    <cellStyle name="AggGreen12 3 3 14" xfId="7431" xr:uid="{6D3270FF-DB1D-48BE-AB3C-B687D3D520A0}"/>
    <cellStyle name="AggGreen12 3 3 15" xfId="7904" xr:uid="{88BFA229-9C84-4245-B262-0DBB1FC8CDF0}"/>
    <cellStyle name="AggGreen12 3 3 16" xfId="8396" xr:uid="{3C165117-3D9C-491B-AC1D-DA859D67A947}"/>
    <cellStyle name="AggGreen12 3 3 17" xfId="8868" xr:uid="{A0C90E66-C22A-44BF-B8D1-88412518BCCB}"/>
    <cellStyle name="AggGreen12 3 3 18" xfId="9645" xr:uid="{2FC45540-B8FE-4A1D-BEC3-63FE81AD4D36}"/>
    <cellStyle name="AggGreen12 3 3 19" xfId="10117" xr:uid="{22F72A9B-BCE2-430D-A8E3-5E59EB5AA0EC}"/>
    <cellStyle name="AggGreen12 3 3 2" xfId="1185" xr:uid="{C749F530-1CAA-418F-BA5E-A0829F0E4388}"/>
    <cellStyle name="AggGreen12 3 3 20" xfId="10528" xr:uid="{EA3E79E5-A80B-47BC-86E2-AD560525E2B2}"/>
    <cellStyle name="AggGreen12 3 3 21" xfId="10437" xr:uid="{D55923CA-D6FE-4FCE-A24A-DFBA7C56B0B2}"/>
    <cellStyle name="AggGreen12 3 3 22" xfId="11085" xr:uid="{4A2B9055-C4FC-42ED-AD22-4AE7043758FA}"/>
    <cellStyle name="AggGreen12 3 3 23" xfId="12064" xr:uid="{E4E60C91-E2D2-48F4-8FCE-4F2CED57F00F}"/>
    <cellStyle name="AggGreen12 3 3 24" xfId="12537" xr:uid="{7E53293F-D915-446F-B60A-2DE800B22A0F}"/>
    <cellStyle name="AggGreen12 3 3 25" xfId="12971" xr:uid="{4BFEE92F-B2DC-45A6-B7B8-13CC9EC78019}"/>
    <cellStyle name="AggGreen12 3 3 26" xfId="13408" xr:uid="{03D0A1D6-19C8-420D-A0D8-B6C139E7906C}"/>
    <cellStyle name="AggGreen12 3 3 27" xfId="13712" xr:uid="{E9B8A056-324A-4AFB-AEFF-21F335FCCD92}"/>
    <cellStyle name="AggGreen12 3 3 28" xfId="13206" xr:uid="{FBCFFBFB-6F83-442C-B295-3CF095C11193}"/>
    <cellStyle name="AggGreen12 3 3 29" xfId="14766" xr:uid="{69728DD7-6026-482E-BC96-CA69ADE2EAC7}"/>
    <cellStyle name="AggGreen12 3 3 3" xfId="1380" xr:uid="{C3A97A5F-EF18-4AD6-ACE2-0505A52114D1}"/>
    <cellStyle name="AggGreen12 3 3 30" xfId="14535" xr:uid="{24E7980D-B5AF-48E8-97EF-88B113111A00}"/>
    <cellStyle name="AggGreen12 3 3 31" xfId="15570" xr:uid="{74A80D03-BA57-4065-ABFC-85199D8B3B77}"/>
    <cellStyle name="AggGreen12 3 3 32" xfId="15919" xr:uid="{ECEE3826-2B8C-4C79-8DE4-C51A6A8A2824}"/>
    <cellStyle name="AggGreen12 3 3 33" xfId="16756" xr:uid="{7DD92B9D-91B9-4AFA-9443-D9FB414CC17F}"/>
    <cellStyle name="AggGreen12 3 3 34" xfId="17236" xr:uid="{5C439DD8-510E-40EF-934F-7C6635106CED}"/>
    <cellStyle name="AggGreen12 3 3 35" xfId="17680" xr:uid="{C4540331-5638-4ABA-A596-2C2138937416}"/>
    <cellStyle name="AggGreen12 3 3 36" xfId="17340" xr:uid="{A88C2572-2A26-4AC6-9829-EEED1FADF71E}"/>
    <cellStyle name="AggGreen12 3 3 37" xfId="18574" xr:uid="{BE49563D-B14D-4A74-AD0F-806028AEC757}"/>
    <cellStyle name="AggGreen12 3 3 38" xfId="19065" xr:uid="{EED2988A-BD40-4EA8-9EEE-B556FB9833E0}"/>
    <cellStyle name="AggGreen12 3 3 39" xfId="18969" xr:uid="{F3EC5586-BE78-47F1-80EE-774656201BFA}"/>
    <cellStyle name="AggGreen12 3 3 4" xfId="2533" xr:uid="{02748244-436D-405F-B71F-7785382148A7}"/>
    <cellStyle name="AggGreen12 3 3 40" xfId="20093" xr:uid="{11732DF9-D132-4B23-8D06-B1B2DD64583A}"/>
    <cellStyle name="AggGreen12 3 3 41" xfId="20587" xr:uid="{851D8753-C4F2-4BBD-8B92-AACE1A1A8C30}"/>
    <cellStyle name="AggGreen12 3 3 42" xfId="21041" xr:uid="{E05BD60D-49FC-40A7-811C-9327E9BDAC18}"/>
    <cellStyle name="AggGreen12 3 3 43" xfId="21613" xr:uid="{75860894-03DE-4A8C-ADB6-E07EF5841A66}"/>
    <cellStyle name="AggGreen12 3 3 44" xfId="21972" xr:uid="{326DBE03-FC6B-44A8-88EA-58263D6E055C}"/>
    <cellStyle name="AggGreen12 3 3 45" xfId="22404" xr:uid="{F723F723-C9ED-47B8-863B-DC335CF25006}"/>
    <cellStyle name="AggGreen12 3 3 46" xfId="22708" xr:uid="{6EE61662-DDC6-464F-BB90-47D5B6D5A076}"/>
    <cellStyle name="AggGreen12 3 3 47" xfId="23342" xr:uid="{7FFFDCA0-C981-4B17-BB93-EA4423FA618D}"/>
    <cellStyle name="AggGreen12 3 3 48" xfId="22585" xr:uid="{27FC7DC2-77F6-4176-86B8-4D4C2C750362}"/>
    <cellStyle name="AggGreen12 3 3 49" xfId="23893" xr:uid="{174FF747-6671-4A7C-B77A-2911B415B946}"/>
    <cellStyle name="AggGreen12 3 3 5" xfId="2877" xr:uid="{AD719DAD-D985-48F7-9B6E-BF1C365998D7}"/>
    <cellStyle name="AggGreen12 3 3 50" xfId="24801" xr:uid="{DD920814-E064-4212-9489-40AA7CD41F0D}"/>
    <cellStyle name="AggGreen12 3 3 51" xfId="25296" xr:uid="{79436FDF-033E-43BB-AF80-FEE515D6A062}"/>
    <cellStyle name="AggGreen12 3 3 52" xfId="25717" xr:uid="{1DE42143-39DF-48BD-B249-D63C4A0583B1}"/>
    <cellStyle name="AggGreen12 3 3 53" xfId="26013" xr:uid="{88F267B3-AA3E-450C-B9CA-CBD8987D26AC}"/>
    <cellStyle name="AggGreen12 3 3 54" xfId="26610" xr:uid="{1979AF04-FD0C-4BA2-B11B-42AE0A61EA0E}"/>
    <cellStyle name="AggGreen12 3 3 55" xfId="27005" xr:uid="{CA1822C8-5B26-40AE-904B-FF28632AD672}"/>
    <cellStyle name="AggGreen12 3 3 56" xfId="27424" xr:uid="{B7AD84EA-B6EB-4072-8946-476360C4B1A4}"/>
    <cellStyle name="AggGreen12 3 3 57" xfId="26108" xr:uid="{99300C16-ABB9-4CB2-A849-B8D09C37650C}"/>
    <cellStyle name="AggGreen12 3 3 58" xfId="28551" xr:uid="{6159C7A3-69D0-4E6C-91C2-01C2521FCDDA}"/>
    <cellStyle name="AggGreen12 3 3 59" xfId="29018" xr:uid="{2D7BA184-F33F-41EB-AC86-931F190B94E2}"/>
    <cellStyle name="AggGreen12 3 3 6" xfId="3327" xr:uid="{D775EAF8-46E2-45AB-B959-96DAB218A768}"/>
    <cellStyle name="AggGreen12 3 3 60" xfId="29421" xr:uid="{6291F496-7FB7-4986-8887-89F254A48631}"/>
    <cellStyle name="AggGreen12 3 3 61" xfId="29807" xr:uid="{DA507971-9DB5-4FDE-999B-05CEB49248DA}"/>
    <cellStyle name="AggGreen12 3 3 62" xfId="30213" xr:uid="{7E6D1DA6-1EE7-4047-9E52-89665E8B4266}"/>
    <cellStyle name="AggGreen12 3 3 63" xfId="30630" xr:uid="{B275A802-8C47-4D5A-BA11-607C16C04791}"/>
    <cellStyle name="AggGreen12 3 3 64" xfId="29337" xr:uid="{57E1B119-1BCA-4D7C-8730-B9E139FDAFF0}"/>
    <cellStyle name="AggGreen12 3 3 65" xfId="31246" xr:uid="{33745B47-8E1D-4981-B1F9-E3D971AD7B7E}"/>
    <cellStyle name="AggGreen12 3 3 7" xfId="4029" xr:uid="{66086E6B-1380-41BA-B04D-176D206376DE}"/>
    <cellStyle name="AggGreen12 3 3 8" xfId="4466" xr:uid="{EB61F62F-93D4-491D-AF16-03D1AD7FE421}"/>
    <cellStyle name="AggGreen12 3 3 9" xfId="4781" xr:uid="{104614FC-00C3-4CD3-A8C8-AB7E582307F6}"/>
    <cellStyle name="AggGreen12 4" xfId="262" xr:uid="{31E622B0-E25F-4CBB-9244-D926143FD719}"/>
    <cellStyle name="AggGreen12 4 10" xfId="3552" xr:uid="{5C2893E9-84AB-44BF-B060-45BB961FE7AB}"/>
    <cellStyle name="AggGreen12 4 11" xfId="3485" xr:uid="{D8F04D47-3FEC-4B2F-A59E-DD2C532E1AF7}"/>
    <cellStyle name="AggGreen12 4 12" xfId="3449" xr:uid="{BFB37CE6-5431-47C4-8A7F-16923A61E3B8}"/>
    <cellStyle name="AggGreen12 4 13" xfId="5047" xr:uid="{F4AD783B-3F40-48B7-B4CB-87121FC07946}"/>
    <cellStyle name="AggGreen12 4 14" xfId="5130" xr:uid="{9F7C9ABB-375D-444A-B368-EE54711F4570}"/>
    <cellStyle name="AggGreen12 4 15" xfId="5834" xr:uid="{62C9AFF5-C19A-400C-A65A-49D5D58E57CD}"/>
    <cellStyle name="AggGreen12 4 16" xfId="6451" xr:uid="{05749E91-C03F-4599-B6D0-5AC3F4FB9F05}"/>
    <cellStyle name="AggGreen12 4 17" xfId="6992" xr:uid="{FD893D3F-647F-4E83-87CE-3CAA98AC1144}"/>
    <cellStyle name="AggGreen12 4 18" xfId="7647" xr:uid="{FE397D29-7042-4A7F-8586-E7A7BD801169}"/>
    <cellStyle name="AggGreen12 4 19" xfId="8276" xr:uid="{58653042-9539-4D13-B131-1072BA8952CD}"/>
    <cellStyle name="AggGreen12 4 2" xfId="601" xr:uid="{044FA821-8406-4D6C-8CCB-D8D2E012D1CB}"/>
    <cellStyle name="AggGreen12 4 2 10" xfId="4935" xr:uid="{EB2B8ABC-F033-48F1-9276-FDB250CDBA1A}"/>
    <cellStyle name="AggGreen12 4 2 11" xfId="5249" xr:uid="{AA2F6106-EB37-4EA9-A2D4-5D6326BD98B2}"/>
    <cellStyle name="AggGreen12 4 2 12" xfId="2965" xr:uid="{09DD4C5B-82C5-485A-85F4-D204E30D0955}"/>
    <cellStyle name="AggGreen12 4 2 13" xfId="6320" xr:uid="{C0BD34BC-68D1-4FA0-B824-0C44944B9573}"/>
    <cellStyle name="AggGreen12 4 2 14" xfId="5575" xr:uid="{60555072-8248-4E6D-9E04-C0390CF87AFF}"/>
    <cellStyle name="AggGreen12 4 2 15" xfId="7321" xr:uid="{8DB4D4F7-1BAB-42AA-BD54-C834D0D4C8EE}"/>
    <cellStyle name="AggGreen12 4 2 16" xfId="6923" xr:uid="{10D6D1BA-FC2C-4D67-85A1-D7B3E6F7CE2F}"/>
    <cellStyle name="AggGreen12 4 2 17" xfId="8465" xr:uid="{A7A13595-E80D-4566-8BBE-2CF3FE717C46}"/>
    <cellStyle name="AggGreen12 4 2 18" xfId="8848" xr:uid="{E594B041-3D9E-4F30-A01C-D43188A28D59}"/>
    <cellStyle name="AggGreen12 4 2 19" xfId="9535" xr:uid="{2997C17A-7218-486B-91B6-F83F275E284F}"/>
    <cellStyle name="AggGreen12 4 2 2" xfId="816" xr:uid="{630ED325-8520-4D39-BDF9-F74BFB3F1DBD}"/>
    <cellStyle name="AggGreen12 4 2 2 10" xfId="5464" xr:uid="{03154D76-069F-4532-87B3-6FC6CCCC4C78}"/>
    <cellStyle name="AggGreen12 4 2 2 11" xfId="5784" xr:uid="{973E8AF1-DDC0-464D-A3C2-F673B7B53623}"/>
    <cellStyle name="AggGreen12 4 2 2 12" xfId="5656" xr:uid="{93FE14BF-CF3A-409B-8E57-259420213608}"/>
    <cellStyle name="AggGreen12 4 2 2 13" xfId="6476" xr:uid="{373B8548-7243-467A-B8FC-04CC43928F1D}"/>
    <cellStyle name="AggGreen12 4 2 2 14" xfId="7536" xr:uid="{24BA5E47-EB8A-4DE1-8C61-63C744FE8E85}"/>
    <cellStyle name="AggGreen12 4 2 2 15" xfId="7059" xr:uid="{A6C5A8A2-A38E-4C66-9193-30D7A895D4D3}"/>
    <cellStyle name="AggGreen12 4 2 2 16" xfId="8422" xr:uid="{621EDFBA-CFD7-4270-B93F-8191F1E0B43A}"/>
    <cellStyle name="AggGreen12 4 2 2 17" xfId="7687" xr:uid="{01A2156F-A2D8-4630-B0A6-D3A310A0178F}"/>
    <cellStyle name="AggGreen12 4 2 2 18" xfId="9750" xr:uid="{9AFA564D-3154-4514-B632-8B62A9777FE7}"/>
    <cellStyle name="AggGreen12 4 2 2 19" xfId="9272" xr:uid="{CA41F6F5-DAEB-4DF3-A121-D882606CCD63}"/>
    <cellStyle name="AggGreen12 4 2 2 2" xfId="1290" xr:uid="{C34F5283-97CE-42D7-9F57-04C44845EC36}"/>
    <cellStyle name="AggGreen12 4 2 2 20" xfId="10005" xr:uid="{BDA64D81-D510-4476-90C8-33B32C37D0E7}"/>
    <cellStyle name="AggGreen12 4 2 2 21" xfId="10883" xr:uid="{D09808D5-C686-46DD-BF51-903933846E0F}"/>
    <cellStyle name="AggGreen12 4 2 2 22" xfId="11110" xr:uid="{9B508EA7-60D8-448A-9999-B4458BC914B1}"/>
    <cellStyle name="AggGreen12 4 2 2 23" xfId="12169" xr:uid="{72B4E77F-5FD4-4AA4-A3F3-08722BF47EE8}"/>
    <cellStyle name="AggGreen12 4 2 2 24" xfId="12642" xr:uid="{6B63323E-60F1-4220-B9F6-62D7285B50FA}"/>
    <cellStyle name="AggGreen12 4 2 2 25" xfId="13076" xr:uid="{DFC446CA-239B-4EC1-BEC8-388E573BA5F5}"/>
    <cellStyle name="AggGreen12 4 2 2 26" xfId="13513" xr:uid="{170FC007-3A72-41A3-973F-56396D31D063}"/>
    <cellStyle name="AggGreen12 4 2 2 27" xfId="13932" xr:uid="{0629D466-031F-4C3C-B3BF-F1B7C43EFA5C}"/>
    <cellStyle name="AggGreen12 4 2 2 28" xfId="14432" xr:uid="{BDA58876-2D6C-4D04-B089-8BD90124046B}"/>
    <cellStyle name="AggGreen12 4 2 2 29" xfId="14249" xr:uid="{10880DE4-6D03-4A73-A2D1-DDF8DC047287}"/>
    <cellStyle name="AggGreen12 4 2 2 3" xfId="1419" xr:uid="{7751A398-1DA5-46D1-AF9F-8B15BE9DF07B}"/>
    <cellStyle name="AggGreen12 4 2 2 30" xfId="14732" xr:uid="{AF8C55EF-AB14-4EC8-A0E4-0C5C679638D4}"/>
    <cellStyle name="AggGreen12 4 2 2 31" xfId="15022" xr:uid="{7A1E967F-FB52-4452-B8D2-8DD043A71E0E}"/>
    <cellStyle name="AggGreen12 4 2 2 32" xfId="15523" xr:uid="{71E0D3D1-9BC9-4EAC-86B0-3CA2E90CD48A}"/>
    <cellStyle name="AggGreen12 4 2 2 33" xfId="16861" xr:uid="{BFAF0E2E-4B3C-4DC8-9AAB-CC46FEC0A7F4}"/>
    <cellStyle name="AggGreen12 4 2 2 34" xfId="16381" xr:uid="{ABEEAB4C-8081-4FAF-B471-5A18DB9364FD}"/>
    <cellStyle name="AggGreen12 4 2 2 35" xfId="17121" xr:uid="{5D727C92-62BB-493F-8AFB-AD42688C70FA}"/>
    <cellStyle name="AggGreen12 4 2 2 36" xfId="16050" xr:uid="{512905EC-6DFB-44A5-8BC2-E17BA164F35E}"/>
    <cellStyle name="AggGreen12 4 2 2 37" xfId="18679" xr:uid="{DD162E33-8081-44F2-87EC-6B0561AA432F}"/>
    <cellStyle name="AggGreen12 4 2 2 38" xfId="17134" xr:uid="{224B100F-EB6D-454F-81BE-D4A494338F5C}"/>
    <cellStyle name="AggGreen12 4 2 2 39" xfId="19306" xr:uid="{8BD47952-9778-4675-ABB4-9792BE136451}"/>
    <cellStyle name="AggGreen12 4 2 2 4" xfId="2638" xr:uid="{A27C1FA3-D4D1-4C53-8B88-C744D0335B79}"/>
    <cellStyle name="AggGreen12 4 2 2 40" xfId="20198" xr:uid="{8595C412-B9AC-4C8A-AB51-5F6EB1F1B085}"/>
    <cellStyle name="AggGreen12 4 2 2 41" xfId="19715" xr:uid="{1E9066DC-1FD6-40F5-97A9-31F1ED9A0863}"/>
    <cellStyle name="AggGreen12 4 2 2 42" xfId="20421" xr:uid="{8384BB26-FE7D-4637-85C0-BE9FB08D39E4}"/>
    <cellStyle name="AggGreen12 4 2 2 43" xfId="21032" xr:uid="{03EEBD13-04A7-4C63-AD99-22B5199786EE}"/>
    <cellStyle name="AggGreen12 4 2 2 44" xfId="21474" xr:uid="{4D904D90-755F-481D-B0F7-0F4EE70AF669}"/>
    <cellStyle name="AggGreen12 4 2 2 45" xfId="21418" xr:uid="{80E6D22A-AE17-4ECE-ACD7-2666F60332D4}"/>
    <cellStyle name="AggGreen12 4 2 2 46" xfId="22907" xr:uid="{FB528573-FEA9-44B5-A5F0-E3233BEB4B6B}"/>
    <cellStyle name="AggGreen12 4 2 2 47" xfId="21925" xr:uid="{6A05088A-3F5F-4DF5-9A27-C4D3A6559865}"/>
    <cellStyle name="AggGreen12 4 2 2 48" xfId="23458" xr:uid="{38DF3D15-0264-4C12-B1C1-1D55B13AA866}"/>
    <cellStyle name="AggGreen12 4 2 2 49" xfId="23998" xr:uid="{8BEE9C54-5DB2-4178-AADC-86ECBB995AE6}"/>
    <cellStyle name="AggGreen12 4 2 2 5" xfId="3100" xr:uid="{264948AE-DD48-415F-8DE0-4894E57AC2F4}"/>
    <cellStyle name="AggGreen12 4 2 2 50" xfId="24906" xr:uid="{40A19794-6E9A-48AE-9CFB-657B9E7A2BF3}"/>
    <cellStyle name="AggGreen12 4 2 2 51" xfId="24426" xr:uid="{63C7A928-6F9E-4A75-B768-A1E002571198}"/>
    <cellStyle name="AggGreen12 4 2 2 52" xfId="25822" xr:uid="{F0D0DA7B-A8B5-45A6-AB20-6D851FB9DEC0}"/>
    <cellStyle name="AggGreen12 4 2 2 53" xfId="26189" xr:uid="{0580474B-18D0-4983-8724-5D5F03F10459}"/>
    <cellStyle name="AggGreen12 4 2 2 54" xfId="26624" xr:uid="{B9A9991F-D5E6-496D-8472-870F5B1953B2}"/>
    <cellStyle name="AggGreen12 4 2 2 55" xfId="27110" xr:uid="{127B61FE-E928-4976-B6DF-5EE1E589DD24}"/>
    <cellStyle name="AggGreen12 4 2 2 56" xfId="27529" xr:uid="{446E3836-528B-4F71-8EA0-A1B19765069F}"/>
    <cellStyle name="AggGreen12 4 2 2 57" xfId="26563" xr:uid="{025C2C62-116C-49A1-ACA8-9F1A62D945D7}"/>
    <cellStyle name="AggGreen12 4 2 2 58" xfId="28656" xr:uid="{34541827-EDB6-41F3-8EE8-E6BF822E3DCB}"/>
    <cellStyle name="AggGreen12 4 2 2 59" xfId="29123" xr:uid="{ACE3EC74-55E3-40BF-A8A4-7E81B0CC05DD}"/>
    <cellStyle name="AggGreen12 4 2 2 6" xfId="3574" xr:uid="{7D623F90-BD6E-46E8-B018-BE4AD8166AEC}"/>
    <cellStyle name="AggGreen12 4 2 2 60" xfId="28796" xr:uid="{011E5B3F-7E90-4197-B117-AAF7490AC1A4}"/>
    <cellStyle name="AggGreen12 4 2 2 61" xfId="29912" xr:uid="{30055B8F-CD6E-4D87-AEE6-A3B2433699E5}"/>
    <cellStyle name="AggGreen12 4 2 2 62" xfId="30318" xr:uid="{AE4376ED-8EA0-47F8-A846-65438461EAD9}"/>
    <cellStyle name="AggGreen12 4 2 2 63" xfId="30735" xr:uid="{2219DCE6-D898-47EA-A46A-A884872CDF49}"/>
    <cellStyle name="AggGreen12 4 2 2 64" xfId="28343" xr:uid="{7B2E0D4D-3D84-40D6-9C61-4D0F645E4E6D}"/>
    <cellStyle name="AggGreen12 4 2 2 65" xfId="31351" xr:uid="{F6F54E51-05FB-4E3B-84CB-9C0989F8D817}"/>
    <cellStyle name="AggGreen12 4 2 2 7" xfId="4134" xr:uid="{FDF38063-5677-4420-B491-907EE3ADB718}"/>
    <cellStyle name="AggGreen12 4 2 2 8" xfId="4571" xr:uid="{AA0EA624-9CC2-4F76-A5AB-6DC9DB18FE92}"/>
    <cellStyle name="AggGreen12 4 2 2 9" xfId="4718" xr:uid="{B0F87D0A-1BD7-4EE9-AF14-CAC69EE9B546}"/>
    <cellStyle name="AggGreen12 4 2 20" xfId="9136" xr:uid="{7D58024F-C55C-409E-BADD-DD0E1C75FECB}"/>
    <cellStyle name="AggGreen12 4 2 21" xfId="10168" xr:uid="{ADD9D108-1F02-4335-B9FC-2105C395CC53}"/>
    <cellStyle name="AggGreen12 4 2 22" xfId="10251" xr:uid="{9E230EBE-A242-4247-9C0D-A7CC568D16E6}"/>
    <cellStyle name="AggGreen12 4 2 23" xfId="11069" xr:uid="{AADCC594-6827-4787-A84A-7521A3162139}"/>
    <cellStyle name="AggGreen12 4 2 24" xfId="11954" xr:uid="{EB10AD6D-18F1-41B0-A231-B3D82393AFEE}"/>
    <cellStyle name="AggGreen12 4 2 25" xfId="12427" xr:uid="{9D83EC4B-8DE0-43C5-B54E-BEE8D6B5AEB2}"/>
    <cellStyle name="AggGreen12 4 2 26" xfId="12861" xr:uid="{B793395E-D683-49A5-9A8F-2A1C076DAF46}"/>
    <cellStyle name="AggGreen12 4 2 27" xfId="13298" xr:uid="{DBE5F0C2-F73E-486C-81F6-161799EBAB8D}"/>
    <cellStyle name="AggGreen12 4 2 28" xfId="11539" xr:uid="{1E41F72F-209C-46A2-B9D7-E07AD2875B26}"/>
    <cellStyle name="AggGreen12 4 2 29" xfId="14150" xr:uid="{F7A0766C-3B2F-4DD3-B944-0A93353800EB}"/>
    <cellStyle name="AggGreen12 4 2 3" xfId="1084" xr:uid="{DB3D6027-074B-41BF-A378-9C6BC0923E52}"/>
    <cellStyle name="AggGreen12 4 2 30" xfId="14735" xr:uid="{FCB62223-1166-48C5-A6C1-D1A358759F59}"/>
    <cellStyle name="AggGreen12 4 2 31" xfId="15089" xr:uid="{48C5427B-2E61-4F81-876F-76FF435B8D58}"/>
    <cellStyle name="AggGreen12 4 2 32" xfId="15430" xr:uid="{0E35A627-A202-4BF2-BF57-1A063BF1D194}"/>
    <cellStyle name="AggGreen12 4 2 33" xfId="15507" xr:uid="{B0C59D1E-2ADE-4859-A153-BE49A5080AF0}"/>
    <cellStyle name="AggGreen12 4 2 34" xfId="16646" xr:uid="{0AB2203B-14CB-4C04-81BB-6569A474AED0}"/>
    <cellStyle name="AggGreen12 4 2 35" xfId="16240" xr:uid="{9044A24D-D73E-4F9B-AED4-0413E13BFC59}"/>
    <cellStyle name="AggGreen12 4 2 36" xfId="17288" xr:uid="{130A745D-78B5-4166-A339-27B4DA1E5A7A}"/>
    <cellStyle name="AggGreen12 4 2 37" xfId="17003" xr:uid="{4894CBCC-0A54-491E-856D-ADC20265C2F5}"/>
    <cellStyle name="AggGreen12 4 2 38" xfId="18464" xr:uid="{33CACAB5-B8BD-440E-A531-A5E08CE939C6}"/>
    <cellStyle name="AggGreen12 4 2 39" xfId="18998" xr:uid="{7706EF66-525B-4018-85C2-2AADE227A418}"/>
    <cellStyle name="AggGreen12 4 2 4" xfId="1719" xr:uid="{88682BAE-4552-4735-999A-54E7D075FFD0}"/>
    <cellStyle name="AggGreen12 4 2 40" xfId="19052" xr:uid="{CE5F055D-8FA7-47A8-B483-03499CD7DB62}"/>
    <cellStyle name="AggGreen12 4 2 41" xfId="19983" xr:uid="{6A37D9B7-8ABE-4CCD-AC85-AB41FA68877F}"/>
    <cellStyle name="AggGreen12 4 2 42" xfId="19573" xr:uid="{082AF45B-7827-4B2C-B074-7092ECEE0B2B}"/>
    <cellStyle name="AggGreen12 4 2 43" xfId="19736" xr:uid="{4DC746F6-2140-40BF-97C4-38D74EF58440}"/>
    <cellStyle name="AggGreen12 4 2 44" xfId="21263" xr:uid="{A0148A65-0D49-4FF8-ACE4-925E97A6A0FD}"/>
    <cellStyle name="AggGreen12 4 2 45" xfId="20875" xr:uid="{9757F4CE-EF1D-4E8C-9B61-909335EF3E47}"/>
    <cellStyle name="AggGreen12 4 2 46" xfId="22025" xr:uid="{8225D0AA-9C9E-424C-A614-2592180C746A}"/>
    <cellStyle name="AggGreen12 4 2 47" xfId="22509" xr:uid="{4AF539CE-0104-43B8-A661-7DFDE44C88C4}"/>
    <cellStyle name="AggGreen12 4 2 48" xfId="23280" xr:uid="{91C1DB7B-BB5B-451C-9504-08245D2AFD53}"/>
    <cellStyle name="AggGreen12 4 2 49" xfId="23103" xr:uid="{78E002B5-E55B-48DB-ABF5-357B16ABE4AF}"/>
    <cellStyle name="AggGreen12 4 2 5" xfId="2423" xr:uid="{F79E4A13-2A15-4C41-AB96-7B81D72C01B5}"/>
    <cellStyle name="AggGreen12 4 2 50" xfId="23792" xr:uid="{D1E534AE-1577-4D76-A4EC-BF9DA2B6888D}"/>
    <cellStyle name="AggGreen12 4 2 51" xfId="24691" xr:uid="{1D2CDB6C-63C3-4F56-885A-A272F677F5DA}"/>
    <cellStyle name="AggGreen12 4 2 52" xfId="24294" xr:uid="{9DD89C53-54F4-4043-809D-8F4563EBBF56}"/>
    <cellStyle name="AggGreen12 4 2 53" xfId="25609" xr:uid="{5BDE9FAD-0909-4A91-8DDB-29BE05A4D867}"/>
    <cellStyle name="AggGreen12 4 2 54" xfId="24509" xr:uid="{CD5BD21D-E86E-4441-AFB5-5D292A2EB482}"/>
    <cellStyle name="AggGreen12 4 2 55" xfId="25063" xr:uid="{9F884E1C-FD18-4D9B-851E-55E1D68E2D79}"/>
    <cellStyle name="AggGreen12 4 2 56" xfId="26899" xr:uid="{D96CCAD4-FD60-4810-9ABB-5DA213C2BF5D}"/>
    <cellStyle name="AggGreen12 4 2 57" xfId="27318" xr:uid="{DA712416-DF3F-4554-961E-5770E0FB5DC2}"/>
    <cellStyle name="AggGreen12 4 2 58" xfId="27651" xr:uid="{56440F93-3B0D-4383-9A86-342DB9EA8D14}"/>
    <cellStyle name="AggGreen12 4 2 59" xfId="28441" xr:uid="{6EAEE384-A33A-4838-8C8B-DE069EF985B2}"/>
    <cellStyle name="AggGreen12 4 2 6" xfId="1996" xr:uid="{46D5E69D-7E4C-4D4D-A16D-7315E514E281}"/>
    <cellStyle name="AggGreen12 4 2 60" xfId="28909" xr:uid="{D5871BE0-61E1-4B6A-891D-E00156FD9A74}"/>
    <cellStyle name="AggGreen12 4 2 61" xfId="28059" xr:uid="{0575990A-02C8-44CE-BDE1-18AA0F5A6F08}"/>
    <cellStyle name="AggGreen12 4 2 62" xfId="29699" xr:uid="{66F9AFD9-1234-4402-841C-04F839C245A3}"/>
    <cellStyle name="AggGreen12 4 2 63" xfId="30107" xr:uid="{D0AD3797-D10B-40A3-BEE4-A3594617AD79}"/>
    <cellStyle name="AggGreen12 4 2 64" xfId="30521" xr:uid="{ED54336D-BA6C-47BB-ACE2-6D0AB2613C0F}"/>
    <cellStyle name="AggGreen12 4 2 65" xfId="30872" xr:uid="{07780774-328A-4A50-917D-1522141FE445}"/>
    <cellStyle name="AggGreen12 4 2 66" xfId="31145" xr:uid="{55EB78B2-06FB-46A6-9D6E-57BCF9213DC1}"/>
    <cellStyle name="AggGreen12 4 2 7" xfId="3423" xr:uid="{43B4F66B-6A2F-4012-B9D2-4FD3707854A3}"/>
    <cellStyle name="AggGreen12 4 2 8" xfId="3919" xr:uid="{44504666-FFAA-429C-961F-3E9FED5F74F8}"/>
    <cellStyle name="AggGreen12 4 2 9" xfId="4357" xr:uid="{39B7A680-EBC7-40AC-A033-C2BE56897D62}"/>
    <cellStyle name="AggGreen12 4 20" xfId="8096" xr:uid="{137ADF5E-D15C-457F-8306-062831FA3B8F}"/>
    <cellStyle name="AggGreen12 4 21" xfId="9206" xr:uid="{F62140C2-3B27-4C48-B684-8B6BF40C87FE}"/>
    <cellStyle name="AggGreen12 4 22" xfId="9857" xr:uid="{5C207036-175B-48C9-8410-7503EF9CDC87}"/>
    <cellStyle name="AggGreen12 4 23" xfId="10300" xr:uid="{B900B2ED-1990-4A68-BB26-4127BCB05B09}"/>
    <cellStyle name="AggGreen12 4 24" xfId="10910" xr:uid="{A01CDCE7-406F-43B7-826B-09D438734733}"/>
    <cellStyle name="AggGreen12 4 25" xfId="11282" xr:uid="{46221AD2-55B1-4071-B1D1-7A71E41A589D}"/>
    <cellStyle name="AggGreen12 4 26" xfId="11618" xr:uid="{D8D62260-3155-415B-A28E-2FC7376D9914}"/>
    <cellStyle name="AggGreen12 4 27" xfId="11484" xr:uid="{DEA51027-2646-4CBF-A7E1-18EE6EACB5F8}"/>
    <cellStyle name="AggGreen12 4 28" xfId="12717" xr:uid="{3B20E080-4C5B-4C44-A267-B660EA162F2E}"/>
    <cellStyle name="AggGreen12 4 29" xfId="11767" xr:uid="{BAF5ECB8-087F-4A66-AA47-422A774F2ED5}"/>
    <cellStyle name="AggGreen12 4 3" xfId="653" xr:uid="{AAD2EDE7-F3ED-4A6B-9F67-19491EF26994}"/>
    <cellStyle name="AggGreen12 4 3 10" xfId="3334" xr:uid="{21E205AE-6913-43F3-B557-5C82ABF4C92F}"/>
    <cellStyle name="AggGreen12 4 3 11" xfId="5301" xr:uid="{E5511464-33C5-4120-8D8E-14A10D4E976F}"/>
    <cellStyle name="AggGreen12 4 3 12" xfId="2121" xr:uid="{EC8DDBA2-0BB6-4F5B-A726-48A74744EF55}"/>
    <cellStyle name="AggGreen12 4 3 13" xfId="6073" xr:uid="{2BAB7EAE-6429-4D49-BC5F-B21DDD4977F8}"/>
    <cellStyle name="AggGreen12 4 3 14" xfId="6618" xr:uid="{FBE31EF1-348F-4E63-9E72-07E90F2479B0}"/>
    <cellStyle name="AggGreen12 4 3 15" xfId="7373" xr:uid="{9A00EBAF-0AB8-4C2B-8CD5-A6679D42D747}"/>
    <cellStyle name="AggGreen12 4 3 16" xfId="6818" xr:uid="{FBB1DFEA-3004-4D6F-982C-DB93018B62BC}"/>
    <cellStyle name="AggGreen12 4 3 17" xfId="8609" xr:uid="{E20DB3BA-E32A-4A0A-8CB2-D3289336EE60}"/>
    <cellStyle name="AggGreen12 4 3 18" xfId="8371" xr:uid="{1FD755A8-93D4-46C4-B1ED-0399027D4690}"/>
    <cellStyle name="AggGreen12 4 3 19" xfId="9587" xr:uid="{953A51D5-4792-47FD-9EFF-EFDEDEB75A48}"/>
    <cellStyle name="AggGreen12 4 3 2" xfId="868" xr:uid="{40713929-9F93-441F-B0ED-31DEC22CE183}"/>
    <cellStyle name="AggGreen12 4 3 2 10" xfId="5516" xr:uid="{2912C25E-214D-4CE0-8469-716E33A94DAE}"/>
    <cellStyle name="AggGreen12 4 3 2 11" xfId="5030" xr:uid="{3C8A6527-D212-48DD-AAC4-EBC49C842669}"/>
    <cellStyle name="AggGreen12 4 3 2 12" xfId="6333" xr:uid="{578DB8AA-1DBB-4400-885C-C29E44A2B930}"/>
    <cellStyle name="AggGreen12 4 3 2 13" xfId="6147" xr:uid="{781C5831-167B-4F6D-8ED1-238C70DDA6E8}"/>
    <cellStyle name="AggGreen12 4 3 2 14" xfId="7588" xr:uid="{9C8FC909-06D4-480F-9E45-390F266E4EC4}"/>
    <cellStyle name="AggGreen12 4 3 2 15" xfId="6899" xr:uid="{26F62D92-31C8-49C0-A6B0-AA9126CE8FBC}"/>
    <cellStyle name="AggGreen12 4 3 2 16" xfId="8661" xr:uid="{4F5A1EB8-6752-407C-8462-5C92FD698541}"/>
    <cellStyle name="AggGreen12 4 3 2 17" xfId="8794" xr:uid="{91FB6F1C-E5B6-4F36-A312-B01B4370DE45}"/>
    <cellStyle name="AggGreen12 4 3 2 18" xfId="9802" xr:uid="{C96BE886-BC96-46D0-A668-174F532303A9}"/>
    <cellStyle name="AggGreen12 4 3 2 19" xfId="9113" xr:uid="{92F10126-F1B4-49E2-A90A-CF5B7CD0FA4A}"/>
    <cellStyle name="AggGreen12 4 3 2 2" xfId="1342" xr:uid="{5766724B-D9EA-4F6F-A318-F2504081E7A3}"/>
    <cellStyle name="AggGreen12 4 3 2 20" xfId="10189" xr:uid="{D8D88CCB-223A-44B3-BB0B-2A50E115AAB9}"/>
    <cellStyle name="AggGreen12 4 3 2 21" xfId="10822" xr:uid="{2F69F00D-209C-43BE-B7F8-44D504257267}"/>
    <cellStyle name="AggGreen12 4 3 2 22" xfId="11071" xr:uid="{E3667863-A18F-4F99-86F1-BA2448A53FEE}"/>
    <cellStyle name="AggGreen12 4 3 2 23" xfId="12221" xr:uid="{52AA8C00-C4F3-481D-86E7-D897AB1DA56B}"/>
    <cellStyle name="AggGreen12 4 3 2 24" xfId="12694" xr:uid="{AB7D2B20-8B9C-4847-B9E8-8C7186E07C02}"/>
    <cellStyle name="AggGreen12 4 3 2 25" xfId="13128" xr:uid="{15C65AD9-12F7-4726-85C2-8FFA778E9F90}"/>
    <cellStyle name="AggGreen12 4 3 2 26" xfId="13565" xr:uid="{CC8C82C6-AEF9-4861-8E91-34789147186B}"/>
    <cellStyle name="AggGreen12 4 3 2 27" xfId="11779" xr:uid="{F694D946-87AB-44EE-946D-BF79B0EE3181}"/>
    <cellStyle name="AggGreen12 4 3 2 28" xfId="14484" xr:uid="{8D0B800F-92ED-4C0F-A28B-2D18872300F6}"/>
    <cellStyle name="AggGreen12 4 3 2 29" xfId="14119" xr:uid="{6ECCB10B-B550-4212-A638-57A00D15B250}"/>
    <cellStyle name="AggGreen12 4 3 2 3" xfId="1791" xr:uid="{F87309E9-BACC-4000-B768-A8F352F1A150}"/>
    <cellStyle name="AggGreen12 4 3 2 30" xfId="14948" xr:uid="{7F67F37F-729A-4F74-B948-C351C29359D2}"/>
    <cellStyle name="AggGreen12 4 3 2 31" xfId="14520" xr:uid="{7EB7979B-C6E7-4D5C-AEE0-BAEFCAAA5161}"/>
    <cellStyle name="AggGreen12 4 3 2 32" xfId="15463" xr:uid="{95C9625E-3007-4198-89CD-87756D9BF57E}"/>
    <cellStyle name="AggGreen12 4 3 2 33" xfId="16913" xr:uid="{5EDB1B24-0FB4-4EE2-8522-FBFF7168E9AF}"/>
    <cellStyle name="AggGreen12 4 3 2 34" xfId="16216" xr:uid="{FCAF752A-D3ED-4E6F-B7D3-F6AAD84F895F}"/>
    <cellStyle name="AggGreen12 4 3 2 35" xfId="17310" xr:uid="{4A77B2F1-A1E8-40A2-A835-86BDFB3B656C}"/>
    <cellStyle name="AggGreen12 4 3 2 36" xfId="18030" xr:uid="{75C3F38D-BCF1-4E99-8BFF-CE794E8281E8}"/>
    <cellStyle name="AggGreen12 4 3 2 37" xfId="18731" xr:uid="{951754C0-2556-47D3-9B74-0CDC501219EE}"/>
    <cellStyle name="AggGreen12 4 3 2 38" xfId="18925" xr:uid="{F91FB540-D6AB-4D2D-BC8C-14DAC8C8C143}"/>
    <cellStyle name="AggGreen12 4 3 2 39" xfId="19080" xr:uid="{855ED258-F305-408C-975D-73A1B5B797D9}"/>
    <cellStyle name="AggGreen12 4 3 2 4" xfId="2690" xr:uid="{2568663D-AAB3-47F8-A0B2-6BF88599CCF7}"/>
    <cellStyle name="AggGreen12 4 3 2 40" xfId="20250" xr:uid="{52CC6FFE-88C1-4724-97E4-2FA368C45824}"/>
    <cellStyle name="AggGreen12 4 3 2 41" xfId="19549" xr:uid="{80946F56-ED23-4314-9A3A-015D35294038}"/>
    <cellStyle name="AggGreen12 4 3 2 42" xfId="20657" xr:uid="{E6B5BA32-4FD3-436A-B1DB-8E39D671CAAE}"/>
    <cellStyle name="AggGreen12 4 3 2 43" xfId="21532" xr:uid="{3B59477D-6CB2-4420-BDD1-E30191505DFA}"/>
    <cellStyle name="AggGreen12 4 3 2 44" xfId="21531" xr:uid="{146535A1-2863-4EDE-95FF-D4DD1F24B161}"/>
    <cellStyle name="AggGreen12 4 3 2 45" xfId="22053" xr:uid="{73DAB958-1705-4C1E-B0D7-3063E4571FED}"/>
    <cellStyle name="AggGreen12 4 3 2 46" xfId="22393" xr:uid="{B62745A1-0867-4668-8536-3916757D1D92}"/>
    <cellStyle name="AggGreen12 4 3 2 47" xfId="23209" xr:uid="{1EA98A8E-E929-4CE4-82E4-F9CD8CEECA69}"/>
    <cellStyle name="AggGreen12 4 3 2 48" xfId="23631" xr:uid="{B270C012-7101-4F47-B0F1-39C310C795C5}"/>
    <cellStyle name="AggGreen12 4 3 2 49" xfId="24050" xr:uid="{64B0A10A-AD8F-4420-8C5A-ECCF4F0BEB74}"/>
    <cellStyle name="AggGreen12 4 3 2 5" xfId="2182" xr:uid="{DFECAAED-E9FC-4095-B2C2-794C674C600A}"/>
    <cellStyle name="AggGreen12 4 3 2 50" xfId="24958" xr:uid="{9ED7EF7C-75B6-4C21-A08F-17D32B5E6073}"/>
    <cellStyle name="AggGreen12 4 3 2 51" xfId="24107" xr:uid="{B18B3826-9F3F-4622-BE8F-CE71D8C95D57}"/>
    <cellStyle name="AggGreen12 4 3 2 52" xfId="25874" xr:uid="{B6BAABCD-C66D-48ED-8364-F219FEE9EE6C}"/>
    <cellStyle name="AggGreen12 4 3 2 53" xfId="26145" xr:uid="{BFA3C950-38A9-4B93-8CA9-E7D74CC253E2}"/>
    <cellStyle name="AggGreen12 4 3 2 54" xfId="26741" xr:uid="{FA3557E3-3389-46A8-A5DD-934FD10789CE}"/>
    <cellStyle name="AggGreen12 4 3 2 55" xfId="27162" xr:uid="{9E528823-88C5-494A-9ED1-F4B2D6FCACD1}"/>
    <cellStyle name="AggGreen12 4 3 2 56" xfId="27581" xr:uid="{DE7F3551-3AF1-4ACC-8F14-8137A1EE45BE}"/>
    <cellStyle name="AggGreen12 4 3 2 57" xfId="26683" xr:uid="{852848B5-3AFF-4D2D-97CF-1E30FF4CF43F}"/>
    <cellStyle name="AggGreen12 4 3 2 58" xfId="28708" xr:uid="{84D99888-105A-4B50-A13F-0562EC7E92AB}"/>
    <cellStyle name="AggGreen12 4 3 2 59" xfId="29175" xr:uid="{58557E51-ADFD-49A2-90B4-A60BCF7488B7}"/>
    <cellStyle name="AggGreen12 4 3 2 6" xfId="3765" xr:uid="{2CDB2A43-CA9B-4C43-B0D5-D8F38B438BD5}"/>
    <cellStyle name="AggGreen12 4 3 2 60" xfId="28346" xr:uid="{6E76A413-FFE8-4D1B-8770-22F83B4FDED6}"/>
    <cellStyle name="AggGreen12 4 3 2 61" xfId="29964" xr:uid="{18702337-869E-4DAD-AD02-E5F79290FE38}"/>
    <cellStyle name="AggGreen12 4 3 2 62" xfId="30370" xr:uid="{C98D54BB-BF1E-456B-ADB5-32009CBEB306}"/>
    <cellStyle name="AggGreen12 4 3 2 63" xfId="30787" xr:uid="{0B738A55-E2E9-41E1-B62C-233209557A55}"/>
    <cellStyle name="AggGreen12 4 3 2 64" xfId="31032" xr:uid="{B2CD3C3A-D1D8-4CDF-A717-669AD1B5D990}"/>
    <cellStyle name="AggGreen12 4 3 2 65" xfId="31403" xr:uid="{73A4CEDB-AA11-47E6-A962-05932DA8B3F2}"/>
    <cellStyle name="AggGreen12 4 3 2 7" xfId="4186" xr:uid="{77EFF0DA-BABF-424E-9039-735CF2D7713E}"/>
    <cellStyle name="AggGreen12 4 3 2 8" xfId="4623" xr:uid="{70FA8E7D-2653-48C7-9FD7-A54439BA0133}"/>
    <cellStyle name="AggGreen12 4 3 2 9" xfId="5069" xr:uid="{0D36DEF5-A07F-4FCD-A908-5015CB0BF18D}"/>
    <cellStyle name="AggGreen12 4 3 20" xfId="9033" xr:uid="{7A8ABDA9-AC00-4389-AC10-6434D3129A5E}"/>
    <cellStyle name="AggGreen12 4 3 21" xfId="10008" xr:uid="{9BC89209-7098-4731-BEBB-83ECBA62A072}"/>
    <cellStyle name="AggGreen12 4 3 22" xfId="10916" xr:uid="{C3A01E9C-24A3-4734-A122-46D0E0D5C5CB}"/>
    <cellStyle name="AggGreen12 4 3 23" xfId="10953" xr:uid="{4AED989B-3894-46CD-B194-DCE5A8E8F6DB}"/>
    <cellStyle name="AggGreen12 4 3 24" xfId="12006" xr:uid="{4BB3C9A4-1716-419C-AAEE-9EA4978943E8}"/>
    <cellStyle name="AggGreen12 4 3 25" xfId="12479" xr:uid="{38642759-09F8-4198-997D-6EA6800046D0}"/>
    <cellStyle name="AggGreen12 4 3 26" xfId="12913" xr:uid="{2CA98622-68A5-4A87-ADD3-D1ABFA862995}"/>
    <cellStyle name="AggGreen12 4 3 27" xfId="13350" xr:uid="{A1BED3E3-15A3-4B7E-8DF1-F23CF05C3B0D}"/>
    <cellStyle name="AggGreen12 4 3 28" xfId="13861" xr:uid="{3575AD05-761E-4E90-BA56-1A57102CBDA5}"/>
    <cellStyle name="AggGreen12 4 3 29" xfId="14325" xr:uid="{A245B011-A56E-4DD8-A509-E6A431422A6D}"/>
    <cellStyle name="AggGreen12 4 3 3" xfId="1136" xr:uid="{794AAD20-9CAE-4184-A6F5-C842892D94E5}"/>
    <cellStyle name="AggGreen12 4 3 30" xfId="13740" xr:uid="{2E7D9F9D-57A9-4CCC-948F-27BE6E9DBCA8}"/>
    <cellStyle name="AggGreen12 4 3 31" xfId="15270" xr:uid="{EFB46912-35B6-4427-B4B1-490830E19485}"/>
    <cellStyle name="AggGreen12 4 3 32" xfId="15467" xr:uid="{B27242B5-F6F8-493A-8183-7AB34AF5D298}"/>
    <cellStyle name="AggGreen12 4 3 33" xfId="15707" xr:uid="{D8685619-FCEE-4C37-B4AB-930EAF1614A9}"/>
    <cellStyle name="AggGreen12 4 3 34" xfId="16698" xr:uid="{D6508516-7E2C-44D7-A5F2-AC200ECB354C}"/>
    <cellStyle name="AggGreen12 4 3 35" xfId="16130" xr:uid="{54F96468-E8E8-48AD-8A09-A180FF1ED664}"/>
    <cellStyle name="AggGreen12 4 3 36" xfId="17124" xr:uid="{DB93E708-42BB-4099-B6CC-6EE534578813}"/>
    <cellStyle name="AggGreen12 4 3 37" xfId="17127" xr:uid="{ACF5D74B-DD26-4B5E-8EF1-D16D7283792F}"/>
    <cellStyle name="AggGreen12 4 3 38" xfId="18516" xr:uid="{45D3E7FB-118D-40BD-B75C-A83E1EDD5684}"/>
    <cellStyle name="AggGreen12 4 3 39" xfId="18345" xr:uid="{31EC636A-93F0-48A0-B035-C00A3FD569F8}"/>
    <cellStyle name="AggGreen12 4 3 4" xfId="1662" xr:uid="{C6F60D8F-93F9-4F75-97A9-56F70327C212}"/>
    <cellStyle name="AggGreen12 4 3 40" xfId="19273" xr:uid="{F596026E-CE91-4A97-9B7C-719C17A6F8B2}"/>
    <cellStyle name="AggGreen12 4 3 41" xfId="20035" xr:uid="{BCC989B0-F612-48C7-A616-8D6259E5F790}"/>
    <cellStyle name="AggGreen12 4 3 42" xfId="19463" xr:uid="{05BBAE24-6F65-42D7-84E6-7DD06179976E}"/>
    <cellStyle name="AggGreen12 4 3 43" xfId="20405" xr:uid="{CDCAECED-A52B-4118-B201-1B6DACE50943}"/>
    <cellStyle name="AggGreen12 4 3 44" xfId="20988" xr:uid="{D55F16D1-3FF3-4ED3-BE5E-5D9E6B0C498D}"/>
    <cellStyle name="AggGreen12 4 3 45" xfId="21323" xr:uid="{0148A6E6-FC61-4B6C-97B3-B5AFDBFE459D}"/>
    <cellStyle name="AggGreen12 4 3 46" xfId="21929" xr:uid="{2F487098-FB24-407A-B924-1A34DA903591}"/>
    <cellStyle name="AggGreen12 4 3 47" xfId="22844" xr:uid="{649477A8-E940-41E2-BA1B-41C27661E4EA}"/>
    <cellStyle name="AggGreen12 4 3 48" xfId="22898" xr:uid="{F052F641-9FC1-4024-852A-89CBA24B6CFE}"/>
    <cellStyle name="AggGreen12 4 3 49" xfId="23484" xr:uid="{8FC4B414-D0DA-4596-B1D8-2FA783D582BD}"/>
    <cellStyle name="AggGreen12 4 3 5" xfId="2475" xr:uid="{5EF39151-9DCF-41F8-90B5-B4613A0A3DA5}"/>
    <cellStyle name="AggGreen12 4 3 50" xfId="23844" xr:uid="{94BC4D06-1855-482A-94F9-A63A578772BC}"/>
    <cellStyle name="AggGreen12 4 3 51" xfId="24743" xr:uid="{C84D7E20-F6F7-4EA2-AF48-B65B8A766864}"/>
    <cellStyle name="AggGreen12 4 3 52" xfId="24184" xr:uid="{7C71DF4B-2547-47E0-82F0-16D48803D463}"/>
    <cellStyle name="AggGreen12 4 3 53" xfId="25661" xr:uid="{369A832B-2DC9-4CCA-A37F-3BE492168A5A}"/>
    <cellStyle name="AggGreen12 4 3 54" xfId="26149" xr:uid="{B40F3D91-C3B9-4F26-85B5-4BEC002D0369}"/>
    <cellStyle name="AggGreen12 4 3 55" xfId="25227" xr:uid="{EF6FC44B-5CE9-4F29-A7CC-92CB48518D51}"/>
    <cellStyle name="AggGreen12 4 3 56" xfId="26951" xr:uid="{76A2718F-89AF-4B44-A0CF-21D50939B19F}"/>
    <cellStyle name="AggGreen12 4 3 57" xfId="27370" xr:uid="{4CE40A07-116C-4CE2-AB4C-4B00531EB790}"/>
    <cellStyle name="AggGreen12 4 3 58" xfId="27683" xr:uid="{18A217F5-8D16-4F71-A725-E877D0F955CE}"/>
    <cellStyle name="AggGreen12 4 3 59" xfId="28493" xr:uid="{A1626215-8A52-4999-BFC0-2C24A9730A7F}"/>
    <cellStyle name="AggGreen12 4 3 6" xfId="3027" xr:uid="{39EBDF47-3F2E-4EBE-96C7-EB358ABF7191}"/>
    <cellStyle name="AggGreen12 4 3 60" xfId="28961" xr:uid="{D993624D-98CC-4CB7-9A3D-64321E952A44}"/>
    <cellStyle name="AggGreen12 4 3 61" xfId="28750" xr:uid="{B539BE7C-0B69-48B0-9990-0C9C46325206}"/>
    <cellStyle name="AggGreen12 4 3 62" xfId="29751" xr:uid="{4592164C-8623-4BD1-B9DC-E6AD7626C9CC}"/>
    <cellStyle name="AggGreen12 4 3 63" xfId="30159" xr:uid="{41D0E3E7-BFEE-411F-8DB8-F31333EA9674}"/>
    <cellStyle name="AggGreen12 4 3 64" xfId="30573" xr:uid="{8D32534A-0EDD-49D4-90FC-94DCF251EA4F}"/>
    <cellStyle name="AggGreen12 4 3 65" xfId="30981" xr:uid="{2F097254-F9E7-4173-AAB4-91EE40C42BC2}"/>
    <cellStyle name="AggGreen12 4 3 66" xfId="31197" xr:uid="{792DC590-D8E0-4DC4-A219-804A4CCD5F08}"/>
    <cellStyle name="AggGreen12 4 3 7" xfId="3703" xr:uid="{9D3D3396-607E-48E6-94B2-C3161455C301}"/>
    <cellStyle name="AggGreen12 4 3 8" xfId="3971" xr:uid="{19C45565-E61D-4479-9674-AE34A7BF827C}"/>
    <cellStyle name="AggGreen12 4 3 9" xfId="4409" xr:uid="{207825F5-B6E4-4A95-9B75-43BCEBB06F4E}"/>
    <cellStyle name="AggGreen12 4 30" xfId="11793" xr:uid="{EC674996-B045-4947-8863-691927C0CB98}"/>
    <cellStyle name="AggGreen12 4 31" xfId="11785" xr:uid="{6A6BD94E-E3C9-4536-9CC2-B20B9D45DAD5}"/>
    <cellStyle name="AggGreen12 4 32" xfId="13665" xr:uid="{94D72EE9-20FD-4DEF-A923-96F8BFE2F374}"/>
    <cellStyle name="AggGreen12 4 33" xfId="15198" xr:uid="{2D9FE3EA-6E52-4F0E-91D7-22551B371CFB}"/>
    <cellStyle name="AggGreen12 4 34" xfId="15736" xr:uid="{89454246-F8C7-4BB9-BB54-6EE184133E1C}"/>
    <cellStyle name="AggGreen12 4 35" xfId="15154" xr:uid="{5BD2AC93-1A41-4D1B-A60D-D68130C28CE8}"/>
    <cellStyle name="AggGreen12 4 36" xfId="16313" xr:uid="{815A5ABE-D10B-4890-836F-BFD620980ECC}"/>
    <cellStyle name="AggGreen12 4 37" xfId="16973" xr:uid="{0D09A592-D5AE-4710-9D6D-595B63F50B41}"/>
    <cellStyle name="AggGreen12 4 38" xfId="17424" xr:uid="{CF4116D9-0FCB-4023-9668-E84CECA5BFC3}"/>
    <cellStyle name="AggGreen12 4 39" xfId="17239" xr:uid="{48B19E67-864D-44DA-BBF9-A959C8E1711C}"/>
    <cellStyle name="AggGreen12 4 4" xfId="664" xr:uid="{22471F15-5F48-4126-8B29-3073D31CEA6C}"/>
    <cellStyle name="AggGreen12 4 4 10" xfId="1856" xr:uid="{71DF16CC-101D-419B-8E6E-35C161A977E7}"/>
    <cellStyle name="AggGreen12 4 4 11" xfId="5312" xr:uid="{0491CBCA-5408-4144-BFBE-59E7515E0444}"/>
    <cellStyle name="AggGreen12 4 4 12" xfId="5155" xr:uid="{763CA9C3-E6E1-4400-AC9F-BDB3D156C0A1}"/>
    <cellStyle name="AggGreen12 4 4 13" xfId="6294" xr:uid="{21E15510-6ECD-43A3-903C-6A6958F9E14C}"/>
    <cellStyle name="AggGreen12 4 4 14" xfId="6070" xr:uid="{C7568B9A-D019-42B7-8EA1-3C4CC6610933}"/>
    <cellStyle name="AggGreen12 4 4 15" xfId="7384" xr:uid="{BF460671-021E-4359-8DEF-C01003B85102}"/>
    <cellStyle name="AggGreen12 4 4 16" xfId="7888" xr:uid="{EAD219DD-CABA-4860-BA3F-118D282E57A2}"/>
    <cellStyle name="AggGreen12 4 4 17" xfId="8447" xr:uid="{A89DA7E4-8F9B-4049-A339-A996FB7411E7}"/>
    <cellStyle name="AggGreen12 4 4 18" xfId="8114" xr:uid="{58A08616-07CF-4C43-87BD-B4AEFC72FED1}"/>
    <cellStyle name="AggGreen12 4 4 19" xfId="9598" xr:uid="{74AF5BBD-F8BD-4D86-9C9E-F5F14DF97020}"/>
    <cellStyle name="AggGreen12 4 4 2" xfId="879" xr:uid="{AC3E1F07-34DA-4A2F-929D-BFFBED741C90}"/>
    <cellStyle name="AggGreen12 4 4 2 10" xfId="5527" xr:uid="{2ACE5F86-F0BA-4E98-9578-8B5BF54E4E75}"/>
    <cellStyle name="AggGreen12 4 4 2 11" xfId="6021" xr:uid="{D6CC794E-0DD8-4FA8-B051-3D488454A684}"/>
    <cellStyle name="AggGreen12 4 4 2 12" xfId="6380" xr:uid="{17AD0CB6-3A84-4F98-AE86-5483D1911474}"/>
    <cellStyle name="AggGreen12 4 4 2 13" xfId="6718" xr:uid="{16874CBA-6A8C-42B6-A4EF-2FD8B0693698}"/>
    <cellStyle name="AggGreen12 4 4 2 14" xfId="7599" xr:uid="{CBEFFF94-1344-475B-9FA2-0880B54ED6AC}"/>
    <cellStyle name="AggGreen12 4 4 2 15" xfId="8063" xr:uid="{16E08EB3-5B78-49E7-97C2-A8B178B7ED33}"/>
    <cellStyle name="AggGreen12 4 4 2 16" xfId="8672" xr:uid="{518E3561-332D-496A-A0A9-DDE497322A9A}"/>
    <cellStyle name="AggGreen12 4 4 2 17" xfId="8931" xr:uid="{BDCFEAC2-02B6-40A3-A249-B81F87A39FC4}"/>
    <cellStyle name="AggGreen12 4 4 2 18" xfId="9813" xr:uid="{CB46D8D6-05F5-4FDB-BACA-BB0EEFE5FBFE}"/>
    <cellStyle name="AggGreen12 4 4 2 19" xfId="10282" xr:uid="{C0E7D683-0620-4DE0-9FA5-4FB8D1E92BA4}"/>
    <cellStyle name="AggGreen12 4 4 2 2" xfId="1353" xr:uid="{2D199D63-2BBA-4E50-8FF8-8BDC490252F5}"/>
    <cellStyle name="AggGreen12 4 4 2 20" xfId="10676" xr:uid="{D98637D7-969C-49F2-ACCE-C47B60B29386}"/>
    <cellStyle name="AggGreen12 4 4 2 21" xfId="11025" xr:uid="{6B0DD2C6-F7AA-4640-A1B6-1B57A32B6D58}"/>
    <cellStyle name="AggGreen12 4 4 2 22" xfId="11335" xr:uid="{8347C0FC-A2E2-41B6-8A64-CF150895E907}"/>
    <cellStyle name="AggGreen12 4 4 2 23" xfId="12232" xr:uid="{E3973568-1467-41D5-A91F-7FBDD1901636}"/>
    <cellStyle name="AggGreen12 4 4 2 24" xfId="12705" xr:uid="{7EDC15DF-8CA3-4F48-A8A1-E40699946BE4}"/>
    <cellStyle name="AggGreen12 4 4 2 25" xfId="13139" xr:uid="{9CD6A5D7-3587-4BD0-B9FF-C9007EAFC53B}"/>
    <cellStyle name="AggGreen12 4 4 2 26" xfId="13576" xr:uid="{069C83BD-26E2-4EDF-A171-ADBB979C1633}"/>
    <cellStyle name="AggGreen12 4 4 2 27" xfId="14048" xr:uid="{DFD3A804-0DC5-4C0E-94C2-29D9CA765DA6}"/>
    <cellStyle name="AggGreen12 4 4 2 28" xfId="14495" xr:uid="{8DCA3D1C-A33E-4D0E-84BE-78E1B6E6DEC5}"/>
    <cellStyle name="AggGreen12 4 4 2 29" xfId="14929" xr:uid="{0BFAA873-4288-4918-8C64-F22B5E698C32}"/>
    <cellStyle name="AggGreen12 4 4 2 3" xfId="1802" xr:uid="{C3761ACB-A983-4F72-B8FF-D04E1CE74912}"/>
    <cellStyle name="AggGreen12 4 4 2 30" xfId="15399" xr:uid="{2EFF6E40-C21F-4C3A-8091-A85501730AA7}"/>
    <cellStyle name="AggGreen12 4 4 2 31" xfId="15789" xr:uid="{3C711387-1A21-409D-A696-FF0DCF2F3B16}"/>
    <cellStyle name="AggGreen12 4 4 2 32" xfId="16011" xr:uid="{666CE2D7-3BAA-4189-B738-EC76FB6C6450}"/>
    <cellStyle name="AggGreen12 4 4 2 33" xfId="16924" xr:uid="{B34DD73D-5991-413F-A113-71BEFFE538B8}"/>
    <cellStyle name="AggGreen12 4 4 2 34" xfId="17405" xr:uid="{9193E1D7-4E26-4195-8DB7-870AE73BE846}"/>
    <cellStyle name="AggGreen12 4 4 2 35" xfId="17846" xr:uid="{8B3C2573-5B19-4276-A816-30284F9B5720}"/>
    <cellStyle name="AggGreen12 4 4 2 36" xfId="18321" xr:uid="{6EDD4BA4-A9D9-4264-A00A-592EDF06130A}"/>
    <cellStyle name="AggGreen12 4 4 2 37" xfId="18742" xr:uid="{BF896D28-5377-4ED9-9C07-0FAF3CFCBD34}"/>
    <cellStyle name="AggGreen12 4 4 2 38" xfId="19129" xr:uid="{871DE929-4405-4085-9719-6F225936243D}"/>
    <cellStyle name="AggGreen12 4 4 2 39" xfId="19359" xr:uid="{29C96EE9-65D7-49BB-BDBB-2B81C1E29EC9}"/>
    <cellStyle name="AggGreen12 4 4 2 4" xfId="2701" xr:uid="{808DFF70-9013-4371-84F5-34F258D66945}"/>
    <cellStyle name="AggGreen12 4 4 2 40" xfId="20261" xr:uid="{B8093E0B-6FB2-4934-B096-CCC5F585A1EB}"/>
    <cellStyle name="AggGreen12 4 4 2 41" xfId="20754" xr:uid="{CE506499-1237-4D5D-8D7F-63A020FB379A}"/>
    <cellStyle name="AggGreen12 4 4 2 42" xfId="21213" xr:uid="{229F248F-EFB7-4475-9A35-46ECBD445B8A}"/>
    <cellStyle name="AggGreen12 4 4 2 43" xfId="21705" xr:uid="{DFCE054A-B2B2-4F21-86FF-2920594C85A5}"/>
    <cellStyle name="AggGreen12 4 4 2 44" xfId="22144" xr:uid="{F08AA732-F4C0-4A62-8D92-F6839733B3E3}"/>
    <cellStyle name="AggGreen12 4 4 2 45" xfId="22571" xr:uid="{62A00C93-DEE6-4AF5-9602-91D6045D86FF}"/>
    <cellStyle name="AggGreen12 4 4 2 46" xfId="23016" xr:uid="{A2F771DF-20F7-42E5-B674-48787C5E2960}"/>
    <cellStyle name="AggGreen12 4 4 2 47" xfId="23418" xr:uid="{E3B6BF90-9E69-4BD6-B6AF-D8A5AE5CE7FF}"/>
    <cellStyle name="AggGreen12 4 4 2 48" xfId="23681" xr:uid="{16CBBD0E-C5F1-4554-B1FB-63B5CCBAB5E0}"/>
    <cellStyle name="AggGreen12 4 4 2 49" xfId="24061" xr:uid="{70DE4B55-1514-4580-BFDB-CE38AF7E5BCA}"/>
    <cellStyle name="AggGreen12 4 4 2 5" xfId="3221" xr:uid="{8596C453-A951-41CF-B0A8-8236ECBA4505}"/>
    <cellStyle name="AggGreen12 4 4 2 50" xfId="24969" xr:uid="{791A1D19-0C35-4028-B7D2-9527FE9004C5}"/>
    <cellStyle name="AggGreen12 4 4 2 51" xfId="25457" xr:uid="{1C97E2FA-A8C4-4DE5-9A04-ABB44F9F665D}"/>
    <cellStyle name="AggGreen12 4 4 2 52" xfId="25885" xr:uid="{BBBE4F68-69B6-43FE-9A81-7AA0EE919037}"/>
    <cellStyle name="AggGreen12 4 4 2 53" xfId="26323" xr:uid="{51C2A5EB-10E5-4F1B-B8ED-22D0D21FDF8C}"/>
    <cellStyle name="AggGreen12 4 4 2 54" xfId="26752" xr:uid="{904F7D64-4304-4E2C-94CF-7E8873E2449B}"/>
    <cellStyle name="AggGreen12 4 4 2 55" xfId="27173" xr:uid="{F988E21B-00B0-4493-A512-C10AB872A062}"/>
    <cellStyle name="AggGreen12 4 4 2 56" xfId="27592" xr:uid="{E3216A8D-E693-4FDD-96D1-1EBF6AAA624F}"/>
    <cellStyle name="AggGreen12 4 4 2 57" xfId="27830" xr:uid="{95EF8C21-6645-43B6-9E24-AD00E9BBACBC}"/>
    <cellStyle name="AggGreen12 4 4 2 58" xfId="28719" xr:uid="{A58A30C4-ED00-4DE3-8DE8-D3A6C7981537}"/>
    <cellStyle name="AggGreen12 4 4 2 59" xfId="29186" xr:uid="{4A761735-08F5-44FE-95CB-4584934E5963}"/>
    <cellStyle name="AggGreen12 4 4 2 6" xfId="3776" xr:uid="{B85D4540-E5AB-48C1-9C02-F102062C7C78}"/>
    <cellStyle name="AggGreen12 4 4 2 60" xfId="29568" xr:uid="{C7C4BCF9-DD6D-4991-A9F8-1BA1DB0C15BA}"/>
    <cellStyle name="AggGreen12 4 4 2 61" xfId="29975" xr:uid="{DB1E9366-F5CB-4889-81A7-80696165F65F}"/>
    <cellStyle name="AggGreen12 4 4 2 62" xfId="30381" xr:uid="{0A5005C8-2E72-477E-A92A-D4E637CFF31E}"/>
    <cellStyle name="AggGreen12 4 4 2 63" xfId="30798" xr:uid="{68088DFD-A183-4F92-971A-226EFBC056AF}"/>
    <cellStyle name="AggGreen12 4 4 2 64" xfId="31043" xr:uid="{5FA3D5C8-A9DB-46ED-BE3C-11353765BD5A}"/>
    <cellStyle name="AggGreen12 4 4 2 65" xfId="31414" xr:uid="{608B8243-F87A-454C-B40C-6E92749827C6}"/>
    <cellStyle name="AggGreen12 4 4 2 7" xfId="4197" xr:uid="{EF9F7446-33E8-4B2E-B572-670C76FDE558}"/>
    <cellStyle name="AggGreen12 4 4 2 8" xfId="4634" xr:uid="{15AF5CA6-1EC2-42BF-A694-573EA1C86081}"/>
    <cellStyle name="AggGreen12 4 4 2 9" xfId="5080" xr:uid="{B864755B-C08D-4E84-BD50-C4DEA65533CB}"/>
    <cellStyle name="AggGreen12 4 4 20" xfId="10101" xr:uid="{E5E7BEE8-4B3F-4CFC-818A-0331F8614AD7}"/>
    <cellStyle name="AggGreen12 4 4 21" xfId="10517" xr:uid="{ECAE05F3-B340-4F52-B018-299EAACAF3FA}"/>
    <cellStyle name="AggGreen12 4 4 22" xfId="10889" xr:uid="{6F3FC829-D2CE-4145-87F8-1A76854E166C}"/>
    <cellStyle name="AggGreen12 4 4 23" xfId="10714" xr:uid="{0497C823-826E-460F-9BAF-5021616558B5}"/>
    <cellStyle name="AggGreen12 4 4 24" xfId="12017" xr:uid="{41FD1FE4-72DA-4E79-BB1B-9F2C33BE127A}"/>
    <cellStyle name="AggGreen12 4 4 25" xfId="12490" xr:uid="{C12B53FE-90B0-4C3D-88C7-E1D54F30D72D}"/>
    <cellStyle name="AggGreen12 4 4 26" xfId="12924" xr:uid="{7C5C5363-7CBE-4C22-AA91-C713573D2E76}"/>
    <cellStyle name="AggGreen12 4 4 27" xfId="13361" xr:uid="{0E91C2C7-82B6-45A1-9362-66E6C3FDF54D}"/>
    <cellStyle name="AggGreen12 4 4 28" xfId="13942" xr:uid="{25654D1E-10A8-4C9E-B893-E7DC2E53F2A0}"/>
    <cellStyle name="AggGreen12 4 4 29" xfId="14019" xr:uid="{C6E7117E-B9C3-4674-8126-8CE9C6A9861B}"/>
    <cellStyle name="AggGreen12 4 4 3" xfId="1147" xr:uid="{3D14DB11-B930-41DE-9050-5523315050D1}"/>
    <cellStyle name="AggGreen12 4 4 30" xfId="14751" xr:uid="{37DB05AD-8396-4381-8575-961AB77D510B}"/>
    <cellStyle name="AggGreen12 4 4 31" xfId="14960" xr:uid="{CA09FB1F-3FC0-4A15-A83A-506FDD4CCDAB}"/>
    <cellStyle name="AggGreen12 4 4 32" xfId="15426" xr:uid="{0F69CC14-5421-4062-A833-B299C944AA71}"/>
    <cellStyle name="AggGreen12 4 4 33" xfId="15911" xr:uid="{D745BC8B-3791-4146-A3CC-09C81665B779}"/>
    <cellStyle name="AggGreen12 4 4 34" xfId="16709" xr:uid="{BD7BF6E6-1B3B-42D2-A85A-634DE13FD6EF}"/>
    <cellStyle name="AggGreen12 4 4 35" xfId="17220" xr:uid="{1FB0DE34-24A3-4CEA-A0AF-E489DAA97B4D}"/>
    <cellStyle name="AggGreen12 4 4 36" xfId="17665" xr:uid="{B4CB7533-67AD-4894-8DA4-203A64E1888C}"/>
    <cellStyle name="AggGreen12 4 4 37" xfId="17973" xr:uid="{3D98C477-D224-4568-B5B9-FD64DBBC3F84}"/>
    <cellStyle name="AggGreen12 4 4 38" xfId="18527" xr:uid="{8B147C59-4079-40AD-9835-D3DBF5DBF856}"/>
    <cellStyle name="AggGreen12 4 4 39" xfId="18010" xr:uid="{1B9C96B2-A3D5-431A-92E3-52315157C97E}"/>
    <cellStyle name="AggGreen12 4 4 4" xfId="1644" xr:uid="{4BE55187-2923-45D6-BDBB-3D24E17080A9}"/>
    <cellStyle name="AggGreen12 4 4 40" xfId="18880" xr:uid="{669DB598-96CE-4812-BBB4-14ABE2CFA4FF}"/>
    <cellStyle name="AggGreen12 4 4 41" xfId="20046" xr:uid="{88D4C444-81FD-42F3-8C29-EAC77DA8C27D}"/>
    <cellStyle name="AggGreen12 4 4 42" xfId="20573" xr:uid="{78D6E605-FA96-43D9-A963-813440362288}"/>
    <cellStyle name="AggGreen12 4 4 43" xfId="21026" xr:uid="{709EFCD3-2229-47DB-8211-4E1BDEFCC591}"/>
    <cellStyle name="AggGreen12 4 4 44" xfId="21033" xr:uid="{F8327A31-5763-4321-9B50-895EB3B1B483}"/>
    <cellStyle name="AggGreen12 4 4 45" xfId="21957" xr:uid="{02E944CA-5A4E-46CD-9D53-FF56E12300E4}"/>
    <cellStyle name="AggGreen12 4 4 46" xfId="22388" xr:uid="{5BE38F46-BE66-4994-9A4E-BFA720DE8CB1}"/>
    <cellStyle name="AggGreen12 4 4 47" xfId="22916" xr:uid="{7C3A0DF8-4ACE-459F-8EA9-D956A53DFBBC}"/>
    <cellStyle name="AggGreen12 4 4 48" xfId="22195" xr:uid="{F0B1EBEF-B1F1-420E-8D2A-8455EC6B42A8}"/>
    <cellStyle name="AggGreen12 4 4 49" xfId="23462" xr:uid="{190491D3-70C6-4030-9840-31AE94D59DAD}"/>
    <cellStyle name="AggGreen12 4 4 5" xfId="2486" xr:uid="{C8D2922E-20E8-4F68-9151-C961DC82E7A8}"/>
    <cellStyle name="AggGreen12 4 4 50" xfId="23855" xr:uid="{BF312128-F981-4F18-95D2-636538ADC4EE}"/>
    <cellStyle name="AggGreen12 4 4 51" xfId="24754" xr:uid="{3782E4FE-96C0-41B0-8504-E804517FAA2A}"/>
    <cellStyle name="AggGreen12 4 4 52" xfId="25281" xr:uid="{437792A9-F5CA-4CE5-8684-675B2F0104D7}"/>
    <cellStyle name="AggGreen12 4 4 53" xfId="25672" xr:uid="{E929350B-335C-48A3-A225-627BF49513DE}"/>
    <cellStyle name="AggGreen12 4 4 54" xfId="26222" xr:uid="{A7A0C7D6-747C-4610-96E4-9D7787DD8570}"/>
    <cellStyle name="AggGreen12 4 4 55" xfId="24291" xr:uid="{67F30263-A8B4-4E2F-9308-7761AA32F080}"/>
    <cellStyle name="AggGreen12 4 4 56" xfId="26962" xr:uid="{0C931427-C34C-40D7-87AE-68A47D259757}"/>
    <cellStyle name="AggGreen12 4 4 57" xfId="27381" xr:uid="{1CE96E10-656A-4FB0-8676-DF5658BF77C5}"/>
    <cellStyle name="AggGreen12 4 4 58" xfId="27212" xr:uid="{0D755A8C-0809-428C-8B9D-2E59F22A68FE}"/>
    <cellStyle name="AggGreen12 4 4 59" xfId="28504" xr:uid="{1CA3C98D-E066-4BBA-B68D-B56DFDCC6541}"/>
    <cellStyle name="AggGreen12 4 4 6" xfId="3110" xr:uid="{B855DCC5-10EF-4607-A497-38FCC0CE1908}"/>
    <cellStyle name="AggGreen12 4 4 60" xfId="28972" xr:uid="{925C1CFC-34F7-4A7F-8D67-5A5FE66B2D5F}"/>
    <cellStyle name="AggGreen12 4 4 61" xfId="29409" xr:uid="{F22A9308-4A08-4053-84FF-36B203999821}"/>
    <cellStyle name="AggGreen12 4 4 62" xfId="29762" xr:uid="{D85EBAB4-5C61-450F-8DBB-325134886F3B}"/>
    <cellStyle name="AggGreen12 4 4 63" xfId="30170" xr:uid="{08C52BCF-3D2B-4AF4-9F12-4ADDE05E80C0}"/>
    <cellStyle name="AggGreen12 4 4 64" xfId="30584" xr:uid="{03EB2D32-8250-4AFC-9C6E-46F734B4C2B5}"/>
    <cellStyle name="AggGreen12 4 4 65" xfId="30982" xr:uid="{847DA4D0-CB8C-42C9-9C67-7093FF323145}"/>
    <cellStyle name="AggGreen12 4 4 66" xfId="31208" xr:uid="{640AF3E0-2D25-46CA-82F6-7CAFD1943B28}"/>
    <cellStyle name="AggGreen12 4 4 7" xfId="3554" xr:uid="{0CF17C67-09D8-4A1A-BD13-4925D56BFBE7}"/>
    <cellStyle name="AggGreen12 4 4 8" xfId="3982" xr:uid="{209AA0EB-DABD-4540-84CB-A86AC9E1294A}"/>
    <cellStyle name="AggGreen12 4 4 9" xfId="4420" xr:uid="{A3AE5F52-DDFC-4947-9CF0-6C78AE26576C}"/>
    <cellStyle name="AggGreen12 4 40" xfId="18333" xr:uid="{43CB6F31-0B15-48F6-8E1A-CECDE9F91A2A}"/>
    <cellStyle name="AggGreen12 4 41" xfId="19070" xr:uid="{FA3194C3-8102-4A9B-9440-FB732ECFA449}"/>
    <cellStyle name="AggGreen12 4 42" xfId="19260" xr:uid="{712E2E8F-B575-429C-B568-D1DCB778B47D}"/>
    <cellStyle name="AggGreen12 4 43" xfId="19646" xr:uid="{C9F32E27-0D03-4605-B84E-C4D97A4A31C2}"/>
    <cellStyle name="AggGreen12 4 44" xfId="20320" xr:uid="{15E81857-06E7-4474-90EF-886973A120A9}"/>
    <cellStyle name="AggGreen12 4 45" xfId="20776" xr:uid="{B4A45FC6-FE5A-4DA9-A102-9A6AF1E47797}"/>
    <cellStyle name="AggGreen12 4 46" xfId="20811" xr:uid="{2582C13D-7C3F-4D3B-9427-331B699E9562}"/>
    <cellStyle name="AggGreen12 4 47" xfId="20791" xr:uid="{0815D141-9393-49F8-964A-48E084982D03}"/>
    <cellStyle name="AggGreen12 4 48" xfId="21289" xr:uid="{8223324A-811D-4487-A44D-06D1625CB44E}"/>
    <cellStyle name="AggGreen12 4 49" xfId="22367" xr:uid="{BDF2102F-7BD0-40C1-B393-88B574837F7B}"/>
    <cellStyle name="AggGreen12 4 5" xfId="939" xr:uid="{782B3B80-28EF-4D4B-B99E-EF040D96C98C}"/>
    <cellStyle name="AggGreen12 4 50" xfId="23347" xr:uid="{7B089832-900D-4C87-9CF5-43F88A176668}"/>
    <cellStyle name="AggGreen12 4 51" xfId="23479" xr:uid="{4D13BAE4-AC2D-424A-A3F0-08C9F0E8BD6B}"/>
    <cellStyle name="AggGreen12 4 52" xfId="21800" xr:uid="{EAD77274-E95A-4639-92E2-EB25FE71159A}"/>
    <cellStyle name="AggGreen12 4 53" xfId="24366" xr:uid="{17D7D0FE-53F5-4EE8-9656-C3BA9ED15EA9}"/>
    <cellStyle name="AggGreen12 4 54" xfId="24206" xr:uid="{D092E767-836B-423A-9C35-FB11A5C04CDD}"/>
    <cellStyle name="AggGreen12 4 55" xfId="25469" xr:uid="{0286FF0A-D499-4121-819A-3AF3F3289727}"/>
    <cellStyle name="AggGreen12 4 56" xfId="25161" xr:uid="{3518D363-B4B3-4462-BEB4-E2BF96090D3C}"/>
    <cellStyle name="AggGreen12 4 57" xfId="25302" xr:uid="{CC17CED7-BB69-4CA4-99C7-AFA56C0002BE}"/>
    <cellStyle name="AggGreen12 4 58" xfId="26634" xr:uid="{B1BB844C-FE67-4355-A047-4FF1DC023CE7}"/>
    <cellStyle name="AggGreen12 4 59" xfId="25486" xr:uid="{080E4A21-8576-4A22-B92A-59B6F0BFD144}"/>
    <cellStyle name="AggGreen12 4 6" xfId="1592" xr:uid="{3B5740EA-289D-4FC3-8338-D69A6098BD60}"/>
    <cellStyle name="AggGreen12 4 60" xfId="26201" xr:uid="{B8D83FF3-7E38-4112-890B-864A517C8F3D}"/>
    <cellStyle name="AggGreen12 4 61" xfId="28137" xr:uid="{14039DF5-E883-48F0-80E4-822A201028EE}"/>
    <cellStyle name="AggGreen12 4 62" xfId="28019" xr:uid="{A785EAA1-98FB-40DA-8B01-F2D0EFE60F8A}"/>
    <cellStyle name="AggGreen12 4 63" xfId="29200" xr:uid="{8E68900D-1C3E-458E-8795-7DB07A467C91}"/>
    <cellStyle name="AggGreen12 4 64" xfId="29456" xr:uid="{69855E77-1120-4034-8505-0DD20AD5C36D}"/>
    <cellStyle name="AggGreen12 4 65" xfId="29987" xr:uid="{D9FB3856-5206-4EBA-BAF3-F717192E1DDF}"/>
    <cellStyle name="AggGreen12 4 66" xfId="28269" xr:uid="{62F24A52-07F6-4C9A-B696-2FDC20F7FA95}"/>
    <cellStyle name="AggGreen12 4 67" xfId="29235" xr:uid="{712E4C48-8712-4A37-B253-6295E1D1B922}"/>
    <cellStyle name="AggGreen12 4 68" xfId="29527" xr:uid="{B9CAA10F-6C4F-4FAB-B35A-0189AD1B2772}"/>
    <cellStyle name="AggGreen12 4 7" xfId="2086" xr:uid="{11185679-171F-4955-93D4-104248872192}"/>
    <cellStyle name="AggGreen12 4 8" xfId="2719" xr:uid="{CD9F756A-22E8-42AA-BADC-86DE07F8C8C1}"/>
    <cellStyle name="AggGreen12 4 9" xfId="2225" xr:uid="{3CA0CA2A-84E5-45FD-B15D-1A88115E333A}"/>
    <cellStyle name="AggGreen12 5" xfId="74" xr:uid="{CBF3D1F7-9C3D-4518-8B32-9F51AA30E6E3}"/>
    <cellStyle name="AggGreen12 5 10" xfId="16126" xr:uid="{323F258D-7375-472D-BB9B-F361BD1A9613}"/>
    <cellStyle name="AggGreen12 5 11" xfId="18162" xr:uid="{381847AE-CEA8-4623-89A4-10C30553E2A3}"/>
    <cellStyle name="AggGreen12 5 12" xfId="19459" xr:uid="{23F057AA-20E6-4341-AABA-E69FB27263E3}"/>
    <cellStyle name="AggGreen12 5 13" xfId="21645" xr:uid="{3715B264-B896-4177-BFB7-1EEC4BDC3F6E}"/>
    <cellStyle name="AggGreen12 5 14" xfId="24180" xr:uid="{7A1F089C-D3B0-4D94-AD06-B0A802FDC055}"/>
    <cellStyle name="AggGreen12 5 15" xfId="25495" xr:uid="{ACFACE99-8203-462F-8183-EA395675C317}"/>
    <cellStyle name="AggGreen12 5 16" xfId="27973" xr:uid="{FA571C3B-4BE6-481C-B927-C44DBE38287D}"/>
    <cellStyle name="AggGreen12 5 2" xfId="919" xr:uid="{075139A1-3F34-4374-9AA4-D4228ED03F23}"/>
    <cellStyle name="AggGreen12 5 3" xfId="1902" xr:uid="{26751C3E-F356-45FF-9B97-2F53C36B96D6}"/>
    <cellStyle name="AggGreen12 5 4" xfId="2946" xr:uid="{4FE2E92C-063C-45F1-A850-AB49757AF9A8}"/>
    <cellStyle name="AggGreen12 5 5" xfId="3633" xr:uid="{F5966919-840F-4E37-9322-8DB172A2D860}"/>
    <cellStyle name="AggGreen12 5 6" xfId="6815" xr:uid="{4468345F-FD9B-4A56-9223-175622A20335}"/>
    <cellStyle name="AggGreen12 5 7" xfId="7049" xr:uid="{CE14B07E-20AE-41A1-808B-8353301D9A91}"/>
    <cellStyle name="AggGreen12 5 8" xfId="9029" xr:uid="{15B2C32C-CC09-4D86-BE18-D8FD489D6D3F}"/>
    <cellStyle name="AggGreen12 5 9" xfId="11434" xr:uid="{6F3D4986-49B3-48B8-A1AB-803FB6C43A66}"/>
    <cellStyle name="AggOrange" xfId="17" xr:uid="{3232D474-4705-47B0-9794-A3098DBF1BCA}"/>
    <cellStyle name="AggOrange 2" xfId="116" xr:uid="{16A310DD-3F70-401E-B959-30B843761578}"/>
    <cellStyle name="AggOrange 2 2" xfId="407" xr:uid="{5CF16D3A-1BBB-4788-A8ED-5F923037CFDC}"/>
    <cellStyle name="AggOrange 2 2 2" xfId="527" xr:uid="{B7084574-6BE8-430E-8876-572B628B7B11}"/>
    <cellStyle name="AggOrange 2 2 2 10" xfId="4883" xr:uid="{53E220CF-45D6-4CCC-B6CA-4DCA430324FE}"/>
    <cellStyle name="AggOrange 2 2 2 11" xfId="5175" xr:uid="{3BD506DA-67B8-4D7E-B2B9-C810ED8C2AE0}"/>
    <cellStyle name="AggOrange 2 2 2 12" xfId="5996" xr:uid="{AF48706E-4C7A-4869-9EB3-50FD096AF508}"/>
    <cellStyle name="AggOrange 2 2 2 13" xfId="6358" xr:uid="{8C7C6DB1-2A50-4026-97BA-333D15E1180C}"/>
    <cellStyle name="AggOrange 2 2 2 14" xfId="6707" xr:uid="{4C48E2E2-1464-4812-B199-C9A645738E31}"/>
    <cellStyle name="AggOrange 2 2 2 15" xfId="7247" xr:uid="{0F20319B-C214-448F-86C6-2E1603C37B2C}"/>
    <cellStyle name="AggOrange 2 2 2 16" xfId="8048" xr:uid="{148AE3BE-E78B-42A0-94E1-BCD29FDCF780}"/>
    <cellStyle name="AggOrange 2 2 2 17" xfId="7832" xr:uid="{FD183FEB-E028-4524-88DA-2BAF791E3DA8}"/>
    <cellStyle name="AggOrange 2 2 2 18" xfId="8919" xr:uid="{0B73FE8F-FA34-425D-BEFF-49DAC29B03C7}"/>
    <cellStyle name="AggOrange 2 2 2 19" xfId="9461" xr:uid="{7D4EAE52-D200-4377-ABA3-850639E3CC70}"/>
    <cellStyle name="AggOrange 2 2 2 2" xfId="742" xr:uid="{8D31AB84-8351-40A9-B09D-03647BCA057E}"/>
    <cellStyle name="AggOrange 2 2 2 2 10" xfId="5390" xr:uid="{58EFF87C-33FE-4763-80B1-64BF73769181}"/>
    <cellStyle name="AggOrange 2 2 2 2 11" xfId="5539" xr:uid="{785810D8-A0BC-41C9-896A-7C16E6CF2487}"/>
    <cellStyle name="AggOrange 2 2 2 2 12" xfId="5848" xr:uid="{850C4DB8-A59C-46BB-B0B9-6E0E2A7CC914}"/>
    <cellStyle name="AggOrange 2 2 2 2 13" xfId="6563" xr:uid="{498EEA4C-4166-4C0E-A35D-C4632E2F15E3}"/>
    <cellStyle name="AggOrange 2 2 2 2 14" xfId="7462" xr:uid="{C36C57B1-7C63-4961-8008-7CCB4112EEC0}"/>
    <cellStyle name="AggOrange 2 2 2 2 15" xfId="6902" xr:uid="{408AD7D5-D202-471F-93B0-0C4DDEEE858D}"/>
    <cellStyle name="AggOrange 2 2 2 2 16" xfId="8236" xr:uid="{01C03723-FB39-42FF-BEFB-21CB86885881}"/>
    <cellStyle name="AggOrange 2 2 2 2 17" xfId="6871" xr:uid="{CCD08038-FF39-4C80-920F-4D2FC7BB7F52}"/>
    <cellStyle name="AggOrange 2 2 2 2 18" xfId="9676" xr:uid="{7B91F552-F196-48E3-BCD9-694731699B8A}"/>
    <cellStyle name="AggOrange 2 2 2 2 19" xfId="9115" xr:uid="{62F44DD4-F338-4FF3-BEB8-61B51A968720}"/>
    <cellStyle name="AggOrange 2 2 2 2 2" xfId="1216" xr:uid="{3FDA8806-19E4-41CC-A740-CB23898E8DB9}"/>
    <cellStyle name="AggOrange 2 2 2 2 20" xfId="9899" xr:uid="{E7A3DDBA-910D-415C-AA8F-49F04248E592}"/>
    <cellStyle name="AggOrange 2 2 2 2 21" xfId="9442" xr:uid="{EF766E68-42C6-4212-995C-48887D628DE4}"/>
    <cellStyle name="AggOrange 2 2 2 2 22" xfId="11097" xr:uid="{1D533C96-5DBE-47C7-8A4E-5ECDB492D578}"/>
    <cellStyle name="AggOrange 2 2 2 2 23" xfId="12095" xr:uid="{01D986B2-9864-4EC9-A4CD-2A9A492E744C}"/>
    <cellStyle name="AggOrange 2 2 2 2 24" xfId="12568" xr:uid="{A4540890-0F1E-4BD1-AAA3-F4516CBA8731}"/>
    <cellStyle name="AggOrange 2 2 2 2 25" xfId="13002" xr:uid="{35B25D51-C01B-4946-9844-B926CE998C12}"/>
    <cellStyle name="AggOrange 2 2 2 2 26" xfId="13439" xr:uid="{E19F5F6F-4AC8-4A02-B459-C5EC5837D883}"/>
    <cellStyle name="AggOrange 2 2 2 2 27" xfId="13639" xr:uid="{90BBB863-79B3-4557-93C8-3EF821D7C5EA}"/>
    <cellStyle name="AggOrange 2 2 2 2 28" xfId="11574" xr:uid="{FD08FFD5-1A21-4E5E-8BE5-097B95B528BC}"/>
    <cellStyle name="AggOrange 2 2 2 2 29" xfId="14097" xr:uid="{80F854FA-BD44-4023-9733-AAAA20A942A3}"/>
    <cellStyle name="AggOrange 2 2 2 2 3" xfId="1486" xr:uid="{EF421C09-E5CE-4A7D-985C-3D97017B9AE0}"/>
    <cellStyle name="AggOrange 2 2 2 2 30" xfId="13684" xr:uid="{89E8B21A-69CC-4031-A854-DDC8BA091AF7}"/>
    <cellStyle name="AggOrange 2 2 2 2 31" xfId="15045" xr:uid="{926F1938-6E9B-4149-B947-ACE7DD7C5492}"/>
    <cellStyle name="AggOrange 2 2 2 2 32" xfId="14280" xr:uid="{3B8C14A9-63B2-4F89-B37E-A401C67236BB}"/>
    <cellStyle name="AggOrange 2 2 2 2 33" xfId="16787" xr:uid="{88EA4858-53D4-46AA-9F4C-1F3730144123}"/>
    <cellStyle name="AggOrange 2 2 2 2 34" xfId="16219" xr:uid="{20692C0C-040D-4590-A637-E9F04FAE55D3}"/>
    <cellStyle name="AggOrange 2 2 2 2 35" xfId="17013" xr:uid="{55EF8D04-BEB8-46EF-895F-D614915C96C0}"/>
    <cellStyle name="AggOrange 2 2 2 2 36" xfId="18047" xr:uid="{2B1209C6-5465-45C0-AC18-5D80A8783DCC}"/>
    <cellStyle name="AggOrange 2 2 2 2 37" xfId="18605" xr:uid="{609BE649-45B0-4A1B-8834-A273D64741CD}"/>
    <cellStyle name="AggOrange 2 2 2 2 38" xfId="18190" xr:uid="{9255A960-7D83-4028-B40B-57C0B2A72219}"/>
    <cellStyle name="AggOrange 2 2 2 2 39" xfId="19180" xr:uid="{AC23CA0F-2408-44BE-BCCF-94B336C6FC27}"/>
    <cellStyle name="AggOrange 2 2 2 2 4" xfId="2564" xr:uid="{B7936E35-9035-47E5-B49A-89F292F27035}"/>
    <cellStyle name="AggOrange 2 2 2 2 40" xfId="20124" xr:uid="{FA82CF70-BEBD-452C-9AA9-518A30D799AA}"/>
    <cellStyle name="AggOrange 2 2 2 2 41" xfId="19552" xr:uid="{04F7368A-62DC-44ED-B782-C4B75F9E934C}"/>
    <cellStyle name="AggOrange 2 2 2 2 42" xfId="20547" xr:uid="{F9F01A07-5253-4BC7-B9B9-A0FE9780E576}"/>
    <cellStyle name="AggOrange 2 2 2 2 43" xfId="21410" xr:uid="{694A3D1D-6796-4608-BED3-51C15C751DFA}"/>
    <cellStyle name="AggOrange 2 2 2 2 44" xfId="20781" xr:uid="{288B1590-C496-4945-BDEE-302C3EB44C2A}"/>
    <cellStyle name="AggOrange 2 2 2 2 45" xfId="21749" xr:uid="{DAB972FB-AE84-4F34-BCCB-3E4F2DD59467}"/>
    <cellStyle name="AggOrange 2 2 2 2 46" xfId="22645" xr:uid="{98A1C6B3-73B6-4036-B1E9-310156FEB6AF}"/>
    <cellStyle name="AggOrange 2 2 2 2 47" xfId="22175" xr:uid="{1F4C327A-9174-4E15-9EFE-261B0107B035}"/>
    <cellStyle name="AggOrange 2 2 2 2 48" xfId="21405" xr:uid="{837F5AB8-7924-41BE-A1BD-2FAC6E801801}"/>
    <cellStyle name="AggOrange 2 2 2 2 49" xfId="23924" xr:uid="{1BC30546-5A05-4508-A9F7-6550209B5DC7}"/>
    <cellStyle name="AggOrange 2 2 2 2 5" xfId="2806" xr:uid="{59F4CCCC-506E-48AD-95E6-D50BF3FBD123}"/>
    <cellStyle name="AggOrange 2 2 2 2 50" xfId="24832" xr:uid="{CB33C38E-AE02-4AA6-A2B2-4FC1EA6C39DB}"/>
    <cellStyle name="AggOrange 2 2 2 2 51" xfId="24273" xr:uid="{4037DA8F-751E-44E8-8CBC-8237F4B48BFA}"/>
    <cellStyle name="AggOrange 2 2 2 2 52" xfId="25748" xr:uid="{B618B1D6-4E00-4B5F-B9A9-2FE89A8AEC2F}"/>
    <cellStyle name="AggOrange 2 2 2 2 53" xfId="25948" xr:uid="{0FA8B7E5-648F-441E-9F32-6637BE3DC700}"/>
    <cellStyle name="AggOrange 2 2 2 2 54" xfId="26581" xr:uid="{9788F025-EB5D-4E6F-A6FD-4E9C96A50604}"/>
    <cellStyle name="AggOrange 2 2 2 2 55" xfId="27036" xr:uid="{A1BDF20E-961C-437B-8502-9ACE2A069CBC}"/>
    <cellStyle name="AggOrange 2 2 2 2 56" xfId="27455" xr:uid="{E9986F30-6BA2-4296-8EBF-0380C788B3CF}"/>
    <cellStyle name="AggOrange 2 2 2 2 57" xfId="26415" xr:uid="{3252B57D-024D-4088-95AB-9C53FABAD285}"/>
    <cellStyle name="AggOrange 2 2 2 2 58" xfId="28582" xr:uid="{BAD2A675-2DAB-4FF0-8AF8-7D796F8FE800}"/>
    <cellStyle name="AggOrange 2 2 2 2 59" xfId="29049" xr:uid="{2644B57A-A1B2-4FA0-8877-9CE2D823C688}"/>
    <cellStyle name="AggOrange 2 2 2 2 6" xfId="2191" xr:uid="{8CD3DFCB-0372-4D21-BC64-D9738EBB91D3}"/>
    <cellStyle name="AggOrange 2 2 2 2 60" xfId="28221" xr:uid="{C78E075B-96A4-4E78-8EE4-91B7E44F8206}"/>
    <cellStyle name="AggOrange 2 2 2 2 61" xfId="29838" xr:uid="{B224BEBB-E940-4FFB-8541-BD04E28E09D0}"/>
    <cellStyle name="AggOrange 2 2 2 2 62" xfId="30244" xr:uid="{2EAF4845-391D-4D9F-8DF7-987C68BDB08D}"/>
    <cellStyle name="AggOrange 2 2 2 2 63" xfId="30661" xr:uid="{E7ACBC68-4935-4609-97ED-4B6511109918}"/>
    <cellStyle name="AggOrange 2 2 2 2 64" xfId="27986" xr:uid="{4DD6B4D5-3735-4CF6-97B3-FA21EC2EBF01}"/>
    <cellStyle name="AggOrange 2 2 2 2 65" xfId="31277" xr:uid="{EF4A6DDB-12A5-4DBA-A095-6993FC8A9E8F}"/>
    <cellStyle name="AggOrange 2 2 2 2 7" xfId="4060" xr:uid="{9B448DD8-7D0A-4AF0-B883-C8FB480116EF}"/>
    <cellStyle name="AggOrange 2 2 2 2 8" xfId="4497" xr:uid="{0E86BA32-B663-4D05-BB7C-949D8629D7C5}"/>
    <cellStyle name="AggOrange 2 2 2 2 9" xfId="2790" xr:uid="{7D46DF1B-908A-46CF-9489-4762CAD09E02}"/>
    <cellStyle name="AggOrange 2 2 2 20" xfId="10267" xr:uid="{C5B5F29F-7C0C-4060-B477-BC113BC7E087}"/>
    <cellStyle name="AggOrange 2 2 2 21" xfId="10661" xr:uid="{6508060A-7ADC-4347-AF2C-09A8E81E9AF8}"/>
    <cellStyle name="AggOrange 2 2 2 22" xfId="11012" xr:uid="{EFCDD0C9-9C78-4129-B57C-A283BD04EC6F}"/>
    <cellStyle name="AggOrange 2 2 2 23" xfId="11324" xr:uid="{180BA470-44DE-4B8B-BB40-E215CF03E61E}"/>
    <cellStyle name="AggOrange 2 2 2 24" xfId="11880" xr:uid="{3F1988F0-D7ED-4B3D-83BC-5D9D0203DF79}"/>
    <cellStyle name="AggOrange 2 2 2 25" xfId="12353" xr:uid="{540E9124-ABBE-4E0B-ABA2-9179C5EA1FD7}"/>
    <cellStyle name="AggOrange 2 2 2 26" xfId="12787" xr:uid="{8E387408-84BB-40C4-8CD2-40631AD29DAC}"/>
    <cellStyle name="AggOrange 2 2 2 27" xfId="13224" xr:uid="{660ACC2B-30D5-4FF5-A823-66BE8EB2AA6D}"/>
    <cellStyle name="AggOrange 2 2 2 28" xfId="14033" xr:uid="{F80FF2C5-4545-4CD9-B945-BD741EEB5713}"/>
    <cellStyle name="AggOrange 2 2 2 29" xfId="14366" xr:uid="{20ADC513-3263-45E8-8CD1-084B5BC2348D}"/>
    <cellStyle name="AggOrange 2 2 2 3" xfId="1010" xr:uid="{65262B1E-5209-4243-B6BC-EA21A6F5BEAC}"/>
    <cellStyle name="AggOrange 2 2 2 30" xfId="14903" xr:uid="{D5C9BD61-1DD7-4011-88CC-6142FECF19D3}"/>
    <cellStyle name="AggOrange 2 2 2 31" xfId="15374" xr:uid="{6594F31F-B158-4032-BF85-3D9A3EAEEFCC}"/>
    <cellStyle name="AggOrange 2 2 2 32" xfId="15775" xr:uid="{A436C54F-071B-47FC-837E-7A5879F1D999}"/>
    <cellStyle name="AggOrange 2 2 2 33" xfId="16000" xr:uid="{8403E01D-0ACF-465C-A082-945E071368F0}"/>
    <cellStyle name="AggOrange 2 2 2 34" xfId="16572" xr:uid="{258B568B-6827-46D6-A617-C49754ADDBDB}"/>
    <cellStyle name="AggOrange 2 2 2 35" xfId="17390" xr:uid="{8F7D5654-00C7-469E-9A15-A5BA3A818032}"/>
    <cellStyle name="AggOrange 2 2 2 36" xfId="17831" xr:uid="{ADD15C07-E325-4395-82E8-68C74E7B34E5}"/>
    <cellStyle name="AggOrange 2 2 2 37" xfId="18307" xr:uid="{66C134DF-AE3C-4AAB-B408-CF41EC744E36}"/>
    <cellStyle name="AggOrange 2 2 2 38" xfId="18390" xr:uid="{04E92B9D-04D2-41E8-B8CF-0449328307E9}"/>
    <cellStyle name="AggOrange 2 2 2 39" xfId="19117" xr:uid="{223C0FCB-D4D9-48A0-9DA0-FD61260FD06B}"/>
    <cellStyle name="AggOrange 2 2 2 4" xfId="1462" xr:uid="{873CA7E5-C539-47E8-B457-184F864F4876}"/>
    <cellStyle name="AggOrange 2 2 2 40" xfId="19348" xr:uid="{4A30E03B-DC5F-4508-9141-7660123B2F95}"/>
    <cellStyle name="AggOrange 2 2 2 41" xfId="19909" xr:uid="{BE80492D-AEB4-4765-A137-29F2BF77D6EE}"/>
    <cellStyle name="AggOrange 2 2 2 42" xfId="20739" xr:uid="{E84082F4-B938-493C-B1BE-6EA214557458}"/>
    <cellStyle name="AggOrange 2 2 2 43" xfId="21198" xr:uid="{4BA0334F-2B74-4D5F-AA2D-4DC78DBDDBD1}"/>
    <cellStyle name="AggOrange 2 2 2 44" xfId="21690" xr:uid="{0284E295-387D-405D-A8C6-713D025713C5}"/>
    <cellStyle name="AggOrange 2 2 2 45" xfId="22129" xr:uid="{7BD90B45-68E8-4379-A247-C6464C8DADCB}"/>
    <cellStyle name="AggOrange 2 2 2 46" xfId="22556" xr:uid="{B6CAFF90-B5E7-4D81-AE4D-EDDBD13C4952}"/>
    <cellStyle name="AggOrange 2 2 2 47" xfId="23002" xr:uid="{B80F9DB9-9FF3-4617-AE36-AF803C7CDB46}"/>
    <cellStyle name="AggOrange 2 2 2 48" xfId="23405" xr:uid="{34BE02F7-3F7D-4432-8851-20E6CBEF6E0D}"/>
    <cellStyle name="AggOrange 2 2 2 49" xfId="23669" xr:uid="{D8EA0BDF-3E71-4BF9-AE36-F070067F41E4}"/>
    <cellStyle name="AggOrange 2 2 2 5" xfId="2349" xr:uid="{1677EDD5-EB7F-4197-8D0E-6B27F3846966}"/>
    <cellStyle name="AggOrange 2 2 2 50" xfId="23718" xr:uid="{81B97F93-3C72-48DC-974D-AC9F82D29FC6}"/>
    <cellStyle name="AggOrange 2 2 2 51" xfId="24617" xr:uid="{35A765F9-103D-4DA7-9407-22A93ECA7686}"/>
    <cellStyle name="AggOrange 2 2 2 52" xfId="25443" xr:uid="{6F515D9F-05E0-462D-AB10-440ED551BDFA}"/>
    <cellStyle name="AggOrange 2 2 2 53" xfId="25535" xr:uid="{689CE56E-58C1-4EB4-8A2C-14A405EA9C89}"/>
    <cellStyle name="AggOrange 2 2 2 54" xfId="26309" xr:uid="{9704A193-CA24-46EE-9872-7FF8367EBF34}"/>
    <cellStyle name="AggOrange 2 2 2 55" xfId="26446" xr:uid="{080F8DC7-90E8-4644-B1D8-ACA908C3253B}"/>
    <cellStyle name="AggOrange 2 2 2 56" xfId="26825" xr:uid="{6098F11B-E38E-43EE-932A-59EE32F96943}"/>
    <cellStyle name="AggOrange 2 2 2 57" xfId="27244" xr:uid="{8B01040B-236D-4094-BBAF-CAD0752DC532}"/>
    <cellStyle name="AggOrange 2 2 2 58" xfId="27626" xr:uid="{15BC04C2-300E-42A5-B7A4-96E2FDE399AA}"/>
    <cellStyle name="AggOrange 2 2 2 59" xfId="28367" xr:uid="{BF9B93B8-40A7-4B99-B4C5-CDF8C6FCF72C}"/>
    <cellStyle name="AggOrange 2 2 2 6" xfId="3206" xr:uid="{54EEF439-D67E-4CE0-950F-E01E477F6FAB}"/>
    <cellStyle name="AggOrange 2 2 2 60" xfId="28835" xr:uid="{65A6480E-2D2E-4649-A694-908DF41ECB79}"/>
    <cellStyle name="AggOrange 2 2 2 61" xfId="29553" xr:uid="{0021F5D8-10B5-4BE8-A986-6A1B08D57C9F}"/>
    <cellStyle name="AggOrange 2 2 2 62" xfId="29625" xr:uid="{C7033A64-4CED-4266-A53C-22DD41283B8F}"/>
    <cellStyle name="AggOrange 2 2 2 63" xfId="30033" xr:uid="{73D07D31-C4EB-4C3F-A8DD-4CDBCC4D1CF0}"/>
    <cellStyle name="AggOrange 2 2 2 64" xfId="30447" xr:uid="{8C053DFF-6968-4323-A0F8-B2176C0A6D64}"/>
    <cellStyle name="AggOrange 2 2 2 65" xfId="30847" xr:uid="{F54394FD-51A4-4676-BAD5-B5EFFC073659}"/>
    <cellStyle name="AggOrange 2 2 2 66" xfId="31071" xr:uid="{92052192-E2EA-4C4A-8E21-32A7FFA76D82}"/>
    <cellStyle name="AggOrange 2 2 2 7" xfId="3373" xr:uid="{3378C7E0-09DC-46F8-89AA-FD0B5A34A8A4}"/>
    <cellStyle name="AggOrange 2 2 2 8" xfId="3845" xr:uid="{A0161456-83E7-49B4-B5A8-557F0152BFB4}"/>
    <cellStyle name="AggOrange 2 2 2 9" xfId="4283" xr:uid="{6551B0EE-837E-4E6E-A882-3DC6660D80B4}"/>
    <cellStyle name="AggOrange 2 2 3" xfId="714" xr:uid="{AA90DC32-7577-45DF-A7B9-F412ACD85143}"/>
    <cellStyle name="AggOrange 2 2 3 10" xfId="5362" xr:uid="{8C7574A8-8716-44D7-A521-599B1DF2D8D8}"/>
    <cellStyle name="AggOrange 2 2 3 11" xfId="5843" xr:uid="{D8AF64BE-B2A5-4AA3-88DC-343515DB50D8}"/>
    <cellStyle name="AggOrange 2 2 3 12" xfId="2017" xr:uid="{10107216-29E7-4AD2-BE4F-4C056D42B928}"/>
    <cellStyle name="AggOrange 2 2 3 13" xfId="6058" xr:uid="{2DDBCE90-D3F1-42DE-95CD-68E0ECF8825C}"/>
    <cellStyle name="AggOrange 2 2 3 14" xfId="7434" xr:uid="{6B7627C0-C468-4D36-8844-D1A8F027CC7E}"/>
    <cellStyle name="AggOrange 2 2 3 15" xfId="7779" xr:uid="{02BEBD2D-B25F-4628-9CA0-B34E1627E4A0}"/>
    <cellStyle name="AggOrange 2 2 3 16" xfId="8219" xr:uid="{5DC9F5AC-4D5D-49E1-AA8B-A146BA7D4145}"/>
    <cellStyle name="AggOrange 2 2 3 17" xfId="8853" xr:uid="{4FD2E1D8-EE69-4B5B-95A7-47CB1B32C061}"/>
    <cellStyle name="AggOrange 2 2 3 18" xfId="9648" xr:uid="{E61DDC40-DF4B-4395-9194-9C6361F2C27C}"/>
    <cellStyle name="AggOrange 2 2 3 19" xfId="9992" xr:uid="{D3ECE3BB-A25F-4678-8D72-0913D7B773BC}"/>
    <cellStyle name="AggOrange 2 2 3 2" xfId="1188" xr:uid="{E96D53A7-73C7-40D1-9789-847EDA103CB3}"/>
    <cellStyle name="AggOrange 2 2 3 20" xfId="10417" xr:uid="{D3025126-393F-4CD8-B37B-CC654137CC50}"/>
    <cellStyle name="AggOrange 2 2 3 21" xfId="10857" xr:uid="{3C5928A0-178C-4D8F-86FC-73D42EE4EDBC}"/>
    <cellStyle name="AggOrange 2 2 3 22" xfId="11062" xr:uid="{4011EEFC-A498-4B64-BBDB-3F46050953E7}"/>
    <cellStyle name="AggOrange 2 2 3 23" xfId="12067" xr:uid="{8D0EEAB1-3D70-48F9-B170-23FA21056101}"/>
    <cellStyle name="AggOrange 2 2 3 24" xfId="12540" xr:uid="{157E6D69-8C09-4370-BAED-EBB7338D76D7}"/>
    <cellStyle name="AggOrange 2 2 3 25" xfId="12974" xr:uid="{C5DC4D07-1EC2-420B-840D-66F9BBB73774}"/>
    <cellStyle name="AggOrange 2 2 3 26" xfId="13411" xr:uid="{A3BE6E13-FF4A-49E5-9C65-20398647E320}"/>
    <cellStyle name="AggOrange 2 2 3 27" xfId="11857" xr:uid="{5C179DED-FE28-4259-9887-28560B44BFE2}"/>
    <cellStyle name="AggOrange 2 2 3 28" xfId="14178" xr:uid="{770C65F8-D9B9-4262-B84C-355243E37ED5}"/>
    <cellStyle name="AggOrange 2 2 3 29" xfId="14646" xr:uid="{68DECABA-0AFE-47FB-B596-2D4CD9C17A6D}"/>
    <cellStyle name="AggOrange 2 2 3 3" xfId="1447" xr:uid="{C39459A1-1868-465E-B135-D485C77A2D5A}"/>
    <cellStyle name="AggOrange 2 2 3 30" xfId="14107" xr:uid="{C7C10817-B6F6-4385-A6E1-3E9D63A17732}"/>
    <cellStyle name="AggOrange 2 2 3 31" xfId="15541" xr:uid="{233C678D-0DAE-4553-8B71-C41677911C41}"/>
    <cellStyle name="AggOrange 2 2 3 32" xfId="15848" xr:uid="{A2392F24-EBC2-4C53-9471-8FD2DE10B9DF}"/>
    <cellStyle name="AggOrange 2 2 3 33" xfId="16759" xr:uid="{1DE0084C-882D-4CF9-A28D-CD9A0289D318}"/>
    <cellStyle name="AggOrange 2 2 3 34" xfId="17108" xr:uid="{4BD147CD-94AD-431E-B4F1-740A4F38B1C1}"/>
    <cellStyle name="AggOrange 2 2 3 35" xfId="17555" xr:uid="{23801E8D-287B-4B5D-9244-28A77D1B61E6}"/>
    <cellStyle name="AggOrange 2 2 3 36" xfId="16978" xr:uid="{C70C3522-067B-4EA4-BFCA-8E534D49D405}"/>
    <cellStyle name="AggOrange 2 2 3 37" xfId="18577" xr:uid="{E84AE93C-8EEE-49EB-A9BA-76A85AF429DF}"/>
    <cellStyle name="AggOrange 2 2 3 38" xfId="19002" xr:uid="{B07F48FA-73A6-46C6-A1B3-4D635653C44F}"/>
    <cellStyle name="AggOrange 2 2 3 39" xfId="19256" xr:uid="{56314B69-5D9D-44A3-990C-7E4A0165172E}"/>
    <cellStyle name="AggOrange 2 2 3 4" xfId="2536" xr:uid="{B7D8219A-22F7-4163-9021-1E887D674017}"/>
    <cellStyle name="AggOrange 2 2 3 40" xfId="20096" xr:uid="{0BC3A7F6-FA52-4E55-9137-B1E6A123BC59}"/>
    <cellStyle name="AggOrange 2 2 3 41" xfId="20461" xr:uid="{89660B3E-226A-4923-8000-CD552239E859}"/>
    <cellStyle name="AggOrange 2 2 3 42" xfId="20914" xr:uid="{F4606CB5-50A6-44F8-BD5F-6B1196A1B253}"/>
    <cellStyle name="AggOrange 2 2 3 43" xfId="21404" xr:uid="{BC47C451-998F-41C9-B52A-F050FB22E103}"/>
    <cellStyle name="AggOrange 2 2 3 44" xfId="21843" xr:uid="{DABDA93F-7F8E-4158-BCB4-8F10302211F4}"/>
    <cellStyle name="AggOrange 2 2 3 45" xfId="22280" xr:uid="{4834F6AC-0702-4949-9578-868B8BBB9B61}"/>
    <cellStyle name="AggOrange 2 2 3 46" xfId="21343" xr:uid="{6131256E-271F-4D4C-A27F-411B0378F4C9}"/>
    <cellStyle name="AggOrange 2 2 3 47" xfId="23284" xr:uid="{75DC5C09-B00C-4805-BE04-101E3F5C834A}"/>
    <cellStyle name="AggOrange 2 2 3 48" xfId="23607" xr:uid="{C00799D8-83B8-437A-A96D-4340A9923F21}"/>
    <cellStyle name="AggOrange 2 2 3 49" xfId="23896" xr:uid="{FC7DAFAA-CE74-44A8-98AD-45D59B48E53B}"/>
    <cellStyle name="AggOrange 2 2 3 5" xfId="2716" xr:uid="{60759F8B-9789-4F32-8816-FAA10D016D8B}"/>
    <cellStyle name="AggOrange 2 2 3 50" xfId="24804" xr:uid="{27E30771-C4FB-4AB3-AC13-BFF4EE5FD50D}"/>
    <cellStyle name="AggOrange 2 2 3 51" xfId="25169" xr:uid="{6823ABE6-ADF0-4505-9387-911B6069ECBC}"/>
    <cellStyle name="AggOrange 2 2 3 52" xfId="25720" xr:uid="{600EE758-755A-4659-84F3-40C4D49BB318}"/>
    <cellStyle name="AggOrange 2 2 3 53" xfId="24209" xr:uid="{0E37E378-6B52-42F1-875A-31AC0744E211}"/>
    <cellStyle name="AggOrange 2 2 3 54" xfId="26167" xr:uid="{C965D6F0-AB1D-43AB-AEC3-8243514791B8}"/>
    <cellStyle name="AggOrange 2 2 3 55" xfId="27008" xr:uid="{2EA61047-09D6-48AA-A26D-F0059885C422}"/>
    <cellStyle name="AggOrange 2 2 3 56" xfId="27427" xr:uid="{0B7B21F5-5966-4F23-8F2E-43183DC27DA5}"/>
    <cellStyle name="AggOrange 2 2 3 57" xfId="26579" xr:uid="{25EB77EB-2823-44BB-B693-2634F32C6A87}"/>
    <cellStyle name="AggOrange 2 2 3 58" xfId="28554" xr:uid="{04ACF6D6-0105-4EE1-B24F-DB668364084A}"/>
    <cellStyle name="AggOrange 2 2 3 59" xfId="29021" xr:uid="{A8880ECC-AF33-4F7E-B0EB-A51DDD60F8CC}"/>
    <cellStyle name="AggOrange 2 2 3 6" xfId="1942" xr:uid="{56343D6C-E655-43BD-87EB-86D0E7120217}"/>
    <cellStyle name="AggOrange 2 2 3 60" xfId="29316" xr:uid="{6DF9C1CD-7D66-481D-B575-4181BC3006CB}"/>
    <cellStyle name="AggOrange 2 2 3 61" xfId="29810" xr:uid="{F9D36314-3088-4C48-9656-A4B2B5C72F9A}"/>
    <cellStyle name="AggOrange 2 2 3 62" xfId="30216" xr:uid="{2E9F911C-9844-4D0B-8BF5-65049B449E80}"/>
    <cellStyle name="AggOrange 2 2 3 63" xfId="30633" xr:uid="{D91CF1DB-1AC2-4767-B862-BA39734C7942}"/>
    <cellStyle name="AggOrange 2 2 3 64" xfId="31022" xr:uid="{E25740DE-58B7-4507-8658-86EDAEA35B4F}"/>
    <cellStyle name="AggOrange 2 2 3 65" xfId="31249" xr:uid="{342FEE45-12AD-4D44-9227-DCF2242B97B6}"/>
    <cellStyle name="AggOrange 2 2 3 7" xfId="4032" xr:uid="{8CC08F9D-09E5-4804-97AC-2ED925795C7F}"/>
    <cellStyle name="AggOrange 2 2 3 8" xfId="4469" xr:uid="{97DCA62A-3FB1-44F2-8DDE-D53D004AC6BA}"/>
    <cellStyle name="AggOrange 2 2 3 9" xfId="4963" xr:uid="{F06EF8FD-F44B-4EA8-8C2E-A39D08CA1017}"/>
    <cellStyle name="AggOrange 2 3" xfId="265" xr:uid="{C7CD7D98-A246-4C6C-AA3C-CE573F310133}"/>
    <cellStyle name="AggOrange 2 3 10" xfId="3518" xr:uid="{8AD452B8-18DE-46AD-ACEB-F0A4B6FF9630}"/>
    <cellStyle name="AggOrange 2 3 11" xfId="3826" xr:uid="{741B2060-5721-4845-A45A-5CF473FDAC94}"/>
    <cellStyle name="AggOrange 2 3 12" xfId="3311" xr:uid="{EDD977FC-37D0-4B56-9250-B6291D33D5B0}"/>
    <cellStyle name="AggOrange 2 3 13" xfId="4662" xr:uid="{B6DC6F2D-CD6C-43C5-8B48-E8C99500507F}"/>
    <cellStyle name="AggOrange 2 3 14" xfId="4793" xr:uid="{48DB6B01-BE77-4E12-B9FC-58F8FDE02E4A}"/>
    <cellStyle name="AggOrange 2 3 15" xfId="5882" xr:uid="{C8D7B38A-4827-49F1-8570-464B4D8FFAAE}"/>
    <cellStyle name="AggOrange 2 3 16" xfId="6238" xr:uid="{C3AE35A9-67EE-4102-BC24-B5F305427D93}"/>
    <cellStyle name="AggOrange 2 3 17" xfId="6995" xr:uid="{B109FCDB-B901-4140-B8E2-DE8288D9AF2E}"/>
    <cellStyle name="AggOrange 2 3 18" xfId="7642" xr:uid="{AE2E09C2-6EB5-46CA-AE55-712436792DA2}"/>
    <cellStyle name="AggOrange 2 3 19" xfId="8109" xr:uid="{8709908C-AD90-4C08-B5B1-F68585BF5C42}"/>
    <cellStyle name="AggOrange 2 3 2" xfId="604" xr:uid="{7972CDDA-14A1-45E8-BB2A-C632F5037DB5}"/>
    <cellStyle name="AggOrange 2 3 2 10" xfId="4789" xr:uid="{4F436C51-6ED8-41AF-9A21-F1A300DF203B}"/>
    <cellStyle name="AggOrange 2 3 2 11" xfId="5252" xr:uid="{51589E4F-FBDD-4D03-BBCE-622C2B8B45B3}"/>
    <cellStyle name="AggOrange 2 3 2 12" xfId="5668" xr:uid="{E8E61180-4D18-4E7F-8F15-009C79473A68}"/>
    <cellStyle name="AggOrange 2 3 2 13" xfId="5868" xr:uid="{5BED3109-2A11-44F8-991C-0431D90CE5E0}"/>
    <cellStyle name="AggOrange 2 3 2 14" xfId="5873" xr:uid="{EBFC9B79-1143-4A2A-A188-581EB22D96FC}"/>
    <cellStyle name="AggOrange 2 3 2 15" xfId="7324" xr:uid="{C55C8796-6D6D-45D6-82B4-7F6640D374AA}"/>
    <cellStyle name="AggOrange 2 3 2 16" xfId="7956" xr:uid="{55DD16FA-FEDA-4108-A079-D54F67061D92}"/>
    <cellStyle name="AggOrange 2 3 2 17" xfId="8597" xr:uid="{FD4C23C0-570C-47A4-A15D-2623E324B810}"/>
    <cellStyle name="AggOrange 2 3 2 18" xfId="8633" xr:uid="{72577593-404E-46EC-9EB2-736420047D11}"/>
    <cellStyle name="AggOrange 2 3 2 19" xfId="9538" xr:uid="{CBBC8C68-94DF-45CE-AFF9-A8586893EE22}"/>
    <cellStyle name="AggOrange 2 3 2 2" xfId="819" xr:uid="{17E4C3B2-3378-4A1D-BBCD-1C883858FB52}"/>
    <cellStyle name="AggOrange 2 3 2 2 10" xfId="5467" xr:uid="{E5429B1B-5D73-404D-B4FC-EC9017B5B042}"/>
    <cellStyle name="AggOrange 2 3 2 2 11" xfId="4904" xr:uid="{D83A927E-4474-4B3C-B323-FA95FDCF6DB7}"/>
    <cellStyle name="AggOrange 2 3 2 2 12" xfId="4742" xr:uid="{384D6426-6C74-4D5C-852C-81F284EA7584}"/>
    <cellStyle name="AggOrange 2 3 2 2 13" xfId="6090" xr:uid="{4AE6175E-8A99-4BB5-AA63-853AD4DAE657}"/>
    <cellStyle name="AggOrange 2 3 2 2 14" xfId="7539" xr:uid="{F1D76C53-A910-4E9A-9CF5-31CA39ED4737}"/>
    <cellStyle name="AggOrange 2 3 2 2 15" xfId="6867" xr:uid="{7A36C423-E8FA-4FAE-9567-3F1A5C5A56D1}"/>
    <cellStyle name="AggOrange 2 3 2 2 16" xfId="8510" xr:uid="{B916EC74-205B-4D1F-9CD9-1993C903DE16}"/>
    <cellStyle name="AggOrange 2 3 2 2 17" xfId="8845" xr:uid="{6B93FED6-A954-4918-A6BB-6758B8285A9A}"/>
    <cellStyle name="AggOrange 2 3 2 2 18" xfId="9753" xr:uid="{75E6175B-1327-48F1-A668-5D3502C2E10B}"/>
    <cellStyle name="AggOrange 2 3 2 2 19" xfId="9354" xr:uid="{6A12A707-EDEC-4D2D-BB04-848CBEA08AEE}"/>
    <cellStyle name="AggOrange 2 3 2 2 2" xfId="1293" xr:uid="{3DE7FC7C-3CE4-4CEE-A01A-C4BB27F07BEB}"/>
    <cellStyle name="AggOrange 2 3 2 2 20" xfId="10158" xr:uid="{EE79C11F-84CF-4665-8C39-40D0BBD15D89}"/>
    <cellStyle name="AggOrange 2 3 2 2 21" xfId="10633" xr:uid="{99436407-0EA1-4785-8E84-5016DE64575D}"/>
    <cellStyle name="AggOrange 2 3 2 2 22" xfId="8947" xr:uid="{71E7B11C-0BA9-4D42-B54D-124855E23E70}"/>
    <cellStyle name="AggOrange 2 3 2 2 23" xfId="12172" xr:uid="{2B0E9E9F-607F-4E4D-A5ED-68E7F1D1F32E}"/>
    <cellStyle name="AggOrange 2 3 2 2 24" xfId="12645" xr:uid="{A623DC28-5116-45D6-9405-67DDAC6C7F20}"/>
    <cellStyle name="AggOrange 2 3 2 2 25" xfId="13079" xr:uid="{C6CBBFBF-F0AF-4DA1-8907-428D2A1D7899}"/>
    <cellStyle name="AggOrange 2 3 2 2 26" xfId="13516" xr:uid="{2BFAF3B6-D441-4117-9860-16E8DF2BEE68}"/>
    <cellStyle name="AggOrange 2 3 2 2 27" xfId="13593" xr:uid="{8FB97B97-A68E-41BF-A995-24A92554FA3F}"/>
    <cellStyle name="AggOrange 2 3 2 2 28" xfId="14230" xr:uid="{FB043DDF-AF85-4575-B654-43DB4F475804}"/>
    <cellStyle name="AggOrange 2 3 2 2 29" xfId="14121" xr:uid="{9FDFF5CF-B4B9-42FE-9944-2657806EB0E4}"/>
    <cellStyle name="AggOrange 2 3 2 2 3" xfId="1474" xr:uid="{705E9301-2A9D-4C42-A33F-6E1913FC01B9}"/>
    <cellStyle name="AggOrange 2 3 2 2 30" xfId="13954" xr:uid="{FE1CE9AB-BE7A-49C0-9AFC-847053EB1FFA}"/>
    <cellStyle name="AggOrange 2 3 2 2 31" xfId="15059" xr:uid="{A1CC9CAF-903D-48A2-BC87-CB634061F892}"/>
    <cellStyle name="AggOrange 2 3 2 2 32" xfId="15429" xr:uid="{7AF7E7FD-9F94-4C5C-83A8-298C117587AB}"/>
    <cellStyle name="AggOrange 2 3 2 2 33" xfId="16864" xr:uid="{EDBCB9B7-0F76-47E6-8FBC-87A334AA5383}"/>
    <cellStyle name="AggOrange 2 3 2 2 34" xfId="16183" xr:uid="{F98FD1C7-6C24-4E0C-8ADC-9483E9FF0703}"/>
    <cellStyle name="AggOrange 2 3 2 2 35" xfId="17277" xr:uid="{9D6436C6-0F12-4F8C-9318-F0C75BD20067}"/>
    <cellStyle name="AggOrange 2 3 2 2 36" xfId="18036" xr:uid="{1B6FD894-E720-45D5-9387-F7459D8AD6D5}"/>
    <cellStyle name="AggOrange 2 3 2 2 37" xfId="18682" xr:uid="{F37D5BC6-698D-4154-9C0B-5379ABBF8ABD}"/>
    <cellStyle name="AggOrange 2 3 2 2 38" xfId="16715" xr:uid="{01C8FCB6-4365-4D3F-999A-B0490505170F}"/>
    <cellStyle name="AggOrange 2 3 2 2 39" xfId="19157" xr:uid="{5151150A-35C1-42FB-B200-E2F91EE7FE64}"/>
    <cellStyle name="AggOrange 2 3 2 2 4" xfId="2641" xr:uid="{FD46E8CB-29CC-44C6-978C-2AE5D8076FF2}"/>
    <cellStyle name="AggOrange 2 3 2 2 40" xfId="20201" xr:uid="{D5DB2AFE-6724-4C6A-BF0E-43D249457A80}"/>
    <cellStyle name="AggOrange 2 3 2 2 41" xfId="19609" xr:uid="{CD69BA06-5EE1-4150-814F-E8BDD079EEA6}"/>
    <cellStyle name="AggOrange 2 3 2 2 42" xfId="20519" xr:uid="{BA39DF21-F086-439A-A891-558DA069BC69}"/>
    <cellStyle name="AggOrange 2 3 2 2 43" xfId="21395" xr:uid="{71F7BF97-3845-48EE-BDCB-267878F06AC3}"/>
    <cellStyle name="AggOrange 2 3 2 2 44" xfId="21481" xr:uid="{AD22240C-F8BE-4D75-A75A-F1158B087BA3}"/>
    <cellStyle name="AggOrange 2 3 2 2 45" xfId="21964" xr:uid="{C671ED14-DCCE-4E4D-BBC1-E1C211E2B931}"/>
    <cellStyle name="AggOrange 2 3 2 2 46" xfId="22602" xr:uid="{856B33D7-FC57-43BB-BAD2-49CC5408430D}"/>
    <cellStyle name="AggOrange 2 3 2 2 47" xfId="22922" xr:uid="{3D99E493-FEFF-4BE6-AA87-FB11E1CF705C}"/>
    <cellStyle name="AggOrange 2 3 2 2 48" xfId="22983" xr:uid="{52E6CAA6-209A-494C-B887-8C25A7D87516}"/>
    <cellStyle name="AggOrange 2 3 2 2 49" xfId="24001" xr:uid="{4D4D0AD2-618E-4644-9A51-85F8E59887BF}"/>
    <cellStyle name="AggOrange 2 3 2 2 5" xfId="2759" xr:uid="{AF52C35D-C326-4113-B8D7-1E6C6A1587EE}"/>
    <cellStyle name="AggOrange 2 3 2 2 50" xfId="24909" xr:uid="{23EA0726-8E9A-4AB8-994E-54733485CB01}"/>
    <cellStyle name="AggOrange 2 3 2 2 51" xfId="24228" xr:uid="{9FCA9938-7EB5-4B8D-B792-2F9880D43004}"/>
    <cellStyle name="AggOrange 2 3 2 2 52" xfId="25825" xr:uid="{DAA7DB8C-FD5C-4A19-8E94-A890EBDED967}"/>
    <cellStyle name="AggOrange 2 3 2 2 53" xfId="25906" xr:uid="{458272FE-A78B-404C-8261-87A3EEE64FF8}"/>
    <cellStyle name="AggOrange 2 3 2 2 54" xfId="26357" xr:uid="{3216492B-8F2E-4453-AE06-3FB37BE48B10}"/>
    <cellStyle name="AggOrange 2 3 2 2 55" xfId="27113" xr:uid="{4A051C4C-3340-4F31-95A4-C65449164419}"/>
    <cellStyle name="AggOrange 2 3 2 2 56" xfId="27532" xr:uid="{71E687C9-CC67-4703-B184-ABD4C3EE71BA}"/>
    <cellStyle name="AggOrange 2 3 2 2 57" xfId="26776" xr:uid="{A895D05F-6966-4453-B1ED-3123E802AB6F}"/>
    <cellStyle name="AggOrange 2 3 2 2 58" xfId="28659" xr:uid="{CAD70152-0AEA-45D0-97A6-A07C536E0E7A}"/>
    <cellStyle name="AggOrange 2 3 2 2 59" xfId="29126" xr:uid="{AF190DC1-E708-41D3-ABF1-9908791188EB}"/>
    <cellStyle name="AggOrange 2 3 2 2 6" xfId="2013" xr:uid="{9D20E17A-891A-4760-B488-E77CBC2E6C1A}"/>
    <cellStyle name="AggOrange 2 3 2 2 60" xfId="27937" xr:uid="{52F391CF-F073-47D0-B5B2-E692F6D90D0C}"/>
    <cellStyle name="AggOrange 2 3 2 2 61" xfId="29915" xr:uid="{4D60BE3A-3292-403D-B753-7C9AB0206037}"/>
    <cellStyle name="AggOrange 2 3 2 2 62" xfId="30321" xr:uid="{EB4CC190-3B7F-4938-BA9E-DF619BCA54E9}"/>
    <cellStyle name="AggOrange 2 3 2 2 63" xfId="30738" xr:uid="{2835407B-3506-4805-AF9E-209346512E57}"/>
    <cellStyle name="AggOrange 2 3 2 2 64" xfId="29588" xr:uid="{02556482-A36E-4D91-A993-89E4F59D2131}"/>
    <cellStyle name="AggOrange 2 3 2 2 65" xfId="31354" xr:uid="{03AF4EE6-9019-4C14-A736-367C59544650}"/>
    <cellStyle name="AggOrange 2 3 2 2 7" xfId="4137" xr:uid="{0D82C115-C066-4488-A22F-E2A455945C6B}"/>
    <cellStyle name="AggOrange 2 3 2 2 8" xfId="4574" xr:uid="{D910431F-D633-4A66-8C3D-53EB4BE031A0}"/>
    <cellStyle name="AggOrange 2 3 2 2 9" xfId="5015" xr:uid="{DACF2762-BE61-4290-A960-1035F7914FDE}"/>
    <cellStyle name="AggOrange 2 3 2 20" xfId="10171" xr:uid="{FEC581E1-645B-42A8-9444-B2140CB0B150}"/>
    <cellStyle name="AggOrange 2 3 2 21" xfId="10578" xr:uid="{0D9AECE8-DFD4-41EB-97B3-743473D9230F}"/>
    <cellStyle name="AggOrange 2 3 2 22" xfId="10031" xr:uid="{5E96B87F-CD05-44FA-B295-E362F3DB7ED8}"/>
    <cellStyle name="AggOrange 2 3 2 23" xfId="11152" xr:uid="{4B59F2A5-3705-4DE2-B84A-B22F00EED5E4}"/>
    <cellStyle name="AggOrange 2 3 2 24" xfId="11957" xr:uid="{F8BA07C2-8F82-45CA-8BE5-7BC392FA2219}"/>
    <cellStyle name="AggOrange 2 3 2 25" xfId="12430" xr:uid="{ECAE8C20-6BF0-4BE2-B4E0-7E7E62F34C3A}"/>
    <cellStyle name="AggOrange 2 3 2 26" xfId="12864" xr:uid="{5A10D3A4-C924-4690-8A0C-EDE37066F69C}"/>
    <cellStyle name="AggOrange 2 3 2 27" xfId="13301" xr:uid="{FAD07CD5-8878-4F78-9A32-E1A2A09D6905}"/>
    <cellStyle name="AggOrange 2 3 2 28" xfId="13397" xr:uid="{135D9AD3-BB35-4299-88B8-DC4EE22CB21B}"/>
    <cellStyle name="AggOrange 2 3 2 29" xfId="13908" xr:uid="{AD1B5B87-5B55-40A7-9107-3572D86DA1E2}"/>
    <cellStyle name="AggOrange 2 3 2 3" xfId="1087" xr:uid="{BF67A7F1-99CC-4AB2-A38B-932A20C08527}"/>
    <cellStyle name="AggOrange 2 3 2 30" xfId="14800" xr:uid="{BDD6CD94-4CFC-4ECC-9DF0-B4BC3302B251}"/>
    <cellStyle name="AggOrange 2 3 2 31" xfId="14525" xr:uid="{1D73E09D-EA4D-49A6-BD7D-1C6DCACCE8B9}"/>
    <cellStyle name="AggOrange 2 3 2 32" xfId="14073" xr:uid="{DCEE3CB9-8B20-405C-BE21-DC6A5D7ECB8F}"/>
    <cellStyle name="AggOrange 2 3 2 33" xfId="15946" xr:uid="{47FFCA9E-47B8-4EA9-96D6-36B7E068AE8F}"/>
    <cellStyle name="AggOrange 2 3 2 34" xfId="16649" xr:uid="{F4DBB5B9-6F60-4E87-9982-2E70C99F3581}"/>
    <cellStyle name="AggOrange 2 3 2 35" xfId="17291" xr:uid="{7D6DC053-CD4A-4786-B1EC-64B1E93F8C95}"/>
    <cellStyle name="AggOrange 2 3 2 36" xfId="17734" xr:uid="{37615EBD-B1FB-47BE-9C89-4E860DFA50AF}"/>
    <cellStyle name="AggOrange 2 3 2 37" xfId="17551" xr:uid="{57124847-77BD-4EE8-BE14-E094FC59F140}"/>
    <cellStyle name="AggOrange 2 3 2 38" xfId="18467" xr:uid="{D9D3B807-E1AB-477D-91C3-ACCCF4E5E755}"/>
    <cellStyle name="AggOrange 2 3 2 39" xfId="17933" xr:uid="{4F94117F-E934-4690-A8B8-6FF0D25A9C88}"/>
    <cellStyle name="AggOrange 2 3 2 4" xfId="1613" xr:uid="{59E75589-25BA-47ED-89B7-D366BABA5A86}"/>
    <cellStyle name="AggOrange 2 3 2 40" xfId="19262" xr:uid="{1CF5E24B-99A1-4377-94AC-19E952CD50E2}"/>
    <cellStyle name="AggOrange 2 3 2 41" xfId="19986" xr:uid="{89B53133-0BBE-4AE1-ADC6-57008CB52C1B}"/>
    <cellStyle name="AggOrange 2 3 2 42" xfId="20641" xr:uid="{2C00CD45-B109-4FE7-A4AE-2C286A707ECF}"/>
    <cellStyle name="AggOrange 2 3 2 43" xfId="21097" xr:uid="{5FAF2B8E-8EBA-4A64-914A-B8C895BED9E6}"/>
    <cellStyle name="AggOrange 2 3 2 44" xfId="19686" xr:uid="{8AAAC1B0-921C-4DF9-827B-F432EE42E445}"/>
    <cellStyle name="AggOrange 2 3 2 45" xfId="22028" xr:uid="{1C41B4D8-EFB7-4C7B-9BF6-2BFFBDBC0200}"/>
    <cellStyle name="AggOrange 2 3 2 46" xfId="22458" xr:uid="{AD9D1575-8C20-4378-A88D-2B123F5EDAAA}"/>
    <cellStyle name="AggOrange 2 3 2 47" xfId="22262" xr:uid="{40D017C3-AEFA-40B1-9884-86302669B2B8}"/>
    <cellStyle name="AggOrange 2 3 2 48" xfId="21790" xr:uid="{D126AB40-1D76-4FE8-833B-3BD48C8AEF57}"/>
    <cellStyle name="AggOrange 2 3 2 49" xfId="23227" xr:uid="{8F67E7A0-1167-416E-91FA-A5CC4B8938AB}"/>
    <cellStyle name="AggOrange 2 3 2 5" xfId="2426" xr:uid="{95B9D4E9-9807-4B8A-8758-02541A88FFE6}"/>
    <cellStyle name="AggOrange 2 3 2 50" xfId="23795" xr:uid="{C78BD2DD-4632-4AFC-A301-C6558413F372}"/>
    <cellStyle name="AggOrange 2 3 2 51" xfId="24694" xr:uid="{6CF8E6CC-7255-4853-AD67-126A20D9BAFC}"/>
    <cellStyle name="AggOrange 2 3 2 52" xfId="25345" xr:uid="{301233DC-DB77-46E3-B313-BC557B59CEC4}"/>
    <cellStyle name="AggOrange 2 3 2 53" xfId="25612" xr:uid="{2995ECC8-E769-4F35-871B-4117C2331D74}"/>
    <cellStyle name="AggOrange 2 3 2 54" xfId="24355" xr:uid="{2333700E-D059-4307-A7C2-2C6D82346BA8}"/>
    <cellStyle name="AggOrange 2 3 2 55" xfId="26051" xr:uid="{1E5D8AF2-4753-4B43-8AED-29CFD13BA724}"/>
    <cellStyle name="AggOrange 2 3 2 56" xfId="26902" xr:uid="{990CDDAA-37B0-432E-A0C8-2D7C180152D8}"/>
    <cellStyle name="AggOrange 2 3 2 57" xfId="27321" xr:uid="{D12990F2-A84B-4303-A9AC-F65C8D1C8220}"/>
    <cellStyle name="AggOrange 2 3 2 58" xfId="27226" xr:uid="{42D85D73-95A2-4FFA-9CCF-54C66DA650FB}"/>
    <cellStyle name="AggOrange 2 3 2 59" xfId="28444" xr:uid="{313B83E6-102D-42BB-9420-47D8FFAE38AB}"/>
    <cellStyle name="AggOrange 2 3 2 6" xfId="1949" xr:uid="{858C3BC2-10BA-468E-88B8-CE8F4DF8A3CA}"/>
    <cellStyle name="AggOrange 2 3 2 60" xfId="28912" xr:uid="{B62B44E1-4597-4F91-958C-94306DC56D97}"/>
    <cellStyle name="AggOrange 2 3 2 61" xfId="29469" xr:uid="{265A88C0-EA2E-40A1-8D8E-C8DD109D9450}"/>
    <cellStyle name="AggOrange 2 3 2 62" xfId="29702" xr:uid="{0F735D5E-E93C-4339-AC27-23068073BBB7}"/>
    <cellStyle name="AggOrange 2 3 2 63" xfId="30110" xr:uid="{D902FC36-25AC-4E72-9B2C-25A7B10CC0C3}"/>
    <cellStyle name="AggOrange 2 3 2 64" xfId="30524" xr:uid="{BB8963A6-8B05-49BE-8BE4-A40598B9F5C8}"/>
    <cellStyle name="AggOrange 2 3 2 65" xfId="30916" xr:uid="{713EF13D-C868-4168-8853-6CE63CF118DA}"/>
    <cellStyle name="AggOrange 2 3 2 66" xfId="31148" xr:uid="{B85FC9B1-A796-4656-8DAB-022A5907C04E}"/>
    <cellStyle name="AggOrange 2 3 2 7" xfId="3112" xr:uid="{D4034443-497C-4C9E-ACFA-3F244CCA218E}"/>
    <cellStyle name="AggOrange 2 3 2 8" xfId="3922" xr:uid="{F7E1B4B0-46C4-48D1-B73C-DD9766FA029B}"/>
    <cellStyle name="AggOrange 2 3 2 9" xfId="4360" xr:uid="{9A78CD41-E8A5-4B51-90FD-D292B57AAFF0}"/>
    <cellStyle name="AggOrange 2 3 20" xfId="7177" xr:uid="{3756303C-1164-4CEC-B587-6604CC42894A}"/>
    <cellStyle name="AggOrange 2 3 21" xfId="9209" xr:uid="{2B383199-1C5E-4FDB-999B-49B2C9443D32}"/>
    <cellStyle name="AggOrange 2 3 22" xfId="9852" xr:uid="{4E9BC5E8-02AD-46CE-B0A6-3085B7C5CF7C}"/>
    <cellStyle name="AggOrange 2 3 23" xfId="10295" xr:uid="{5E9CE4A5-3621-4A1A-B0F8-2CDECA4DEA3A}"/>
    <cellStyle name="AggOrange 2 3 24" xfId="9134" xr:uid="{16DBB58B-B2EF-4A0A-AB66-2563B22F3F5F}"/>
    <cellStyle name="AggOrange 2 3 25" xfId="10802" xr:uid="{1963B7AC-BA22-4865-9F1A-1A39E98DE6E3}"/>
    <cellStyle name="AggOrange 2 3 26" xfId="11621" xr:uid="{48FD6A73-B96D-49FD-ABED-6108B7717FBE}"/>
    <cellStyle name="AggOrange 2 3 27" xfId="11481" xr:uid="{A5E9A192-4D4A-44C6-A3C6-4F360AA0E25A}"/>
    <cellStyle name="AggOrange 2 3 28" xfId="11547" xr:uid="{B4BAC3C2-E6EB-42FE-B319-813759AA7F64}"/>
    <cellStyle name="AggOrange 2 3 29" xfId="12768" xr:uid="{BFEB62C2-7F38-4190-8A7A-7C23E85C6B6E}"/>
    <cellStyle name="AggOrange 2 3 3" xfId="511" xr:uid="{5F713610-C8F4-4A8F-90FE-FCC2B9760FB5}"/>
    <cellStyle name="AggOrange 2 3 3 10" xfId="4223" xr:uid="{812BB584-CBD1-4907-8918-5BEA30BEB2CF}"/>
    <cellStyle name="AggOrange 2 3 3 11" xfId="5159" xr:uid="{AA9847A4-4D67-44DA-988F-AAE5EE914448}"/>
    <cellStyle name="AggOrange 2 3 3 12" xfId="5647" xr:uid="{E9F4E0A6-9AD9-4D7F-B272-705DFEFAA5B4}"/>
    <cellStyle name="AggOrange 2 3 3 13" xfId="5931" xr:uid="{78FEAC46-9261-4037-BFB8-14CC30F6B463}"/>
    <cellStyle name="AggOrange 2 3 3 14" xfId="6634" xr:uid="{3D4709ED-0812-44DB-8174-83E9862728B7}"/>
    <cellStyle name="AggOrange 2 3 3 15" xfId="7231" xr:uid="{D89A6363-EE0C-4068-A410-218B1824A9D4}"/>
    <cellStyle name="AggOrange 2 3 3 16" xfId="7833" xr:uid="{EAC5B9A3-35E7-45C9-9960-998F4BD4D0C7}"/>
    <cellStyle name="AggOrange 2 3 3 17" xfId="8574" xr:uid="{898EAE2A-F9C6-48A0-ABF4-1ACF2FEEA0BE}"/>
    <cellStyle name="AggOrange 2 3 3 18" xfId="8842" xr:uid="{A2D708FB-9544-4EA5-8AFA-2F7978359FC5}"/>
    <cellStyle name="AggOrange 2 3 3 19" xfId="9445" xr:uid="{243828E0-6ADF-4B3C-AE40-BEC5498897D9}"/>
    <cellStyle name="AggOrange 2 3 3 2" xfId="726" xr:uid="{0B9581BB-3F65-452E-89EA-0CE31E117263}"/>
    <cellStyle name="AggOrange 2 3 3 2 10" xfId="5374" xr:uid="{09595BCB-3FAE-4A54-AE29-830518AC25B4}"/>
    <cellStyle name="AggOrange 2 3 3 2 11" xfId="5036" xr:uid="{4D48AB5D-9932-4FE3-93A5-30343C0F5A84}"/>
    <cellStyle name="AggOrange 2 3 3 2 12" xfId="5035" xr:uid="{DF48354C-A505-49DF-89ED-389D7F8AF7D2}"/>
    <cellStyle name="AggOrange 2 3 3 2 13" xfId="5933" xr:uid="{EBFDEDFB-1FE9-42F4-AB05-64F1647BA281}"/>
    <cellStyle name="AggOrange 2 3 3 2 14" xfId="7446" xr:uid="{AC600250-43E8-4D51-AB9A-E81FF8EC0C14}"/>
    <cellStyle name="AggOrange 2 3 3 2 15" xfId="6860" xr:uid="{278D26D8-5692-4700-933C-D99348F014B4}"/>
    <cellStyle name="AggOrange 2 3 3 2 16" xfId="8356" xr:uid="{B952E7CE-5FDB-469F-ACC5-3E0DCAB904C0}"/>
    <cellStyle name="AggOrange 2 3 3 2 17" xfId="8424" xr:uid="{332D3EFA-371E-408C-B7F9-13B939276538}"/>
    <cellStyle name="AggOrange 2 3 3 2 18" xfId="9660" xr:uid="{FAD1BDCC-1921-4B11-AD3B-E1D1FA1801C3}"/>
    <cellStyle name="AggOrange 2 3 3 2 19" xfId="9075" xr:uid="{9BA31912-C0E8-49D1-A1DB-27C420CE0EBD}"/>
    <cellStyle name="AggOrange 2 3 3 2 2" xfId="1200" xr:uid="{45A022A3-91DB-4818-9020-5AA07167187A}"/>
    <cellStyle name="AggOrange 2 3 3 2 20" xfId="10077" xr:uid="{5C479F50-AFDA-49B9-AC64-A52F13C638C6}"/>
    <cellStyle name="AggOrange 2 3 3 2 21" xfId="10572" xr:uid="{E9ED2D29-D806-4F73-AD4B-DF6AF5A8602B}"/>
    <cellStyle name="AggOrange 2 3 3 2 22" xfId="11281" xr:uid="{ABA59B1E-86FD-4597-914E-E4514F9FFA86}"/>
    <cellStyle name="AggOrange 2 3 3 2 23" xfId="12079" xr:uid="{477DC345-6412-47A9-8BDF-50D5FC307DD5}"/>
    <cellStyle name="AggOrange 2 3 3 2 24" xfId="12552" xr:uid="{FBE6EC59-AC6B-4720-A7F0-11C27C194368}"/>
    <cellStyle name="AggOrange 2 3 3 2 25" xfId="12986" xr:uid="{AAC92C49-3900-43E0-9A14-99EC01247946}"/>
    <cellStyle name="AggOrange 2 3 3 2 26" xfId="13423" xr:uid="{6D8C8FB2-A196-4937-9848-DF32BE47E7AE}"/>
    <cellStyle name="AggOrange 2 3 3 2 27" xfId="13590" xr:uid="{8B2C57BA-509F-478B-9B82-7BA67F27B84A}"/>
    <cellStyle name="AggOrange 2 3 3 2 28" xfId="13747" xr:uid="{AAB45DFE-C1A0-4712-B3B3-C619135C4711}"/>
    <cellStyle name="AggOrange 2 3 3 2 29" xfId="14148" xr:uid="{E6CF0AC4-7CB8-4178-8767-0438804A13E9}"/>
    <cellStyle name="AggOrange 2 3 3 2 3" xfId="1493" xr:uid="{8717DE0A-9A64-4DA0-AF53-3F9E49B5FB6F}"/>
    <cellStyle name="AggOrange 2 3 3 2 30" xfId="14567" xr:uid="{416A4327-D205-4F38-8E88-829CE9051034}"/>
    <cellStyle name="AggOrange 2 3 3 2 31" xfId="14879" xr:uid="{3C640F0C-E3A0-4C3A-8B47-9B7FE1FE2D6E}"/>
    <cellStyle name="AggOrange 2 3 3 2 32" xfId="14322" xr:uid="{3608326D-620A-4076-80B1-0BEC6C2C3DD3}"/>
    <cellStyle name="AggOrange 2 3 3 2 33" xfId="16771" xr:uid="{5920DE64-B5E4-417A-84EA-1801BB17E883}"/>
    <cellStyle name="AggOrange 2 3 3 2 34" xfId="16176" xr:uid="{677B4DB5-7504-4576-A0F1-42F5613E9314}"/>
    <cellStyle name="AggOrange 2 3 3 2 35" xfId="17090" xr:uid="{DF180578-6724-422D-9063-50EB9BE2950D}"/>
    <cellStyle name="AggOrange 2 3 3 2 36" xfId="17751" xr:uid="{49B3752E-ED26-48ED-93A3-AFAA50B0FE45}"/>
    <cellStyle name="AggOrange 2 3 3 2 37" xfId="18589" xr:uid="{23D166E7-822C-4181-A624-6A8CB1638F60}"/>
    <cellStyle name="AggOrange 2 3 3 2 38" xfId="17981" xr:uid="{2BDAA01C-DF4A-423D-A816-94985ED07FF4}"/>
    <cellStyle name="AggOrange 2 3 3 2 39" xfId="19154" xr:uid="{608BA36B-E7BD-47BB-94F0-FBB2BC5595D0}"/>
    <cellStyle name="AggOrange 2 3 3 2 4" xfId="2548" xr:uid="{D0E67549-807C-4893-A58B-E339CA7F6FFC}"/>
    <cellStyle name="AggOrange 2 3 3 2 40" xfId="20108" xr:uid="{9C233FF0-77E6-495A-A084-6CDAFFB9581E}"/>
    <cellStyle name="AggOrange 2 3 3 2 41" xfId="19506" xr:uid="{BB8E9705-F488-44B0-9B97-D0DCC9A7D64F}"/>
    <cellStyle name="AggOrange 2 3 3 2 42" xfId="20499" xr:uid="{6EB9B143-EAA1-4F78-A184-FBBED3DFEBA2}"/>
    <cellStyle name="AggOrange 2 3 3 2 43" xfId="21530" xr:uid="{7287B0C0-26B4-474B-9517-571717036643}"/>
    <cellStyle name="AggOrange 2 3 3 2 44" xfId="19772" xr:uid="{7D281A3D-5E4A-4BE3-BF87-EEE797581901}"/>
    <cellStyle name="AggOrange 2 3 3 2 45" xfId="21893" xr:uid="{F447662B-D61B-4B09-B598-D6A6028969ED}"/>
    <cellStyle name="AggOrange 2 3 3 2 46" xfId="22599" xr:uid="{FA2E3D64-F619-46BA-9149-1F1F6FAA47AE}"/>
    <cellStyle name="AggOrange 2 3 3 2 47" xfId="22949" xr:uid="{48D2EA29-11D0-4969-8E63-0C789032CD36}"/>
    <cellStyle name="AggOrange 2 3 3 2 48" xfId="23311" xr:uid="{5B3BBF7A-F3AC-4B97-BDCE-24CACAC3D575}"/>
    <cellStyle name="AggOrange 2 3 3 2 49" xfId="23908" xr:uid="{26833B50-F24B-4C7A-8B26-93210990219B}"/>
    <cellStyle name="AggOrange 2 3 3 2 5" xfId="2756" xr:uid="{357FF13E-CD25-4971-B004-CD98FADF9D29}"/>
    <cellStyle name="AggOrange 2 3 3 2 50" xfId="24816" xr:uid="{25BBC60E-0CE0-48A4-A723-14B32CAA2189}"/>
    <cellStyle name="AggOrange 2 3 3 2 51" xfId="24183" xr:uid="{F3B87871-0C2B-48F0-83CB-280D90A0528A}"/>
    <cellStyle name="AggOrange 2 3 3 2 52" xfId="25732" xr:uid="{FDD7A280-9A56-4204-9376-F1A855288389}"/>
    <cellStyle name="AggOrange 2 3 3 2 53" xfId="25903" xr:uid="{FA633A0F-51DA-4D67-8707-CB8A6918057B}"/>
    <cellStyle name="AggOrange 2 3 3 2 54" xfId="26372" xr:uid="{225BF405-B3B8-430A-86D8-72FC806540DD}"/>
    <cellStyle name="AggOrange 2 3 3 2 55" xfId="27020" xr:uid="{08F45999-0128-4834-BAB6-EF4EA7150062}"/>
    <cellStyle name="AggOrange 2 3 3 2 56" xfId="27439" xr:uid="{04C52BEC-3D5F-4311-8D67-6ED048411D04}"/>
    <cellStyle name="AggOrange 2 3 3 2 57" xfId="27622" xr:uid="{33415EAD-87C7-42E5-9E9B-366FF8D5420D}"/>
    <cellStyle name="AggOrange 2 3 3 2 58" xfId="28566" xr:uid="{D644BF79-7FD2-4403-AC73-68ACFED42E8D}"/>
    <cellStyle name="AggOrange 2 3 3 2 59" xfId="29033" xr:uid="{915BD002-D28E-421C-9399-7F39906F79D0}"/>
    <cellStyle name="AggOrange 2 3 3 2 6" xfId="3572" xr:uid="{D6A76BDD-0E74-414A-B161-830692A69BED}"/>
    <cellStyle name="AggOrange 2 3 3 2 60" xfId="29006" xr:uid="{E301AB10-CF8A-45E6-8B87-960679E134C3}"/>
    <cellStyle name="AggOrange 2 3 3 2 61" xfId="29822" xr:uid="{D9287899-E26A-4B0C-A3D2-0FDC17A57F53}"/>
    <cellStyle name="AggOrange 2 3 3 2 62" xfId="30228" xr:uid="{CADA1B40-74A1-49A9-BB03-C8D237E2AD09}"/>
    <cellStyle name="AggOrange 2 3 3 2 63" xfId="30645" xr:uid="{12638547-9FD4-42CF-9844-421AB3892946}"/>
    <cellStyle name="AggOrange 2 3 3 2 64" xfId="29997" xr:uid="{A0672C51-C881-4FD7-A20C-C119FECE28D7}"/>
    <cellStyle name="AggOrange 2 3 3 2 65" xfId="31261" xr:uid="{FAA3B1DA-D344-4740-90CB-B4E699F1BB7B}"/>
    <cellStyle name="AggOrange 2 3 3 2 7" xfId="4044" xr:uid="{9C4BC4A9-A58B-4C96-B77D-4BC5802F910C}"/>
    <cellStyle name="AggOrange 2 3 3 2 8" xfId="4481" xr:uid="{BEC09C28-6404-49E8-9C3D-D56D0CC9060F}"/>
    <cellStyle name="AggOrange 2 3 3 2 9" xfId="3746" xr:uid="{25BBB94F-251C-470D-8453-CF824EBB0CD6}"/>
    <cellStyle name="AggOrange 2 3 3 20" xfId="10045" xr:uid="{F9D3F841-897C-49AE-AB88-8638E12DF500}"/>
    <cellStyle name="AggOrange 2 3 3 21" xfId="10465" xr:uid="{2F8695FD-2669-41AC-BC2B-36631B47DF5A}"/>
    <cellStyle name="AggOrange 2 3 3 22" xfId="10939" xr:uid="{9A07C3CA-2E8A-46D2-B78D-7546DBE2EBE2}"/>
    <cellStyle name="AggOrange 2 3 3 23" xfId="10567" xr:uid="{365B048D-A2C4-46FC-AAC5-12C61E919237}"/>
    <cellStyle name="AggOrange 2 3 3 24" xfId="11864" xr:uid="{A4C37694-E0B5-4769-AAC6-D890C3ECE4FF}"/>
    <cellStyle name="AggOrange 2 3 3 25" xfId="12337" xr:uid="{2F89D451-D97B-42DF-A459-B5B369AFBBCB}"/>
    <cellStyle name="AggOrange 2 3 3 26" xfId="12771" xr:uid="{EEBA5103-EAE1-4C54-8D92-44A3670149CE}"/>
    <cellStyle name="AggOrange 2 3 3 27" xfId="13208" xr:uid="{CBC6ABBB-8C15-4570-A2A5-B03397EA5C65}"/>
    <cellStyle name="AggOrange 2 3 3 28" xfId="11381" xr:uid="{E57ED475-DC2D-4841-B633-3716DDFE5D16}"/>
    <cellStyle name="AggOrange 2 3 3 29" xfId="14270" xr:uid="{E6049BC1-BEC4-4085-9043-781D269F1C0B}"/>
    <cellStyle name="AggOrange 2 3 3 3" xfId="994" xr:uid="{DF18B942-100E-4AAE-BD50-9CBEB11E2F28}"/>
    <cellStyle name="AggOrange 2 3 3 30" xfId="14618" xr:uid="{48C3482D-A85D-477F-848B-BC10FA0EE1AE}"/>
    <cellStyle name="AggOrange 2 3 3 31" xfId="14541" xr:uid="{24B6E404-569A-41AF-88E6-8C0F54AAC0CC}"/>
    <cellStyle name="AggOrange 2 3 3 32" xfId="15029" xr:uid="{EA3F2734-D9B1-409E-B470-79E783AC4AC6}"/>
    <cellStyle name="AggOrange 2 3 3 33" xfId="15877" xr:uid="{79604871-F0DA-43C9-9303-DE5ACDA3DBA2}"/>
    <cellStyle name="AggOrange 2 3 3 34" xfId="16556" xr:uid="{EC61F8EA-86C2-47BE-B2FF-B79020EBE69A}"/>
    <cellStyle name="AggOrange 2 3 3 35" xfId="17163" xr:uid="{AF003C55-5CBB-4D8B-8A5A-D1D70C5B2F60}"/>
    <cellStyle name="AggOrange 2 3 3 36" xfId="17608" xr:uid="{E97298A6-93BE-4B8D-BA6D-CA147E0B0B06}"/>
    <cellStyle name="AggOrange 2 3 3 37" xfId="17645" xr:uid="{6CEE090D-C3C6-47A5-91B8-479245E010A0}"/>
    <cellStyle name="AggOrange 2 3 3 38" xfId="18374" xr:uid="{1097608F-0530-4CF1-9BAA-806D3BFE174D}"/>
    <cellStyle name="AggOrange 2 3 3 39" xfId="18989" xr:uid="{8044DB74-6F9B-47CE-97FD-7B6F497DCC4D}"/>
    <cellStyle name="AggOrange 2 3 3 4" xfId="1615" xr:uid="{B984E0DE-20C4-4E40-823D-B5232F67CBEB}"/>
    <cellStyle name="AggOrange 2 3 3 40" xfId="19217" xr:uid="{06C65B37-2DD6-4256-8BE0-3E184E3E1841}"/>
    <cellStyle name="AggOrange 2 3 3 41" xfId="19893" xr:uid="{74E7B2B6-4F31-4678-9680-CC464B6FB481}"/>
    <cellStyle name="AggOrange 2 3 3 42" xfId="20515" xr:uid="{C549C167-777D-4CC1-B4FF-2DA946178452}"/>
    <cellStyle name="AggOrange 2 3 3 43" xfId="20968" xr:uid="{FE6610E1-3FB9-4C23-8643-8459F05391E5}"/>
    <cellStyle name="AggOrange 2 3 3 44" xfId="21442" xr:uid="{F3F367F7-9BD4-4C95-AAFD-C920B685943F}"/>
    <cellStyle name="AggOrange 2 3 3 45" xfId="21899" xr:uid="{35EDADB9-92EC-4BFF-8A86-7BAA6185D668}"/>
    <cellStyle name="AggOrange 2 3 3 46" xfId="22335" xr:uid="{E28CEA4A-BF18-4D61-A9BC-F949C41BAEEB}"/>
    <cellStyle name="AggOrange 2 3 3 47" xfId="21912" xr:uid="{A1C1E2A3-DA46-49B2-BF45-54E61FCA9129}"/>
    <cellStyle name="AggOrange 2 3 3 48" xfId="23273" xr:uid="{9C7D291F-1592-4FBB-8887-FC0B777085C5}"/>
    <cellStyle name="AggOrange 2 3 3 49" xfId="23500" xr:uid="{4B6C07CA-9743-4C94-BAD5-4B97506257C0}"/>
    <cellStyle name="AggOrange 2 3 3 5" xfId="2333" xr:uid="{73015943-07F1-483D-91F8-EF19910B6AFD}"/>
    <cellStyle name="AggOrange 2 3 3 50" xfId="23702" xr:uid="{C4680F8C-4797-43EA-906B-2661D0E98C62}"/>
    <cellStyle name="AggOrange 2 3 3 51" xfId="24601" xr:uid="{FF196956-4D7E-4972-9909-CCFE0A8FA3EA}"/>
    <cellStyle name="AggOrange 2 3 3 52" xfId="25224" xr:uid="{FC750729-B223-4396-8177-181CE87BAE09}"/>
    <cellStyle name="AggOrange 2 3 3 53" xfId="25519" xr:uid="{CE5FDBEB-C14B-404F-8443-01BB6484D898}"/>
    <cellStyle name="AggOrange 2 3 3 54" xfId="25516" xr:uid="{F62AAEB2-835D-450B-A57F-2137DE86AB27}"/>
    <cellStyle name="AggOrange 2 3 3 55" xfId="24439" xr:uid="{0A08B6C2-4DEB-4FC7-9437-ECED8928B5A4}"/>
    <cellStyle name="AggOrange 2 3 3 56" xfId="26809" xr:uid="{1986B94C-B6BA-4047-B5F3-071E13E01200}"/>
    <cellStyle name="AggOrange 2 3 3 57" xfId="27228" xr:uid="{38B2FA91-B84E-4232-A4AB-E3DE5F0CF31B}"/>
    <cellStyle name="AggOrange 2 3 3 58" xfId="25039" xr:uid="{AAE0B5DD-A760-4729-A85D-A62F3A656862}"/>
    <cellStyle name="AggOrange 2 3 3 59" xfId="28351" xr:uid="{9EF54451-57E8-49BF-9585-5ED92B6CA731}"/>
    <cellStyle name="AggOrange 2 3 3 6" xfId="1855" xr:uid="{3B79999C-A0BF-4595-A2AF-32A6069B1815}"/>
    <cellStyle name="AggOrange 2 3 3 60" xfId="28819" xr:uid="{6563A0C6-0039-47C8-834C-F5FD294A7E05}"/>
    <cellStyle name="AggOrange 2 3 3 61" xfId="29364" xr:uid="{16FD6A67-1C7C-4A49-9425-D96DA605B83C}"/>
    <cellStyle name="AggOrange 2 3 3 62" xfId="29609" xr:uid="{EBAD683B-1BBF-431D-A65F-DA3FD6F1DFB8}"/>
    <cellStyle name="AggOrange 2 3 3 63" xfId="30017" xr:uid="{7EDE3F03-BD83-462D-95F2-981893E5FF0D}"/>
    <cellStyle name="AggOrange 2 3 3 64" xfId="30431" xr:uid="{658FB867-E517-44AE-A553-778A77CFB690}"/>
    <cellStyle name="AggOrange 2 3 3 65" xfId="30835" xr:uid="{04C839DE-1C56-4863-B880-6636789126DD}"/>
    <cellStyle name="AggOrange 2 3 3 66" xfId="31055" xr:uid="{72A74970-1B28-4C79-A996-8922757482D0}"/>
    <cellStyle name="AggOrange 2 3 3 7" xfId="2964" xr:uid="{04B9FF80-8CD0-46FF-9E5E-9CCCBC0FBF8B}"/>
    <cellStyle name="AggOrange 2 3 3 8" xfId="3829" xr:uid="{A14D398F-6A79-44CE-BA71-AE27B89C14EE}"/>
    <cellStyle name="AggOrange 2 3 3 9" xfId="4267" xr:uid="{ED26C394-BD50-4571-8203-CA9E7689FD7F}"/>
    <cellStyle name="AggOrange 2 3 30" xfId="13927" xr:uid="{66075BDE-7EDD-4593-9905-A5176268278B}"/>
    <cellStyle name="AggOrange 2 3 31" xfId="11603" xr:uid="{9FAA2426-8C24-420C-8199-78E30280408E}"/>
    <cellStyle name="AggOrange 2 3 32" xfId="13787" xr:uid="{46A8E922-3976-4324-BE49-41D83E5CC3B2}"/>
    <cellStyle name="AggOrange 2 3 33" xfId="15025" xr:uid="{222FACA2-498C-4B27-986D-F8944B6F27C4}"/>
    <cellStyle name="AggOrange 2 3 34" xfId="15678" xr:uid="{BFE4D740-1A2B-49D0-A5D9-8CD59DD009D8}"/>
    <cellStyle name="AggOrange 2 3 35" xfId="15220" xr:uid="{C4913739-D3F4-41BB-9A17-7D4393B2AF9A}"/>
    <cellStyle name="AggOrange 2 3 36" xfId="16316" xr:uid="{81892DC1-119D-4C85-99DC-7E5D2A8DD651}"/>
    <cellStyle name="AggOrange 2 3 37" xfId="16968" xr:uid="{1521FA4B-DE6D-4875-96EC-D290118060B3}"/>
    <cellStyle name="AggOrange 2 3 38" xfId="17419" xr:uid="{B28557BD-18D8-44EE-A2E6-3290C48A52A1}"/>
    <cellStyle name="AggOrange 2 3 39" xfId="17978" xr:uid="{C0350170-4AFD-403E-89B1-B8E96A0F9FEF}"/>
    <cellStyle name="AggOrange 2 3 4" xfId="526" xr:uid="{9F847DFA-34DC-49EA-B221-03452BFD4A71}"/>
    <cellStyle name="AggOrange 2 3 4 10" xfId="3610" xr:uid="{B2243993-C93A-4538-A339-DBF857A9A4D0}"/>
    <cellStyle name="AggOrange 2 3 4 11" xfId="5174" xr:uid="{D43A15AF-9A1B-4F0D-A710-96FF29E2FD00}"/>
    <cellStyle name="AggOrange 2 3 4 12" xfId="4939" xr:uid="{087991E3-9875-48B7-893A-758DC2FB7814}"/>
    <cellStyle name="AggOrange 2 3 4 13" xfId="6142" xr:uid="{ABE5BE11-49A4-4D65-8DA8-EAA928340751}"/>
    <cellStyle name="AggOrange 2 3 4 14" xfId="3669" xr:uid="{220C440A-6AEF-4613-98CD-E813CBD11081}"/>
    <cellStyle name="AggOrange 2 3 4 15" xfId="7246" xr:uid="{03A8802F-2E64-4E59-B9C3-EC2C87FBB4DD}"/>
    <cellStyle name="AggOrange 2 3 4 16" xfId="7856" xr:uid="{2614F22F-9C54-4D9B-BAD9-A10FED756E82}"/>
    <cellStyle name="AggOrange 2 3 4 17" xfId="8657" xr:uid="{B735E3D0-601B-427F-B84A-8D7EFE34A5B7}"/>
    <cellStyle name="AggOrange 2 3 4 18" xfId="8878" xr:uid="{468A795F-B2D3-4F88-ACFA-15907D5F9C2C}"/>
    <cellStyle name="AggOrange 2 3 4 19" xfId="9460" xr:uid="{656D08B2-74CC-4D33-BEE1-81F4B9B258E4}"/>
    <cellStyle name="AggOrange 2 3 4 2" xfId="741" xr:uid="{76361F92-1AF8-4631-B267-9F490A778225}"/>
    <cellStyle name="AggOrange 2 3 4 2 10" xfId="5389" xr:uid="{FD88105E-D04E-4662-98DF-46BEAF535F03}"/>
    <cellStyle name="AggOrange 2 3 4 2 11" xfId="5318" xr:uid="{CDAA46E1-6AC7-4503-ADF1-CF58BC8D0FED}"/>
    <cellStyle name="AggOrange 2 3 4 2 12" xfId="5892" xr:uid="{DE2C37D3-E0EA-4BB4-9455-E104CA5DC71E}"/>
    <cellStyle name="AggOrange 2 3 4 2 13" xfId="6408" xr:uid="{EF330D60-A3CD-4344-AC26-38E2720C58B0}"/>
    <cellStyle name="AggOrange 2 3 4 2 14" xfId="7461" xr:uid="{3E048694-B6EE-43FD-B4B9-5C5BC2108248}"/>
    <cellStyle name="AggOrange 2 3 4 2 15" xfId="6784" xr:uid="{E27C77D0-A3F6-4F22-8BFA-B8076CF75672}"/>
    <cellStyle name="AggOrange 2 3 4 2 16" xfId="7044" xr:uid="{3B2FE5A8-DCEA-47C2-8DDD-FA530E14922C}"/>
    <cellStyle name="AggOrange 2 3 4 2 17" xfId="8774" xr:uid="{77CA8A23-514C-496E-8517-4B0FB0F40B74}"/>
    <cellStyle name="AggOrange 2 3 4 2 18" xfId="9675" xr:uid="{FB1A7F64-9EDB-4A6A-A1F3-F1B0BB4F5D90}"/>
    <cellStyle name="AggOrange 2 3 4 2 19" xfId="8996" xr:uid="{16EBA94C-9E4C-471F-9B5D-52E938FC5127}"/>
    <cellStyle name="AggOrange 2 3 4 2 2" xfId="1215" xr:uid="{EB483BC0-DC26-48BC-8365-AA75C2BD2477}"/>
    <cellStyle name="AggOrange 2 3 4 2 20" xfId="10024" xr:uid="{229A01DE-BB1C-4F45-AF95-236D7865E446}"/>
    <cellStyle name="AggOrange 2 3 4 2 21" xfId="10010" xr:uid="{1F4B6EE8-19BF-451C-8085-61060E9B6DFF}"/>
    <cellStyle name="AggOrange 2 3 4 2 22" xfId="11093" xr:uid="{006B18F0-8FC5-4D37-9261-8D4973D4ACCF}"/>
    <cellStyle name="AggOrange 2 3 4 2 23" xfId="12094" xr:uid="{C53E47D5-AD60-462A-A83D-C8CFA4D03CC2}"/>
    <cellStyle name="AggOrange 2 3 4 2 24" xfId="12567" xr:uid="{F5DBA6E5-C30A-4A8B-8939-9FA67BCD1B20}"/>
    <cellStyle name="AggOrange 2 3 4 2 25" xfId="13001" xr:uid="{0C504F68-BD7E-4773-824C-78E332C439D1}"/>
    <cellStyle name="AggOrange 2 3 4 2 26" xfId="13438" xr:uid="{00772809-2C69-4CA6-953B-A4859EE43297}"/>
    <cellStyle name="AggOrange 2 3 4 2 27" xfId="12318" xr:uid="{A1289B46-FC61-4509-BC53-CB1B46C2E308}"/>
    <cellStyle name="AggOrange 2 3 4 2 28" xfId="13620" xr:uid="{671A0A27-61F6-4DF3-8B7C-4A20B4CA2A93}"/>
    <cellStyle name="AggOrange 2 3 4 2 29" xfId="14217" xr:uid="{87B753D1-7E03-4368-9791-AE92114863F2}"/>
    <cellStyle name="AggOrange 2 3 4 2 3" xfId="1436" xr:uid="{8D0A622B-4D55-4EFF-BA0A-086075F28934}"/>
    <cellStyle name="AggOrange 2 3 4 2 30" xfId="15067" xr:uid="{DD37CB72-E571-47CD-AD56-A12928B2BF15}"/>
    <cellStyle name="AggOrange 2 3 4 2 31" xfId="15295" xr:uid="{33E35B2B-2640-4B2D-B6AC-8042B75FD6DE}"/>
    <cellStyle name="AggOrange 2 3 4 2 32" xfId="15358" xr:uid="{B97854FB-779F-4054-A933-4746F83EDD9F}"/>
    <cellStyle name="AggOrange 2 3 4 2 33" xfId="16786" xr:uid="{B610C43D-594F-460D-AEB4-D473E65680FD}"/>
    <cellStyle name="AggOrange 2 3 4 2 34" xfId="16093" xr:uid="{85401021-2162-484C-8CE5-F70B76902CD0}"/>
    <cellStyle name="AggOrange 2 3 4 2 35" xfId="17141" xr:uid="{FA82E73A-4969-453B-B223-C198457B995A}"/>
    <cellStyle name="AggOrange 2 3 4 2 36" xfId="17998" xr:uid="{2ED5CEE1-BF06-4F60-900B-918A86CE50E0}"/>
    <cellStyle name="AggOrange 2 3 4 2 37" xfId="18604" xr:uid="{A976C8D3-BBC0-4340-95D4-F9A06F13D91D}"/>
    <cellStyle name="AggOrange 2 3 4 2 38" xfId="18890" xr:uid="{FE7112EB-3DF5-4E3E-AD47-0F453E5E6AC6}"/>
    <cellStyle name="AggOrange 2 3 4 2 39" xfId="18260" xr:uid="{F23C397B-1509-4277-94EE-5603EF42A118}"/>
    <cellStyle name="AggOrange 2 3 4 2 4" xfId="2563" xr:uid="{F10742DC-5DFE-4FDC-94DB-6B961E3E025A}"/>
    <cellStyle name="AggOrange 2 3 4 2 40" xfId="20123" xr:uid="{C8B690F4-8544-4EDD-A42B-F462F0D50A27}"/>
    <cellStyle name="AggOrange 2 3 4 2 41" xfId="19426" xr:uid="{197988A0-2136-4D88-85F0-C5F74CC7489A}"/>
    <cellStyle name="AggOrange 2 3 4 2 42" xfId="19867" xr:uid="{A6F25718-7494-4110-A18E-2D597407DC6C}"/>
    <cellStyle name="AggOrange 2 3 4 2 43" xfId="21396" xr:uid="{43FA302A-0FCA-4CC9-A287-FBD3EDA7B8A0}"/>
    <cellStyle name="AggOrange 2 3 4 2 44" xfId="21108" xr:uid="{76BDDD85-266B-4CD7-97FF-A878F0869C35}"/>
    <cellStyle name="AggOrange 2 3 4 2 45" xfId="21877" xr:uid="{E4012871-0D44-40DF-84D7-0806AE4CE192}"/>
    <cellStyle name="AggOrange 2 3 4 2 46" xfId="22192" xr:uid="{86FC8DCC-687D-44D0-B83B-8839CC297C62}"/>
    <cellStyle name="AggOrange 2 3 4 2 47" xfId="23164" xr:uid="{D8BD34FC-54F6-4711-894D-F1AA96A8560C}"/>
    <cellStyle name="AggOrange 2 3 4 2 48" xfId="22542" xr:uid="{50103056-D67D-45DA-B308-8BC523FBA4B0}"/>
    <cellStyle name="AggOrange 2 3 4 2 49" xfId="23923" xr:uid="{C312EA77-9CCE-4C8A-8B8A-2B70D0056405}"/>
    <cellStyle name="AggOrange 2 3 4 2 5" xfId="2312" xr:uid="{37D3B46C-4515-4054-97C7-45B635AF7A7D}"/>
    <cellStyle name="AggOrange 2 3 4 2 50" xfId="24831" xr:uid="{3B61D8F4-3277-4497-A9A8-B692D390EEA9}"/>
    <cellStyle name="AggOrange 2 3 4 2 51" xfId="24149" xr:uid="{0D8389A9-120B-446F-9EFE-5B2D9C68A044}"/>
    <cellStyle name="AggOrange 2 3 4 2 52" xfId="25747" xr:uid="{852C4AB1-0284-4DD1-B017-15DCB17685FF}"/>
    <cellStyle name="AggOrange 2 3 4 2 53" xfId="25292" xr:uid="{EFF2CDFB-8EF3-48A1-9DF0-0E2A60C4C31E}"/>
    <cellStyle name="AggOrange 2 3 4 2 54" xfId="26098" xr:uid="{E4AB3798-E78C-4B8C-96B5-5E82C5B6A152}"/>
    <cellStyle name="AggOrange 2 3 4 2 55" xfId="27035" xr:uid="{E28073AD-18EF-46F0-B393-1DB7EFC86533}"/>
    <cellStyle name="AggOrange 2 3 4 2 56" xfId="27454" xr:uid="{5966D8EB-2A73-4EC6-8618-CC48FD466525}"/>
    <cellStyle name="AggOrange 2 3 4 2 57" xfId="26640" xr:uid="{1D8F9B54-AC2F-4475-85AE-357D2F293A89}"/>
    <cellStyle name="AggOrange 2 3 4 2 58" xfId="28581" xr:uid="{5D9A35ED-8D43-42C3-9E5E-1E8CA23218B7}"/>
    <cellStyle name="AggOrange 2 3 4 2 59" xfId="29048" xr:uid="{421B514C-EED4-45B4-B71A-7990F35655E2}"/>
    <cellStyle name="AggOrange 2 3 4 2 6" xfId="3109" xr:uid="{49CE2AEC-256A-404D-9C48-FF2AEF968ADC}"/>
    <cellStyle name="AggOrange 2 3 4 2 60" xfId="28333" xr:uid="{95E5BB4C-9700-4201-A9FD-0DC32FBAD46A}"/>
    <cellStyle name="AggOrange 2 3 4 2 61" xfId="29837" xr:uid="{956717EC-F5C8-4EAE-A03C-9FE8650DD4A5}"/>
    <cellStyle name="AggOrange 2 3 4 2 62" xfId="30243" xr:uid="{29140EAC-D71F-404C-A0E7-60589BC60953}"/>
    <cellStyle name="AggOrange 2 3 4 2 63" xfId="30660" xr:uid="{B7648489-7933-47E9-AAA9-9DB68644C7C2}"/>
    <cellStyle name="AggOrange 2 3 4 2 64" xfId="28176" xr:uid="{01140C53-C117-4494-BF84-B4E04CB297EF}"/>
    <cellStyle name="AggOrange 2 3 4 2 65" xfId="31276" xr:uid="{3D76781B-76C6-4A7D-8D88-869E2A053E03}"/>
    <cellStyle name="AggOrange 2 3 4 2 7" xfId="4059" xr:uid="{3E70C622-BFE1-4C8B-8FBE-05D03B7921AF}"/>
    <cellStyle name="AggOrange 2 3 4 2 8" xfId="4496" xr:uid="{9A3A72C9-E36D-4E15-AEC2-F8AB06B9DE8B}"/>
    <cellStyle name="AggOrange 2 3 4 2 9" xfId="2181" xr:uid="{EE29D27B-0F49-4890-93E8-B90093801689}"/>
    <cellStyle name="AggOrange 2 3 4 20" xfId="10069" xr:uid="{BA33B116-CC15-4027-8124-2FE613A5C8E3}"/>
    <cellStyle name="AggOrange 2 3 4 21" xfId="10486" xr:uid="{2DE9271B-FF34-446A-B599-2CB13DD58143}"/>
    <cellStyle name="AggOrange 2 3 4 22" xfId="10834" xr:uid="{D718AAEC-B9FB-475D-B8C4-2E044FF06368}"/>
    <cellStyle name="AggOrange 2 3 4 23" xfId="11139" xr:uid="{28EA8F9E-9FA6-4B5A-B04B-648E3F88C3A5}"/>
    <cellStyle name="AggOrange 2 3 4 24" xfId="11879" xr:uid="{573E52E7-124F-4965-B4EE-A22DA7769A2B}"/>
    <cellStyle name="AggOrange 2 3 4 25" xfId="12352" xr:uid="{F50C6174-7DED-4FAE-9AE9-D3A79B000CA6}"/>
    <cellStyle name="AggOrange 2 3 4 26" xfId="12786" xr:uid="{D10552FF-155B-4843-81A7-30B1C6EF61F2}"/>
    <cellStyle name="AggOrange 2 3 4 27" xfId="13223" xr:uid="{3DA8C17C-DC56-4849-B9B5-5C2961A525DC}"/>
    <cellStyle name="AggOrange 2 3 4 28" xfId="11460" xr:uid="{5B130D3F-64F7-4C42-A239-AD6B972CC084}"/>
    <cellStyle name="AggOrange 2 3 4 29" xfId="14295" xr:uid="{A8864AD5-B1B2-4B13-8BA9-5B42D2F7BA39}"/>
    <cellStyle name="AggOrange 2 3 4 3" xfId="1009" xr:uid="{F9165D8E-58EA-4CA4-9232-E5F0437227C0}"/>
    <cellStyle name="AggOrange 2 3 4 30" xfId="14717" xr:uid="{CED233DB-C451-4422-86D5-41422A09CC12}"/>
    <cellStyle name="AggOrange 2 3 4 31" xfId="14565" xr:uid="{56FACCDF-055E-4DCA-8424-38516679F932}"/>
    <cellStyle name="AggOrange 2 3 4 32" xfId="13682" xr:uid="{5EDE9F8E-6980-42F7-864A-E70F89418354}"/>
    <cellStyle name="AggOrange 2 3 4 33" xfId="15891" xr:uid="{9FF6AA4A-6829-4B33-B2A3-C8945EB68705}"/>
    <cellStyle name="AggOrange 2 3 4 34" xfId="16571" xr:uid="{6F582586-EF6E-4361-A8FE-1B9456230050}"/>
    <cellStyle name="AggOrange 2 3 4 35" xfId="17186" xr:uid="{522EB91D-F88D-4D72-9B77-B2DFDDF71C80}"/>
    <cellStyle name="AggOrange 2 3 4 36" xfId="17632" xr:uid="{E7EFCD4C-A6F4-4694-9C87-4554834FC96D}"/>
    <cellStyle name="AggOrange 2 3 4 37" xfId="16165" xr:uid="{C7A63787-F362-4EB7-A01B-7007B2610D27}"/>
    <cellStyle name="AggOrange 2 3 4 38" xfId="18389" xr:uid="{1EFDF15D-B839-4C45-8BA2-338C3D1380D1}"/>
    <cellStyle name="AggOrange 2 3 4 39" xfId="19051" xr:uid="{35F2F3E4-DFE0-4BAD-BF9A-6B26F213D6C6}"/>
    <cellStyle name="AggOrange 2 3 4 4" xfId="1497" xr:uid="{F5B115CA-7690-4D23-AFFC-83490263540A}"/>
    <cellStyle name="AggOrange 2 3 4 40" xfId="19326" xr:uid="{6437F59B-B47B-4F4C-902A-E320D3E4E68A}"/>
    <cellStyle name="AggOrange 2 3 4 41" xfId="19908" xr:uid="{27A57218-8FF3-4D00-84B0-97CBCAE26027}"/>
    <cellStyle name="AggOrange 2 3 4 42" xfId="20539" xr:uid="{691A4F8F-20D0-4092-8844-B3A45760D070}"/>
    <cellStyle name="AggOrange 2 3 4 43" xfId="20992" xr:uid="{E824CDF7-781F-4F1D-995E-00889D644EEC}"/>
    <cellStyle name="AggOrange 2 3 4 44" xfId="21373" xr:uid="{FA753592-F5E9-45C5-8870-795369DF4E54}"/>
    <cellStyle name="AggOrange 2 3 4 45" xfId="21923" xr:uid="{CE40A85F-504D-440E-B72E-C5D83D32D950}"/>
    <cellStyle name="AggOrange 2 3 4 46" xfId="22357" xr:uid="{3E1AB4F8-DDFE-4029-B5A8-46D56166E497}"/>
    <cellStyle name="AggOrange 2 3 4 47" xfId="21968" xr:uid="{AEBD3928-D038-4B82-B02B-E527003713F6}"/>
    <cellStyle name="AggOrange 2 3 4 48" xfId="23329" xr:uid="{9637F7DD-B2ED-4C0F-A833-9AFCD4959CD4}"/>
    <cellStyle name="AggOrange 2 3 4 49" xfId="23648" xr:uid="{763EFC26-C9A5-42AF-9056-5070656861BC}"/>
    <cellStyle name="AggOrange 2 3 4 5" xfId="2348" xr:uid="{9139FCFA-AEF3-468B-8680-D64B915A0086}"/>
    <cellStyle name="AggOrange 2 3 4 50" xfId="23717" xr:uid="{EA366F9D-BA7F-44B7-8707-46EA739638F4}"/>
    <cellStyle name="AggOrange 2 3 4 51" xfId="24616" xr:uid="{EAA73588-CE25-42BD-8EC7-7F292F2A2348}"/>
    <cellStyle name="AggOrange 2 3 4 52" xfId="25247" xr:uid="{F74D2A07-1CA9-4C83-9FAA-011A04BD7264}"/>
    <cellStyle name="AggOrange 2 3 4 53" xfId="25534" xr:uid="{A15E425F-79BA-4747-8E75-552D891A7B2F}"/>
    <cellStyle name="AggOrange 2 3 4 54" xfId="25485" xr:uid="{CF4DD114-2D5D-424E-AB66-32CCE9A402E6}"/>
    <cellStyle name="AggOrange 2 3 4 55" xfId="25950" xr:uid="{18B17CBE-D337-4203-8470-63070E2F9FC2}"/>
    <cellStyle name="AggOrange 2 3 4 56" xfId="26824" xr:uid="{7AC296E1-A787-4D7D-B606-5C2AC2C6F930}"/>
    <cellStyle name="AggOrange 2 3 4 57" xfId="27243" xr:uid="{A4AFB321-2117-459B-A827-D004744471BB}"/>
    <cellStyle name="AggOrange 2 3 4 58" xfId="27749" xr:uid="{0FF47EC2-7688-41A1-8DE3-911AD1DF3866}"/>
    <cellStyle name="AggOrange 2 3 4 59" xfId="28366" xr:uid="{CD22F8F8-5D80-475F-AEA6-522030862EB9}"/>
    <cellStyle name="AggOrange 2 3 4 6" xfId="2287" xr:uid="{ED5EF810-CB6D-4125-AB63-C5AF75691209}"/>
    <cellStyle name="AggOrange 2 3 4 60" xfId="28834" xr:uid="{C2241161-EE03-4FCF-822E-794FAFDD577A}"/>
    <cellStyle name="AggOrange 2 3 4 61" xfId="29384" xr:uid="{52EAB764-EF67-45EE-BC83-2A0746B9C454}"/>
    <cellStyle name="AggOrange 2 3 4 62" xfId="29624" xr:uid="{BA7AAA8C-95E5-4C44-824C-E6B510AF9BA5}"/>
    <cellStyle name="AggOrange 2 3 4 63" xfId="30032" xr:uid="{EF410F84-3E54-4932-95A8-C100C1AEAEB0}"/>
    <cellStyle name="AggOrange 2 3 4 64" xfId="30446" xr:uid="{1CD448B9-9EA5-4B99-9FAD-BA1C43F96BE3}"/>
    <cellStyle name="AggOrange 2 3 4 65" xfId="30962" xr:uid="{6E34EA08-91D6-4EDC-9E96-B649712A17D0}"/>
    <cellStyle name="AggOrange 2 3 4 66" xfId="31070" xr:uid="{48F36A8F-6ECC-4512-86A2-EF78890BDBBA}"/>
    <cellStyle name="AggOrange 2 3 4 7" xfId="3760" xr:uid="{7A9EA631-3CFF-4A6B-B447-E84D0EC4BF53}"/>
    <cellStyle name="AggOrange 2 3 4 8" xfId="3844" xr:uid="{890E7FD9-4098-4E9A-B804-F5CB0A8FE402}"/>
    <cellStyle name="AggOrange 2 3 4 9" xfId="4282" xr:uid="{BD436131-4252-4B3F-BE27-98B997B5DA2C}"/>
    <cellStyle name="AggOrange 2 3 40" xfId="17139" xr:uid="{EFC8ED97-FE42-498D-957C-35972CC87134}"/>
    <cellStyle name="AggOrange 2 3 41" xfId="17959" xr:uid="{F362E5C2-1552-4E97-9F40-6A1115B7D36E}"/>
    <cellStyle name="AggOrange 2 3 42" xfId="19227" xr:uid="{CCC52650-9FA1-47A5-84AC-AD28E89FD65C}"/>
    <cellStyle name="AggOrange 2 3 43" xfId="19649" xr:uid="{A0722FB9-25F9-4354-8704-55FB5793BB29}"/>
    <cellStyle name="AggOrange 2 3 44" xfId="20315" xr:uid="{BDE7A8E5-8267-4419-816A-43B4315190A2}"/>
    <cellStyle name="AggOrange 2 3 45" xfId="20771" xr:uid="{1063FBA9-8024-46EF-BB71-2A1427A68A18}"/>
    <cellStyle name="AggOrange 2 3 46" xfId="19660" xr:uid="{2A58A0F7-9492-4B0F-A070-48357A424BFF}"/>
    <cellStyle name="AggOrange 2 3 47" xfId="21099" xr:uid="{97D5D367-2A22-400B-8277-D90BDEF22B60}"/>
    <cellStyle name="AggOrange 2 3 48" xfId="22020" xr:uid="{E5615208-79D0-4AA6-ACBA-DE7DD3888A9C}"/>
    <cellStyle name="AggOrange 2 3 49" xfId="22903" xr:uid="{412E2C06-5882-4DF1-869E-8082C7161450}"/>
    <cellStyle name="AggOrange 2 3 5" xfId="942" xr:uid="{3B9A43DC-8E62-493E-8750-A6C44F5E2F25}"/>
    <cellStyle name="AggOrange 2 3 50" xfId="22641" xr:uid="{79045A57-49B0-49C2-A45D-7378613CAA1B}"/>
    <cellStyle name="AggOrange 2 3 51" xfId="22748" xr:uid="{F2599728-9727-4B26-9BB7-F22A115C2006}"/>
    <cellStyle name="AggOrange 2 3 52" xfId="23581" xr:uid="{10D4CFE7-D23F-4A08-A48C-C0287A4D5946}"/>
    <cellStyle name="AggOrange 2 3 53" xfId="24369" xr:uid="{A5D15F71-A51D-4069-9D3D-CB3BA887A7B4}"/>
    <cellStyle name="AggOrange 2 3 54" xfId="25033" xr:uid="{80DDA845-BF53-42A4-B559-8F02AA997A26}"/>
    <cellStyle name="AggOrange 2 3 55" xfId="24141" xr:uid="{9DB1E429-6E2A-4551-A51F-8F44BFE1CADD}"/>
    <cellStyle name="AggOrange 2 3 56" xfId="26046" xr:uid="{DB1A6006-7775-47DE-8C84-2296FE132336}"/>
    <cellStyle name="AggOrange 2 3 57" xfId="26311" xr:uid="{5AB66C6A-8A5F-42DF-83A9-4285340CAF9B}"/>
    <cellStyle name="AggOrange 2 3 58" xfId="26455" xr:uid="{5D44891A-FD95-43CD-8075-6AAAD558709B}"/>
    <cellStyle name="AggOrange 2 3 59" xfId="26807" xr:uid="{9C062947-86A4-4F2D-A6E4-1662CF656762}"/>
    <cellStyle name="AggOrange 2 3 6" xfId="1587" xr:uid="{4046E46A-798D-4ABC-9B26-8C1332983D64}"/>
    <cellStyle name="AggOrange 2 3 60" xfId="26447" xr:uid="{7493569F-DAE1-4414-BB98-0F1883958701}"/>
    <cellStyle name="AggOrange 2 3 61" xfId="28140" xr:uid="{4C1A51E0-1077-49F5-8673-8D680F1F367F}"/>
    <cellStyle name="AggOrange 2 3 62" xfId="28016" xr:uid="{9C5E64AA-0A9E-43FA-8C64-F65DAFFA5842}"/>
    <cellStyle name="AggOrange 2 3 63" xfId="28127" xr:uid="{4A6C6F27-9CEF-4C3E-B6A7-F17170CE0E23}"/>
    <cellStyle name="AggOrange 2 3 64" xfId="29408" xr:uid="{2BE6472B-A247-4678-8CC5-8137928E90C7}"/>
    <cellStyle name="AggOrange 2 3 65" xfId="28004" xr:uid="{1854D2DA-64BE-4957-90F9-AEB958C522A9}"/>
    <cellStyle name="AggOrange 2 3 66" xfId="30203" xr:uid="{2DE9BA89-4D22-4DB6-9E18-F6B1D637E840}"/>
    <cellStyle name="AggOrange 2 3 67" xfId="28739" xr:uid="{CD96C664-EE8D-446B-9615-5855DE1D3361}"/>
    <cellStyle name="AggOrange 2 3 68" xfId="30016" xr:uid="{D7FBBFF6-98DC-484C-AE4B-0A4FA3F8C7B2}"/>
    <cellStyle name="AggOrange 2 3 7" xfId="2089" xr:uid="{75C8F485-FFBA-4632-9346-A80D84BF8242}"/>
    <cellStyle name="AggOrange 2 3 8" xfId="3095" xr:uid="{23332FA1-53DD-4805-9F7C-C006C6EEE789}"/>
    <cellStyle name="AggOrange 2 3 9" xfId="2949" xr:uid="{BF601DC0-B09E-4458-BCD3-F7AC60A22893}"/>
    <cellStyle name="AggOrange 3" xfId="406" xr:uid="{79E06FD6-AC3F-4AAD-9C6E-8EE2F52B136D}"/>
    <cellStyle name="AggOrange 3 2" xfId="646" xr:uid="{FF29BFCB-280E-4B96-B520-07915E432E6F}"/>
    <cellStyle name="AggOrange 3 2 10" xfId="4773" xr:uid="{6623524C-922D-44D6-A9F8-487B6AA7AB67}"/>
    <cellStyle name="AggOrange 3 2 11" xfId="5294" xr:uid="{86903E1A-7E96-4F2B-B5C8-B7F7E4DBD348}"/>
    <cellStyle name="AggOrange 3 2 12" xfId="5546" xr:uid="{C79825E1-D5B4-4A76-9937-5990F20A56FE}"/>
    <cellStyle name="AggOrange 3 2 13" xfId="3718" xr:uid="{322D3F95-5430-40E8-84A5-8F045EC39084}"/>
    <cellStyle name="AggOrange 3 2 14" xfId="5750" xr:uid="{8697505B-377D-452E-BC5F-31E5587B8226}"/>
    <cellStyle name="AggOrange 3 2 15" xfId="7366" xr:uid="{42D85E0C-B622-4705-9D00-3AFBBF29E91C}"/>
    <cellStyle name="AggOrange 3 2 16" xfId="7103" xr:uid="{A4595C98-4B9F-443A-88DD-EDE45ACF21B4}"/>
    <cellStyle name="AggOrange 3 2 17" xfId="8033" xr:uid="{C934CCE8-22CF-4AEC-8159-CDEEBD08DE73}"/>
    <cellStyle name="AggOrange 3 2 18" xfId="8148" xr:uid="{D9F29479-90E6-4283-B692-41621BF7A96A}"/>
    <cellStyle name="AggOrange 3 2 19" xfId="9580" xr:uid="{A4C1AE14-EF08-4F31-9D0B-36CC58CEDF3A}"/>
    <cellStyle name="AggOrange 3 2 2" xfId="861" xr:uid="{E07AEBAC-D16E-4D7B-9999-06D435183EEA}"/>
    <cellStyle name="AggOrange 3 2 2 10" xfId="5509" xr:uid="{7D7E074F-7400-4168-ABB0-EE435C539949}"/>
    <cellStyle name="AggOrange 3 2 2 11" xfId="5839" xr:uid="{EA21ECD8-12C6-477E-8FEF-9A52D42FB1A7}"/>
    <cellStyle name="AggOrange 3 2 2 12" xfId="5717" xr:uid="{4CD84289-1FBC-469E-AF79-D2CBF508938E}"/>
    <cellStyle name="AggOrange 3 2 2 13" xfId="6602" xr:uid="{D6355893-F18D-4543-BBA5-8C30AE27664A}"/>
    <cellStyle name="AggOrange 3 2 2 14" xfId="7581" xr:uid="{0B7AFE90-B570-4495-BE07-E50D140E2DEE}"/>
    <cellStyle name="AggOrange 3 2 2 15" xfId="7111" xr:uid="{9DE4C45D-25BC-4072-869B-9954D9807CAA}"/>
    <cellStyle name="AggOrange 3 2 2 16" xfId="8208" xr:uid="{FD990F86-CFE3-46D7-B84E-EEF918CA5032}"/>
    <cellStyle name="AggOrange 3 2 2 17" xfId="8463" xr:uid="{B7B25B48-7CDA-4122-9A84-82177C80B41D}"/>
    <cellStyle name="AggOrange 3 2 2 18" xfId="9795" xr:uid="{8C6261DF-4F1E-45CF-A64B-46E5F6C178E7}"/>
    <cellStyle name="AggOrange 3 2 2 19" xfId="9197" xr:uid="{9344440B-EC13-455F-A5A5-8895C5246194}"/>
    <cellStyle name="AggOrange 3 2 2 2" xfId="1335" xr:uid="{A4F5C276-7BCD-454D-83E9-3BED1750D86C}"/>
    <cellStyle name="AggOrange 3 2 2 20" xfId="9106" xr:uid="{AABDCF36-63BB-48B3-98CA-B371249D3827}"/>
    <cellStyle name="AggOrange 3 2 2 21" xfId="10315" xr:uid="{867786FA-B41C-45BE-A6E5-D1D7DB1ABC33}"/>
    <cellStyle name="AggOrange 3 2 2 22" xfId="11233" xr:uid="{CAA1AB5C-1F84-4297-B28B-B091829CBDDA}"/>
    <cellStyle name="AggOrange 3 2 2 23" xfId="12214" xr:uid="{357087E8-CA14-41A6-808F-A4549C572FF4}"/>
    <cellStyle name="AggOrange 3 2 2 24" xfId="12687" xr:uid="{9FE59B04-1FB3-4018-BE23-5CD6F8AC7D6D}"/>
    <cellStyle name="AggOrange 3 2 2 25" xfId="13121" xr:uid="{D7389817-87D7-467C-BA0A-0AA9111EB1F9}"/>
    <cellStyle name="AggOrange 3 2 2 26" xfId="13558" xr:uid="{2C57538C-4CC2-45A5-B62A-768C09D2D2FF}"/>
    <cellStyle name="AggOrange 3 2 2 27" xfId="12270" xr:uid="{AFF97759-BDB3-47E5-9345-FA5C9F891F56}"/>
    <cellStyle name="AggOrange 3 2 2 28" xfId="14477" xr:uid="{79AA5FB8-706F-47FD-9D8D-6A91A3F50861}"/>
    <cellStyle name="AggOrange 3 2 2 29" xfId="11511" xr:uid="{BED88CFF-BE8A-4834-A117-37B1098BBEFA}"/>
    <cellStyle name="AggOrange 3 2 2 3" xfId="1784" xr:uid="{39B04DD5-2E64-4B46-9354-47864E3B4F5B}"/>
    <cellStyle name="AggOrange 3 2 2 30" xfId="15194" xr:uid="{5A28BFA2-98C3-45E5-9A8E-518D6C35BC25}"/>
    <cellStyle name="AggOrange 3 2 2 31" xfId="15416" xr:uid="{A85A6965-A126-4FC7-A04D-2A0CB02763C2}"/>
    <cellStyle name="AggOrange 3 2 2 32" xfId="14776" xr:uid="{FF8EBCE8-CBCB-426B-9784-722B33EA954E}"/>
    <cellStyle name="AggOrange 3 2 2 33" xfId="16906" xr:uid="{196909F0-140D-464E-A6BC-49AEC9DD6492}"/>
    <cellStyle name="AggOrange 3 2 2 34" xfId="16433" xr:uid="{7DD752F9-DA5E-4C78-A368-E0108A066C23}"/>
    <cellStyle name="AggOrange 3 2 2 35" xfId="16996" xr:uid="{45208D39-58C5-4DED-BB0A-D4D6A17CBD00}"/>
    <cellStyle name="AggOrange 3 2 2 36" xfId="18157" xr:uid="{B09AC980-02E8-47CA-B4CB-97AC24F9F2ED}"/>
    <cellStyle name="AggOrange 3 2 2 37" xfId="18724" xr:uid="{069654BD-6FFE-4D64-BCD9-F194948DA01B}"/>
    <cellStyle name="AggOrange 3 2 2 38" xfId="18306" xr:uid="{E856C53B-E193-4DA7-A5B4-159A487D191B}"/>
    <cellStyle name="AggOrange 3 2 2 39" xfId="18763" xr:uid="{FB86DF96-E055-4A67-B4D6-061BA3B52344}"/>
    <cellStyle name="AggOrange 3 2 2 4" xfId="2683" xr:uid="{C436EF2E-B0E6-4758-96C0-0226F5C7C598}"/>
    <cellStyle name="AggOrange 3 2 2 40" xfId="20243" xr:uid="{F224CAC7-FA2F-418E-8EB1-D56068F8CFAD}"/>
    <cellStyle name="AggOrange 3 2 2 41" xfId="19765" xr:uid="{8B3DC140-AAA7-4C4B-B1D3-54D4F368BEE7}"/>
    <cellStyle name="AggOrange 3 2 2 42" xfId="19383" xr:uid="{F8916B99-FA00-432C-8FA0-43BECC2DB6E9}"/>
    <cellStyle name="AggOrange 3 2 2 43" xfId="20687" xr:uid="{6D333B98-8284-4596-95E7-01CD3BEBC4D9}"/>
    <cellStyle name="AggOrange 3 2 2 44" xfId="19879" xr:uid="{6273C048-C2E5-47FD-9A94-A6FEAF4EC732}"/>
    <cellStyle name="AggOrange 3 2 2 45" xfId="21371" xr:uid="{91098610-4A8E-41FB-96E0-BBEE95975E1E}"/>
    <cellStyle name="AggOrange 3 2 2 46" xfId="22464" xr:uid="{12C01534-7A3C-4986-8186-A6D2BBE5443D}"/>
    <cellStyle name="AggOrange 3 2 2 47" xfId="22834" xr:uid="{60330605-4661-4AB6-91E9-F670E975502A}"/>
    <cellStyle name="AggOrange 3 2 2 48" xfId="22410" xr:uid="{DCCDED74-0A85-4023-8D87-CAA431EB4B37}"/>
    <cellStyle name="AggOrange 3 2 2 49" xfId="24043" xr:uid="{010BBEDE-659F-4AA3-9188-2E6B5075AC62}"/>
    <cellStyle name="AggOrange 3 2 2 5" xfId="1885" xr:uid="{F35F6A06-90F7-4969-981E-D540FD67E80C}"/>
    <cellStyle name="AggOrange 3 2 2 50" xfId="24951" xr:uid="{7B5FEA18-A770-4BD9-BF7D-D2A16476D5F9}"/>
    <cellStyle name="AggOrange 3 2 2 51" xfId="24191" xr:uid="{AA8EDD8A-7D06-4FD9-A1AD-ED7448856442}"/>
    <cellStyle name="AggOrange 3 2 2 52" xfId="25867" xr:uid="{5C41C6D3-2A22-477E-A63D-8F338D5A4133}"/>
    <cellStyle name="AggOrange 3 2 2 53" xfId="25361" xr:uid="{01CA4AB5-1937-4816-9BEB-434CCB7B4B48}"/>
    <cellStyle name="AggOrange 3 2 2 54" xfId="26734" xr:uid="{49D99872-B6C1-4806-8E5B-6BDCB40437B7}"/>
    <cellStyle name="AggOrange 3 2 2 55" xfId="27155" xr:uid="{7C42D917-4083-4AEC-81E8-16E1EDAF6432}"/>
    <cellStyle name="AggOrange 3 2 2 56" xfId="27574" xr:uid="{941BC9C3-6AF3-4C42-8AD8-65C97804FC01}"/>
    <cellStyle name="AggOrange 3 2 2 57" xfId="27216" xr:uid="{41966137-463E-4ABE-B600-CE799473735C}"/>
    <cellStyle name="AggOrange 3 2 2 58" xfId="28701" xr:uid="{4414EDED-C95E-4B97-AEDA-6F460F9A0D89}"/>
    <cellStyle name="AggOrange 3 2 2 59" xfId="29168" xr:uid="{50BCAE46-46A9-44E7-A43C-FAE234F81783}"/>
    <cellStyle name="AggOrange 3 2 2 6" xfId="3352" xr:uid="{C47E5A52-F1FD-4D30-885F-DA5F10AD7C29}"/>
    <cellStyle name="AggOrange 3 2 2 60" xfId="28179" xr:uid="{6D9DF3B6-C3C2-4A88-BA25-5393E7214383}"/>
    <cellStyle name="AggOrange 3 2 2 61" xfId="29957" xr:uid="{CF4D76DA-2F28-487B-A874-4A15958638E5}"/>
    <cellStyle name="AggOrange 3 2 2 62" xfId="30363" xr:uid="{68437B69-FA43-49A8-A41B-5321BC833616}"/>
    <cellStyle name="AggOrange 3 2 2 63" xfId="30780" xr:uid="{9C5B2023-6974-4622-A2BD-79E15F40F374}"/>
    <cellStyle name="AggOrange 3 2 2 64" xfId="31025" xr:uid="{7C733A00-7063-49BA-8A90-40CAB90EE529}"/>
    <cellStyle name="AggOrange 3 2 2 65" xfId="31396" xr:uid="{481AFC3B-3C2F-4561-857F-D7CB808043CB}"/>
    <cellStyle name="AggOrange 3 2 2 7" xfId="4179" xr:uid="{C8E54054-4A37-4FAA-8AFB-068F4CC2485A}"/>
    <cellStyle name="AggOrange 3 2 2 8" xfId="4616" xr:uid="{13807F89-A709-40B2-B317-C792ADA2FBFC}"/>
    <cellStyle name="AggOrange 3 2 2 9" xfId="5062" xr:uid="{C885E498-1B73-4BBC-BC62-5850F590C342}"/>
    <cellStyle name="AggOrange 3 2 20" xfId="9189" xr:uid="{5AB27F11-E64A-4B59-8F86-7F95B54B650F}"/>
    <cellStyle name="AggOrange 3 2 21" xfId="10187" xr:uid="{BDA496AD-3B26-4A61-8672-53959560A986}"/>
    <cellStyle name="AggOrange 3 2 22" xfId="10920" xr:uid="{85E83205-6D8C-46BA-B9EE-895FBA4DB389}"/>
    <cellStyle name="AggOrange 3 2 23" xfId="11086" xr:uid="{B29D5296-A51B-49FF-BB65-5C7B51067488}"/>
    <cellStyle name="AggOrange 3 2 24" xfId="11999" xr:uid="{F2D77612-3155-4044-8BF6-B1D2C974875B}"/>
    <cellStyle name="AggOrange 3 2 25" xfId="12472" xr:uid="{F1ABD43F-3FFE-4A20-BC9D-702FE0E7FF1A}"/>
    <cellStyle name="AggOrange 3 2 26" xfId="12906" xr:uid="{09C71809-81B0-4520-9E49-958FDC580002}"/>
    <cellStyle name="AggOrange 3 2 27" xfId="13343" xr:uid="{7CDB0879-29DA-45D3-A707-AEF117131889}"/>
    <cellStyle name="AggOrange 3 2 28" xfId="13965" xr:uid="{6168E04D-ED6B-439D-A7AE-DC0EC750D513}"/>
    <cellStyle name="AggOrange 3 2 29" xfId="14399" xr:uid="{F69FA8DE-B33D-4D58-8C1D-63693E8F73AF}"/>
    <cellStyle name="AggOrange 3 2 3" xfId="1129" xr:uid="{A283DA37-6801-4EE7-9B1B-7B1EDE653352}"/>
    <cellStyle name="AggOrange 3 2 30" xfId="13186" xr:uid="{EEB455A2-8E67-4D5B-8921-54D8AC512DE7}"/>
    <cellStyle name="AggOrange 3 2 31" xfId="15290" xr:uid="{632A9955-5D4A-4BF5-9ED6-733E71798102}"/>
    <cellStyle name="AggOrange 3 2 32" xfId="14822" xr:uid="{836E2D55-5F0F-4380-AB1F-1A5EABD6F218}"/>
    <cellStyle name="AggOrange 3 2 33" xfId="14814" xr:uid="{609DCD1F-D4E8-46BB-815F-6846CCEE71BC}"/>
    <cellStyle name="AggOrange 3 2 34" xfId="16691" xr:uid="{86FDA6F9-C11E-464E-9688-D37C99604380}"/>
    <cellStyle name="AggOrange 3 2 35" xfId="16425" xr:uid="{4A654530-36C3-4CAA-9611-2D2F11D9D811}"/>
    <cellStyle name="AggOrange 3 2 36" xfId="16976" xr:uid="{E57094DE-77C9-456B-8883-6E36C165D8AB}"/>
    <cellStyle name="AggOrange 3 2 37" xfId="18038" xr:uid="{D6B868C3-57FD-463C-B075-38B6E7E19774}"/>
    <cellStyle name="AggOrange 3 2 38" xfId="18509" xr:uid="{CF7991F9-B5F4-4BE8-8A4C-2036F4191986}"/>
    <cellStyle name="AggOrange 3 2 39" xfId="18814" xr:uid="{42FE926B-F497-4648-99B8-001EF57E152C}"/>
    <cellStyle name="AggOrange 3 2 4" xfId="1694" xr:uid="{1AF103CB-D549-435B-BA6C-BC74C7DC5F08}"/>
    <cellStyle name="AggOrange 3 2 40" xfId="19264" xr:uid="{27FC2D51-EBDE-4F03-AE51-CFDA2897727F}"/>
    <cellStyle name="AggOrange 3 2 41" xfId="20028" xr:uid="{933387BC-D8F4-4616-8E12-828B5A9DEF71}"/>
    <cellStyle name="AggOrange 3 2 42" xfId="19757" xr:uid="{E9ACFD83-9CEB-4EC9-A46A-0B8E6C22850F}"/>
    <cellStyle name="AggOrange 3 2 43" xfId="19590" xr:uid="{06C31C4D-36CE-4630-8506-A1DFE30746F6}"/>
    <cellStyle name="AggOrange 3 2 44" xfId="20892" xr:uid="{C168BFD3-9C23-4DEF-86D1-43EA3020FBC3}"/>
    <cellStyle name="AggOrange 3 2 45" xfId="20436" xr:uid="{1BAB96A1-309E-4CC5-9344-0795EB67F631}"/>
    <cellStyle name="AggOrange 3 2 46" xfId="21871" xr:uid="{43F2C3D3-8362-4993-9D61-141CAF0B651D}"/>
    <cellStyle name="AggOrange 3 2 47" xfId="22938" xr:uid="{A90655E4-C414-45D0-BB9B-CCA7552F0E15}"/>
    <cellStyle name="AggOrange 3 2 48" xfId="23088" xr:uid="{5341ABCF-F519-416C-97C7-B68E12FE461B}"/>
    <cellStyle name="AggOrange 3 2 49" xfId="23488" xr:uid="{78AC9906-F327-4C2E-AA39-B84997A50592}"/>
    <cellStyle name="AggOrange 3 2 5" xfId="2468" xr:uid="{9433DDDA-3AA3-4668-8DFA-04F90D71A37B}"/>
    <cellStyle name="AggOrange 3 2 50" xfId="23837" xr:uid="{B2C472C2-3503-49CC-8936-5611D47C0A8E}"/>
    <cellStyle name="AggOrange 3 2 51" xfId="24736" xr:uid="{DDB41FA9-B2D1-42A8-990D-1883A57F6D58}"/>
    <cellStyle name="AggOrange 3 2 52" xfId="24988" xr:uid="{221FF42F-499F-41DD-8C13-2B0657D718B4}"/>
    <cellStyle name="AggOrange 3 2 53" xfId="25654" xr:uid="{103578D7-B820-4C7D-B0A5-A87A205110B3}"/>
    <cellStyle name="AggOrange 3 2 54" xfId="26244" xr:uid="{8C03CEC7-47B1-4D36-B83D-D63B35A57D92}"/>
    <cellStyle name="AggOrange 3 2 55" xfId="26188" xr:uid="{CECC7604-51AD-4BED-899D-68F874DB7424}"/>
    <cellStyle name="AggOrange 3 2 56" xfId="26944" xr:uid="{BD509D15-4FEA-4670-AA6A-255781289341}"/>
    <cellStyle name="AggOrange 3 2 57" xfId="27363" xr:uid="{C5669F5B-FA80-4570-B809-D00770FD8636}"/>
    <cellStyle name="AggOrange 3 2 58" xfId="27811" xr:uid="{C44F348E-4170-43F5-B362-487996736088}"/>
    <cellStyle name="AggOrange 3 2 59" xfId="28486" xr:uid="{DE9976FA-7894-4A4C-9DD7-88C7D637E0BD}"/>
    <cellStyle name="AggOrange 3 2 6" xfId="3134" xr:uid="{AA8D5584-C944-46F5-A1E2-179FFE0140AF}"/>
    <cellStyle name="AggOrange 3 2 60" xfId="28954" xr:uid="{737B94FA-EF42-44A3-A4DD-A6732A0A397E}"/>
    <cellStyle name="AggOrange 3 2 61" xfId="28324" xr:uid="{C1B9EADF-40D5-4C2C-B5B3-E7206CD9BD39}"/>
    <cellStyle name="AggOrange 3 2 62" xfId="29744" xr:uid="{CD6C2686-FEF2-4269-A8EF-62D19B1BC229}"/>
    <cellStyle name="AggOrange 3 2 63" xfId="30152" xr:uid="{9149709A-7B5E-4741-AE91-79C0251F9FFD}"/>
    <cellStyle name="AggOrange 3 2 64" xfId="30566" xr:uid="{B5DC8BE0-A712-4C4D-9B83-5DD5E01F7BAF}"/>
    <cellStyle name="AggOrange 3 2 65" xfId="28199" xr:uid="{58D7725E-945D-423E-BE2E-FDF94FEC8C4B}"/>
    <cellStyle name="AggOrange 3 2 66" xfId="31190" xr:uid="{6D1259F2-05AA-4DE8-AF6C-01DB44BD5914}"/>
    <cellStyle name="AggOrange 3 2 7" xfId="3620" xr:uid="{8BEA0587-E4EB-483B-B1DF-701A9EE6C5E7}"/>
    <cellStyle name="AggOrange 3 2 8" xfId="3964" xr:uid="{F401B031-D318-4030-9E69-3B5292CE97FC}"/>
    <cellStyle name="AggOrange 3 2 9" xfId="4402" xr:uid="{26B7FC0B-6692-4324-974D-E4104E393FC3}"/>
    <cellStyle name="AggOrange 3 3" xfId="713" xr:uid="{F70ADE9A-E893-484A-8A09-24B7C364F118}"/>
    <cellStyle name="AggOrange 3 3 10" xfId="5361" xr:uid="{A0018F2F-A959-4618-85C3-AF992DAB0C7C}"/>
    <cellStyle name="AggOrange 3 3 11" xfId="5689" xr:uid="{F2E35ECF-9E9C-484A-92D6-E38668F7297F}"/>
    <cellStyle name="AggOrange 3 3 12" xfId="4224" xr:uid="{C4E98D19-031C-447B-9947-880B0DE8C896}"/>
    <cellStyle name="AggOrange 3 3 13" xfId="6393" xr:uid="{77C39B64-F16F-4211-8CB5-6892229EB3EC}"/>
    <cellStyle name="AggOrange 3 3 14" xfId="7433" xr:uid="{6AF4FB4C-C7CC-45A6-8CA1-C85F29115AB8}"/>
    <cellStyle name="AggOrange 3 3 15" xfId="7981" xr:uid="{848A1CB7-1F4A-464C-8752-9FE581DC0F0A}"/>
    <cellStyle name="AggOrange 3 3 16" xfId="7072" xr:uid="{460611BB-4B37-4437-8D2B-190E7545E987}"/>
    <cellStyle name="AggOrange 3 3 17" xfId="8754" xr:uid="{8B7D4C53-7263-48E5-931B-8344B9DFFE0D}"/>
    <cellStyle name="AggOrange 3 3 18" xfId="9647" xr:uid="{4E720EAD-ED79-4926-B845-223EBFDC7BE5}"/>
    <cellStyle name="AggOrange 3 3 19" xfId="10197" xr:uid="{7DFBD2A7-1FE1-45ED-B128-8BE75584F7F5}"/>
    <cellStyle name="AggOrange 3 3 2" xfId="1187" xr:uid="{7F98C0C5-CA1A-4724-9724-8DF24B038D29}"/>
    <cellStyle name="AggOrange 3 3 20" xfId="10601" xr:uid="{0546945F-30D3-4551-B3BD-1C24DE747FBC}"/>
    <cellStyle name="AggOrange 3 3 21" xfId="9061" xr:uid="{EC09F2C4-376E-497A-8F9A-305F4021A6D7}"/>
    <cellStyle name="AggOrange 3 3 22" xfId="10433" xr:uid="{4F4B7BE4-758F-46C7-B558-90264DAB874B}"/>
    <cellStyle name="AggOrange 3 3 23" xfId="12066" xr:uid="{EEF870F7-D71C-4674-9C58-29302F2D12DE}"/>
    <cellStyle name="AggOrange 3 3 24" xfId="12539" xr:uid="{7B95A332-69B6-4E1B-A006-1683635146D6}"/>
    <cellStyle name="AggOrange 3 3 25" xfId="12973" xr:uid="{228E1803-A8EF-47C5-A622-476E549AB015}"/>
    <cellStyle name="AggOrange 3 3 26" xfId="13410" xr:uid="{855135FF-75A5-434E-8D79-268CA0F4BD79}"/>
    <cellStyle name="AggOrange 3 3 27" xfId="13185" xr:uid="{14195C60-E763-4979-858F-6E05FEA73680}"/>
    <cellStyle name="AggOrange 3 3 28" xfId="14377" xr:uid="{8385F8AF-5D28-442F-B45B-BA238746D55A}"/>
    <cellStyle name="AggOrange 3 3 29" xfId="14847" xr:uid="{0DC494C5-854E-4C11-9541-7E5475996D29}"/>
    <cellStyle name="AggOrange 3 3 3" xfId="1381" xr:uid="{CD4C8D51-3370-4CEB-844F-1DAB8B39D9AA}"/>
    <cellStyle name="AggOrange 3 3 30" xfId="15233" xr:uid="{D82842F8-2740-41C9-B1DC-0C9CEFF092E5}"/>
    <cellStyle name="AggOrange 3 3 31" xfId="15444" xr:uid="{D5F74942-CE13-4714-AA85-F94B3401B63E}"/>
    <cellStyle name="AggOrange 3 3 32" xfId="15960" xr:uid="{21B3D918-0596-4851-8C0F-1A480DE9D743}"/>
    <cellStyle name="AggOrange 3 3 33" xfId="16758" xr:uid="{DAE1559C-6ECA-4C33-9C87-369DD391397A}"/>
    <cellStyle name="AggOrange 3 3 34" xfId="17318" xr:uid="{6E876B27-A0FD-480E-B1CA-CFFF97BE702A}"/>
    <cellStyle name="AggOrange 3 3 35" xfId="17761" xr:uid="{9FBB9EA0-02F4-40A0-B5E8-188257A02AF2}"/>
    <cellStyle name="AggOrange 3 3 36" xfId="18069" xr:uid="{B2019CA8-3426-4B90-AAC8-CDA4CA4063AA}"/>
    <cellStyle name="AggOrange 3 3 37" xfId="18576" xr:uid="{CF17404D-4259-43B8-B83B-A8A1BF9A6698}"/>
    <cellStyle name="AggOrange 3 3 38" xfId="18857" xr:uid="{57C4BABF-CF90-48F0-8163-D50FF6BBF652}"/>
    <cellStyle name="AggOrange 3 3 39" xfId="18980" xr:uid="{8D1B5272-666F-416D-A739-54790F3EC78A}"/>
    <cellStyle name="AggOrange 3 3 4" xfId="2535" xr:uid="{8108FD98-589E-425F-BCC3-E34AE3B3E90F}"/>
    <cellStyle name="AggOrange 3 3 40" xfId="20095" xr:uid="{0D541C9E-E75C-417D-AEAD-E6FC6182FDD5}"/>
    <cellStyle name="AggOrange 3 3 41" xfId="20669" xr:uid="{4F0F112B-5AF6-4477-81CB-18A704C642A2}"/>
    <cellStyle name="AggOrange 3 3 42" xfId="21125" xr:uid="{E0B13E4F-0E49-4111-9592-2433EEDEB652}"/>
    <cellStyle name="AggOrange 3 3 43" xfId="21595" xr:uid="{CA01F764-4156-4D16-8BB3-244F2086E914}"/>
    <cellStyle name="AggOrange 3 3 44" xfId="22057" xr:uid="{9DFA652E-AF29-4B5E-A400-48B5F23C2023}"/>
    <cellStyle name="AggOrange 3 3 45" xfId="22485" xr:uid="{379336E3-5FC5-45E6-AF47-73CB3AD66F70}"/>
    <cellStyle name="AggOrange 3 3 46" xfId="22230" xr:uid="{A582AB2F-DF19-4FA6-B02E-B9340094B661}"/>
    <cellStyle name="AggOrange 3 3 47" xfId="23134" xr:uid="{D4E9056F-4B5C-4ACB-AE74-E38321DC4025}"/>
    <cellStyle name="AggOrange 3 3 48" xfId="23344" xr:uid="{2B127E6E-BF03-4703-8D0B-00EE292033B3}"/>
    <cellStyle name="AggOrange 3 3 49" xfId="23895" xr:uid="{9A232B4A-1B4A-4D84-8132-282E7B08B2AB}"/>
    <cellStyle name="AggOrange 3 3 5" xfId="2118" xr:uid="{1B57194C-06DA-4F9C-A7A5-3348596A4E52}"/>
    <cellStyle name="AggOrange 3 3 50" xfId="24803" xr:uid="{FD10446C-522A-46C7-9B79-9C33DC06E7D3}"/>
    <cellStyle name="AggOrange 3 3 51" xfId="25372" xr:uid="{D4940FB2-FFC8-4636-B006-759CE8201A71}"/>
    <cellStyle name="AggOrange 3 3 52" xfId="25719" xr:uid="{9347622D-A50E-4642-97CD-7BED9AD14EFB}"/>
    <cellStyle name="AggOrange 3 3 53" xfId="25497" xr:uid="{208BDBC0-0401-461D-BA2B-0D65E452CDB8}"/>
    <cellStyle name="AggOrange 3 3 54" xfId="26682" xr:uid="{B2D96797-96B7-4918-BD2F-5C7BA65594C0}"/>
    <cellStyle name="AggOrange 3 3 55" xfId="27007" xr:uid="{2BCD300E-ABEB-4587-AD57-A20B1BD3CA88}"/>
    <cellStyle name="AggOrange 3 3 56" xfId="27426" xr:uid="{56843B52-C47D-4F88-9C92-94F0D7F81190}"/>
    <cellStyle name="AggOrange 3 3 57" xfId="26709" xr:uid="{4C32EEFC-A11B-4AA2-920F-D539E5AB793C}"/>
    <cellStyle name="AggOrange 3 3 58" xfId="28553" xr:uid="{DFC6F000-DE3E-499A-B784-00CCE20DE575}"/>
    <cellStyle name="AggOrange 3 3 59" xfId="29020" xr:uid="{F5E8B8F7-322C-4474-A882-1C894946DCDF}"/>
    <cellStyle name="AggOrange 3 3 6" xfId="3550" xr:uid="{2C68C6A1-EE2B-4962-B38A-58618CC59D0E}"/>
    <cellStyle name="AggOrange 3 3 60" xfId="29494" xr:uid="{5F1B05A8-0F34-487B-9753-00BDCF31442E}"/>
    <cellStyle name="AggOrange 3 3 61" xfId="29809" xr:uid="{959BD4BF-E874-4042-8E13-1698DDB2BFCB}"/>
    <cellStyle name="AggOrange 3 3 62" xfId="30215" xr:uid="{1F40F856-3680-4C01-A9BF-8BE9F3C8CB5D}"/>
    <cellStyle name="AggOrange 3 3 63" xfId="30632" xr:uid="{21D1B7BC-84FD-4DC0-A994-BE64EC9A6499}"/>
    <cellStyle name="AggOrange 3 3 64" xfId="30903" xr:uid="{49251A55-E15E-40EE-BE46-CA3F5CE16890}"/>
    <cellStyle name="AggOrange 3 3 65" xfId="31248" xr:uid="{AA6478BF-5705-4BBA-9390-8A3BEE7DDF74}"/>
    <cellStyle name="AggOrange 3 3 7" xfId="4031" xr:uid="{0397B171-F75C-44B3-8BE1-C727663E4E80}"/>
    <cellStyle name="AggOrange 3 3 8" xfId="4468" xr:uid="{294E5765-01C7-4521-9E95-1DC096340529}"/>
    <cellStyle name="AggOrange 3 3 9" xfId="4887" xr:uid="{520F0133-019B-405A-93F6-35CC4DC18F02}"/>
    <cellStyle name="AggOrange 4" xfId="264" xr:uid="{C35662C9-7D9C-415E-B5B0-1177B0AE3F09}"/>
    <cellStyle name="AggOrange 4 10" xfId="2247" xr:uid="{463D80FF-2357-4B1B-BCFD-382CBB3E47EC}"/>
    <cellStyle name="AggOrange 4 11" xfId="4016" xr:uid="{0835EB5C-F4CA-4F8C-827D-16902E2F5AE1}"/>
    <cellStyle name="AggOrange 4 12" xfId="3670" xr:uid="{F2612331-EDE6-4D7D-BDC0-17602B5F3AB4}"/>
    <cellStyle name="AggOrange 4 13" xfId="3314" xr:uid="{EBD692BF-7813-468F-8801-AD0E3409474E}"/>
    <cellStyle name="AggOrange 4 14" xfId="1845" xr:uid="{FF4009CC-902E-4118-9F01-CF1C7F66B19D}"/>
    <cellStyle name="AggOrange 4 15" xfId="3570" xr:uid="{12A42E3E-7745-403D-8757-67C460E37E1B}"/>
    <cellStyle name="AggOrange 4 16" xfId="5613" xr:uid="{1E242D26-6514-4444-B271-34C264423E57}"/>
    <cellStyle name="AggOrange 4 17" xfId="6994" xr:uid="{0359A9AF-2C58-4A01-A6D4-ECDFDDEB0D50}"/>
    <cellStyle name="AggOrange 4 18" xfId="6752" xr:uid="{3BF367CC-A675-49BC-9C1C-46E79D4AEDED}"/>
    <cellStyle name="AggOrange 4 19" xfId="8007" xr:uid="{E59A6ED8-9A62-4410-9434-893D46D8AB8B}"/>
    <cellStyle name="AggOrange 4 2" xfId="603" xr:uid="{552C36A4-78F1-4D7D-A829-9509A5DC5AB4}"/>
    <cellStyle name="AggOrange 4 2 10" xfId="4991" xr:uid="{E363D0A4-F8C8-4F96-AB0D-78C4E662F987}"/>
    <cellStyle name="AggOrange 4 2 11" xfId="5251" xr:uid="{79BDC232-F898-47C7-813E-4062195197BE}"/>
    <cellStyle name="AggOrange 4 2 12" xfId="5010" xr:uid="{368E3DFE-9ABC-444F-83DD-7DEFFD053186}"/>
    <cellStyle name="AggOrange 4 2 13" xfId="5096" xr:uid="{43E15D2E-37DB-43CC-A1DB-FB708927F1FC}"/>
    <cellStyle name="AggOrange 4 2 14" xfId="6007" xr:uid="{0AC114AA-1877-41B6-AA2B-76B92643C4D8}"/>
    <cellStyle name="AggOrange 4 2 15" xfId="7323" xr:uid="{3D0C3434-6288-45CB-A830-0EFE3E9BFC60}"/>
    <cellStyle name="AggOrange 4 2 16" xfId="7868" xr:uid="{27D80BD4-7A95-4B2C-89E2-1A82D915893E}"/>
    <cellStyle name="AggOrange 4 2 17" xfId="8154" xr:uid="{FA87BD31-F1B0-4277-AA99-12307EE9C590}"/>
    <cellStyle name="AggOrange 4 2 18" xfId="8492" xr:uid="{D9EBB6C3-1AD9-4AB7-AFF0-780BE920F38B}"/>
    <cellStyle name="AggOrange 4 2 19" xfId="9537" xr:uid="{27C8865C-04A6-4735-A13F-BE9F240ACAD4}"/>
    <cellStyle name="AggOrange 4 2 2" xfId="818" xr:uid="{32214CB4-A887-4B15-B9D7-68FE17335C28}"/>
    <cellStyle name="AggOrange 4 2 2 10" xfId="5466" xr:uid="{25B97231-83EC-4061-B102-E78EE862CA30}"/>
    <cellStyle name="AggOrange 4 2 2 11" xfId="5587" xr:uid="{20E78C92-EE05-4259-ADCF-DB7F493DD139}"/>
    <cellStyle name="AggOrange 4 2 2 12" xfId="2865" xr:uid="{0510998F-D817-4549-88A6-07B70D86A950}"/>
    <cellStyle name="AggOrange 4 2 2 13" xfId="6639" xr:uid="{1CD06A9A-D733-4091-86CA-3EB7A0E3F9E9}"/>
    <cellStyle name="AggOrange 4 2 2 14" xfId="7538" xr:uid="{CC4CE403-6CC9-419C-9589-3DE8CF4B65E1}"/>
    <cellStyle name="AggOrange 4 2 2 15" xfId="7107" xr:uid="{99BEA9FD-A44B-4D93-B58D-DEDD22381FA0}"/>
    <cellStyle name="AggOrange 4 2 2 16" xfId="7805" xr:uid="{21F9E287-44B2-44CB-AB7A-0D3D5B438F1A}"/>
    <cellStyle name="AggOrange 4 2 2 17" xfId="8696" xr:uid="{9DBB6A77-4943-4B14-BC72-A66AAC2024E2}"/>
    <cellStyle name="AggOrange 4 2 2 18" xfId="9752" xr:uid="{CCD585DC-1504-4FAB-BF37-AF972A97E25A}"/>
    <cellStyle name="AggOrange 4 2 2 19" xfId="9193" xr:uid="{0801E1EC-6B68-4C7B-AB24-D3F1D253D6CE}"/>
    <cellStyle name="AggOrange 4 2 2 2" xfId="1292" xr:uid="{B6F0E329-494D-4890-9BC4-73264778C04A}"/>
    <cellStyle name="AggOrange 4 2 2 20" xfId="9394" xr:uid="{040E14F3-AEED-43B0-9BB7-1CCD8D3D1520}"/>
    <cellStyle name="AggOrange 4 2 2 21" xfId="10634" xr:uid="{A127A185-95BC-458C-A253-73B091A73E63}"/>
    <cellStyle name="AggOrange 4 2 2 22" xfId="10850" xr:uid="{E09191B6-583C-423E-B815-4FE4A20F2FBD}"/>
    <cellStyle name="AggOrange 4 2 2 23" xfId="12171" xr:uid="{E8257AFB-2B96-49A3-AA0C-AAC4B44D82AE}"/>
    <cellStyle name="AggOrange 4 2 2 24" xfId="12644" xr:uid="{5438C012-3BD3-4E8C-AD3E-CF5B857CE7F0}"/>
    <cellStyle name="AggOrange 4 2 2 25" xfId="13078" xr:uid="{421E44E6-92EA-4F9E-9732-D4A5329410B1}"/>
    <cellStyle name="AggOrange 4 2 2 26" xfId="13515" xr:uid="{133B3781-B176-4D70-AFB5-23098D0693EB}"/>
    <cellStyle name="AggOrange 4 2 2 27" xfId="11845" xr:uid="{684B0131-EEED-4E12-B9EC-C2CD2D59D426}"/>
    <cellStyle name="AggOrange 4 2 2 28" xfId="14430" xr:uid="{5A5D7396-3EDA-4303-AF2C-AF236EFE4B6D}"/>
    <cellStyle name="AggOrange 4 2 2 29" xfId="14292" xr:uid="{8E5C1246-D853-435B-8713-28F0B374C9FB}"/>
    <cellStyle name="AggOrange 4 2 2 3" xfId="1418" xr:uid="{29A47493-C98B-4E2E-B8E6-FC95AD233EBE}"/>
    <cellStyle name="AggOrange 4 2 2 30" xfId="15124" xr:uid="{461EE759-B97B-43CD-A3F5-F774A39F3D4F}"/>
    <cellStyle name="AggOrange 4 2 2 31" xfId="15745" xr:uid="{1131FBB8-3242-422F-8894-ADA5DF41719B}"/>
    <cellStyle name="AggOrange 4 2 2 32" xfId="15291" xr:uid="{F0D5CA4B-088C-469E-9BB7-EE289B39E7C4}"/>
    <cellStyle name="AggOrange 4 2 2 33" xfId="16863" xr:uid="{D317A600-3D52-418A-832C-591CD0DC23A7}"/>
    <cellStyle name="AggOrange 4 2 2 34" xfId="16429" xr:uid="{C4054DFE-A3A3-4B9D-83B9-3B9212E632DE}"/>
    <cellStyle name="AggOrange 4 2 2 35" xfId="16170" xr:uid="{BCDD098E-D1B7-415A-A4E8-D247DE2C8935}"/>
    <cellStyle name="AggOrange 4 2 2 36" xfId="18035" xr:uid="{44CB9FA2-0E48-4890-9AA9-E6811D9A8FA8}"/>
    <cellStyle name="AggOrange 4 2 2 37" xfId="18681" xr:uid="{0B71345F-54D0-4430-859A-C5590C3340D0}"/>
    <cellStyle name="AggOrange 4 2 2 38" xfId="18771" xr:uid="{56D8256C-0512-4E10-85DB-194352BFB0BC}"/>
    <cellStyle name="AggOrange 4 2 2 39" xfId="18266" xr:uid="{78E6746E-1C41-48C4-9325-81C4F13F0C4E}"/>
    <cellStyle name="AggOrange 4 2 2 4" xfId="2640" xr:uid="{7DA5B0F0-1938-471A-A408-003DA526A631}"/>
    <cellStyle name="AggOrange 4 2 2 40" xfId="20200" xr:uid="{647D294D-EB52-4306-8688-8DF7D375E6F6}"/>
    <cellStyle name="AggOrange 4 2 2 41" xfId="19470" xr:uid="{2CB07963-20BD-43C5-897F-18C2CBB75643}"/>
    <cellStyle name="AggOrange 4 2 2 42" xfId="19475" xr:uid="{A85F8211-183A-4BB5-B124-7DCDC327D416}"/>
    <cellStyle name="AggOrange 4 2 2 43" xfId="20784" xr:uid="{537F9490-8F31-419D-9650-E468E390747A}"/>
    <cellStyle name="AggOrange 4 2 2 44" xfId="21181" xr:uid="{76DF2801-5A9F-4B74-A56B-CF5B40670E99}"/>
    <cellStyle name="AggOrange 4 2 2 45" xfId="19488" xr:uid="{92771261-045B-4BEC-87F9-465097BD1C4A}"/>
    <cellStyle name="AggOrange 4 2 2 46" xfId="22269" xr:uid="{27ABE4C4-AF2F-4941-A87D-2F679E98F8BB}"/>
    <cellStyle name="AggOrange 4 2 2 47" xfId="23040" xr:uid="{A64C9930-08BC-4182-9C08-46F8F18BF4C3}"/>
    <cellStyle name="AggOrange 4 2 2 48" xfId="23206" xr:uid="{68D88A24-84FD-41C2-B8F4-59936806FD19}"/>
    <cellStyle name="AggOrange 4 2 2 49" xfId="24000" xr:uid="{67242302-559B-4593-AB22-3A55B8B2060A}"/>
    <cellStyle name="AggOrange 4 2 2 5" xfId="1816" xr:uid="{B5DCF268-5567-4820-BF9F-7B4A8D7281C5}"/>
    <cellStyle name="AggOrange 4 2 2 50" xfId="24908" xr:uid="{9A9F2832-D247-49AC-8D7C-4CB3DA9B9979}"/>
    <cellStyle name="AggOrange 4 2 2 51" xfId="24306" xr:uid="{245EC437-CCE6-486F-A7E6-B7F65D3EF8F0}"/>
    <cellStyle name="AggOrange 4 2 2 52" xfId="25824" xr:uid="{66731A61-28A2-4416-A35E-152DC7B33EF1}"/>
    <cellStyle name="AggOrange 4 2 2 53" xfId="25011" xr:uid="{2D9425C5-CA50-4517-9063-3C3FFCA6F0CD}"/>
    <cellStyle name="AggOrange 4 2 2 54" xfId="26557" xr:uid="{5CA01D33-4DBC-4CC2-AFD1-9BEC8A7C2162}"/>
    <cellStyle name="AggOrange 4 2 2 55" xfId="27112" xr:uid="{AB63B5F3-ADDD-4F17-94DD-CE668FC07D34}"/>
    <cellStyle name="AggOrange 4 2 2 56" xfId="27531" xr:uid="{A13B0718-5090-4440-B9FC-726A45D80D93}"/>
    <cellStyle name="AggOrange 4 2 2 57" xfId="27209" xr:uid="{E8DD0AF2-BC09-46F5-8458-3FC5AEF60E8E}"/>
    <cellStyle name="AggOrange 4 2 2 58" xfId="28658" xr:uid="{A2297490-7B63-423D-B46E-93600C4F4A51}"/>
    <cellStyle name="AggOrange 4 2 2 59" xfId="29125" xr:uid="{C3926A25-453B-4139-ADB6-9B31A87B2C85}"/>
    <cellStyle name="AggOrange 4 2 2 6" xfId="3483" xr:uid="{A2834BB2-6F4B-42E7-8001-FDA0D8747732}"/>
    <cellStyle name="AggOrange 4 2 2 60" xfId="27982" xr:uid="{7A63C874-28ED-41CF-A576-F0FF144AB87C}"/>
    <cellStyle name="AggOrange 4 2 2 61" xfId="29914" xr:uid="{0CDC28B2-9F5A-45B2-BC17-126B76A362D1}"/>
    <cellStyle name="AggOrange 4 2 2 62" xfId="30320" xr:uid="{A919D53A-D544-410C-94F2-C87A76879374}"/>
    <cellStyle name="AggOrange 4 2 2 63" xfId="30737" xr:uid="{9A71C818-422B-4D57-83E7-A493F20F7322}"/>
    <cellStyle name="AggOrange 4 2 2 64" xfId="29462" xr:uid="{DB9AD84C-EF01-4027-992B-1D99647CAA95}"/>
    <cellStyle name="AggOrange 4 2 2 65" xfId="31353" xr:uid="{B2193928-1E0A-4661-9862-05F987883CC1}"/>
    <cellStyle name="AggOrange 4 2 2 7" xfId="4136" xr:uid="{216F44F0-BE4D-449A-B4B7-5D2C5723BF23}"/>
    <cellStyle name="AggOrange 4 2 2 8" xfId="4573" xr:uid="{98ADBA0E-064B-4461-A077-54E4265335FC}"/>
    <cellStyle name="AggOrange 4 2 2 9" xfId="4815" xr:uid="{D56A8068-AA17-46EC-9766-BFC5360CB4AE}"/>
    <cellStyle name="AggOrange 4 2 20" xfId="10082" xr:uid="{83765B15-6502-487F-BC68-6C5B28A3D12A}"/>
    <cellStyle name="AggOrange 4 2 21" xfId="10497" xr:uid="{F6C11DCC-FFF1-4BAB-9AF1-B38C13279A44}"/>
    <cellStyle name="AggOrange 4 2 22" xfId="10946" xr:uid="{4CCDA439-0A34-4652-92F5-C43FBD164714}"/>
    <cellStyle name="AggOrange 4 2 23" xfId="11272" xr:uid="{4B22F601-D5A4-441B-A05F-96B45BD6506D}"/>
    <cellStyle name="AggOrange 4 2 24" xfId="11956" xr:uid="{C8CCC27C-750F-4415-BDC7-61841898A6B0}"/>
    <cellStyle name="AggOrange 4 2 25" xfId="12429" xr:uid="{4B0ACA6F-DAD9-4B6C-B6D7-DA1C94454C01}"/>
    <cellStyle name="AggOrange 4 2 26" xfId="12863" xr:uid="{2CF10AC9-F453-4AC1-A188-3225C6470D87}"/>
    <cellStyle name="AggOrange 4 2 27" xfId="13300" xr:uid="{FC3E86E5-7BF8-485A-910B-E8B6CD732085}"/>
    <cellStyle name="AggOrange 4 2 28" xfId="13972" xr:uid="{59E6028E-EC56-42B5-A2F2-1CB590B5B2C5}"/>
    <cellStyle name="AggOrange 4 2 29" xfId="14206" xr:uid="{A64111E8-7B32-4051-9F34-25C48518D041}"/>
    <cellStyle name="AggOrange 4 2 3" xfId="1086" xr:uid="{8EEB25B7-CC7A-404A-8E04-B15F8C7CD934}"/>
    <cellStyle name="AggOrange 4 2 30" xfId="14617" xr:uid="{997BE95B-E142-46BE-B1CF-3AF2CE64174C}"/>
    <cellStyle name="AggOrange 4 2 31" xfId="14756" xr:uid="{CA915D77-596D-43C5-86AF-45062DB1C6B2}"/>
    <cellStyle name="AggOrange 4 2 32" xfId="15692" xr:uid="{D32EF636-5407-427D-98AA-70BA2A13A62E}"/>
    <cellStyle name="AggOrange 4 2 33" xfId="15897" xr:uid="{87C0FE9C-D43C-41EB-B1EA-2E428789BC1D}"/>
    <cellStyle name="AggOrange 4 2 34" xfId="16648" xr:uid="{F1C245DD-7AED-4CA5-AF9B-A45B17F2015C}"/>
    <cellStyle name="AggOrange 4 2 35" xfId="17200" xr:uid="{44D87D88-733B-488E-9FD6-5BC946E748C5}"/>
    <cellStyle name="AggOrange 4 2 36" xfId="17646" xr:uid="{CFE18B16-A062-4CA1-8299-C72B3C81CAE6}"/>
    <cellStyle name="AggOrange 4 2 37" xfId="17524" xr:uid="{135BB728-D694-4107-9587-4421919D3A5D}"/>
    <cellStyle name="AggOrange 4 2 38" xfId="18466" xr:uid="{2AE9DAE5-C79B-4A91-ADE0-0B5169971D8B}"/>
    <cellStyle name="AggOrange 4 2 39" xfId="18206" xr:uid="{0BAACC8F-6900-4380-92FD-39AC0C9FC4A3}"/>
    <cellStyle name="AggOrange 4 2 4" xfId="1705" xr:uid="{B3A68983-F736-4234-95C0-E7CE2B75B530}"/>
    <cellStyle name="AggOrange 4 2 40" xfId="19223" xr:uid="{87CB2FD6-9BF7-4366-AE77-2EE09D274739}"/>
    <cellStyle name="AggOrange 4 2 41" xfId="19985" xr:uid="{F2CA1F82-AE6D-4185-9D6D-0A7A820EBE30}"/>
    <cellStyle name="AggOrange 4 2 42" xfId="20553" xr:uid="{79D04B59-53E8-4652-B09D-69AE86255F86}"/>
    <cellStyle name="AggOrange 4 2 43" xfId="21006" xr:uid="{CBAE337C-9F69-4FAA-B0C7-A37035DA50B1}"/>
    <cellStyle name="AggOrange 4 2 44" xfId="20970" xr:uid="{E2B36C2A-EE41-4123-9DA7-7DEC87EA1B30}"/>
    <cellStyle name="AggOrange 4 2 45" xfId="21937" xr:uid="{A4DF280A-C573-45CA-8912-0D6CF16627EC}"/>
    <cellStyle name="AggOrange 4 2 46" xfId="22369" xr:uid="{5F157EDF-2BDB-4FED-BEB8-089A5B2AA3BF}"/>
    <cellStyle name="AggOrange 4 2 47" xfId="22945" xr:uid="{75AACC68-8605-429C-A107-6561BD762A13}"/>
    <cellStyle name="AggOrange 4 2 48" xfId="22882" xr:uid="{74B3E413-CF8A-4892-89BF-92364E5001BF}"/>
    <cellStyle name="AggOrange 4 2 49" xfId="23506" xr:uid="{7E486DD5-24A6-457F-B67C-EE6700CC3910}"/>
    <cellStyle name="AggOrange 4 2 5" xfId="2425" xr:uid="{6BF94DBB-F135-401D-85EE-4EF99A08D981}"/>
    <cellStyle name="AggOrange 4 2 50" xfId="23794" xr:uid="{F2AE5252-95B6-4A25-82F8-F18C48A79CE4}"/>
    <cellStyle name="AggOrange 4 2 51" xfId="24693" xr:uid="{749ABE4A-F2F9-4DBD-B325-FC6472F90F50}"/>
    <cellStyle name="AggOrange 4 2 52" xfId="25261" xr:uid="{7234AF1C-CEAC-4041-A95F-4586081C2177}"/>
    <cellStyle name="AggOrange 4 2 53" xfId="25611" xr:uid="{AAC92326-8E10-4B60-A384-A618BE9F9F1B}"/>
    <cellStyle name="AggOrange 4 2 54" xfId="26252" xr:uid="{A16664DB-073B-43A8-9968-7C46F406809A}"/>
    <cellStyle name="AggOrange 4 2 55" xfId="25907" xr:uid="{199E8D11-5B20-42FC-9C7E-739C577FCEEC}"/>
    <cellStyle name="AggOrange 4 2 56" xfId="26901" xr:uid="{5DD4525C-2E17-4A2C-AA88-B1B6DBF7BE1C}"/>
    <cellStyle name="AggOrange 4 2 57" xfId="27320" xr:uid="{E31B426F-32B4-4314-A9C4-A9736EDDE368}"/>
    <cellStyle name="AggOrange 4 2 58" xfId="27667" xr:uid="{0DD7F2C0-5CCA-4F04-86E7-05FA240FF6D0}"/>
    <cellStyle name="AggOrange 4 2 59" xfId="28443" xr:uid="{F6D45C25-13A6-4411-9D09-2A7A8685902D}"/>
    <cellStyle name="AggOrange 4 2 6" xfId="3142" xr:uid="{D83F6B4C-4331-484F-B94E-3243BE7B9CCE}"/>
    <cellStyle name="AggOrange 4 2 60" xfId="28911" xr:uid="{EDE30878-03FC-4F9F-AB05-9E372DD3B6D5}"/>
    <cellStyle name="AggOrange 4 2 61" xfId="29392" xr:uid="{38611ED5-1508-41B1-B167-4C8834D4769D}"/>
    <cellStyle name="AggOrange 4 2 62" xfId="29701" xr:uid="{2BCA0A01-4C09-4435-AAA7-6ED8DDAFC984}"/>
    <cellStyle name="AggOrange 4 2 63" xfId="30109" xr:uid="{D384A2E9-7D6A-41ED-8399-7CC8BECEB8CC}"/>
    <cellStyle name="AggOrange 4 2 64" xfId="30523" xr:uid="{C373E91A-A23D-40B1-AAE5-05D20241FCAE}"/>
    <cellStyle name="AggOrange 4 2 65" xfId="29213" xr:uid="{A1356A5C-D7D7-40E1-A9ED-378B7B90303F}"/>
    <cellStyle name="AggOrange 4 2 66" xfId="31147" xr:uid="{DD9FEC03-C679-4FA5-B938-3666AF49A3B9}"/>
    <cellStyle name="AggOrange 4 2 7" xfId="3160" xr:uid="{62BEB5B6-340D-4D45-B8B8-1F4C75EC8629}"/>
    <cellStyle name="AggOrange 4 2 8" xfId="3921" xr:uid="{B22676D3-0A1D-4C2A-9A57-EA508C1BB501}"/>
    <cellStyle name="AggOrange 4 2 9" xfId="4359" xr:uid="{DB8E8B13-7231-455F-A2E8-7D27E1289324}"/>
    <cellStyle name="AggOrange 4 20" xfId="8718" xr:uid="{58799CBE-F3C6-4208-AAC5-F0305AECD54E}"/>
    <cellStyle name="AggOrange 4 21" xfId="9208" xr:uid="{52637F09-8D09-4C31-8EC6-508ED8EC4193}"/>
    <cellStyle name="AggOrange 4 22" xfId="9065" xr:uid="{9577D1CE-4C86-48F3-A009-6BDBCDD91E26}"/>
    <cellStyle name="AggOrange 4 23" xfId="9067" xr:uid="{2552A478-FA4E-4603-A4D8-10C19BE00A04}"/>
    <cellStyle name="AggOrange 4 24" xfId="9873" xr:uid="{8928A2D7-05D1-410A-B451-DC99234F3878}"/>
    <cellStyle name="AggOrange 4 25" xfId="11194" xr:uid="{39E13C95-D5DE-4FF4-950D-7C640AD14473}"/>
    <cellStyle name="AggOrange 4 26" xfId="11620" xr:uid="{8917FE85-A8BF-4904-BA5B-4E3A829726DB}"/>
    <cellStyle name="AggOrange 4 27" xfId="11482" xr:uid="{487D4E5A-E1FF-4563-B0BA-9A1E021C5CFA}"/>
    <cellStyle name="AggOrange 4 28" xfId="11727" xr:uid="{C5B9E92C-A128-44EA-BE30-089150E8040E}"/>
    <cellStyle name="AggOrange 4 29" xfId="12958" xr:uid="{5A596513-93FA-46E9-A124-EC75D3213686}"/>
    <cellStyle name="AggOrange 4 3" xfId="592" xr:uid="{661EA08E-3D4B-425C-BA91-88FA6E8059EE}"/>
    <cellStyle name="AggOrange 4 3 10" xfId="4936" xr:uid="{5803F325-F629-4549-AE4D-891619419444}"/>
    <cellStyle name="AggOrange 4 3 11" xfId="5240" xr:uid="{CBDC1470-44DF-4217-8B97-7D80BC4411F9}"/>
    <cellStyle name="AggOrange 4 3 12" xfId="5718" xr:uid="{079A512A-E08C-435E-A385-BC57B1640417}"/>
    <cellStyle name="AggOrange 4 3 13" xfId="5730" xr:uid="{21CCEDF9-37F7-4B5D-8805-73146057C5FD}"/>
    <cellStyle name="AggOrange 4 3 14" xfId="6348" xr:uid="{202297A9-4A37-4ADC-BB9C-2AB72B43A1AC}"/>
    <cellStyle name="AggOrange 4 3 15" xfId="7312" xr:uid="{97E735F1-5B68-4609-90AF-77416BE9CDE4}"/>
    <cellStyle name="AggOrange 4 3 16" xfId="7969" xr:uid="{1A17FD28-791D-4E67-9B47-C31A8BB97A05}"/>
    <cellStyle name="AggOrange 4 3 17" xfId="8502" xr:uid="{95283CB3-90E5-4B35-B687-9AFDCB98A952}"/>
    <cellStyle name="AggOrange 4 3 18" xfId="8846" xr:uid="{DDED579B-A1F0-40EA-83EF-7684B8E90457}"/>
    <cellStyle name="AggOrange 4 3 19" xfId="9526" xr:uid="{B5883FBB-9280-4803-AF80-CA6FD992E6AB}"/>
    <cellStyle name="AggOrange 4 3 2" xfId="807" xr:uid="{51D19740-FD12-490D-93B5-2F414F397F06}"/>
    <cellStyle name="AggOrange 4 3 2 10" xfId="5455" xr:uid="{41F75AF7-8ED1-4EE8-A7DD-DBDFCF537274}"/>
    <cellStyle name="AggOrange 4 3 2 11" xfId="5900" xr:uid="{9D5BA08A-8501-4398-B2F5-6A60085BD264}"/>
    <cellStyle name="AggOrange 4 3 2 12" xfId="6045" xr:uid="{965064C3-E009-419A-9618-E46959864F8B}"/>
    <cellStyle name="AggOrange 4 3 2 13" xfId="6462" xr:uid="{D6B7125E-05D1-4F4A-BF92-9851F2C6BF4E}"/>
    <cellStyle name="AggOrange 4 3 2 14" xfId="7527" xr:uid="{F62B7608-1701-4721-B4C1-83A23B137162}"/>
    <cellStyle name="AggOrange 4 3 2 15" xfId="6739" xr:uid="{A78B4745-7566-49B2-A39D-109081251494}"/>
    <cellStyle name="AggOrange 4 3 2 16" xfId="8517" xr:uid="{F74574EE-A629-4C3F-93F0-81A3A93D3AA0}"/>
    <cellStyle name="AggOrange 4 3 2 17" xfId="8546" xr:uid="{93BF6948-2757-4A82-983E-7CC591A08766}"/>
    <cellStyle name="AggOrange 4 3 2 18" xfId="9741" xr:uid="{C234000D-83B5-46C5-9ACD-07E0BD0A5D5C}"/>
    <cellStyle name="AggOrange 4 3 2 19" xfId="8952" xr:uid="{EEF79AC4-6BD7-4FAA-8436-68E11B9B273E}"/>
    <cellStyle name="AggOrange 4 3 2 2" xfId="1281" xr:uid="{E397BAD7-4760-4E70-B647-567E501DED2E}"/>
    <cellStyle name="AggOrange 4 3 2 20" xfId="8957" xr:uid="{2D192B4C-A249-4AB4-8086-4D7AEB63B8AF}"/>
    <cellStyle name="AggOrange 4 3 2 21" xfId="10698" xr:uid="{AE188768-8AF4-429D-9AAF-F3802B91F8BB}"/>
    <cellStyle name="AggOrange 4 3 2 22" xfId="10994" xr:uid="{909FD03D-57D8-4515-AB17-298BAFF1FC10}"/>
    <cellStyle name="AggOrange 4 3 2 23" xfId="12160" xr:uid="{47B1DF8D-4074-4F75-A93A-612529404D57}"/>
    <cellStyle name="AggOrange 4 3 2 24" xfId="12633" xr:uid="{4C0204E1-46A1-4134-B91B-58C4B3A95181}"/>
    <cellStyle name="AggOrange 4 3 2 25" xfId="13067" xr:uid="{B7854B82-EECA-4857-9BE4-F9B43482571D}"/>
    <cellStyle name="AggOrange 4 3 2 26" xfId="13504" xr:uid="{E7BDC5DD-C677-4E21-946D-441CA792E530}"/>
    <cellStyle name="AggOrange 4 3 2 27" xfId="11750" xr:uid="{3557FF26-6F86-4F6D-8380-B3A595828134}"/>
    <cellStyle name="AggOrange 4 3 2 28" xfId="13656" xr:uid="{20B312BE-D324-4DF9-A268-6FF2645A2F74}"/>
    <cellStyle name="AggOrange 4 3 2 29" xfId="13819" xr:uid="{351C98D9-60E6-4A37-B881-F2BE26641548}"/>
    <cellStyle name="AggOrange 4 3 2 3" xfId="1424" xr:uid="{A3ADD858-0F4A-475F-B756-DBA7923EE7EA}"/>
    <cellStyle name="AggOrange 4 3 2 30" xfId="14792" xr:uid="{23516144-ABEE-4641-BD05-A7446076C1D9}"/>
    <cellStyle name="AggOrange 4 3 2 31" xfId="14878" xr:uid="{57536B4F-1C45-47A2-BCDE-AF2788656BE1}"/>
    <cellStyle name="AggOrange 4 3 2 32" xfId="15216" xr:uid="{B5A5827C-5BB3-46BF-98FA-80676CB1D2FE}"/>
    <cellStyle name="AggOrange 4 3 2 33" xfId="16852" xr:uid="{DE7C374F-2D6B-41ED-9DEB-908F1A207CB9}"/>
    <cellStyle name="AggOrange 4 3 2 34" xfId="16048" xr:uid="{D3D9943E-6F22-40F0-B5DE-44A04A8DC12F}"/>
    <cellStyle name="AggOrange 4 3 2 35" xfId="16453" xr:uid="{D6DDE4DD-F63A-4886-A73D-7887086B3077}"/>
    <cellStyle name="AggOrange 4 3 2 36" xfId="17576" xr:uid="{56652D6D-F23C-4962-868C-4D6804124987}"/>
    <cellStyle name="AggOrange 4 3 2 37" xfId="18670" xr:uid="{237CE782-F756-4971-8080-AD5EDDF17E53}"/>
    <cellStyle name="AggOrange 4 3 2 38" xfId="16072" xr:uid="{48A9EFB2-20F5-4387-8D32-A78CCCFC4E80}"/>
    <cellStyle name="AggOrange 4 3 2 39" xfId="18768" xr:uid="{37BA63BA-099E-4308-9861-9C1A54A7E833}"/>
    <cellStyle name="AggOrange 4 3 2 4" xfId="2629" xr:uid="{0DFAFD7B-DDC4-483D-81E8-C91BAC4F73FE}"/>
    <cellStyle name="AggOrange 4 3 2 40" xfId="20189" xr:uid="{7B8252F0-2992-4063-B60C-67F0A11ADE0A}"/>
    <cellStyle name="AggOrange 4 3 2 41" xfId="19381" xr:uid="{A2110E7F-C636-46A2-8EA9-ECD9861946A7}"/>
    <cellStyle name="AggOrange 4 3 2 42" xfId="19535" xr:uid="{D16185A9-1EFC-4298-A367-DB7317518A5F}"/>
    <cellStyle name="AggOrange 4 3 2 43" xfId="21425" xr:uid="{A61D67A6-968B-4C8C-8509-1EC4CC757FA0}"/>
    <cellStyle name="AggOrange 4 3 2 44" xfId="20983" xr:uid="{4D1156DE-E3E3-4E9E-BAAE-982F808FAC7D}"/>
    <cellStyle name="AggOrange 4 3 2 45" xfId="20341" xr:uid="{FD81EE57-F516-4052-B0A1-914817543672}"/>
    <cellStyle name="AggOrange 4 3 2 46" xfId="21296" xr:uid="{8B513395-CEA5-460A-B7F6-348608CD75E0}"/>
    <cellStyle name="AggOrange 4 3 2 47" xfId="21751" xr:uid="{7512697B-2B36-40C1-AFFC-FF3B2D2466BB}"/>
    <cellStyle name="AggOrange 4 3 2 48" xfId="23440" xr:uid="{5A84EE11-1A65-4589-9ACD-7DE6CDFFC3C4}"/>
    <cellStyle name="AggOrange 4 3 2 49" xfId="23989" xr:uid="{3A498AA6-CB84-4FE0-9625-B616561CDE70}"/>
    <cellStyle name="AggOrange 4 3 2 5" xfId="1847" xr:uid="{7FC3DF4F-25AA-4441-A7E8-3BFA043A31EF}"/>
    <cellStyle name="AggOrange 4 3 2 50" xfId="24897" xr:uid="{CE4D511B-57AB-4134-A118-EB58C9C4302C}"/>
    <cellStyle name="AggOrange 4 3 2 51" xfId="24335" xr:uid="{9C27AA81-29F9-46C1-85FA-9F8EF86246AA}"/>
    <cellStyle name="AggOrange 4 3 2 52" xfId="25813" xr:uid="{A7B52B20-E177-4EB5-9F1C-0C8E13EC840C}"/>
    <cellStyle name="AggOrange 4 3 2 53" xfId="25923" xr:uid="{C15739E9-D62F-4947-A301-B4303FB0FF98}"/>
    <cellStyle name="AggOrange 4 3 2 54" xfId="25131" xr:uid="{405508C7-57AA-43FC-A2DF-7FEEBD963286}"/>
    <cellStyle name="AggOrange 4 3 2 55" xfId="27101" xr:uid="{04BE4DEA-F575-49E0-A775-687832D15FF0}"/>
    <cellStyle name="AggOrange 4 3 2 56" xfId="27520" xr:uid="{DEDE41DE-E29A-4E16-9F33-BBAD3D746602}"/>
    <cellStyle name="AggOrange 4 3 2 57" xfId="26354" xr:uid="{FE4F8208-1DF5-4995-A417-63D7DEC104B5}"/>
    <cellStyle name="AggOrange 4 3 2 58" xfId="28647" xr:uid="{AB5C4F6B-78D1-41C4-8C2A-EDF970FCE51B}"/>
    <cellStyle name="AggOrange 4 3 2 59" xfId="29114" xr:uid="{A2E6E253-A476-410F-9A70-06BCDAE5147F}"/>
    <cellStyle name="AggOrange 4 3 2 6" xfId="3287" xr:uid="{F4D77FF8-F694-45A8-A443-B8B0A5679127}"/>
    <cellStyle name="AggOrange 4 3 2 60" xfId="28166" xr:uid="{8293BE51-7A32-485D-8B37-7765894F3EA8}"/>
    <cellStyle name="AggOrange 4 3 2 61" xfId="29903" xr:uid="{C4979EEC-67E0-46C9-9F5B-1BCDB7DB0443}"/>
    <cellStyle name="AggOrange 4 3 2 62" xfId="30309" xr:uid="{294CCFCA-786E-4B62-A397-7C8B1810A379}"/>
    <cellStyle name="AggOrange 4 3 2 63" xfId="30726" xr:uid="{EAAFD2B8-FB2F-4538-AAF2-93F147ADCDE0}"/>
    <cellStyle name="AggOrange 4 3 2 64" xfId="28040" xr:uid="{C2D0962F-4CDA-4BC3-858C-2F1EAFAEB61C}"/>
    <cellStyle name="AggOrange 4 3 2 65" xfId="31342" xr:uid="{EA84ACFE-109B-4E5A-AB7B-8BED48B11882}"/>
    <cellStyle name="AggOrange 4 3 2 7" xfId="4125" xr:uid="{D68FBE29-D67C-43C4-95B5-425F95CF4BA5}"/>
    <cellStyle name="AggOrange 4 3 2 8" xfId="4562" xr:uid="{31021FE5-398C-41C1-A165-7DD691D1DA78}"/>
    <cellStyle name="AggOrange 4 3 2 9" xfId="3600" xr:uid="{448869FE-DFE4-49C6-A0D7-39BFC58B2A86}"/>
    <cellStyle name="AggOrange 4 3 20" xfId="10185" xr:uid="{72338E78-0C28-4A8D-A05C-27FBC830A68C}"/>
    <cellStyle name="AggOrange 4 3 21" xfId="10591" xr:uid="{F221A9B9-70A5-4542-8F46-37447DFC606B}"/>
    <cellStyle name="AggOrange 4 3 22" xfId="10302" xr:uid="{34856153-8E97-4608-A6C1-06A314BFDF24}"/>
    <cellStyle name="AggOrange 4 3 23" xfId="10972" xr:uid="{F6A5543A-B5D3-4995-AF9F-630F1CDC7216}"/>
    <cellStyle name="AggOrange 4 3 24" xfId="11945" xr:uid="{38EF7FDC-97C7-49C3-BD0B-390B4AB5E8A0}"/>
    <cellStyle name="AggOrange 4 3 25" xfId="12418" xr:uid="{97A23926-82A2-4176-8F5C-4B440455BDFF}"/>
    <cellStyle name="AggOrange 4 3 26" xfId="12852" xr:uid="{15B12051-DBD2-43C1-A3B0-F4CCF3E736D7}"/>
    <cellStyle name="AggOrange 4 3 27" xfId="13289" xr:uid="{BCF7732E-25B6-4DFD-BB29-F1A59D066769}"/>
    <cellStyle name="AggOrange 4 3 28" xfId="13182" xr:uid="{DB41462E-377D-4665-9882-75CAE4FD46C9}"/>
    <cellStyle name="AggOrange 4 3 29" xfId="14151" xr:uid="{CA5ACB48-02A2-4B09-A489-07F1C00E17CD}"/>
    <cellStyle name="AggOrange 4 3 3" xfId="1075" xr:uid="{BB8AA687-5C86-4742-B5D8-95388164C39F}"/>
    <cellStyle name="AggOrange 4 3 30" xfId="14858" xr:uid="{99908861-F99D-4A5C-925F-E5A20BD38543}"/>
    <cellStyle name="AggOrange 4 3 31" xfId="14102" xr:uid="{C6AD7AD5-16E0-4F17-80AF-21F1D5931769}"/>
    <cellStyle name="AggOrange 4 3 32" xfId="15709" xr:uid="{B3307998-C2BB-42BD-A881-74F86D9CF601}"/>
    <cellStyle name="AggOrange 4 3 33" xfId="15953" xr:uid="{E49E9F62-2B50-4920-B5BA-D492B155DAE8}"/>
    <cellStyle name="AggOrange 4 3 34" xfId="16637" xr:uid="{F4BD6F66-C9A2-4FDE-9401-24D7E7267AD1}"/>
    <cellStyle name="AggOrange 4 3 35" xfId="17305" xr:uid="{2119148F-F9AA-4CA2-A3C1-24E9F5416078}"/>
    <cellStyle name="AggOrange 4 3 36" xfId="17748" xr:uid="{5727324C-E044-42D9-9D2C-73A7A0909C97}"/>
    <cellStyle name="AggOrange 4 3 37" xfId="17515" xr:uid="{D96CCCE0-76A9-48EA-8DEB-6A9563132671}"/>
    <cellStyle name="AggOrange 4 3 38" xfId="18455" xr:uid="{74A37521-66A1-49AC-B802-A9751FF77C5D}"/>
    <cellStyle name="AggOrange 4 3 39" xfId="18996" xr:uid="{4995A77D-60F7-447F-8C61-858BEF98775D}"/>
    <cellStyle name="AggOrange 4 3 4" xfId="1611" xr:uid="{57AFFFE5-0E8C-4062-AC7A-700E256A94C0}"/>
    <cellStyle name="AggOrange 4 3 40" xfId="18219" xr:uid="{3E5F4621-FFF0-4923-A31F-751E292F5399}"/>
    <cellStyle name="AggOrange 4 3 41" xfId="19974" xr:uid="{0946C0AF-6576-409A-AD02-D31D91681C68}"/>
    <cellStyle name="AggOrange 4 3 42" xfId="20656" xr:uid="{91CC664B-FFC6-430B-9682-F9522524AAF0}"/>
    <cellStyle name="AggOrange 4 3 43" xfId="21113" xr:uid="{6A0C28F2-765B-4D5F-9FBB-3F6BEF508150}"/>
    <cellStyle name="AggOrange 4 3 44" xfId="20814" xr:uid="{24C90366-5212-4159-AC08-5CA14D3BCD9E}"/>
    <cellStyle name="AggOrange 4 3 45" xfId="22044" xr:uid="{FD1CD2C4-7626-4247-9294-373A29388525}"/>
    <cellStyle name="AggOrange 4 3 46" xfId="22473" xr:uid="{3EBDF0CC-9E6C-4CF1-9FC8-3AC3B9DDF1C1}"/>
    <cellStyle name="AggOrange 4 3 47" xfId="22446" xr:uid="{8F3942F4-1089-41D6-A2F5-2E79B8338225}"/>
    <cellStyle name="AggOrange 4 3 48" xfId="23279" xr:uid="{63E94720-2CFF-4292-B181-D48CB09DE92F}"/>
    <cellStyle name="AggOrange 4 3 49" xfId="23245" xr:uid="{99005418-3BE0-4877-BA37-694225E095BA}"/>
    <cellStyle name="AggOrange 4 3 5" xfId="2414" xr:uid="{4EA0F682-75AF-40E1-AB11-AB7D421C718F}"/>
    <cellStyle name="AggOrange 4 3 50" xfId="23783" xr:uid="{119A4109-F270-4646-A875-FE0771A98A88}"/>
    <cellStyle name="AggOrange 4 3 51" xfId="24682" xr:uid="{FC239891-E46D-469B-A636-10FEBD80844E}"/>
    <cellStyle name="AggOrange 4 3 52" xfId="25360" xr:uid="{D4D89813-5526-4AEE-B9A5-D2787B9AEBA5}"/>
    <cellStyle name="AggOrange 4 3 53" xfId="25600" xr:uid="{E57C3514-ADB6-4622-98DD-705592085FF2}"/>
    <cellStyle name="AggOrange 4 3 54" xfId="24119" xr:uid="{3F417B34-69D0-451E-B7B2-B87240DB857E}"/>
    <cellStyle name="AggOrange 4 3 55" xfId="25410" xr:uid="{89F8E6DB-504C-42DE-8700-24C7ECCECE7F}"/>
    <cellStyle name="AggOrange 4 3 56" xfId="26890" xr:uid="{674C8A3E-C69C-446C-A3FA-2FDA996A1F8F}"/>
    <cellStyle name="AggOrange 4 3 57" xfId="27309" xr:uid="{B03B878C-7AD0-4940-9A81-1284D121059D}"/>
    <cellStyle name="AggOrange 4 3 58" xfId="27604" xr:uid="{6EC78C6A-EA45-4E12-88A9-3B9B8347A538}"/>
    <cellStyle name="AggOrange 4 3 59" xfId="28432" xr:uid="{8A9729D0-C8EB-450F-93E7-4C6120799B53}"/>
    <cellStyle name="AggOrange 4 3 6" xfId="2131" xr:uid="{F9825FF3-9DF6-45BF-81D9-63E2C09972B8}"/>
    <cellStyle name="AggOrange 4 3 60" xfId="28900" xr:uid="{B6054B98-79D8-4E18-9323-9DA3C8D06966}"/>
    <cellStyle name="AggOrange 4 3 61" xfId="29483" xr:uid="{1B530E68-82EE-4621-8399-70C1E140A312}"/>
    <cellStyle name="AggOrange 4 3 62" xfId="29690" xr:uid="{3B552556-6D34-41C9-A60B-7B9B30FD571C}"/>
    <cellStyle name="AggOrange 4 3 63" xfId="30098" xr:uid="{34F91F5B-9CA9-4612-AACC-5BF2464472E7}"/>
    <cellStyle name="AggOrange 4 3 64" xfId="30512" xr:uid="{1E0AF52F-0C3B-4451-847F-695C39353BAF}"/>
    <cellStyle name="AggOrange 4 3 65" xfId="30199" xr:uid="{F964CDBD-7992-4315-977E-68C7CEFA3601}"/>
    <cellStyle name="AggOrange 4 3 66" xfId="31136" xr:uid="{121AB937-E96C-46BC-8B58-906A0F3750A9}"/>
    <cellStyle name="AggOrange 4 3 7" xfId="3688" xr:uid="{63E2B126-BB76-4EC9-ACC2-B61D2D4F1FBE}"/>
    <cellStyle name="AggOrange 4 3 8" xfId="3910" xr:uid="{B095D032-BCE0-4DED-A646-794D2E55E965}"/>
    <cellStyle name="AggOrange 4 3 9" xfId="4348" xr:uid="{6BD4998A-AF24-4A1A-81F2-9A7F865E285F}"/>
    <cellStyle name="AggOrange 4 30" xfId="11775" xr:uid="{43DCACB8-DCB5-4E56-B645-7EA15478369A}"/>
    <cellStyle name="AggOrange 4 31" xfId="11832" xr:uid="{594692DF-C7F7-47E0-A7B2-F65B971C4FD6}"/>
    <cellStyle name="AggOrange 4 32" xfId="14508" xr:uid="{DEFAD73D-CBFA-49E7-A01F-D18B74A3B049}"/>
    <cellStyle name="AggOrange 4 33" xfId="13204" xr:uid="{54A46839-E410-42B2-AC9A-DF499E1D78AA}"/>
    <cellStyle name="AggOrange 4 34" xfId="15183" xr:uid="{16080E24-586A-4059-9F36-C924FBD34BD0}"/>
    <cellStyle name="AggOrange 4 35" xfId="15196" xr:uid="{0B8FBAEF-961A-4A49-BF12-636D59E1AD00}"/>
    <cellStyle name="AggOrange 4 36" xfId="16315" xr:uid="{5BDB3832-F084-47C8-A916-51A0BFD5F0F9}"/>
    <cellStyle name="AggOrange 4 37" xfId="16061" xr:uid="{04C77A3E-F4CC-4B1D-B44A-D1025666DF78}"/>
    <cellStyle name="AggOrange 4 38" xfId="17261" xr:uid="{59969920-AE05-4591-84BD-BC7AFC756555}"/>
    <cellStyle name="AggOrange 4 39" xfId="18152" xr:uid="{977E0CD9-ADDC-4CEF-B45D-7E6F6BB285B2}"/>
    <cellStyle name="AggOrange 4 4" xfId="566" xr:uid="{139FEBED-75BF-47F3-A954-8F22DE319B18}"/>
    <cellStyle name="AggOrange 4 4 10" xfId="5022" xr:uid="{039F901E-13AD-435B-B937-21F26230D59C}"/>
    <cellStyle name="AggOrange 4 4 11" xfId="5214" xr:uid="{3B393B5A-95B8-4C0A-BCBD-0994943C79F1}"/>
    <cellStyle name="AggOrange 4 4 12" xfId="5561" xr:uid="{776487BC-2F59-4EA3-969A-FE5A2D9B937B}"/>
    <cellStyle name="AggOrange 4 4 13" xfId="2285" xr:uid="{5ED7153D-D9D6-4091-AF02-E3E8F37766B1}"/>
    <cellStyle name="AggOrange 4 4 14" xfId="6640" xr:uid="{63ADDED7-378A-4C99-AE21-1ECE2C47D3BE}"/>
    <cellStyle name="AggOrange 4 4 15" xfId="7286" xr:uid="{2C466B86-6E86-4AE9-8487-5C2D6E8E6C48}"/>
    <cellStyle name="AggOrange 4 4 16" xfId="8025" xr:uid="{A4AFC46F-0149-49ED-87D2-3E861C85C28F}"/>
    <cellStyle name="AggOrange 4 4 17" xfId="7740" xr:uid="{774A7A32-C651-43A8-B553-B26B519C35CD}"/>
    <cellStyle name="AggOrange 4 4 18" xfId="8691" xr:uid="{C30C44B9-F007-486D-9309-C5160067AADE}"/>
    <cellStyle name="AggOrange 4 4 19" xfId="9500" xr:uid="{2106E94E-65C2-4B49-B8A9-FACB8BB26F44}"/>
    <cellStyle name="AggOrange 4 4 2" xfId="781" xr:uid="{A956E134-A7A6-4740-9098-385507848108}"/>
    <cellStyle name="AggOrange 4 4 2 10" xfId="5429" xr:uid="{0BF8AA1D-4990-403D-9233-D16F0C1EC41D}"/>
    <cellStyle name="AggOrange 4 4 2 11" xfId="5863" xr:uid="{B57B60C2-7CA5-4C54-A201-645F574D381E}"/>
    <cellStyle name="AggOrange 4 4 2 12" xfId="3793" xr:uid="{1C157414-63D7-4844-B5E0-D236E4067D78}"/>
    <cellStyle name="AggOrange 4 4 2 13" xfId="6059" xr:uid="{5A7B9C25-F086-484C-8B18-0FB828FE1363}"/>
    <cellStyle name="AggOrange 4 4 2 14" xfId="7501" xr:uid="{183E48D9-79FA-4EB8-BBE5-04AC8111C2CE}"/>
    <cellStyle name="AggOrange 4 4 2 15" xfId="6955" xr:uid="{899B6E9F-DFD5-4C6F-8499-BE5D022D5C21}"/>
    <cellStyle name="AggOrange 4 4 2 16" xfId="8297" xr:uid="{4F67C9C5-699E-4A55-954D-7AF63422990B}"/>
    <cellStyle name="AggOrange 4 4 2 17" xfId="8829" xr:uid="{229E7CB2-A752-4883-A845-8E5EE8FB3045}"/>
    <cellStyle name="AggOrange 4 4 2 18" xfId="9715" xr:uid="{912EBDDD-44F6-4793-A0F6-CEB12D154D7B}"/>
    <cellStyle name="AggOrange 4 4 2 19" xfId="9303" xr:uid="{5B58C3C3-E72E-405A-9F42-2EE9445FFEA2}"/>
    <cellStyle name="AggOrange 4 4 2 2" xfId="1255" xr:uid="{0646D487-8EAE-407D-93BC-31BACFE5CC51}"/>
    <cellStyle name="AggOrange 4 4 2 20" xfId="10049" xr:uid="{CB575F45-C656-4026-9376-8A7AB12F3AC1}"/>
    <cellStyle name="AggOrange 4 4 2 21" xfId="10304" xr:uid="{948BA556-F19B-4DA9-A73A-C4AD7C2C273B}"/>
    <cellStyle name="AggOrange 4 4 2 22" xfId="11157" xr:uid="{0E5B1C59-A012-4A62-9B54-462FD90DD450}"/>
    <cellStyle name="AggOrange 4 4 2 23" xfId="12134" xr:uid="{8CBBF7C3-FCA4-4F05-BB21-F6E591D0BE70}"/>
    <cellStyle name="AggOrange 4 4 2 24" xfId="12607" xr:uid="{B017FF09-46D0-4A02-85CC-D4AC25E15C53}"/>
    <cellStyle name="AggOrange 4 4 2 25" xfId="13041" xr:uid="{48DF3AE0-47F0-4319-A461-ACBEA3BB5217}"/>
    <cellStyle name="AggOrange 4 4 2 26" xfId="13478" xr:uid="{A5F79DA3-F842-459A-8A21-4F05F5866F02}"/>
    <cellStyle name="AggOrange 4 4 2 27" xfId="11807" xr:uid="{2F62F1DC-A62A-49E4-82ED-5B6DDC7BFC52}"/>
    <cellStyle name="AggOrange 4 4 2 28" xfId="14181" xr:uid="{9466DBE1-6C28-4B56-B886-CEAE1383E489}"/>
    <cellStyle name="AggOrange 4 4 2 29" xfId="14319" xr:uid="{8EA3B4A6-F8CA-4DD4-BD61-61A75CE367ED}"/>
    <cellStyle name="AggOrange 4 4 2 3" xfId="1426" xr:uid="{6DCB5EA2-26EA-4E33-BE0C-F7F93F0DFE60}"/>
    <cellStyle name="AggOrange 4 4 2 30" xfId="14725" xr:uid="{716B50E3-492D-4F0F-BD05-48BFF25EAAE4}"/>
    <cellStyle name="AggOrange 4 4 2 31" xfId="14605" xr:uid="{CB2E6682-87EE-4C28-9D0D-A03ED10F73A2}"/>
    <cellStyle name="AggOrange 4 4 2 32" xfId="15350" xr:uid="{21361996-4DFE-46B8-8C8F-0BC40A520482}"/>
    <cellStyle name="AggOrange 4 4 2 33" xfId="16826" xr:uid="{D760442F-C040-44FE-BFC2-BD75F1E2BE2F}"/>
    <cellStyle name="AggOrange 4 4 2 34" xfId="16274" xr:uid="{8A98A69D-DB88-400C-B1BE-FAD7E4B81059}"/>
    <cellStyle name="AggOrange 4 4 2 35" xfId="17167" xr:uid="{A5D4D5E6-2EA7-4496-B28A-0CB7838B21E4}"/>
    <cellStyle name="AggOrange 4 4 2 36" xfId="17928" xr:uid="{15635010-849B-47E1-8568-9B94F545C496}"/>
    <cellStyle name="AggOrange 4 4 2 37" xfId="18644" xr:uid="{C1E2ADC8-78CC-4382-B172-F3198AD1F7BE}"/>
    <cellStyle name="AggOrange 4 4 2 38" xfId="17800" xr:uid="{2BFCDC53-552B-43A3-BDEA-9EEED6C98E5B}"/>
    <cellStyle name="AggOrange 4 4 2 39" xfId="17621" xr:uid="{6285814F-CCC7-4A9B-B4B2-C03BDF3C1D50}"/>
    <cellStyle name="AggOrange 4 4 2 4" xfId="2603" xr:uid="{8656EBC0-A044-4293-8E0C-14CDA309BFEF}"/>
    <cellStyle name="AggOrange 4 4 2 40" xfId="20163" xr:uid="{95454B10-0501-4293-9DBF-E7C5EA4F8890}"/>
    <cellStyle name="AggOrange 4 4 2 41" xfId="19509" xr:uid="{C58BCAA0-55C8-434E-84BD-0DFEA0CEB833}"/>
    <cellStyle name="AggOrange 4 4 2 42" xfId="20464" xr:uid="{98002AE5-1331-4B40-8819-32B435DC7F63}"/>
    <cellStyle name="AggOrange 4 4 2 43" xfId="21344" xr:uid="{ABD39C41-C24F-4FDB-8776-C870A32C10D0}"/>
    <cellStyle name="AggOrange 4 4 2 44" xfId="21397" xr:uid="{E8258E8B-C5FF-479F-9153-600443AF5B05}"/>
    <cellStyle name="AggOrange 4 4 2 45" xfId="21419" xr:uid="{C877909B-DC1F-4BEA-9F5D-8CD89891FFA1}"/>
    <cellStyle name="AggOrange 4 4 2 46" xfId="22169" xr:uid="{0C32B91F-8BAE-483F-9351-324232C7B3F0}"/>
    <cellStyle name="AggOrange 4 4 2 47" xfId="22968" xr:uid="{34589341-5094-4819-9204-49C90EF488A1}"/>
    <cellStyle name="AggOrange 4 4 2 48" xfId="23178" xr:uid="{DD740296-53CF-47C4-9FDE-661F7F2E41EC}"/>
    <cellStyle name="AggOrange 4 4 2 49" xfId="23963" xr:uid="{3F11C1D9-C9CB-44DC-BF65-E74CC0585BC2}"/>
    <cellStyle name="AggOrange 4 4 2 5" xfId="2035" xr:uid="{21BF7CB8-41A3-46F7-96E6-F34394BB4663}"/>
    <cellStyle name="AggOrange 4 4 2 50" xfId="24871" xr:uid="{EC88FA7E-8C8D-4AE1-9828-990101F0BBCD}"/>
    <cellStyle name="AggOrange 4 4 2 51" xfId="24506" xr:uid="{ED4CE7A5-B666-4C30-9EBD-22131626B816}"/>
    <cellStyle name="AggOrange 4 4 2 52" xfId="25787" xr:uid="{68C959C8-EE0D-4848-8F92-BDD3724B4DEE}"/>
    <cellStyle name="AggOrange 4 4 2 53" xfId="25904" xr:uid="{F1508B2E-7EF4-4F19-99C2-DE47D88B1B53}"/>
    <cellStyle name="AggOrange 4 4 2 54" xfId="26632" xr:uid="{E0538E25-3BAA-454F-9DF6-29EBF7372F4B}"/>
    <cellStyle name="AggOrange 4 4 2 55" xfId="27075" xr:uid="{185638A9-2A1B-48B2-BB9D-58D9E60AFA48}"/>
    <cellStyle name="AggOrange 4 4 2 56" xfId="27494" xr:uid="{436EDF98-14B1-4690-873A-5F19528E7B1D}"/>
    <cellStyle name="AggOrange 4 4 2 57" xfId="26154" xr:uid="{9E898CDF-0A75-47F0-99DA-C9414CC41C46}"/>
    <cellStyle name="AggOrange 4 4 2 58" xfId="28621" xr:uid="{5C0D1670-D168-4ABE-A595-4B780E9B3261}"/>
    <cellStyle name="AggOrange 4 4 2 59" xfId="29088" xr:uid="{A1BA2F06-93C6-4676-BF18-DA2980971507}"/>
    <cellStyle name="AggOrange 4 4 2 6" xfId="3592" xr:uid="{AE172C00-259E-4A70-B17E-118AD7184B9B}"/>
    <cellStyle name="AggOrange 4 4 2 60" xfId="28735" xr:uid="{E7D406F6-7D64-46EC-912F-FF0B3B194462}"/>
    <cellStyle name="AggOrange 4 4 2 61" xfId="29877" xr:uid="{FEE3E5FF-3061-455F-80BD-272E8D07F0EE}"/>
    <cellStyle name="AggOrange 4 4 2 62" xfId="30283" xr:uid="{15A0789A-D63A-45D7-9F2D-9BAD8CF45603}"/>
    <cellStyle name="AggOrange 4 4 2 63" xfId="30700" xr:uid="{02DEC92A-3930-4180-B351-79CE54682C3F}"/>
    <cellStyle name="AggOrange 4 4 2 64" xfId="28345" xr:uid="{9106AE9F-250F-4639-AB44-0ED7A89959C1}"/>
    <cellStyle name="AggOrange 4 4 2 65" xfId="31316" xr:uid="{C3CFEDA2-6F56-4F91-9E9A-AD04ADAFB684}"/>
    <cellStyle name="AggOrange 4 4 2 7" xfId="4099" xr:uid="{524CB6EC-3B8D-4E18-87E2-053F4BDD9164}"/>
    <cellStyle name="AggOrange 4 4 2 8" xfId="4536" xr:uid="{62141263-6CDD-494E-BAA9-CBE397553678}"/>
    <cellStyle name="AggOrange 4 4 2 9" xfId="4966" xr:uid="{34F406FD-56E8-4234-A4E6-0655F5B9A2D2}"/>
    <cellStyle name="AggOrange 4 4 20" xfId="10244" xr:uid="{A2A4CED1-5CA6-4411-BFAE-5F72035CCD9F}"/>
    <cellStyle name="AggOrange 4 4 21" xfId="10639" xr:uid="{3C438837-5012-414F-8E54-0D47A34178A5}"/>
    <cellStyle name="AggOrange 4 4 22" xfId="10313" xr:uid="{A56964F3-E480-4B73-BDBF-86A8125776D6}"/>
    <cellStyle name="AggOrange 4 4 23" xfId="11089" xr:uid="{C30CCDA3-9E37-4E62-9A4D-6DE093C9F671}"/>
    <cellStyle name="AggOrange 4 4 24" xfId="11919" xr:uid="{34936B28-B237-43C3-8C92-6E192A248E68}"/>
    <cellStyle name="AggOrange 4 4 25" xfId="12392" xr:uid="{73813D12-C5EE-4C4E-9BAF-B1DE43B9DBDA}"/>
    <cellStyle name="AggOrange 4 4 26" xfId="12826" xr:uid="{61C7F7BC-6ECB-4807-B5F6-B861A9C97F00}"/>
    <cellStyle name="AggOrange 4 4 27" xfId="13263" xr:uid="{6D75F43A-B7A6-479F-8BB8-67FA9B6ADD18}"/>
    <cellStyle name="AggOrange 4 4 28" xfId="12260" xr:uid="{73163083-00CC-48D8-B539-1375A9A846BF}"/>
    <cellStyle name="AggOrange 4 4 29" xfId="14236" xr:uid="{C06FE1AA-0EE7-4216-BF2F-E893D8D43EDE}"/>
    <cellStyle name="AggOrange 4 4 3" xfId="1049" xr:uid="{5803FB24-C8FA-4101-A4CE-070598261B56}"/>
    <cellStyle name="AggOrange 4 4 30" xfId="14063" xr:uid="{E1CCFB94-C427-4D0C-B17B-E76A813AA868}"/>
    <cellStyle name="AggOrange 4 4 31" xfId="14141" xr:uid="{AEAD2A56-E50E-46AB-B20A-11A196153080}"/>
    <cellStyle name="AggOrange 4 4 32" xfId="15643" xr:uid="{F597C891-E861-44ED-A54C-121D010E693F}"/>
    <cellStyle name="AggOrange 4 4 33" xfId="15985" xr:uid="{CB6CDACB-08F2-4BE7-9D73-6A11968AD647}"/>
    <cellStyle name="AggOrange 4 4 34" xfId="16611" xr:uid="{7FEFD154-1312-41A1-B082-0116268DA7EE}"/>
    <cellStyle name="AggOrange 4 4 35" xfId="17365" xr:uid="{A8D9B53A-38A5-410C-96B1-CC9F4F93515F}"/>
    <cellStyle name="AggOrange 4 4 36" xfId="17807" xr:uid="{AAE1445E-61D4-4711-A452-A32054C724A8}"/>
    <cellStyle name="AggOrange 4 4 37" xfId="18192" xr:uid="{6A6572F9-8008-4A19-A097-EEE2D8FF77FC}"/>
    <cellStyle name="AggOrange 4 4 38" xfId="18429" xr:uid="{03F65423-E9EF-46DB-9831-5C83F0AACEAB}"/>
    <cellStyle name="AggOrange 4 4 39" xfId="18765" xr:uid="{D5F68E30-E47A-4D4E-9923-2EC3561FA00D}"/>
    <cellStyle name="AggOrange 4 4 4" xfId="1709" xr:uid="{B5CC380E-82C3-4FAA-8FCC-783B24C78CBA}"/>
    <cellStyle name="AggOrange 4 4 40" xfId="19335" xr:uid="{C1AAEC36-CFC7-4896-AB4D-CBDFCE37C543}"/>
    <cellStyle name="AggOrange 4 4 41" xfId="19948" xr:uid="{0DAABC66-B32D-423D-9A64-4A8E6B875AE1}"/>
    <cellStyle name="AggOrange 4 4 42" xfId="20715" xr:uid="{7EC09D28-C4ED-40D1-8517-D95B5617DCD1}"/>
    <cellStyle name="AggOrange 4 4 43" xfId="21173" xr:uid="{7BF7273C-4711-41C9-BEA1-6FE8CF90BA1E}"/>
    <cellStyle name="AggOrange 4 4 44" xfId="20936" xr:uid="{CB1C5333-CFFB-4789-BE70-F8172EC60B4E}"/>
    <cellStyle name="AggOrange 4 4 45" xfId="22104" xr:uid="{43AF5AAE-8D50-4134-BAB6-3CDED071FC68}"/>
    <cellStyle name="AggOrange 4 4 46" xfId="22532" xr:uid="{76C0E808-13C2-45ED-9D74-012B5BD71E08}"/>
    <cellStyle name="AggOrange 4 4 47" xfId="21429" xr:uid="{6C3A5044-9D9A-47BF-9DDF-2118D55CD2F9}"/>
    <cellStyle name="AggOrange 4 4 48" xfId="23033" xr:uid="{4673CA3C-BDC8-408E-A81D-7FBEB9E68644}"/>
    <cellStyle name="AggOrange 4 4 49" xfId="23073" xr:uid="{807335C1-DA6C-44E3-8ECA-83608FED4CFD}"/>
    <cellStyle name="AggOrange 4 4 5" xfId="2388" xr:uid="{3EEECEF5-26DF-48E3-9334-497AE0CF536A}"/>
    <cellStyle name="AggOrange 4 4 50" xfId="23757" xr:uid="{EF05BE0C-A421-4BDF-A716-873E321327F9}"/>
    <cellStyle name="AggOrange 4 4 51" xfId="24656" xr:uid="{FB5F41E6-2B15-405F-8A4D-BEC7E7ACFE14}"/>
    <cellStyle name="AggOrange 4 4 52" xfId="25419" xr:uid="{D28D32FD-0FCE-46FA-ADBA-B2BEAD5971EE}"/>
    <cellStyle name="AggOrange 4 4 53" xfId="25574" xr:uid="{72CC8BA9-0D88-42E1-A9D9-625E2D8F226B}"/>
    <cellStyle name="AggOrange 4 4 54" xfId="25209" xr:uid="{F28869C6-DB88-451C-824E-51ED1E41799F}"/>
    <cellStyle name="AggOrange 4 4 55" xfId="24250" xr:uid="{CA6C4DB5-93B6-4325-8380-56141FCC8417}"/>
    <cellStyle name="AggOrange 4 4 56" xfId="26864" xr:uid="{4713BDEE-C0EA-403C-829B-4867B2109A91}"/>
    <cellStyle name="AggOrange 4 4 57" xfId="27283" xr:uid="{CBAC006F-EB61-49CC-BA41-304618C5BFE6}"/>
    <cellStyle name="AggOrange 4 4 58" xfId="27750" xr:uid="{016E448B-166D-4940-9751-65CD0F26EEE7}"/>
    <cellStyle name="AggOrange 4 4 59" xfId="28406" xr:uid="{F83A8F93-7981-48EA-B041-F4FAFF604FE0}"/>
    <cellStyle name="AggOrange 4 4 6" xfId="2066" xr:uid="{6F432F94-C10E-47D0-97E0-4EDB74567398}"/>
    <cellStyle name="AggOrange 4 4 60" xfId="28874" xr:uid="{5317BCE8-0FEA-499B-93D7-434B653F0965}"/>
    <cellStyle name="AggOrange 4 4 61" xfId="29533" xr:uid="{F7D46977-FC55-4959-90CF-1CAC11874EBA}"/>
    <cellStyle name="AggOrange 4 4 62" xfId="29664" xr:uid="{0F90613D-FC25-4FE7-B6E3-C521B1C61CC0}"/>
    <cellStyle name="AggOrange 4 4 63" xfId="30072" xr:uid="{27254DD5-380B-4414-B037-37880BF0273D}"/>
    <cellStyle name="AggOrange 4 4 64" xfId="30486" xr:uid="{29B48F83-4327-47CB-847D-010737454BAC}"/>
    <cellStyle name="AggOrange 4 4 65" xfId="29307" xr:uid="{133A3AA9-B31C-40E4-8F9B-81AB6BF5B611}"/>
    <cellStyle name="AggOrange 4 4 66" xfId="31110" xr:uid="{59811413-5082-4522-93F0-B247C17866BA}"/>
    <cellStyle name="AggOrange 4 4 7" xfId="3516" xr:uid="{447EB014-0D40-414E-BDCF-D26DE91AF844}"/>
    <cellStyle name="AggOrange 4 4 8" xfId="3884" xr:uid="{B4EFBCC3-BDBB-4547-B091-6360D902E835}"/>
    <cellStyle name="AggOrange 4 4 9" xfId="4322" xr:uid="{D57A40A4-FC77-4093-B6C1-FC938170AA48}"/>
    <cellStyle name="AggOrange 4 40" xfId="17639" xr:uid="{58ED769E-9F54-4F94-BC33-3BBDA7500480}"/>
    <cellStyle name="AggOrange 4 41" xfId="18801" xr:uid="{EF35615D-2D3B-4699-8094-A50627AA8C70}"/>
    <cellStyle name="AggOrange 4 42" xfId="19074" xr:uid="{52DE73F7-7F81-41B8-B0C2-D91CD18B9B63}"/>
    <cellStyle name="AggOrange 4 43" xfId="19648" xr:uid="{5CDFC3B9-4E68-47EE-980A-56759B5255BC}"/>
    <cellStyle name="AggOrange 4 44" xfId="19728" xr:uid="{73E4A08F-E06F-4AD3-A24E-CCCDB0391A62}"/>
    <cellStyle name="AggOrange 4 45" xfId="20546" xr:uid="{C6C10F01-2029-4EF0-B66E-1482AC5C299A}"/>
    <cellStyle name="AggOrange 4 46" xfId="21000" xr:uid="{D6B978DD-1180-4C95-B2A8-5B45BA3D1574}"/>
    <cellStyle name="AggOrange 4 47" xfId="19485" xr:uid="{3263E78A-F89B-48BB-B22E-2B435C3743FE}"/>
    <cellStyle name="AggOrange 4 48" xfId="19544" xr:uid="{DF44230C-C7D0-4181-8464-DBE190D687FA}"/>
    <cellStyle name="AggOrange 4 49" xfId="21788" xr:uid="{42FFB401-0D20-4B95-95CB-75CBDC0F1BA3}"/>
    <cellStyle name="AggOrange 4 5" xfId="941" xr:uid="{31D7A7D6-BDBD-4EDB-9F59-7D646C19AACA}"/>
    <cellStyle name="AggOrange 4 50" xfId="23074" xr:uid="{654D0AA6-49E4-4C39-ACA6-9AA0CE56A9E1}"/>
    <cellStyle name="AggOrange 4 51" xfId="23367" xr:uid="{67EB3ED1-98DB-463F-BA56-E9F08601267F}"/>
    <cellStyle name="AggOrange 4 52" xfId="22513" xr:uid="{0C3622C4-C4D0-49BD-8495-D20041B9BE41}"/>
    <cellStyle name="AggOrange 4 53" xfId="24368" xr:uid="{3128CC3B-CCD8-4BAD-8C5D-8AA1C5C5389A}"/>
    <cellStyle name="AggOrange 4 54" xfId="25030" xr:uid="{666F0D0F-9EEC-4F15-88E3-610E639FD1BF}"/>
    <cellStyle name="AggOrange 4 55" xfId="25151" xr:uid="{585A4B25-BBAE-4583-BA6C-BBEF7D6537F4}"/>
    <cellStyle name="AggOrange 4 56" xfId="26208" xr:uid="{5EB648B6-45AB-4575-A7F1-C9210D923369}"/>
    <cellStyle name="AggOrange 4 57" xfId="26284" xr:uid="{75C5589D-E534-453E-B191-9D0BBE5E792F}"/>
    <cellStyle name="AggOrange 4 58" xfId="26562" xr:uid="{188AB5E7-7227-48FC-A841-430658AC97EC}"/>
    <cellStyle name="AggOrange 4 59" xfId="27185" xr:uid="{DEBB5D3F-862E-4218-975E-A04A2A976354}"/>
    <cellStyle name="AggOrange 4 6" xfId="1532" xr:uid="{DBF41AD4-077E-45C8-8597-EEFA9D8B6A02}"/>
    <cellStyle name="AggOrange 4 60" xfId="26286" xr:uid="{FE589056-A11A-42F8-849E-FD79C85F38E6}"/>
    <cellStyle name="AggOrange 4 61" xfId="28139" xr:uid="{8DE39456-E5C6-4CF4-9058-5B70CB62ABE9}"/>
    <cellStyle name="AggOrange 4 62" xfId="28017" xr:uid="{B1A14B65-71F9-45C6-8B21-62B260733BC6}"/>
    <cellStyle name="AggOrange 4 63" xfId="28252" xr:uid="{29EF672F-F0CD-4F77-80FC-0DCBF2CA0C4E}"/>
    <cellStyle name="AggOrange 4 64" xfId="28078" xr:uid="{C9262605-049D-44B6-B43D-1A9363797432}"/>
    <cellStyle name="AggOrange 4 65" xfId="28119" xr:uid="{537EEEDE-4A08-40F6-822F-462265F08DA7}"/>
    <cellStyle name="AggOrange 4 66" xfId="29513" xr:uid="{82DA4AD1-722B-42AE-830F-1C4CAA3976C6}"/>
    <cellStyle name="AggOrange 4 67" xfId="27934" xr:uid="{F84329C4-6529-47DD-A6E4-DD48BDB46729}"/>
    <cellStyle name="AggOrange 4 68" xfId="29594" xr:uid="{AF1DBB30-09EC-4CB4-A1AB-E0E81230AC61}"/>
    <cellStyle name="AggOrange 4 7" xfId="2088" xr:uid="{32E2FDE8-BD5D-41EA-9D0A-1C4BB0870E88}"/>
    <cellStyle name="AggOrange 4 8" xfId="1990" xr:uid="{6B413A44-1598-44B2-8C96-26140538E83C}"/>
    <cellStyle name="AggOrange 4 9" xfId="3655" xr:uid="{CDACF562-F3A2-47D5-8A25-4B133FE5B69A}"/>
    <cellStyle name="AggOrange 5" xfId="70" xr:uid="{8DE2FC1B-6B2D-4B96-BA00-B0B913C0C5E7}"/>
    <cellStyle name="AggOrange 5 10" xfId="16122" xr:uid="{5D2DB520-0CDC-4EFB-96F7-F999F4C15090}"/>
    <cellStyle name="AggOrange 5 11" xfId="19107" xr:uid="{1DF8C9B5-1CAC-481D-B56D-7CB8ACC91784}"/>
    <cellStyle name="AggOrange 5 12" xfId="19455" xr:uid="{C6CEAAAC-CBD8-4888-8E6C-66A0A0EC6C87}"/>
    <cellStyle name="AggOrange 5 13" xfId="22543" xr:uid="{451F099C-3C52-4809-B5FE-3131825350BB}"/>
    <cellStyle name="AggOrange 5 14" xfId="24176" xr:uid="{CA5BBB5A-11FF-4704-A719-B1E32DD0A05C}"/>
    <cellStyle name="AggOrange 5 15" xfId="25316" xr:uid="{0335EF96-1BEC-4261-9CAB-753747C02770}"/>
    <cellStyle name="AggOrange 5 16" xfId="27969" xr:uid="{0E650B9A-58C0-4A5E-A126-F85D421CB38B}"/>
    <cellStyle name="AggOrange 5 2" xfId="917" xr:uid="{82B5B20F-A80B-4BB5-85F6-EF6E2F69216D}"/>
    <cellStyle name="AggOrange 5 3" xfId="1899" xr:uid="{6525689E-D94E-47C6-8E12-20AE73C186BD}"/>
    <cellStyle name="AggOrange 5 4" xfId="3646" xr:uid="{9A762F69-85F0-4C90-8EAD-B706EF67177F}"/>
    <cellStyle name="AggOrange 5 5" xfId="4210" xr:uid="{60FE453F-898D-48C6-B1DD-5E4D7C4962B4}"/>
    <cellStyle name="AggOrange 5 6" xfId="6811" xr:uid="{C31FC11E-0091-494A-B48D-4C3B2E1FD13C}"/>
    <cellStyle name="AggOrange 5 7" xfId="8158" xr:uid="{7E959F69-73A4-4CCE-8D29-F421F3CC70DC}"/>
    <cellStyle name="AggOrange 5 8" xfId="9025" xr:uid="{E41BF454-AA3D-4203-946C-C0C884CFE8A4}"/>
    <cellStyle name="AggOrange 5 9" xfId="11430" xr:uid="{7264D2BD-26F1-4F47-8632-3070AAA3028D}"/>
    <cellStyle name="AggOrange_B_border" xfId="29" xr:uid="{568A61E4-EC45-45B2-B1AE-1A43505FD0A8}"/>
    <cellStyle name="AggOrange9" xfId="16" xr:uid="{AD8D5365-E0F4-4C37-B16F-5616EC762AE9}"/>
    <cellStyle name="AggOrange9 2" xfId="117" xr:uid="{FF77071B-5D78-4758-85D0-B6672E427B4B}"/>
    <cellStyle name="AggOrange9 2 2" xfId="409" xr:uid="{19F17E67-9182-4A19-9D92-C462313A470A}"/>
    <cellStyle name="AggOrange9 2 2 2" xfId="645" xr:uid="{E4398B53-F138-4FB9-AD49-470D130915CD}"/>
    <cellStyle name="AggOrange9 2 2 2 10" xfId="4975" xr:uid="{671A28B9-B7AF-4FF0-8074-CC1E78A982D3}"/>
    <cellStyle name="AggOrange9 2 2 2 11" xfId="5293" xr:uid="{BD0FE9F1-E9EE-4140-91D7-9660780B3DA0}"/>
    <cellStyle name="AggOrange9 2 2 2 12" xfId="4803" xr:uid="{0AC03D5D-DBED-476D-A077-5B5D0D4806A1}"/>
    <cellStyle name="AggOrange9 2 2 2 13" xfId="3794" xr:uid="{9F2474BF-4E83-46C4-A36D-2FC1E7BB812A}"/>
    <cellStyle name="AggOrange9 2 2 2 14" xfId="6497" xr:uid="{1743FB9B-BCBD-4449-9010-899882D2B651}"/>
    <cellStyle name="AggOrange9 2 2 2 15" xfId="7365" xr:uid="{1465935B-C3E0-4ACE-9960-C4A016A4055E}"/>
    <cellStyle name="AggOrange9 2 2 2 16" xfId="7823" xr:uid="{E1C9D724-0F07-4DBD-B1AC-DA006C78CDD7}"/>
    <cellStyle name="AggOrange9 2 2 2 17" xfId="6888" xr:uid="{89638C7B-545A-498A-85C6-EBDD5C864D5B}"/>
    <cellStyle name="AggOrange9 2 2 2 18" xfId="8537" xr:uid="{FAD7B754-A7C6-4229-AC52-7147F9C6E62E}"/>
    <cellStyle name="AggOrange9 2 2 2 19" xfId="9579" xr:uid="{41CD50F4-BEF8-4F36-ACF1-89DAE73D587B}"/>
    <cellStyle name="AggOrange9 2 2 2 2" xfId="860" xr:uid="{4D81B17F-F3C9-4570-93D1-C254D40B65B8}"/>
    <cellStyle name="AggOrange9 2 2 2 2 10" xfId="5508" xr:uid="{26358B16-B9CB-40C0-B60D-A2A0BD8C9158}"/>
    <cellStyle name="AggOrange9 2 2 2 2 11" xfId="4772" xr:uid="{778E9658-D134-4A88-B56C-78067AC0926B}"/>
    <cellStyle name="AggOrange9 2 2 2 2 12" xfId="5897" xr:uid="{D5994E17-3EB1-438C-986D-770238201D23}"/>
    <cellStyle name="AggOrange9 2 2 2 2 13" xfId="2154" xr:uid="{879ED12E-4E0D-4BC6-A93A-D739DDC296E8}"/>
    <cellStyle name="AggOrange9 2 2 2 2 14" xfId="7580" xr:uid="{925B11AE-E63B-4201-A63C-9337EB867D53}"/>
    <cellStyle name="AggOrange9 2 2 2 2 15" xfId="7418" xr:uid="{EBDA10BC-C768-4FE5-9C9E-427D1573AFE7}"/>
    <cellStyle name="AggOrange9 2 2 2 2 16" xfId="8467" xr:uid="{3DED9321-F736-48C7-826E-7B435C658BF8}"/>
    <cellStyle name="AggOrange9 2 2 2 2 17" xfId="8432" xr:uid="{73D9EBF6-0054-462A-BF1E-E24CD53B7653}"/>
    <cellStyle name="AggOrange9 2 2 2 2 18" xfId="9794" xr:uid="{01E1B6B2-DD1D-4373-8261-4E6095869F32}"/>
    <cellStyle name="AggOrange9 2 2 2 2 19" xfId="8958" xr:uid="{509A9CB7-966A-48AE-88C4-1E0B4E1F8426}"/>
    <cellStyle name="AggOrange9 2 2 2 2 2" xfId="1334" xr:uid="{F7BC1BA6-0355-40F0-8E8C-192248B9EA9B}"/>
    <cellStyle name="AggOrange9 2 2 2 2 20" xfId="9874" xr:uid="{48B9AB64-C14D-46DC-A2E2-0A9CE9052AFF}"/>
    <cellStyle name="AggOrange9 2 2 2 2 21" xfId="10436" xr:uid="{08A1EC49-0B0B-4D33-A87B-BF3FDD24CBC3}"/>
    <cellStyle name="AggOrange9 2 2 2 2 22" xfId="11182" xr:uid="{597695AD-24F7-4455-97E8-146022A8CE23}"/>
    <cellStyle name="AggOrange9 2 2 2 2 23" xfId="12213" xr:uid="{3F5EB813-1001-43EE-A697-442F01C7F894}"/>
    <cellStyle name="AggOrange9 2 2 2 2 24" xfId="12686" xr:uid="{781D2F74-28D2-4F8A-8F25-832533F15C9F}"/>
    <cellStyle name="AggOrange9 2 2 2 2 25" xfId="13120" xr:uid="{53054BB0-BF51-4FD0-A3BE-D4F95A6FA52B}"/>
    <cellStyle name="AggOrange9 2 2 2 2 26" xfId="13557" xr:uid="{BFA21C5E-1A0D-4C27-8B8A-04D9CF54C743}"/>
    <cellStyle name="AggOrange9 2 2 2 2 27" xfId="11615" xr:uid="{5B436546-3399-4614-A39A-43DCF9436B3C}"/>
    <cellStyle name="AggOrange9 2 2 2 2 28" xfId="14476" xr:uid="{FA443107-0399-4A18-A7E7-FB476A14E929}"/>
    <cellStyle name="AggOrange9 2 2 2 2 29" xfId="13863" xr:uid="{949065AE-A74B-4693-836B-4D2A4A2F8CE0}"/>
    <cellStyle name="AggOrange9 2 2 2 2 3" xfId="1783" xr:uid="{F2A96E75-ED40-4B1B-BE0A-79B5020EE1DD}"/>
    <cellStyle name="AggOrange9 2 2 2 2 30" xfId="14538" xr:uid="{8B998AD2-6FC6-4129-9151-4B380E68177E}"/>
    <cellStyle name="AggOrange9 2 2 2 2 31" xfId="14281" xr:uid="{749E1E61-B3E0-4250-9098-1BE6E735047E}"/>
    <cellStyle name="AggOrange9 2 2 2 2 32" xfId="15718" xr:uid="{8AC58D98-E299-4984-81BA-DA15F7A8BCA2}"/>
    <cellStyle name="AggOrange9 2 2 2 2 33" xfId="16905" xr:uid="{A28BCD5B-D8AA-4952-81DD-972B99D7A1CE}"/>
    <cellStyle name="AggOrange9 2 2 2 2 34" xfId="16743" xr:uid="{0A40F8F8-5D40-460C-994F-0A763F52A6B5}"/>
    <cellStyle name="AggOrange9 2 2 2 2 35" xfId="16989" xr:uid="{63F2AB15-0035-40C4-8D16-DAE06307E0DA}"/>
    <cellStyle name="AggOrange9 2 2 2 2 36" xfId="16496" xr:uid="{B6F0BAD8-C697-4521-B0DE-4A0134BBC3B8}"/>
    <cellStyle name="AggOrange9 2 2 2 2 37" xfId="18723" xr:uid="{1AAFF0A0-9FB2-4420-9997-73867CF0864F}"/>
    <cellStyle name="AggOrange9 2 2 2 2 38" xfId="16161" xr:uid="{6F1A5554-7547-4141-9E23-AA9E38A63137}"/>
    <cellStyle name="AggOrange9 2 2 2 2 39" xfId="18340" xr:uid="{094FB789-236D-4F92-805D-481D6228F321}"/>
    <cellStyle name="AggOrange9 2 2 2 2 4" xfId="2682" xr:uid="{67327473-D227-4DC9-A075-2D23C875811D}"/>
    <cellStyle name="AggOrange9 2 2 2 2 40" xfId="20242" xr:uid="{1CA2E08A-EE0F-42BA-9BA8-A1DD4FB6A338}"/>
    <cellStyle name="AggOrange9 2 2 2 2 41" xfId="19798" xr:uid="{7AB0DED0-9192-475C-B413-B8F1CFB7D2E2}"/>
    <cellStyle name="AggOrange9 2 2 2 2 42" xfId="19822" xr:uid="{9695B0DE-C847-45BC-870D-999CA714788F}"/>
    <cellStyle name="AggOrange9 2 2 2 2 43" xfId="21485" xr:uid="{3E44C359-2622-4E49-8243-C286BD94D29D}"/>
    <cellStyle name="AggOrange9 2 2 2 2 44" xfId="21654" xr:uid="{DBD62840-A235-483B-B541-4695285BFABB}"/>
    <cellStyle name="AggOrange9 2 2 2 2 45" xfId="21722" xr:uid="{E0772B6F-7055-46B4-9ABD-E4627F7C84BA}"/>
    <cellStyle name="AggOrange9 2 2 2 2 46" xfId="22111" xr:uid="{01335795-A6DC-4F15-9B70-D709EA064363}"/>
    <cellStyle name="AggOrange9 2 2 2 2 47" xfId="21579" xr:uid="{418E04DB-4BEB-46CB-A8D9-F960D09E4880}"/>
    <cellStyle name="AggOrange9 2 2 2 2 48" xfId="23380" xr:uid="{A246BCE1-8D14-464D-80A9-977738BD4C70}"/>
    <cellStyle name="AggOrange9 2 2 2 2 49" xfId="24042" xr:uid="{03768D00-CA5D-45C9-B392-919AF7821834}"/>
    <cellStyle name="AggOrange9 2 2 2 2 5" xfId="1930" xr:uid="{CDB60B72-6318-423A-88A1-68AE3DD4074A}"/>
    <cellStyle name="AggOrange9 2 2 2 2 50" xfId="24950" xr:uid="{E0CB7398-6ED6-4353-BCCC-BCDF2B8F7959}"/>
    <cellStyle name="AggOrange9 2 2 2 2 51" xfId="24234" xr:uid="{87F3C29A-4623-4949-B238-D29EB6C89882}"/>
    <cellStyle name="AggOrange9 2 2 2 2 52" xfId="25866" xr:uid="{F4510094-E637-4A8A-9990-6C1B8AA9B55F}"/>
    <cellStyle name="AggOrange9 2 2 2 2 53" xfId="25909" xr:uid="{460DD1E4-9101-48F5-88E9-42BECBA46E35}"/>
    <cellStyle name="AggOrange9 2 2 2 2 54" xfId="26733" xr:uid="{12012061-0A2F-465B-8486-619B24FFCF16}"/>
    <cellStyle name="AggOrange9 2 2 2 2 55" xfId="27154" xr:uid="{E911CEE1-9F5B-4F34-9D57-562580231E6C}"/>
    <cellStyle name="AggOrange9 2 2 2 2 56" xfId="27573" xr:uid="{B1AEFBE8-2B6F-4A74-886D-FA8E8C4B3300}"/>
    <cellStyle name="AggOrange9 2 2 2 2 57" xfId="27387" xr:uid="{40B7BB47-810E-4E83-99E8-BC8B7C3049AB}"/>
    <cellStyle name="AggOrange9 2 2 2 2 58" xfId="28700" xr:uid="{5A496DC9-A831-4A06-87C0-6C9A62ABCEE7}"/>
    <cellStyle name="AggOrange9 2 2 2 2 59" xfId="29167" xr:uid="{062B9979-4A61-4715-B797-3D6797639AF5}"/>
    <cellStyle name="AggOrange9 2 2 2 2 6" xfId="3448" xr:uid="{9F6761BC-398C-4797-8CD3-B6EED1E18E38}"/>
    <cellStyle name="AggOrange9 2 2 2 2 60" xfId="28108" xr:uid="{C6CAC2F3-9703-48F6-B0FB-1705B68C6592}"/>
    <cellStyle name="AggOrange9 2 2 2 2 61" xfId="29956" xr:uid="{7E3153B9-4341-4D0F-BD12-1BCE7B76BE50}"/>
    <cellStyle name="AggOrange9 2 2 2 2 62" xfId="30362" xr:uid="{1BD86C77-DE40-4048-8ED2-1DB843A6C531}"/>
    <cellStyle name="AggOrange9 2 2 2 2 63" xfId="30779" xr:uid="{6B3A373B-EAD4-49EC-9D6F-BFE18AB593A7}"/>
    <cellStyle name="AggOrange9 2 2 2 2 64" xfId="30013" xr:uid="{B926F065-9A45-41EE-9C75-933BF7E4BC00}"/>
    <cellStyle name="AggOrange9 2 2 2 2 65" xfId="31395" xr:uid="{88D8471C-6436-4205-978C-FBEA819806EA}"/>
    <cellStyle name="AggOrange9 2 2 2 2 7" xfId="4178" xr:uid="{F8EE8540-CAC1-4E08-BEBC-26AFAA9A7CAF}"/>
    <cellStyle name="AggOrange9 2 2 2 2 8" xfId="4615" xr:uid="{4ACBF3E9-70AA-432C-A3EA-572A4F274785}"/>
    <cellStyle name="AggOrange9 2 2 2 2 9" xfId="5061" xr:uid="{F940FF6D-E96E-4196-BA40-C165C20F278B}"/>
    <cellStyle name="AggOrange9 2 2 2 20" xfId="10035" xr:uid="{FF76F0E9-8D44-43B5-8FB0-FF88771C1D73}"/>
    <cellStyle name="AggOrange9 2 2 2 21" xfId="10456" xr:uid="{5EE87492-EDEE-463F-98D8-AA22EF3B182A}"/>
    <cellStyle name="AggOrange9 2 2 2 22" xfId="10620" xr:uid="{56572213-EC84-49E4-B465-0521920654AE}"/>
    <cellStyle name="AggOrange9 2 2 2 23" xfId="11063" xr:uid="{49454041-CC6F-4F78-84E9-BB8502250479}"/>
    <cellStyle name="AggOrange9 2 2 2 24" xfId="11998" xr:uid="{ED3611BC-764A-4603-9594-2B297ADE6F59}"/>
    <cellStyle name="AggOrange9 2 2 2 25" xfId="12471" xr:uid="{CB91FE3D-7172-406A-B79A-AE71B48BC839}"/>
    <cellStyle name="AggOrange9 2 2 2 26" xfId="12905" xr:uid="{9E779DE8-B795-421B-99A6-E86938E4BE69}"/>
    <cellStyle name="AggOrange9 2 2 2 27" xfId="13342" xr:uid="{1CD3340F-74D2-4FFD-A621-382B88277CB7}"/>
    <cellStyle name="AggOrange9 2 2 2 28" xfId="13775" xr:uid="{6D5D4D45-6B67-4578-B4C1-721182DB9E61}"/>
    <cellStyle name="AggOrange9 2 2 2 29" xfId="14190" xr:uid="{A5E3FFE3-E508-4E92-A4EF-FDD2B5E8B26A}"/>
    <cellStyle name="AggOrange9 2 2 2 3" xfId="1128" xr:uid="{4A8387A8-4C83-491E-9BF7-681320C211A2}"/>
    <cellStyle name="AggOrange9 2 2 2 30" xfId="14355" xr:uid="{E5067326-45A2-4BB7-99DC-54F295034C2E}"/>
    <cellStyle name="AggOrange9 2 2 2 31" xfId="12723" xr:uid="{48CD498C-D261-499D-915D-F6BFFD198B20}"/>
    <cellStyle name="AggOrange9 2 2 2 32" xfId="15100" xr:uid="{79F5DC21-F61B-4C9B-B3E0-A960C252F5B8}"/>
    <cellStyle name="AggOrange9 2 2 2 33" xfId="15870" xr:uid="{43DA1C53-D24E-4434-96E6-5C642CFCCEC3}"/>
    <cellStyle name="AggOrange9 2 2 2 34" xfId="16690" xr:uid="{EAA5EEAB-D9DB-4109-8B1E-503EFAF9960E}"/>
    <cellStyle name="AggOrange9 2 2 2 35" xfId="17153" xr:uid="{3D20EE1E-31FC-464F-8994-22388AF3E101}"/>
    <cellStyle name="AggOrange9 2 2 2 36" xfId="17598" xr:uid="{BD2E5DB8-286B-481E-B674-B879C6176385}"/>
    <cellStyle name="AggOrange9 2 2 2 37" xfId="18023" xr:uid="{98703697-5A08-4FE3-8E58-AFC19AF69CC1}"/>
    <cellStyle name="AggOrange9 2 2 2 38" xfId="18508" xr:uid="{4E480EA2-5CAA-4B41-A6DC-57068A85291E}"/>
    <cellStyle name="AggOrange9 2 2 2 39" xfId="18900" xr:uid="{8CDAD394-625C-4DCF-863C-E41B4965CBEC}"/>
    <cellStyle name="AggOrange9 2 2 2 4" xfId="1685" xr:uid="{8A996EB8-B12D-45AC-8CC2-80414FE191D7}"/>
    <cellStyle name="AggOrange9 2 2 2 40" xfId="18818" xr:uid="{DA2C4131-0305-45DE-AEA2-9871FA978053}"/>
    <cellStyle name="AggOrange9 2 2 2 41" xfId="20027" xr:uid="{A79D8ABE-7DB5-4B6E-AB8E-C140D56DACF4}"/>
    <cellStyle name="AggOrange9 2 2 2 42" xfId="20505" xr:uid="{E09C2AD0-3792-4F60-87D7-9D516E148D1D}"/>
    <cellStyle name="AggOrange9 2 2 2 43" xfId="20959" xr:uid="{78D88B63-039E-4552-9B98-C6FA996854C0}"/>
    <cellStyle name="AggOrange9 2 2 2 44" xfId="20995" xr:uid="{62070AD8-B764-4039-90E1-19E388DA9EE9}"/>
    <cellStyle name="AggOrange9 2 2 2 45" xfId="21889" xr:uid="{7838DD8B-B4FF-47DB-8A51-C15F965247D3}"/>
    <cellStyle name="AggOrange9 2 2 2 46" xfId="22325" xr:uid="{7714893A-3329-4385-9AC5-ED13EA906500}"/>
    <cellStyle name="AggOrange9 2 2 2 47" xfId="22768" xr:uid="{D3CA43C9-64A0-4C84-B339-243C89697206}"/>
    <cellStyle name="AggOrange9 2 2 2 48" xfId="23175" xr:uid="{58D8C32F-824A-48B8-9DFF-CA69520B9AF1}"/>
    <cellStyle name="AggOrange9 2 2 2 49" xfId="23381" xr:uid="{CDC4D48B-D805-45A0-ADEF-62E90D6801A0}"/>
    <cellStyle name="AggOrange9 2 2 2 5" xfId="2467" xr:uid="{3C643815-68BE-4D5C-A242-CE0F770CA31F}"/>
    <cellStyle name="AggOrange9 2 2 2 50" xfId="23836" xr:uid="{41A26F88-C42C-4C4D-9A8F-1B6B89D6AD17}"/>
    <cellStyle name="AggOrange9 2 2 2 51" xfId="24735" xr:uid="{3A358A42-F953-4465-8B32-33EBB01E961F}"/>
    <cellStyle name="AggOrange9 2 2 2 52" xfId="25214" xr:uid="{D740CC40-2E02-410F-8B90-3D60A520D68A}"/>
    <cellStyle name="AggOrange9 2 2 2 53" xfId="25653" xr:uid="{D6CCA487-7289-435D-9958-FB00CEDCED43}"/>
    <cellStyle name="AggOrange9 2 2 2 54" xfId="26073" xr:uid="{8C20B550-9B99-4A61-8235-D0DAE245BE99}"/>
    <cellStyle name="AggOrange9 2 2 2 55" xfId="26355" xr:uid="{34D664A4-2236-4320-9F22-C03058543720}"/>
    <cellStyle name="AggOrange9 2 2 2 56" xfId="26943" xr:uid="{11CABABE-2238-4EF2-A8FF-C73401B7EB01}"/>
    <cellStyle name="AggOrange9 2 2 2 57" xfId="27362" xr:uid="{6BB3330A-DA10-4958-9C52-13BDB01B8654}"/>
    <cellStyle name="AggOrange9 2 2 2 58" xfId="27697" xr:uid="{D1B988DD-CBD0-4615-8B3D-5CFA9AD54782}"/>
    <cellStyle name="AggOrange9 2 2 2 59" xfId="28485" xr:uid="{C39234BA-A896-4706-91A5-BDC9343316E6}"/>
    <cellStyle name="AggOrange9 2 2 2 6" xfId="2942" xr:uid="{99529E6B-53BA-410D-8D90-71DD516695EE}"/>
    <cellStyle name="AggOrange9 2 2 2 60" xfId="28953" xr:uid="{2E9CBACE-903C-4CBB-A467-9FAEB5F5616A}"/>
    <cellStyle name="AggOrange9 2 2 2 61" xfId="29355" xr:uid="{F64EF7F4-75AC-49D3-A4E0-A03DC8FB6412}"/>
    <cellStyle name="AggOrange9 2 2 2 62" xfId="29743" xr:uid="{7A585716-0610-4CC4-ACE1-5235B9CF5975}"/>
    <cellStyle name="AggOrange9 2 2 2 63" xfId="30151" xr:uid="{60DEF68F-26BD-41CC-A5BA-863A189969D5}"/>
    <cellStyle name="AggOrange9 2 2 2 64" xfId="30565" xr:uid="{6BAF9947-3F58-4B7D-B73A-189B4F8877E0}"/>
    <cellStyle name="AggOrange9 2 2 2 65" xfId="29284" xr:uid="{FB4AB67F-AB11-4368-9CC2-B4F221419B19}"/>
    <cellStyle name="AggOrange9 2 2 2 66" xfId="31189" xr:uid="{F3A7DC74-8FFC-43AC-A223-A021F05B52C5}"/>
    <cellStyle name="AggOrange9 2 2 2 7" xfId="3427" xr:uid="{CDB0867A-CDD2-449A-8345-4D288E1CAEED}"/>
    <cellStyle name="AggOrange9 2 2 2 8" xfId="3963" xr:uid="{DD021F4A-5F5C-4BBA-A14E-7E9DA11A41A1}"/>
    <cellStyle name="AggOrange9 2 2 2 9" xfId="4401" xr:uid="{4F760127-C2A3-4C68-994D-0518E6DF3AC2}"/>
    <cellStyle name="AggOrange9 2 2 3" xfId="716" xr:uid="{151840DC-704F-4CA1-BA7E-9B69E96E082B}"/>
    <cellStyle name="AggOrange9 2 2 3 10" xfId="5364" xr:uid="{09A33A82-9F86-4F1E-B92F-5FFA24679FC3}"/>
    <cellStyle name="AggOrange9 2 2 3 11" xfId="5714" xr:uid="{626E5922-0169-4566-B387-A01BC066128A}"/>
    <cellStyle name="AggOrange9 2 2 3 12" xfId="6321" xr:uid="{E22F3772-EE37-4F1A-9BDB-8166F8B13816}"/>
    <cellStyle name="AggOrange9 2 2 3 13" xfId="6529" xr:uid="{0C14EA5F-2E82-44AE-A28E-67295FE814FE}"/>
    <cellStyle name="AggOrange9 2 2 3 14" xfId="7436" xr:uid="{CCC03413-AAE6-4523-94D4-F0A094340DF3}"/>
    <cellStyle name="AggOrange9 2 2 3 15" xfId="7884" xr:uid="{C0EF194A-C0FB-4FE8-BB1E-B4E3DDF4B1D6}"/>
    <cellStyle name="AggOrange9 2 2 3 16" xfId="8167" xr:uid="{53F67DBA-EFBA-4D0F-A801-3CA0D165B986}"/>
    <cellStyle name="AggOrange9 2 2 3 17" xfId="8561" xr:uid="{DCF6420F-2ED1-4ED3-9C1B-3B96EDE19DE6}"/>
    <cellStyle name="AggOrange9 2 2 3 18" xfId="9650" xr:uid="{F1FAB533-F12F-4AEA-B9BF-14D644D19BC7}"/>
    <cellStyle name="AggOrange9 2 2 3 19" xfId="10097" xr:uid="{AFB5FEC0-03AB-49E9-ACC6-6C46BAE1C472}"/>
    <cellStyle name="AggOrange9 2 2 3 2" xfId="1190" xr:uid="{1EE8447A-DBEA-43AE-A53E-EE180D18A217}"/>
    <cellStyle name="AggOrange9 2 2 3 20" xfId="10513" xr:uid="{241ACCE0-5073-4997-AD36-6AB6AFFE2924}"/>
    <cellStyle name="AggOrange9 2 2 3 21" xfId="10944" xr:uid="{B3707345-CFA8-4BBA-97CF-89D4FCF0E071}"/>
    <cellStyle name="AggOrange9 2 2 3 22" xfId="11203" xr:uid="{D052FA29-DAA1-49FC-A6A3-2AA7446CF738}"/>
    <cellStyle name="AggOrange9 2 2 3 23" xfId="12069" xr:uid="{54F4114B-C7BC-48F9-AE85-6DA20CCA53B8}"/>
    <cellStyle name="AggOrange9 2 2 3 24" xfId="12542" xr:uid="{3667B487-8406-4A63-BC13-B7C230EE417A}"/>
    <cellStyle name="AggOrange9 2 2 3 25" xfId="12976" xr:uid="{65FFF867-793F-4043-81EE-C9D564D96992}"/>
    <cellStyle name="AggOrange9 2 2 3 26" xfId="13413" xr:uid="{E20F49AA-3A2E-47B3-8B5B-6102409A1662}"/>
    <cellStyle name="AggOrange9 2 2 3 27" xfId="13973" xr:uid="{3CBB9FEA-754D-450B-9DC8-5FD08F079216}"/>
    <cellStyle name="AggOrange9 2 2 3 28" xfId="14035" xr:uid="{A4517F4E-0812-434E-B9A1-3561E087B991}"/>
    <cellStyle name="AggOrange9 2 2 3 29" xfId="14747" xr:uid="{18237372-71CD-4C55-8B04-145D4EA68E67}"/>
    <cellStyle name="AggOrange9 2 2 3 3" xfId="1547" xr:uid="{AB319B4D-D185-436D-99E8-543C8816559B}"/>
    <cellStyle name="AggOrange9 2 2 3 30" xfId="14965" xr:uid="{A6812364-E805-4EDD-812D-46264EEA0E68}"/>
    <cellStyle name="AggOrange9 2 2 3 31" xfId="15027" xr:uid="{051F3910-4826-42A1-A291-A1310E300E40}"/>
    <cellStyle name="AggOrange9 2 2 3 32" xfId="15908" xr:uid="{C95E0332-2BD7-4EA2-A885-A3D9C9E71839}"/>
    <cellStyle name="AggOrange9 2 2 3 33" xfId="16761" xr:uid="{AA33BD6A-2738-476C-AA3A-0C6FD90661F2}"/>
    <cellStyle name="AggOrange9 2 2 3 34" xfId="17216" xr:uid="{B6716C47-872B-4E90-A7FA-CF37CC39E274}"/>
    <cellStyle name="AggOrange9 2 2 3 35" xfId="17662" xr:uid="{59E768E7-716D-4D32-87A5-55B7C622F142}"/>
    <cellStyle name="AggOrange9 2 2 3 36" xfId="18064" xr:uid="{F11DAACF-0CBC-4C14-814F-8C839E3088F0}"/>
    <cellStyle name="AggOrange9 2 2 3 37" xfId="18579" xr:uid="{74561B45-922C-45E3-BF5E-9A00D23C7615}"/>
    <cellStyle name="AggOrange9 2 2 3 38" xfId="18005" xr:uid="{D55B584B-D05B-4CF4-BA4F-6E7232714C8B}"/>
    <cellStyle name="AggOrange9 2 2 3 39" xfId="19026" xr:uid="{DF91D5DB-4BC3-4100-A27B-0D60A3018503}"/>
    <cellStyle name="AggOrange9 2 2 3 4" xfId="2538" xr:uid="{8D7C68F0-4BE9-42B8-A2EF-3C803E281012}"/>
    <cellStyle name="AggOrange9 2 2 3 40" xfId="20098" xr:uid="{EDD1CB97-3327-4D1B-99E4-29848DCFD5B5}"/>
    <cellStyle name="AggOrange9 2 2 3 41" xfId="20569" xr:uid="{167BB27D-8875-4683-A383-CD1F0837E53C}"/>
    <cellStyle name="AggOrange9 2 2 3 42" xfId="21022" xr:uid="{5FDCF91E-87B9-42F0-9966-764948FE9767}"/>
    <cellStyle name="AggOrange9 2 2 3 43" xfId="20381" xr:uid="{F8631CA8-779D-407E-BB76-253CB54D8097}"/>
    <cellStyle name="AggOrange9 2 2 3 44" xfId="21953" xr:uid="{7D45A78C-0CAB-42FA-81C6-17E2065209E9}"/>
    <cellStyle name="AggOrange9 2 2 3 45" xfId="22384" xr:uid="{1514E201-BAE4-44E9-B5F0-A51EE14A4934}"/>
    <cellStyle name="AggOrange9 2 2 3 46" xfId="22946" xr:uid="{A509A3E3-416C-4989-A67E-8FF53637A477}"/>
    <cellStyle name="AggOrange9 2 2 3 47" xfId="22466" xr:uid="{F423E944-8E40-4CF5-BE8B-8F44237082AC}"/>
    <cellStyle name="AggOrange9 2 2 3 48" xfId="23505" xr:uid="{E008D42D-97E2-412D-A2E2-95B30AE5080A}"/>
    <cellStyle name="AggOrange9 2 2 3 49" xfId="23898" xr:uid="{BEC3F3BD-9B21-4625-901B-B90ABF713F8B}"/>
    <cellStyle name="AggOrange9 2 2 3 5" xfId="3143" xr:uid="{1C23FFD0-4C85-4CEF-8337-5BDF803CCCC8}"/>
    <cellStyle name="AggOrange9 2 2 3 50" xfId="24806" xr:uid="{4EC49DE5-79ED-4500-9C67-53A9010D7E6E}"/>
    <cellStyle name="AggOrange9 2 2 3 51" xfId="25277" xr:uid="{A83688C3-9921-45FF-8868-E455BCF2CB29}"/>
    <cellStyle name="AggOrange9 2 2 3 52" xfId="25722" xr:uid="{F4F73F5C-9397-4957-AE56-64EEF1ED1705}"/>
    <cellStyle name="AggOrange9 2 2 3 53" xfId="26253" xr:uid="{974988C5-2D04-4A90-AA44-0951C309E296}"/>
    <cellStyle name="AggOrange9 2 2 3 54" xfId="26540" xr:uid="{3C557304-0DCB-457B-A7AD-39CE8BDE834C}"/>
    <cellStyle name="AggOrange9 2 2 3 55" xfId="27010" xr:uid="{FED747C1-7EEB-41AD-AC91-6C697B69F1B7}"/>
    <cellStyle name="AggOrange9 2 2 3 56" xfId="27429" xr:uid="{C6691C2C-4803-4F7C-8696-801F3073C6CA}"/>
    <cellStyle name="AggOrange9 2 2 3 57" xfId="27217" xr:uid="{DE9ACC91-1CBA-4703-B1B1-54963804E3D5}"/>
    <cellStyle name="AggOrange9 2 2 3 58" xfId="28556" xr:uid="{C526578A-C30A-4197-B413-3B69281763F1}"/>
    <cellStyle name="AggOrange9 2 2 3 59" xfId="29023" xr:uid="{3A195D51-41F2-48A8-90D8-BFB5B9B2F42B}"/>
    <cellStyle name="AggOrange9 2 2 3 6" xfId="3607" xr:uid="{57AAACFB-3375-4CED-8BD7-28499506C847}"/>
    <cellStyle name="AggOrange9 2 2 3 60" xfId="29405" xr:uid="{86F2BF65-B0C8-455D-8064-10DEDCE36192}"/>
    <cellStyle name="AggOrange9 2 2 3 61" xfId="29812" xr:uid="{954D1C85-A67E-42BB-B4FD-0055729BF75D}"/>
    <cellStyle name="AggOrange9 2 2 3 62" xfId="30218" xr:uid="{EC2B23B0-50C2-44B4-A6A8-4997E2D6EFC7}"/>
    <cellStyle name="AggOrange9 2 2 3 63" xfId="30635" xr:uid="{B568CC59-0C43-44EF-A0CB-BF143FC75230}"/>
    <cellStyle name="AggOrange9 2 2 3 64" xfId="30978" xr:uid="{3DA84A02-52E0-4D38-B622-D68DA34AF468}"/>
    <cellStyle name="AggOrange9 2 2 3 65" xfId="31251" xr:uid="{DD7634E2-7DB9-4F9B-B9DB-032FFC62167C}"/>
    <cellStyle name="AggOrange9 2 2 3 7" xfId="4034" xr:uid="{EE0A7228-8FA4-4AD8-B6DF-02653440C8BC}"/>
    <cellStyle name="AggOrange9 2 2 3 8" xfId="4471" xr:uid="{66C25793-AD38-4CB7-8FCC-B2818103149B}"/>
    <cellStyle name="AggOrange9 2 2 3 9" xfId="3671" xr:uid="{01068EAB-C451-4CFE-A1C5-4CD4EE06BE5A}"/>
    <cellStyle name="AggOrange9 2 3" xfId="267" xr:uid="{EF9AA66D-A870-4D68-B5C5-147D3E98FC7E}"/>
    <cellStyle name="AggOrange9 2 3 10" xfId="3689" xr:uid="{AF934CA1-CC6A-4B63-A546-7E11FF413F4F}"/>
    <cellStyle name="AggOrange9 2 3 11" xfId="2971" xr:uid="{C249BD4E-92A7-4B5B-9733-B685C6AD372E}"/>
    <cellStyle name="AggOrange9 2 3 12" xfId="3631" xr:uid="{0EA99837-6F19-47EF-9369-521A5F10E999}"/>
    <cellStyle name="AggOrange9 2 3 13" xfId="1858" xr:uid="{8D32363F-2E91-4E6F-A75D-9A144E44762B}"/>
    <cellStyle name="AggOrange9 2 3 14" xfId="5787" xr:uid="{2424B2C7-6464-4846-8EEE-3B1CE1DC30FD}"/>
    <cellStyle name="AggOrange9 2 3 15" xfId="5598" xr:uid="{527F9D65-A8A8-4BDA-B3CB-B0A61CAC18A3}"/>
    <cellStyle name="AggOrange9 2 3 16" xfId="6482" xr:uid="{0E7A8D07-C300-4B7A-B307-3617365118C5}"/>
    <cellStyle name="AggOrange9 2 3 17" xfId="6997" xr:uid="{DF09498A-B5FA-40C4-AA02-B15E5D369117}"/>
    <cellStyle name="AggOrange9 2 3 18" xfId="6844" xr:uid="{6989B894-A5EB-4197-A9D4-28B4E2513C2A}"/>
    <cellStyle name="AggOrange9 2 3 19" xfId="8564" xr:uid="{C4FFFE17-C33B-4C2E-BDAE-B163DC3EB4C3}"/>
    <cellStyle name="AggOrange9 2 3 2" xfId="606" xr:uid="{F32A2411-29C7-4A6D-BDE1-741B7AED8853}"/>
    <cellStyle name="AggOrange9 2 3 2 10" xfId="3351" xr:uid="{87C4311F-FBB1-470F-ACED-0F5A8338DAC9}"/>
    <cellStyle name="AggOrange9 2 3 2 11" xfId="5254" xr:uid="{D29F205A-9213-40B1-A6D8-BAAB4A8D2CD9}"/>
    <cellStyle name="AggOrange9 2 3 2 12" xfId="5581" xr:uid="{8282F9D4-A91D-44E2-8271-49634A6D9111}"/>
    <cellStyle name="AggOrange9 2 3 2 13" xfId="5853" xr:uid="{884204A8-A91F-4910-81B8-7BBA6648E37F}"/>
    <cellStyle name="AggOrange9 2 3 2 14" xfId="5981" xr:uid="{E193E20C-1924-453F-96B9-97606A8A5070}"/>
    <cellStyle name="AggOrange9 2 3 2 15" xfId="7326" xr:uid="{F241C9F1-5602-47F5-B616-3182E841C076}"/>
    <cellStyle name="AggOrange9 2 3 2 16" xfId="7938" xr:uid="{57A82C72-576B-4458-8EEE-04FAC193EF48}"/>
    <cellStyle name="AggOrange9 2 3 2 17" xfId="8353" xr:uid="{C55481B1-1932-4F63-A54C-620E211FE1F9}"/>
    <cellStyle name="AggOrange9 2 3 2 18" xfId="8372" xr:uid="{F8356A74-83BE-4E0F-9DDA-8FD2F4319F1D}"/>
    <cellStyle name="AggOrange9 2 3 2 19" xfId="9540" xr:uid="{4EC12024-105B-4D62-A7EE-6771901E1A09}"/>
    <cellStyle name="AggOrange9 2 3 2 2" xfId="821" xr:uid="{63C42435-29EC-4149-B5E9-5DBD13136C4E}"/>
    <cellStyle name="AggOrange9 2 3 2 2 10" xfId="5469" xr:uid="{20B8CC9B-4EC6-41E4-9A0A-D88FE8BB9234}"/>
    <cellStyle name="AggOrange9 2 3 2 2 11" xfId="5033" xr:uid="{0410A995-2CF4-43BA-BD1E-893F24B1AECE}"/>
    <cellStyle name="AggOrange9 2 3 2 2 12" xfId="4724" xr:uid="{7792043C-4D76-4139-94EB-98C98ADD237A}"/>
    <cellStyle name="AggOrange9 2 3 2 2 13" xfId="6496" xr:uid="{7DD7FD7C-DEC3-4C6E-81D6-A15620866BE5}"/>
    <cellStyle name="AggOrange9 2 3 2 2 14" xfId="7541" xr:uid="{662368BF-A464-42A5-B867-E05D957E302B}"/>
    <cellStyle name="AggOrange9 2 3 2 2 15" xfId="7139" xr:uid="{6C890B4D-BACC-43FE-A1C7-26660D8F61A9}"/>
    <cellStyle name="AggOrange9 2 3 2 2 16" xfId="8586" xr:uid="{720A8829-1024-4410-A4AF-99E7F83E5904}"/>
    <cellStyle name="AggOrange9 2 3 2 2 17" xfId="8412" xr:uid="{964736DE-8A0E-4022-A1ED-43B5B885B812}"/>
    <cellStyle name="AggOrange9 2 3 2 2 18" xfId="9755" xr:uid="{1A0227BE-7BE6-4DAD-A017-34B4F7BFAE95}"/>
    <cellStyle name="AggOrange9 2 3 2 2 19" xfId="8946" xr:uid="{CACEC412-AF6B-4BD1-9D00-CCD712CBA5B4}"/>
    <cellStyle name="AggOrange9 2 3 2 2 2" xfId="1295" xr:uid="{1D96CBA1-CBCC-44C0-87D9-FDC0888A58CD}"/>
    <cellStyle name="AggOrange9 2 3 2 2 20" xfId="9380" xr:uid="{5F664613-DDDD-475F-A723-628D5B04D14E}"/>
    <cellStyle name="AggOrange9 2 3 2 2 21" xfId="9045" xr:uid="{6A88A90C-CB0B-4B82-B1D8-AAA85A72478B}"/>
    <cellStyle name="AggOrange9 2 3 2 2 22" xfId="11220" xr:uid="{2562A168-21EE-4134-835B-B83402309DA8}"/>
    <cellStyle name="AggOrange9 2 3 2 2 23" xfId="12174" xr:uid="{585ACC47-D452-4C5C-991B-548CE0A4FE7C}"/>
    <cellStyle name="AggOrange9 2 3 2 2 24" xfId="12647" xr:uid="{66026777-2C03-4FDD-8728-858547F04C2E}"/>
    <cellStyle name="AggOrange9 2 3 2 2 25" xfId="13081" xr:uid="{6D979699-2C43-4E2E-9FD4-0C1AF76F475D}"/>
    <cellStyle name="AggOrange9 2 3 2 2 26" xfId="13518" xr:uid="{CB0D7037-44BA-4371-A022-FE0F44B021F3}"/>
    <cellStyle name="AggOrange9 2 3 2 2 27" xfId="11431" xr:uid="{19EFDEDC-ABF9-4D67-B63F-ED3E71CB2BD0}"/>
    <cellStyle name="AggOrange9 2 3 2 2 28" xfId="14297" xr:uid="{4E2447FC-0B9A-4DC9-9ACB-1E704CE7D066}"/>
    <cellStyle name="AggOrange9 2 3 2 2 29" xfId="14060" xr:uid="{183BE68D-631A-4276-80E0-A9D1060DB665}"/>
    <cellStyle name="AggOrange9 2 3 2 2 3" xfId="1473" xr:uid="{C853293E-FF27-4185-B4F5-CD0BD1B4DA8E}"/>
    <cellStyle name="AggOrange9 2 3 2 2 30" xfId="13842" xr:uid="{6BCEB022-1374-4439-94B3-64FD8CC1027C}"/>
    <cellStyle name="AggOrange9 2 3 2 2 31" xfId="15370" xr:uid="{F90412F4-8600-4799-BD2E-BE4CB14FC6D0}"/>
    <cellStyle name="AggOrange9 2 3 2 2 32" xfId="14675" xr:uid="{A3CDE7C5-02B0-43A4-A5AB-F17039FD4069}"/>
    <cellStyle name="AggOrange9 2 3 2 2 33" xfId="16866" xr:uid="{0359DB08-F59F-4DAC-A211-9B0E5C8BFD9D}"/>
    <cellStyle name="AggOrange9 2 3 2 2 34" xfId="16462" xr:uid="{0D0F2ABF-5D89-4760-9249-00EEF2281E8F}"/>
    <cellStyle name="AggOrange9 2 3 2 2 35" xfId="16486" xr:uid="{600687D2-08FD-4138-B56C-ACA7DD74E988}"/>
    <cellStyle name="AggOrange9 2 3 2 2 36" xfId="17535" xr:uid="{5467A784-886F-4B40-BE0E-0792329D338F}"/>
    <cellStyle name="AggOrange9 2 3 2 2 37" xfId="18684" xr:uid="{ED01D9A5-861F-49D3-A3E6-45BF7B197B55}"/>
    <cellStyle name="AggOrange9 2 3 2 2 38" xfId="18558" xr:uid="{D6DC42CC-879D-4561-AD79-4E4D35C05D0B}"/>
    <cellStyle name="AggOrange9 2 3 2 2 39" xfId="17029" xr:uid="{0BC61393-E620-42DE-ADD4-81B4125D557A}"/>
    <cellStyle name="AggOrange9 2 3 2 2 4" xfId="2643" xr:uid="{3D3C5A51-E487-4892-B2E6-104ED2023513}"/>
    <cellStyle name="AggOrange9 2 3 2 2 40" xfId="20203" xr:uid="{A7477C39-D24E-46C5-A4C2-FD784410629D}"/>
    <cellStyle name="AggOrange9 2 3 2 2 41" xfId="19753" xr:uid="{4F77B1D6-40E9-4E0E-B1EC-A11AD71CA18C}"/>
    <cellStyle name="AggOrange9 2 3 2 2 42" xfId="19592" xr:uid="{A950A454-40CF-41ED-A021-6746B9BE2211}"/>
    <cellStyle name="AggOrange9 2 3 2 2 43" xfId="21111" xr:uid="{15156AA0-1B13-4B80-A630-83F372D6D7B9}"/>
    <cellStyle name="AggOrange9 2 3 2 2 44" xfId="21670" xr:uid="{A1269885-D4FB-4B16-9C7D-1F19C8A21DB1}"/>
    <cellStyle name="AggOrange9 2 3 2 2 45" xfId="21724" xr:uid="{4F16E983-2141-4C75-9B69-335F62AC0B3A}"/>
    <cellStyle name="AggOrange9 2 3 2 2 46" xfId="22274" xr:uid="{48EFABCD-DFB0-47FB-ACBA-3CBBDCCC9059}"/>
    <cellStyle name="AggOrange9 2 3 2 2 47" xfId="22735" xr:uid="{8778EB2D-DAD6-4A4C-8EB7-98CC55ECB641}"/>
    <cellStyle name="AggOrange9 2 3 2 2 48" xfId="20878" xr:uid="{BBCC1E1A-E94E-441F-AA44-4781291CF1BD}"/>
    <cellStyle name="AggOrange9 2 3 2 2 49" xfId="24003" xr:uid="{876CCB2B-181F-424E-B0DE-F5B400007593}"/>
    <cellStyle name="AggOrange9 2 3 2 2 5" xfId="2224" xr:uid="{D16C06E3-BC08-47AA-ABD0-1C015995AA5C}"/>
    <cellStyle name="AggOrange9 2 3 2 2 50" xfId="24911" xr:uid="{185BA99F-661F-41A7-A040-BAA7600E469F}"/>
    <cellStyle name="AggOrange9 2 3 2 2 51" xfId="24229" xr:uid="{942740F5-DD07-40ED-A8EA-DC8C7E5172CC}"/>
    <cellStyle name="AggOrange9 2 3 2 2 52" xfId="25827" xr:uid="{A1B56052-AAE2-42DA-9A0A-8BF9DE8CF08B}"/>
    <cellStyle name="AggOrange9 2 3 2 2 53" xfId="25905" xr:uid="{A37D2896-2CBC-43FA-972B-4C1FA51DFEFF}"/>
    <cellStyle name="AggOrange9 2 3 2 2 54" xfId="26282" xr:uid="{60B04549-7B4D-43FC-AF31-4B7593CB172F}"/>
    <cellStyle name="AggOrange9 2 3 2 2 55" xfId="27115" xr:uid="{FF668FB7-4CFA-4A72-ACC8-6CB9FBA97792}"/>
    <cellStyle name="AggOrange9 2 3 2 2 56" xfId="27534" xr:uid="{FF865528-1DC7-459E-B397-5511F4D96CF8}"/>
    <cellStyle name="AggOrange9 2 3 2 2 57" xfId="26712" xr:uid="{D6C2F0D6-3FD4-4F89-A117-1CCC70B7993A}"/>
    <cellStyle name="AggOrange9 2 3 2 2 58" xfId="28661" xr:uid="{901209CB-ED96-429C-BD99-93785D620617}"/>
    <cellStyle name="AggOrange9 2 3 2 2 59" xfId="29128" xr:uid="{CB89FE74-A635-4C66-87B4-BCB62C7F4555}"/>
    <cellStyle name="AggOrange9 2 3 2 2 6" xfId="2202" xr:uid="{176678B8-00EE-454B-898E-9C0B48F4F7FA}"/>
    <cellStyle name="AggOrange9 2 3 2 2 60" xfId="27931" xr:uid="{2F26A24E-516C-4272-8C53-8C507E3D004D}"/>
    <cellStyle name="AggOrange9 2 3 2 2 61" xfId="29917" xr:uid="{A8FC779F-4CD8-4ADB-AFDE-EA81D96B9F7B}"/>
    <cellStyle name="AggOrange9 2 3 2 2 62" xfId="30323" xr:uid="{312C0F30-2754-45D2-AFA3-FD4A034C461D}"/>
    <cellStyle name="AggOrange9 2 3 2 2 63" xfId="30740" xr:uid="{384FACEF-488D-46A5-97F9-641100863313}"/>
    <cellStyle name="AggOrange9 2 3 2 2 64" xfId="30950" xr:uid="{7CC0C58F-48A5-44EE-B128-7FE5E230882A}"/>
    <cellStyle name="AggOrange9 2 3 2 2 65" xfId="31356" xr:uid="{0395F3E6-C7A2-46BB-B02C-E5725892C382}"/>
    <cellStyle name="AggOrange9 2 3 2 2 7" xfId="4139" xr:uid="{83DE9EA6-7414-43D1-A38A-5C9C5AD1ED32}"/>
    <cellStyle name="AggOrange9 2 3 2 2 8" xfId="4576" xr:uid="{07B99607-ED8A-4E21-9365-38BB2EA68D61}"/>
    <cellStyle name="AggOrange9 2 3 2 2 9" xfId="3795" xr:uid="{89647835-E576-4E39-9DA1-788D32DD475D}"/>
    <cellStyle name="AggOrange9 2 3 2 20" xfId="10151" xr:uid="{B4C3D216-954A-455F-BC5B-67AD79675DB4}"/>
    <cellStyle name="AggOrange9 2 3 2 21" xfId="10561" xr:uid="{90B685F3-7557-49E4-A026-316E6FF61798}"/>
    <cellStyle name="AggOrange9 2 3 2 22" xfId="8965" xr:uid="{43C1F611-AF83-408D-8002-79C3022746EF}"/>
    <cellStyle name="AggOrange9 2 3 2 23" xfId="10720" xr:uid="{95DE7E4E-8DC3-4F36-AD03-DBE4F02BDFF6}"/>
    <cellStyle name="AggOrange9 2 3 2 24" xfId="11959" xr:uid="{C99ADD85-0510-45FA-A341-F1FE14EF484F}"/>
    <cellStyle name="AggOrange9 2 3 2 25" xfId="12432" xr:uid="{808E381C-2754-4917-A290-BCF3E0A489AA}"/>
    <cellStyle name="AggOrange9 2 3 2 26" xfId="12866" xr:uid="{4AD970AA-8AB2-4648-A8B4-5F7EDD4D1E11}"/>
    <cellStyle name="AggOrange9 2 3 2 27" xfId="13303" xr:uid="{0B1CD281-2064-4B4B-8B48-9B55D9C068B4}"/>
    <cellStyle name="AggOrange9 2 3 2 28" xfId="12737" xr:uid="{2D76AAE9-C38B-4727-8329-2FF93183EE27}"/>
    <cellStyle name="AggOrange9 2 3 2 29" xfId="11805" xr:uid="{8C027123-27C3-452F-BD09-A85566C7960A}"/>
    <cellStyle name="AggOrange9 2 3 2 3" xfId="1089" xr:uid="{3DECD1A5-265F-4569-9563-4353B3730333}"/>
    <cellStyle name="AggOrange9 2 3 2 30" xfId="14855" xr:uid="{41D77A7E-C3CB-485A-92B8-716323D27310}"/>
    <cellStyle name="AggOrange9 2 3 2 31" xfId="15128" xr:uid="{FCB83721-4F07-4EDB-B6F0-770A2BD6AB0C}"/>
    <cellStyle name="AggOrange9 2 3 2 32" xfId="14523" xr:uid="{DF5B95A9-BCED-42F5-888F-2B167080A72B}"/>
    <cellStyle name="AggOrange9 2 3 2 33" xfId="15940" xr:uid="{F5255864-464B-42E2-964E-8528317DE35A}"/>
    <cellStyle name="AggOrange9 2 3 2 34" xfId="16651" xr:uid="{C90BED52-A21A-428D-AB5A-DD93E4F4F4A3}"/>
    <cellStyle name="AggOrange9 2 3 2 35" xfId="17271" xr:uid="{C2178690-569A-4EA8-893D-6A1EC13FBA3C}"/>
    <cellStyle name="AggOrange9 2 3 2 36" xfId="17715" xr:uid="{8D66565D-6CA1-44CE-94D4-7B3900AE6428}"/>
    <cellStyle name="AggOrange9 2 3 2 37" xfId="17133" xr:uid="{9BD5215D-DB54-421E-A02C-9C82C54F8C7D}"/>
    <cellStyle name="AggOrange9 2 3 2 38" xfId="18469" xr:uid="{BDBFEC0C-B06B-45FF-8999-DE5302F5FEBD}"/>
    <cellStyle name="AggOrange9 2 3 2 39" xfId="17151" xr:uid="{5511E0F6-F37A-4616-8B97-880D9D04069D}"/>
    <cellStyle name="AggOrange9 2 3 2 4" xfId="1635" xr:uid="{E16F8CC6-09C3-4FAC-B524-6B7017651FF2}"/>
    <cellStyle name="AggOrange9 2 3 2 40" xfId="17744" xr:uid="{61240608-D240-44D5-B6CC-AB398902F5E1}"/>
    <cellStyle name="AggOrange9 2 3 2 41" xfId="19988" xr:uid="{2F79CD66-C3AC-477B-AF27-35517B8601FD}"/>
    <cellStyle name="AggOrange9 2 3 2 42" xfId="20621" xr:uid="{9B355F95-3534-4F1B-8E21-F7B313C0F0C5}"/>
    <cellStyle name="AggOrange9 2 3 2 43" xfId="21076" xr:uid="{495BE131-E069-43D7-8585-25E92A42E1BC}"/>
    <cellStyle name="AggOrange9 2 3 2 44" xfId="19596" xr:uid="{32ED4C86-6ED5-4D19-A752-3BD0A5E91913}"/>
    <cellStyle name="AggOrange9 2 3 2 45" xfId="22007" xr:uid="{087A27F8-9009-49BF-A5B0-7C3803947E6A}"/>
    <cellStyle name="AggOrange9 2 3 2 46" xfId="22438" xr:uid="{1CEFCDA0-EA70-488C-B4F7-188B5748A2B8}"/>
    <cellStyle name="AggOrange9 2 3 2 47" xfId="21562" xr:uid="{B4342D89-4E5C-44FA-BAA8-4DD6D7821B7A}"/>
    <cellStyle name="AggOrange9 2 3 2 48" xfId="21658" xr:uid="{3FE079A4-40AA-4523-AF4F-E47FF4E808EB}"/>
    <cellStyle name="AggOrange9 2 3 2 49" xfId="23225" xr:uid="{5311ED63-4103-48B1-9DAB-E1C555F254A2}"/>
    <cellStyle name="AggOrange9 2 3 2 5" xfId="2428" xr:uid="{6D1F72C2-9533-4298-B2E8-1D6418F631F2}"/>
    <cellStyle name="AggOrange9 2 3 2 50" xfId="23797" xr:uid="{98DE82D5-E8BD-4C82-BD8A-12EB54D74E1D}"/>
    <cellStyle name="AggOrange9 2 3 2 51" xfId="24696" xr:uid="{5737876B-4840-4953-98E9-D7A03BC822F5}"/>
    <cellStyle name="AggOrange9 2 3 2 52" xfId="25327" xr:uid="{B73903EA-B223-4226-89BC-4F000610AC6E}"/>
    <cellStyle name="AggOrange9 2 3 2 53" xfId="25614" xr:uid="{F8AB7402-5277-412E-940E-CF89329FA3E3}"/>
    <cellStyle name="AggOrange9 2 3 2 54" xfId="24445" xr:uid="{82A8A9AB-205A-4E9F-9C02-3C9B9951C4EB}"/>
    <cellStyle name="AggOrange9 2 3 2 55" xfId="26163" xr:uid="{AAB22B0B-9F1D-4921-AD01-15379B127B56}"/>
    <cellStyle name="AggOrange9 2 3 2 56" xfId="26904" xr:uid="{E34A2DD8-0837-4D68-9785-B56D6A88C794}"/>
    <cellStyle name="AggOrange9 2 3 2 57" xfId="27323" xr:uid="{45FBE074-452B-4625-BEBA-31547AA10041}"/>
    <cellStyle name="AggOrange9 2 3 2 58" xfId="27619" xr:uid="{E612EF1E-24B2-4002-BE8D-A405A59B7A4A}"/>
    <cellStyle name="AggOrange9 2 3 2 59" xfId="28446" xr:uid="{3A409DCF-21BA-4126-8631-FAEA48103B70}"/>
    <cellStyle name="AggOrange9 2 3 2 6" xfId="2526" xr:uid="{58D88469-D8B1-422C-8E8B-9CFE5B6B3B60}"/>
    <cellStyle name="AggOrange9 2 3 2 60" xfId="28914" xr:uid="{21B6F152-961A-498E-AB55-D1BD6EEBD916}"/>
    <cellStyle name="AggOrange9 2 3 2 61" xfId="29450" xr:uid="{F3C613FC-DB6F-439C-86C5-975D48048EAE}"/>
    <cellStyle name="AggOrange9 2 3 2 62" xfId="29704" xr:uid="{56D78CCA-DB8D-454E-8ED4-B20F8FB7D4D0}"/>
    <cellStyle name="AggOrange9 2 3 2 63" xfId="30112" xr:uid="{1AE7E013-E878-4289-A944-01787F1B89E7}"/>
    <cellStyle name="AggOrange9 2 3 2 64" xfId="30526" xr:uid="{A77A9781-3235-435C-B9BD-FC4B14873957}"/>
    <cellStyle name="AggOrange9 2 3 2 65" xfId="30854" xr:uid="{E6ABEF62-0EB5-41DC-B2A2-DDD321A3F669}"/>
    <cellStyle name="AggOrange9 2 3 2 66" xfId="31150" xr:uid="{884691FD-8143-4CEB-AF9A-0403DBC1DC9C}"/>
    <cellStyle name="AggOrange9 2 3 2 7" xfId="2737" xr:uid="{1235C03E-EF86-43F7-841C-D5982EB56A25}"/>
    <cellStyle name="AggOrange9 2 3 2 8" xfId="3924" xr:uid="{8D70CA50-25AE-4F7C-894A-DDC7C60C5D6E}"/>
    <cellStyle name="AggOrange9 2 3 2 9" xfId="4362" xr:uid="{7DEA3F5F-0199-47DA-A534-6A90620D9BA9}"/>
    <cellStyle name="AggOrange9 2 3 20" xfId="8777" xr:uid="{8A66841E-1D0E-46D7-BA3A-6828B9AACC30}"/>
    <cellStyle name="AggOrange9 2 3 21" xfId="9211" xr:uid="{468287B9-3CC5-4E97-9F0E-8F66446DD359}"/>
    <cellStyle name="AggOrange9 2 3 22" xfId="9166" xr:uid="{16C96EBF-34DA-41F8-829B-C6B525508500}"/>
    <cellStyle name="AggOrange9 2 3 23" xfId="10223" xr:uid="{F6850239-7B6E-4B41-AEF2-FC19EA4E000E}"/>
    <cellStyle name="AggOrange9 2 3 24" xfId="10307" xr:uid="{158581F2-F365-4C4A-BF8D-78AE5D54B45A}"/>
    <cellStyle name="AggOrange9 2 3 25" xfId="11174" xr:uid="{169AC5F2-BBB1-47E8-87FC-9E67E3012181}"/>
    <cellStyle name="AggOrange9 2 3 26" xfId="11623" xr:uid="{48C30C7D-564F-46C9-BF2A-4565CD9956C0}"/>
    <cellStyle name="AggOrange9 2 3 27" xfId="11376" xr:uid="{A8B0DDB5-1B0F-4490-9FCB-392EE6E9148C}"/>
    <cellStyle name="AggOrange9 2 3 28" xfId="12334" xr:uid="{A00E9B3C-D7A8-41F0-B362-7BDE17512A48}"/>
    <cellStyle name="AggOrange9 2 3 29" xfId="12288" xr:uid="{69D73BEE-B9DD-4B88-AF5E-05CE089DE9BC}"/>
    <cellStyle name="AggOrange9 2 3 3" xfId="652" xr:uid="{BCDC864F-D74F-45EB-BD4E-7CB6AC10E4EE}"/>
    <cellStyle name="AggOrange9 2 3 3 10" xfId="4824" xr:uid="{C481DCFD-606D-4B47-A67C-506860C6F9C0}"/>
    <cellStyle name="AggOrange9 2 3 3 11" xfId="5300" xr:uid="{CD36DF14-8D9B-4CAD-B3CE-38380B09143A}"/>
    <cellStyle name="AggOrange9 2 3 3 12" xfId="5742" xr:uid="{3BE0A9E8-C638-4879-95DA-E16185A3B33A}"/>
    <cellStyle name="AggOrange9 2 3 3 13" xfId="5988" xr:uid="{DED5B6D4-0586-4C50-8649-6D3F577C898D}"/>
    <cellStyle name="AggOrange9 2 3 3 14" xfId="6490" xr:uid="{3CF361C8-CDF4-43D7-ABBD-3BC443CDE01F}"/>
    <cellStyle name="AggOrange9 2 3 3 15" xfId="7372" xr:uid="{EDAD63B9-CC9F-49DF-BC9B-2277D70332D5}"/>
    <cellStyle name="AggOrange9 2 3 3 16" xfId="6917" xr:uid="{98838CD1-686D-42DB-8E18-88480C77CCFE}"/>
    <cellStyle name="AggOrange9 2 3 3 17" xfId="6823" xr:uid="{3F81D376-411A-4896-895C-63531982663A}"/>
    <cellStyle name="AggOrange9 2 3 3 18" xfId="8883" xr:uid="{843A3C92-6F68-4C39-A275-66C761E296CD}"/>
    <cellStyle name="AggOrange9 2 3 3 19" xfId="9586" xr:uid="{DBEF45F9-1153-4E47-9262-6D04D1F0E29F}"/>
    <cellStyle name="AggOrange9 2 3 3 2" xfId="867" xr:uid="{736D2853-87BF-40F6-9EE5-6D0EDC427750}"/>
    <cellStyle name="AggOrange9 2 3 3 2 10" xfId="5515" xr:uid="{159024DA-9DD4-4498-A6C0-6DD07D979603}"/>
    <cellStyle name="AggOrange9 2 3 3 2 11" xfId="5732" xr:uid="{7027E478-4432-4262-8A7D-5EB17E00DA7C}"/>
    <cellStyle name="AggOrange9 2 3 3 2 12" xfId="2140" xr:uid="{4DD5FEE3-AEFC-4CC3-8C1F-190BF5EFBE98}"/>
    <cellStyle name="AggOrange9 2 3 3 2 13" xfId="6552" xr:uid="{23F5043A-D777-4525-A8E4-FFA0544AB46F}"/>
    <cellStyle name="AggOrange9 2 3 3 2 14" xfId="7587" xr:uid="{54B23A04-B7B4-44E0-92FA-934E88233F5F}"/>
    <cellStyle name="AggOrange9 2 3 3 2 15" xfId="6938" xr:uid="{5F945B59-C1DB-4543-B49B-4D98C31C2898}"/>
    <cellStyle name="AggOrange9 2 3 3 2 16" xfId="6925" xr:uid="{FF505593-D876-4854-8503-1EB3ED22AFE8}"/>
    <cellStyle name="AggOrange9 2 3 3 2 17" xfId="8833" xr:uid="{7F05D29D-7A2B-4317-A1D5-F620A69D903F}"/>
    <cellStyle name="AggOrange9 2 3 3 2 18" xfId="9801" xr:uid="{8E0589F6-5AD5-4FF5-BA57-BEBA173F5788}"/>
    <cellStyle name="AggOrange9 2 3 3 2 19" xfId="9044" xr:uid="{6CE4025D-099D-4957-AD37-301F44E2C190}"/>
    <cellStyle name="AggOrange9 2 3 3 2 2" xfId="1341" xr:uid="{16DBF6DE-76D9-4641-98A2-AD371E80D2E1}"/>
    <cellStyle name="AggOrange9 2 3 3 2 20" xfId="9879" xr:uid="{1C42AFE8-274D-4F53-97AA-F307D853856D}"/>
    <cellStyle name="AggOrange9 2 3 3 2 21" xfId="9312" xr:uid="{EF352760-1D60-4CB9-8DCA-EB606B61829C}"/>
    <cellStyle name="AggOrange9 2 3 3 2 22" xfId="10741" xr:uid="{B0A0469B-AB1A-47FF-A528-75216896515F}"/>
    <cellStyle name="AggOrange9 2 3 3 2 23" xfId="12220" xr:uid="{9A28C092-BCEF-48D1-A4D4-3E296B87EDF9}"/>
    <cellStyle name="AggOrange9 2 3 3 2 24" xfId="12693" xr:uid="{39C60A33-F625-4FBE-A07D-387EC73AA0D8}"/>
    <cellStyle name="AggOrange9 2 3 3 2 25" xfId="13127" xr:uid="{75FB2B54-80B5-4118-BE25-B108F8EBDB76}"/>
    <cellStyle name="AggOrange9 2 3 3 2 26" xfId="13564" xr:uid="{CAB55E2E-B220-4B68-9C7E-6ECFD0275AF6}"/>
    <cellStyle name="AggOrange9 2 3 3 2 27" xfId="13688" xr:uid="{7A2B55C2-1FBF-4180-B88C-31F8AF9DB1AB}"/>
    <cellStyle name="AggOrange9 2 3 3 2 28" xfId="14483" xr:uid="{0D4F78D5-9CFA-42F1-BD0B-945623B94933}"/>
    <cellStyle name="AggOrange9 2 3 3 2 29" xfId="14080" xr:uid="{6BB42C8A-7276-4AA8-BD46-5BB1FCED75FE}"/>
    <cellStyle name="AggOrange9 2 3 3 2 3" xfId="1790" xr:uid="{47FF96A8-4308-49C8-9308-6668E1CAF065}"/>
    <cellStyle name="AggOrange9 2 3 3 2 30" xfId="13704" xr:uid="{A2500D10-4FF6-49AD-90FD-1649118E39D3}"/>
    <cellStyle name="AggOrange9 2 3 3 2 31" xfId="15494" xr:uid="{06AC6B77-7DDC-4433-B7CB-780EC0EF44DA}"/>
    <cellStyle name="AggOrange9 2 3 3 2 32" xfId="15603" xr:uid="{7BAE94E8-C978-498F-9F4B-4DEA43B1178E}"/>
    <cellStyle name="AggOrange9 2 3 3 2 33" xfId="16912" xr:uid="{8C5BE9E4-38CB-4C00-ABA6-644E606AA19C}"/>
    <cellStyle name="AggOrange9 2 3 3 2 34" xfId="16256" xr:uid="{9F214AFA-63F0-4C7B-86BA-506CB498FDA2}"/>
    <cellStyle name="AggOrange9 2 3 3 2 35" xfId="16076" xr:uid="{077D2682-FB7F-4674-AB80-A3F05D29A485}"/>
    <cellStyle name="AggOrange9 2 3 3 2 36" xfId="17956" xr:uid="{DA0B6055-8C9D-4358-8871-ECF3C72D64AB}"/>
    <cellStyle name="AggOrange9 2 3 3 2 37" xfId="18730" xr:uid="{0D55B442-4D04-408C-9CD1-1B08B9387402}"/>
    <cellStyle name="AggOrange9 2 3 3 2 38" xfId="18825" xr:uid="{C51FF166-614F-4ADC-A5DF-98CE9EC212A4}"/>
    <cellStyle name="AggOrange9 2 3 3 2 39" xfId="18984" xr:uid="{EBA89612-A7C5-44FA-BDC2-89CB7FFA2BA0}"/>
    <cellStyle name="AggOrange9 2 3 3 2 4" xfId="2689" xr:uid="{18B5E05C-81F5-4ADB-93FD-43AE0F11B9BF}"/>
    <cellStyle name="AggOrange9 2 3 3 2 40" xfId="20249" xr:uid="{8655A513-794D-45D5-9795-88930B5E73B9}"/>
    <cellStyle name="AggOrange9 2 3 3 2 41" xfId="19635" xr:uid="{2EDB4BA1-F77E-44C5-97CE-BE3C6F0423D6}"/>
    <cellStyle name="AggOrange9 2 3 3 2 42" xfId="20344" xr:uid="{6771DB29-31D4-47FB-B0D1-C16EB9DAC44E}"/>
    <cellStyle name="AggOrange9 2 3 3 2 43" xfId="21374" xr:uid="{A026FE0D-C9F8-4806-8A3B-92076AE4C1EC}"/>
    <cellStyle name="AggOrange9 2 3 3 2 44" xfId="21167" xr:uid="{73802A1D-0C0E-40A5-B98C-02A217AAA7D0}"/>
    <cellStyle name="AggOrange9 2 3 3 2 45" xfId="21154" xr:uid="{759C4FE3-3836-416D-B17C-39A96DEEAB85}"/>
    <cellStyle name="AggOrange9 2 3 3 2 46" xfId="22687" xr:uid="{EF576EEF-7E40-4E8B-8F74-CBCF901267C1}"/>
    <cellStyle name="AggOrange9 2 3 3 2 47" xfId="23097" xr:uid="{86837EEF-A2E3-4F92-A4E3-DBB17686F292}"/>
    <cellStyle name="AggOrange9 2 3 3 2 48" xfId="22738" xr:uid="{39846C95-C989-4AA3-B59A-5E2E9D04B824}"/>
    <cellStyle name="AggOrange9 2 3 3 2 49" xfId="24049" xr:uid="{098383CA-D0A9-4424-890D-CEFF2DB66C1D}"/>
    <cellStyle name="AggOrange9 2 3 3 2 5" xfId="2853" xr:uid="{12CAF5EE-2648-4C53-BED3-F95CB5C1AD3C}"/>
    <cellStyle name="AggOrange9 2 3 3 2 50" xfId="24957" xr:uid="{2FB74145-77BB-4DF3-BCBF-0A05B22F87EE}"/>
    <cellStyle name="AggOrange9 2 3 3 2 51" xfId="24494" xr:uid="{0151ADBC-E524-459C-B66E-9FD6C5B17640}"/>
    <cellStyle name="AggOrange9 2 3 3 2 52" xfId="25873" xr:uid="{A5A6FDBB-5CB1-4ACA-9313-CFB7DCC5C428}"/>
    <cellStyle name="AggOrange9 2 3 3 2 53" xfId="25991" xr:uid="{48B26F1C-A44F-4B55-AE9A-57901A525F4A}"/>
    <cellStyle name="AggOrange9 2 3 3 2 54" xfId="26740" xr:uid="{AB21737E-F003-4575-AD6E-D10719A71F4D}"/>
    <cellStyle name="AggOrange9 2 3 3 2 55" xfId="27161" xr:uid="{F683AA1B-F32B-4327-955C-FA942F58F6DA}"/>
    <cellStyle name="AggOrange9 2 3 3 2 56" xfId="27580" xr:uid="{32116A70-3308-4900-8965-DA76D66AF1CB}"/>
    <cellStyle name="AggOrange9 2 3 3 2 57" xfId="26463" xr:uid="{ED2A4285-409D-45F8-BECE-DAEEC7D6812D}"/>
    <cellStyle name="AggOrange9 2 3 3 2 58" xfId="28707" xr:uid="{21DA9C9A-5BF3-4D01-AC26-610FB5C4116D}"/>
    <cellStyle name="AggOrange9 2 3 3 2 59" xfId="29174" xr:uid="{6CA6EC39-E2F7-4D3E-A0E4-D384A0AA5693}"/>
    <cellStyle name="AggOrange9 2 3 3 2 6" xfId="2988" xr:uid="{F77F5889-811D-4410-B64F-78E0FE027266}"/>
    <cellStyle name="AggOrange9 2 3 3 2 60" xfId="28036" xr:uid="{A0E537BC-104F-4548-9D73-EB234189144B}"/>
    <cellStyle name="AggOrange9 2 3 3 2 61" xfId="29963" xr:uid="{CC375D21-5E45-41D3-805B-36C2BF5CFF40}"/>
    <cellStyle name="AggOrange9 2 3 3 2 62" xfId="30369" xr:uid="{82CAC01F-9A1C-4290-B8D2-7F5D480D925A}"/>
    <cellStyle name="AggOrange9 2 3 3 2 63" xfId="30786" xr:uid="{E69E237A-6092-4B05-AC3C-A815B2BAACF4}"/>
    <cellStyle name="AggOrange9 2 3 3 2 64" xfId="31031" xr:uid="{8D414624-6CB8-469D-94A6-78A5BBEFC708}"/>
    <cellStyle name="AggOrange9 2 3 3 2 65" xfId="31402" xr:uid="{7B29985E-AAE9-4FCD-9C8C-D6B4F943464B}"/>
    <cellStyle name="AggOrange9 2 3 3 2 7" xfId="4185" xr:uid="{2325AE18-1302-4957-82C9-6361122952D8}"/>
    <cellStyle name="AggOrange9 2 3 3 2 8" xfId="4622" xr:uid="{884FB31C-CF8C-4B40-A889-650432ADC64C}"/>
    <cellStyle name="AggOrange9 2 3 3 2 9" xfId="5068" xr:uid="{DDC7C9DE-9E5B-4BDA-8DBB-FD8ADB6907D2}"/>
    <cellStyle name="AggOrange9 2 3 3 20" xfId="9130" xr:uid="{CE68C25D-8F17-495B-93C1-CCA274935BF5}"/>
    <cellStyle name="AggOrange9 2 3 3 21" xfId="9039" xr:uid="{A1969374-390B-44BD-B41C-19632FF00E86}"/>
    <cellStyle name="AggOrange9 2 3 3 22" xfId="9906" xr:uid="{97FA7BEA-3C46-4DA9-B15C-8B1BA75C3CE3}"/>
    <cellStyle name="AggOrange9 2 3 3 23" xfId="11276" xr:uid="{DA9A091E-6E45-4577-8977-D04FE6DFA74E}"/>
    <cellStyle name="AggOrange9 2 3 3 24" xfId="12005" xr:uid="{E2E55383-7A4A-471D-AE05-C0EEF9ED86C5}"/>
    <cellStyle name="AggOrange9 2 3 3 25" xfId="12478" xr:uid="{A32B95EA-AFB5-491E-9EED-CBC9D7A2FB91}"/>
    <cellStyle name="AggOrange9 2 3 3 26" xfId="12912" xr:uid="{A8918893-303F-4C19-97A1-3BE8CA1849CA}"/>
    <cellStyle name="AggOrange9 2 3 3 27" xfId="13349" xr:uid="{8E990827-CE10-4963-B1CF-D426F25B4CB6}"/>
    <cellStyle name="AggOrange9 2 3 3 28" xfId="12311" xr:uid="{035C0629-367B-4350-923E-BB7E7B039744}"/>
    <cellStyle name="AggOrange9 2 3 3 29" xfId="13690" xr:uid="{7771CCAF-B1C2-46E1-A688-37396C5321CC}"/>
    <cellStyle name="AggOrange9 2 3 3 3" xfId="1135" xr:uid="{4F14DA53-9E6B-4C1C-AC66-49B4681AD47D}"/>
    <cellStyle name="AggOrange9 2 3 3 30" xfId="13939" xr:uid="{FE30FB7D-6BDB-4BA8-8098-6F04CA3D73B0}"/>
    <cellStyle name="AggOrange9 2 3 3 31" xfId="15325" xr:uid="{FA77DD6D-C0C3-413A-84A8-9E3D4CA38310}"/>
    <cellStyle name="AggOrange9 2 3 3 32" xfId="15203" xr:uid="{DCE22E64-8BAA-433C-B876-C3362F9AD42B}"/>
    <cellStyle name="AggOrange9 2 3 3 33" xfId="15602" xr:uid="{94E11794-6C46-4631-8CDD-1B6859197F39}"/>
    <cellStyle name="AggOrange9 2 3 3 34" xfId="16697" xr:uid="{57A51E04-2C48-41ED-9C27-4F27FBCCA46F}"/>
    <cellStyle name="AggOrange9 2 3 3 35" xfId="16234" xr:uid="{478B1F7D-34E5-4D96-ABEE-6A1F690CF4B4}"/>
    <cellStyle name="AggOrange9 2 3 3 36" xfId="16254" xr:uid="{3CBABCDD-F22D-4751-A8A9-EE7732481144}"/>
    <cellStyle name="AggOrange9 2 3 3 37" xfId="17517" xr:uid="{72A3B4B8-D269-4B0C-BCE4-E85354F844D2}"/>
    <cellStyle name="AggOrange9 2 3 3 38" xfId="18515" xr:uid="{07A16111-258E-4D66-A539-60570D22D1F0}"/>
    <cellStyle name="AggOrange9 2 3 3 39" xfId="17867" xr:uid="{62A23764-EAF4-4E06-865E-53FCA7A73502}"/>
    <cellStyle name="AggOrange9 2 3 3 4" xfId="1753" xr:uid="{7A9E4D85-EC92-4F48-9F7E-F4B065DD7C92}"/>
    <cellStyle name="AggOrange9 2 3 3 40" xfId="18557" xr:uid="{031394A3-BCFD-43B1-90DD-7B90BF661599}"/>
    <cellStyle name="AggOrange9 2 3 3 41" xfId="20034" xr:uid="{0E77E2B4-38C9-45C8-BBD1-FD9FBFBC6193}"/>
    <cellStyle name="AggOrange9 2 3 3 42" xfId="19567" xr:uid="{ECC0F6FA-771B-4549-82EE-352644809098}"/>
    <cellStyle name="AggOrange9 2 3 3 43" xfId="20352" xr:uid="{81D41BC6-7766-44E8-91CB-8DDFD332D314}"/>
    <cellStyle name="AggOrange9 2 3 3 44" xfId="21382" xr:uid="{0903DBFC-7B71-402D-84AF-8521E026979F}"/>
    <cellStyle name="AggOrange9 2 3 3 45" xfId="19746" xr:uid="{05260EC0-9568-49E4-ABEF-613BC3AE1588}"/>
    <cellStyle name="AggOrange9 2 3 3 46" xfId="19441" xr:uid="{DC4A42A0-CE5B-4A0F-B8D3-F924525EE952}"/>
    <cellStyle name="AggOrange9 2 3 3 47" xfId="22475" xr:uid="{02EE79FC-0E75-4170-9403-8A990D7C0233}"/>
    <cellStyle name="AggOrange9 2 3 3 48" xfId="22376" xr:uid="{27BA6692-6459-420E-84B4-CF8DDED14D8A}"/>
    <cellStyle name="AggOrange9 2 3 3 49" xfId="22979" xr:uid="{780A27D3-AE56-403C-A781-60C55A1A24E2}"/>
    <cellStyle name="AggOrange9 2 3 3 5" xfId="2474" xr:uid="{C9A9161D-8188-4624-8AEA-5090CF29F278}"/>
    <cellStyle name="AggOrange9 2 3 3 50" xfId="23843" xr:uid="{8DAF5FA5-3271-4CE7-85A2-A0248B21CAD3}"/>
    <cellStyle name="AggOrange9 2 3 3 51" xfId="24742" xr:uid="{0024EE79-3954-431C-A0C3-53FD7FE28BD1}"/>
    <cellStyle name="AggOrange9 2 3 3 52" xfId="24288" xr:uid="{90D2DD5D-0682-406B-9F90-100E3D2E105C}"/>
    <cellStyle name="AggOrange9 2 3 3 53" xfId="25660" xr:uid="{DC7382D3-C9F3-4160-87E2-BD2DD86F0C07}"/>
    <cellStyle name="AggOrange9 2 3 3 54" xfId="24524" xr:uid="{90FE24EF-1321-40DE-9ECD-9ECD3519FB9D}"/>
    <cellStyle name="AggOrange9 2 3 3 55" xfId="26604" xr:uid="{92BF3A1F-6F62-4A82-BF5F-9DDC1DA51525}"/>
    <cellStyle name="AggOrange9 2 3 3 56" xfId="26950" xr:uid="{7376462C-B826-4B77-AD29-C2D8D07B999A}"/>
    <cellStyle name="AggOrange9 2 3 3 57" xfId="27369" xr:uid="{6DB56C23-2033-442F-B5A8-4A9D9810CF88}"/>
    <cellStyle name="AggOrange9 2 3 3 58" xfId="27806" xr:uid="{DB677E3A-D8D7-4772-AD1F-72FA9FE97DC1}"/>
    <cellStyle name="AggOrange9 2 3 3 59" xfId="28492" xr:uid="{1BF31F24-1FDF-4F2F-83C3-4E8537265C06}"/>
    <cellStyle name="AggOrange9 2 3 3 6" xfId="1907" xr:uid="{F57D9E71-7B04-4EBB-921A-F5590BC436D4}"/>
    <cellStyle name="AggOrange9 2 3 3 60" xfId="28960" xr:uid="{832D839F-9F89-4B01-A4D7-B5B69FD4E011}"/>
    <cellStyle name="AggOrange9 2 3 3 61" xfId="27979" xr:uid="{75AD191B-9B94-4867-BB53-66D8BB9FB492}"/>
    <cellStyle name="AggOrange9 2 3 3 62" xfId="29750" xr:uid="{BD6FA673-63EC-405D-8D76-8ED606F95C93}"/>
    <cellStyle name="AggOrange9 2 3 3 63" xfId="30158" xr:uid="{80951482-E1F2-4087-8AF0-5589926EF6C9}"/>
    <cellStyle name="AggOrange9 2 3 3 64" xfId="30572" xr:uid="{A1158E2C-9204-4BCC-86A4-FCFD82627659}"/>
    <cellStyle name="AggOrange9 2 3 3 65" xfId="30860" xr:uid="{58C5657A-1E61-45EA-AAAD-EF9A388094F8}"/>
    <cellStyle name="AggOrange9 2 3 3 66" xfId="31196" xr:uid="{2CE0CCA7-9E5D-4AE2-941A-B1BB6C5BEBD6}"/>
    <cellStyle name="AggOrange9 2 3 3 7" xfId="3375" xr:uid="{903E2A11-CDC6-41C5-AFC9-1BF5B4E40FC5}"/>
    <cellStyle name="AggOrange9 2 3 3 8" xfId="3970" xr:uid="{32B23B2D-106E-4974-8FD3-1B4162577A0B}"/>
    <cellStyle name="AggOrange9 2 3 3 9" xfId="4408" xr:uid="{92DC3D64-9667-4F9D-9A96-AAE67BD2C72F}"/>
    <cellStyle name="AggOrange9 2 3 30" xfId="13158" xr:uid="{18FFDA2C-D6DF-4B49-8283-265B00D92C89}"/>
    <cellStyle name="AggOrange9 2 3 31" xfId="13195" xr:uid="{4F12458D-9266-418C-B69E-C75578A962AE}"/>
    <cellStyle name="AggOrange9 2 3 32" xfId="14224" xr:uid="{8AC0CEED-8B94-4FCF-BA82-64C2B8183532}"/>
    <cellStyle name="AggOrange9 2 3 33" xfId="14662" xr:uid="{DBC9C7F8-3701-4111-8F4B-20305823112E}"/>
    <cellStyle name="AggOrange9 2 3 34" xfId="15446" xr:uid="{67DB41E9-69DA-4529-86F6-FFB8EE888248}"/>
    <cellStyle name="AggOrange9 2 3 35" xfId="15543" xr:uid="{03FFE227-34AF-48A1-B797-0CB4C3526418}"/>
    <cellStyle name="AggOrange9 2 3 36" xfId="16318" xr:uid="{72F7ED23-8FFD-482E-B31F-50A1B00E9373}"/>
    <cellStyle name="AggOrange9 2 3 37" xfId="16159" xr:uid="{833954CD-5023-4145-AB44-222E6390D811}"/>
    <cellStyle name="AggOrange9 2 3 38" xfId="16236" xr:uid="{B308DEAE-0914-4B37-BCF1-49BC7BF8F4FE}"/>
    <cellStyle name="AggOrange9 2 3 39" xfId="18229" xr:uid="{4F62665A-3BA5-48F3-AACE-EC90938013BC}"/>
    <cellStyle name="AggOrange9 2 3 4" xfId="666" xr:uid="{FFD02A73-E680-4E90-A3B2-D2B7580D01FC}"/>
    <cellStyle name="AggOrange9 2 3 4 10" xfId="2832" xr:uid="{7FBAE90A-B436-4091-9CD8-9EBCA90B4C38}"/>
    <cellStyle name="AggOrange9 2 3 4 11" xfId="5314" xr:uid="{3A2D60BA-CCEC-41AF-BE99-A1F656C48CE1}"/>
    <cellStyle name="AggOrange9 2 3 4 12" xfId="3733" xr:uid="{4D07124B-AF84-4390-8CE6-94A2C2EFA8F4}"/>
    <cellStyle name="AggOrange9 2 3 4 13" xfId="5886" xr:uid="{270793A1-4087-43CB-8DA2-F935D343F1FC}"/>
    <cellStyle name="AggOrange9 2 3 4 14" xfId="5984" xr:uid="{082082B1-E6DF-4450-A780-1D02D4074F74}"/>
    <cellStyle name="AggOrange9 2 3 4 15" xfId="7386" xr:uid="{B8B719C1-2622-4296-9A51-37E1DB70C06F}"/>
    <cellStyle name="AggOrange9 2 3 4 16" xfId="7824" xr:uid="{F1312C70-8869-4A06-A0DB-5A22901CDD49}"/>
    <cellStyle name="AggOrange9 2 3 4 17" xfId="7148" xr:uid="{2E4290E8-F0F0-4FC5-B201-5F4C1550AB7F}"/>
    <cellStyle name="AggOrange9 2 3 4 18" xfId="8330" xr:uid="{B543FCC1-F548-4344-A0F0-0DED0E2AA34A}"/>
    <cellStyle name="AggOrange9 2 3 4 19" xfId="9600" xr:uid="{41E552CE-67F2-470A-B33E-5A7B8EDB4047}"/>
    <cellStyle name="AggOrange9 2 3 4 2" xfId="881" xr:uid="{B79842D8-61AD-4E5C-8763-BD2E046C2AE6}"/>
    <cellStyle name="AggOrange9 2 3 4 2 10" xfId="5529" xr:uid="{6084B46F-EEB9-4EF2-B156-D67A59323940}"/>
    <cellStyle name="AggOrange9 2 3 4 2 11" xfId="6023" xr:uid="{CB443233-47DA-4D1E-A4D7-EDC020DAD52F}"/>
    <cellStyle name="AggOrange9 2 3 4 2 12" xfId="6382" xr:uid="{B52F7254-34FC-482B-9BF8-131BA065F578}"/>
    <cellStyle name="AggOrange9 2 3 4 2 13" xfId="6720" xr:uid="{55714557-E1BE-4766-AFC8-2E28E41A5BA0}"/>
    <cellStyle name="AggOrange9 2 3 4 2 14" xfId="7601" xr:uid="{ACE6AEA5-9E0C-4F66-B8A4-E652993707CD}"/>
    <cellStyle name="AggOrange9 2 3 4 2 15" xfId="8065" xr:uid="{D784CD49-4717-44D3-AF24-5D9C94F748C2}"/>
    <cellStyle name="AggOrange9 2 3 4 2 16" xfId="8674" xr:uid="{D2D42FD3-9657-43F0-BC82-6151BB0F6968}"/>
    <cellStyle name="AggOrange9 2 3 4 2 17" xfId="8933" xr:uid="{BE561D45-5E9E-4E27-8CE7-012E95D69C0F}"/>
    <cellStyle name="AggOrange9 2 3 4 2 18" xfId="9815" xr:uid="{3300BE2D-8482-46D1-BEEA-E7F791CBD5C0}"/>
    <cellStyle name="AggOrange9 2 3 4 2 19" xfId="10284" xr:uid="{6B342FC6-9F48-4D62-A55E-C7C3A239E72E}"/>
    <cellStyle name="AggOrange9 2 3 4 2 2" xfId="1355" xr:uid="{A0840C97-90CB-4ED8-8AA5-1EDF696BA2FE}"/>
    <cellStyle name="AggOrange9 2 3 4 2 20" xfId="10678" xr:uid="{D1609CEA-58B6-40B6-A7EA-A41AFDAE5447}"/>
    <cellStyle name="AggOrange9 2 3 4 2 21" xfId="11027" xr:uid="{CFBA2ACF-AAA6-4B5C-9B2B-1905ED57D360}"/>
    <cellStyle name="AggOrange9 2 3 4 2 22" xfId="11337" xr:uid="{59CE09D9-A187-49D5-A97C-39291D85CDC5}"/>
    <cellStyle name="AggOrange9 2 3 4 2 23" xfId="12234" xr:uid="{BBE49EC6-8D58-4E0F-9D4B-1D2B846ABA51}"/>
    <cellStyle name="AggOrange9 2 3 4 2 24" xfId="12707" xr:uid="{1E68A53A-BFA8-463C-8E55-CB9EBCC9E1A1}"/>
    <cellStyle name="AggOrange9 2 3 4 2 25" xfId="13141" xr:uid="{B4B541E4-3DBF-4EA5-B1BE-7F8D3F2F6142}"/>
    <cellStyle name="AggOrange9 2 3 4 2 26" xfId="13578" xr:uid="{85FBA172-20DA-44C5-AA01-D9F2D8E96B24}"/>
    <cellStyle name="AggOrange9 2 3 4 2 27" xfId="14050" xr:uid="{A6CB33D4-00B2-408E-8768-AE6E6628EF8D}"/>
    <cellStyle name="AggOrange9 2 3 4 2 28" xfId="14497" xr:uid="{1707762B-7EF7-49C1-9B06-155B0ECFB1AA}"/>
    <cellStyle name="AggOrange9 2 3 4 2 29" xfId="14931" xr:uid="{E5CEA22D-3F2D-4533-95A1-E02769843EF5}"/>
    <cellStyle name="AggOrange9 2 3 4 2 3" xfId="1804" xr:uid="{63F7F672-CB1A-4B26-86BF-8D5B2D420083}"/>
    <cellStyle name="AggOrange9 2 3 4 2 30" xfId="15401" xr:uid="{E528F931-95CE-400F-8F6D-AC686DFE38FC}"/>
    <cellStyle name="AggOrange9 2 3 4 2 31" xfId="15791" xr:uid="{9E3331CC-84B4-4965-8D33-67898AC8EF89}"/>
    <cellStyle name="AggOrange9 2 3 4 2 32" xfId="16013" xr:uid="{3C816D5B-FB77-47AF-A046-25AC0CA93391}"/>
    <cellStyle name="AggOrange9 2 3 4 2 33" xfId="16926" xr:uid="{A26B3C6E-C0A8-4454-9C0E-7A1BD0AFB82E}"/>
    <cellStyle name="AggOrange9 2 3 4 2 34" xfId="17407" xr:uid="{4ED5A7B7-FE3E-4B7B-A764-0183961DCF7F}"/>
    <cellStyle name="AggOrange9 2 3 4 2 35" xfId="17848" xr:uid="{223D351F-603A-4C03-810F-0A46A8419491}"/>
    <cellStyle name="AggOrange9 2 3 4 2 36" xfId="18323" xr:uid="{1D891189-1FF3-44F2-B18C-19FCDA88D575}"/>
    <cellStyle name="AggOrange9 2 3 4 2 37" xfId="18744" xr:uid="{7E611C44-AD32-4F1D-8B2F-DD5F4A765DC5}"/>
    <cellStyle name="AggOrange9 2 3 4 2 38" xfId="19131" xr:uid="{E58BCA89-87B7-4262-9162-C6287BBE6AE7}"/>
    <cellStyle name="AggOrange9 2 3 4 2 39" xfId="19361" xr:uid="{B6174583-DBAC-4F78-A188-990A3E7CC296}"/>
    <cellStyle name="AggOrange9 2 3 4 2 4" xfId="2703" xr:uid="{C9D120B9-03BA-468D-9E65-4ED938BF46D8}"/>
    <cellStyle name="AggOrange9 2 3 4 2 40" xfId="20263" xr:uid="{DFC28C91-F42A-4E64-831D-6268EBB15397}"/>
    <cellStyle name="AggOrange9 2 3 4 2 41" xfId="20756" xr:uid="{D41553E0-11A0-459B-921E-F0407D67CDBC}"/>
    <cellStyle name="AggOrange9 2 3 4 2 42" xfId="21215" xr:uid="{3F036578-1A59-446D-9C4A-2F2924202BF9}"/>
    <cellStyle name="AggOrange9 2 3 4 2 43" xfId="21707" xr:uid="{6377055B-6D5F-41B5-A763-33551FB939B4}"/>
    <cellStyle name="AggOrange9 2 3 4 2 44" xfId="22146" xr:uid="{8DC242A0-C694-47FE-A6BA-B29C5CAE3456}"/>
    <cellStyle name="AggOrange9 2 3 4 2 45" xfId="22573" xr:uid="{218CED1A-653A-49DB-B0E7-8B3923CC05A4}"/>
    <cellStyle name="AggOrange9 2 3 4 2 46" xfId="23018" xr:uid="{637F920C-05DB-4F88-9220-E41C102A8954}"/>
    <cellStyle name="AggOrange9 2 3 4 2 47" xfId="23420" xr:uid="{15697DDA-1830-4B74-83BE-390707C236E6}"/>
    <cellStyle name="AggOrange9 2 3 4 2 48" xfId="23683" xr:uid="{04D08723-3593-4B1F-AFC5-3C62407C59EA}"/>
    <cellStyle name="AggOrange9 2 3 4 2 49" xfId="24063" xr:uid="{89F32D8E-B93B-4E31-A019-58742BD0B4DE}"/>
    <cellStyle name="AggOrange9 2 3 4 2 5" xfId="3223" xr:uid="{F26CEA56-71AB-412E-8DD2-38EEA05C90B2}"/>
    <cellStyle name="AggOrange9 2 3 4 2 50" xfId="24971" xr:uid="{C40F45EB-55E0-41F0-969F-8E29A00EA8D9}"/>
    <cellStyle name="AggOrange9 2 3 4 2 51" xfId="25459" xr:uid="{20FC451F-A1A1-4903-AA40-D276E3B7B301}"/>
    <cellStyle name="AggOrange9 2 3 4 2 52" xfId="25887" xr:uid="{01432A02-7833-4365-8204-EF746271F56E}"/>
    <cellStyle name="AggOrange9 2 3 4 2 53" xfId="26325" xr:uid="{EED10793-780D-4297-9979-51C7FAAC6481}"/>
    <cellStyle name="AggOrange9 2 3 4 2 54" xfId="26754" xr:uid="{E56D5B00-1E7B-4FAA-97E7-F6B17C22C970}"/>
    <cellStyle name="AggOrange9 2 3 4 2 55" xfId="27175" xr:uid="{6A00ED31-C1E8-4DF0-AFF0-A68D653888BA}"/>
    <cellStyle name="AggOrange9 2 3 4 2 56" xfId="27594" xr:uid="{03D1F10D-3275-4C42-96D1-0611643C0B2F}"/>
    <cellStyle name="AggOrange9 2 3 4 2 57" xfId="27832" xr:uid="{18C33B96-B513-4301-8B42-0E8490892FEA}"/>
    <cellStyle name="AggOrange9 2 3 4 2 58" xfId="28721" xr:uid="{62978617-EC3D-4FC5-B714-34D7B5A23DB4}"/>
    <cellStyle name="AggOrange9 2 3 4 2 59" xfId="29188" xr:uid="{90722FD1-AADF-4491-86CE-C23692384F41}"/>
    <cellStyle name="AggOrange9 2 3 4 2 6" xfId="3778" xr:uid="{324BDA54-D663-4AEC-9232-CF160A4E3DA4}"/>
    <cellStyle name="AggOrange9 2 3 4 2 60" xfId="29570" xr:uid="{D3127781-DF85-4B6F-8AAC-4E57B2C3D11F}"/>
    <cellStyle name="AggOrange9 2 3 4 2 61" xfId="29977" xr:uid="{9B73A97E-8B97-4858-97DA-C9A9C419F217}"/>
    <cellStyle name="AggOrange9 2 3 4 2 62" xfId="30383" xr:uid="{B7EAD63D-516B-4071-A2FF-116587EA76A2}"/>
    <cellStyle name="AggOrange9 2 3 4 2 63" xfId="30800" xr:uid="{5553E1AA-3FB0-4F20-BD62-60E5D19ABB87}"/>
    <cellStyle name="AggOrange9 2 3 4 2 64" xfId="31045" xr:uid="{B1C502AC-22DA-4B84-9DEA-A5B0AAB507F7}"/>
    <cellStyle name="AggOrange9 2 3 4 2 65" xfId="31416" xr:uid="{709D12D3-2479-475C-8B9B-9C49399FA3C0}"/>
    <cellStyle name="AggOrange9 2 3 4 2 7" xfId="4199" xr:uid="{421B5547-B6DF-4B72-8A02-434DE59787D7}"/>
    <cellStyle name="AggOrange9 2 3 4 2 8" xfId="4636" xr:uid="{0C9C1123-B1E4-4E20-BE80-564200DFBCDF}"/>
    <cellStyle name="AggOrange9 2 3 4 2 9" xfId="5082" xr:uid="{CAD8DCD1-CA0C-46C5-AC56-D75425B2DD46}"/>
    <cellStyle name="AggOrange9 2 3 4 20" xfId="10036" xr:uid="{06702667-E4E3-4C15-989B-6F76059AA2A4}"/>
    <cellStyle name="AggOrange9 2 3 4 21" xfId="10457" xr:uid="{185B368F-D0E0-48B1-BF41-FFF60D800D00}"/>
    <cellStyle name="AggOrange9 2 3 4 22" xfId="10488" xr:uid="{52E5F5FF-4806-4203-99EE-E200619C4C6C}"/>
    <cellStyle name="AggOrange9 2 3 4 23" xfId="10709" xr:uid="{7AABC907-84D7-46EE-A4D2-C6B0066695B5}"/>
    <cellStyle name="AggOrange9 2 3 4 24" xfId="12019" xr:uid="{5EDD480B-2789-4476-8A4C-DF8A86C327A9}"/>
    <cellStyle name="AggOrange9 2 3 4 25" xfId="12492" xr:uid="{E910B036-99B5-4F9A-A1A4-E302031B3AF4}"/>
    <cellStyle name="AggOrange9 2 3 4 26" xfId="12926" xr:uid="{8D1C620E-7F4F-4108-99D5-90A36759B516}"/>
    <cellStyle name="AggOrange9 2 3 4 27" xfId="13363" xr:uid="{3B5DF75F-F747-400C-8525-2CB6CFBD4923}"/>
    <cellStyle name="AggOrange9 2 3 4 28" xfId="11565" xr:uid="{47E98F1C-67BF-47F7-8B75-97AB65E0F8F9}"/>
    <cellStyle name="AggOrange9 2 3 4 29" xfId="13166" xr:uid="{BA5C231C-21AE-48A0-B401-6320476FA28B}"/>
    <cellStyle name="AggOrange9 2 3 4 3" xfId="1149" xr:uid="{E5B1283C-CF85-429D-A4A1-9930DC2AE0AB}"/>
    <cellStyle name="AggOrange9 2 3 4 30" xfId="14691" xr:uid="{0E1D16D0-BD97-4643-8A37-8FD642877EBF}"/>
    <cellStyle name="AggOrange9 2 3 4 31" xfId="14099" xr:uid="{AAFD91B1-1723-413F-A91D-D84ED9ACC82D}"/>
    <cellStyle name="AggOrange9 2 3 4 32" xfId="15023" xr:uid="{97256D04-5FC3-4A94-9E51-FE1736054552}"/>
    <cellStyle name="AggOrange9 2 3 4 33" xfId="15871" xr:uid="{3D85ADAF-908E-4777-A486-D90618D1C411}"/>
    <cellStyle name="AggOrange9 2 3 4 34" xfId="16711" xr:uid="{D29E9EB9-22DC-4FB3-B925-E79ED491E869}"/>
    <cellStyle name="AggOrange9 2 3 4 35" xfId="17154" xr:uid="{DD236B87-0182-4D18-BC07-9B41C3304277}"/>
    <cellStyle name="AggOrange9 2 3 4 36" xfId="17599" xr:uid="{0B7FC47C-15E3-408B-9386-73100F358D38}"/>
    <cellStyle name="AggOrange9 2 3 4 37" xfId="17919" xr:uid="{F6BDB139-20C9-42AB-9BE1-E67B2004896F}"/>
    <cellStyle name="AggOrange9 2 3 4 38" xfId="18529" xr:uid="{9DA27BB3-39B1-4B85-B141-78860861898F}"/>
    <cellStyle name="AggOrange9 2 3 4 39" xfId="19049" xr:uid="{AD7A3DBF-62A6-4CF6-A81F-FE6462C2D058}"/>
    <cellStyle name="AggOrange9 2 3 4 4" xfId="1614" xr:uid="{94860351-43B4-472E-B70A-9E1EC4DD9A33}"/>
    <cellStyle name="AggOrange9 2 3 4 40" xfId="18797" xr:uid="{F3661D81-F221-4DDD-B8BF-130124A2B217}"/>
    <cellStyle name="AggOrange9 2 3 4 41" xfId="20048" xr:uid="{B19867E6-772D-46D3-8957-6F17348CC86E}"/>
    <cellStyle name="AggOrange9 2 3 4 42" xfId="20506" xr:uid="{3500902C-70E0-4437-8DCF-80DAA0C9029B}"/>
    <cellStyle name="AggOrange9 2 3 4 43" xfId="20960" xr:uid="{500DC6A4-B06A-4C83-8014-CD4478F99E46}"/>
    <cellStyle name="AggOrange9 2 3 4 44" xfId="21329" xr:uid="{46EDE529-6395-4429-8181-92D016156FB4}"/>
    <cellStyle name="AggOrange9 2 3 4 45" xfId="21890" xr:uid="{5B876940-4560-40A8-93A4-DF4B63AB2BF6}"/>
    <cellStyle name="AggOrange9 2 3 4 46" xfId="22326" xr:uid="{F5812F85-2DCC-4253-8AB3-778A7975DB12}"/>
    <cellStyle name="AggOrange9 2 3 4 47" xfId="22512" xr:uid="{0A07672D-7596-4ABC-8A2A-FF5901E76B43}"/>
    <cellStyle name="AggOrange9 2 3 4 48" xfId="23327" xr:uid="{A69471B6-B202-46BA-9CD4-BA11BF86575F}"/>
    <cellStyle name="AggOrange9 2 3 4 49" xfId="22781" xr:uid="{97E18CB9-7BFE-4790-8EE8-C7D02BD6E590}"/>
    <cellStyle name="AggOrange9 2 3 4 5" xfId="2488" xr:uid="{E0339B59-FCD4-44D5-BACB-5EDC7CC4CACA}"/>
    <cellStyle name="AggOrange9 2 3 4 50" xfId="23857" xr:uid="{B084F1A1-F51C-4F4E-9BDC-11B72866BBFE}"/>
    <cellStyle name="AggOrange9 2 3 4 51" xfId="24756" xr:uid="{00A810F3-6539-44F2-A2B8-F6C5E5C95752}"/>
    <cellStyle name="AggOrange9 2 3 4 52" xfId="25215" xr:uid="{0EE92315-206C-44FE-8E76-2362F85096E6}"/>
    <cellStyle name="AggOrange9 2 3 4 53" xfId="25674" xr:uid="{4891CD55-849F-4D20-A7BB-12D4C6343491}"/>
    <cellStyle name="AggOrange9 2 3 4 54" xfId="25406" xr:uid="{170ADF07-8DD7-435A-9AD2-2686DA06FC36}"/>
    <cellStyle name="AggOrange9 2 3 4 55" xfId="26591" xr:uid="{0E921DE1-C288-4C34-A9C0-1C273C5866D7}"/>
    <cellStyle name="AggOrange9 2 3 4 56" xfId="26964" xr:uid="{74AC8971-614C-4CC7-B906-53FF3EC25671}"/>
    <cellStyle name="AggOrange9 2 3 4 57" xfId="27383" xr:uid="{518D0CEE-91CB-4971-BE87-545A8E2C5475}"/>
    <cellStyle name="AggOrange9 2 3 4 58" xfId="27639" xr:uid="{9651BEE8-AF75-4931-8BCC-7D7404E278F6}"/>
    <cellStyle name="AggOrange9 2 3 4 59" xfId="28506" xr:uid="{6F816B29-E35C-4B6A-AF36-208EF27A0998}"/>
    <cellStyle name="AggOrange9 2 3 4 6" xfId="1850" xr:uid="{B71169C8-9C39-466C-998D-2AB1B3BE3911}"/>
    <cellStyle name="AggOrange9 2 3 4 60" xfId="28974" xr:uid="{DE5ED200-1669-4588-977A-B2840FBB2E7F}"/>
    <cellStyle name="AggOrange9 2 3 4 61" xfId="29356" xr:uid="{FA13E396-7FCC-479B-80D3-6A2329EE3DD2}"/>
    <cellStyle name="AggOrange9 2 3 4 62" xfId="29764" xr:uid="{046B0B07-8968-4106-955B-D030E23EAED8}"/>
    <cellStyle name="AggOrange9 2 3 4 63" xfId="30172" xr:uid="{6D82F514-EF56-4326-BC21-C1276A45EA52}"/>
    <cellStyle name="AggOrange9 2 3 4 64" xfId="30586" xr:uid="{42C248FB-CE9D-49C2-8127-1233F878357A}"/>
    <cellStyle name="AggOrange9 2 3 4 65" xfId="30429" xr:uid="{6E7134CB-899F-4B1D-8130-58630B991B0D}"/>
    <cellStyle name="AggOrange9 2 3 4 66" xfId="31210" xr:uid="{736363A7-975E-4AFD-9BFC-B1DE92E99C0B}"/>
    <cellStyle name="AggOrange9 2 3 4 7" xfId="3012" xr:uid="{4D18B36F-63B8-440A-A0D3-0E38A5211940}"/>
    <cellStyle name="AggOrange9 2 3 4 8" xfId="3984" xr:uid="{5AB9315B-4D72-4080-8E64-5E7DFEBC6B63}"/>
    <cellStyle name="AggOrange9 2 3 4 9" xfId="4422" xr:uid="{3C961F14-FD22-4251-8B97-3507B4CF1293}"/>
    <cellStyle name="AggOrange9 2 3 40" xfId="17982" xr:uid="{2719DF77-7A87-4D95-A1C7-AE43AEC3EED9}"/>
    <cellStyle name="AggOrange9 2 3 41" xfId="18893" xr:uid="{5CA2B392-A657-4633-A8F5-A75FA13D2BF6}"/>
    <cellStyle name="AggOrange9 2 3 42" xfId="17910" xr:uid="{A945FB8D-BBFB-4A82-91C9-66BC97641446}"/>
    <cellStyle name="AggOrange9 2 3 43" xfId="19651" xr:uid="{9B9AC9EE-385E-446B-9FED-F8ED4EA6C7EC}"/>
    <cellStyle name="AggOrange9 2 3 44" xfId="19490" xr:uid="{C0ABB8CD-B846-4E0B-93C6-7F8E457C7656}"/>
    <cellStyle name="AggOrange9 2 3 45" xfId="20636" xr:uid="{8DB45713-8AB3-4444-9495-3492D0B7826A}"/>
    <cellStyle name="AggOrange9 2 3 46" xfId="20402" xr:uid="{2433155F-2AB5-4CC7-A1ED-767C4202A157}"/>
    <cellStyle name="AggOrange9 2 3 47" xfId="21518" xr:uid="{AE504A51-0FCD-4A34-818E-5E82899C3FAF}"/>
    <cellStyle name="AggOrange9 2 3 48" xfId="21839" xr:uid="{B5DAC0C3-DB8F-4DE9-865E-98D984A34C26}"/>
    <cellStyle name="AggOrange9 2 3 49" xfId="21894" xr:uid="{6ACE3327-DDD1-4F33-ADC8-0B6F8F715963}"/>
    <cellStyle name="AggOrange9 2 3 5" xfId="944" xr:uid="{B55CF01E-E485-435F-9356-D06276429D4A}"/>
    <cellStyle name="AggOrange9 2 3 50" xfId="23169" xr:uid="{642484E7-5DE1-4524-B94A-BC0172F923E9}"/>
    <cellStyle name="AggOrange9 2 3 51" xfId="23170" xr:uid="{22B2076F-A2E8-4EBF-AF25-DB1F200D0C10}"/>
    <cellStyle name="AggOrange9 2 3 52" xfId="21725" xr:uid="{E8A33064-4B31-4EA5-AAE8-32B7A826AD0D}"/>
    <cellStyle name="AggOrange9 2 3 53" xfId="24371" xr:uid="{253CF1D2-CE9A-47FE-9623-4123BB0BF59C}"/>
    <cellStyle name="AggOrange9 2 3 54" xfId="25031" xr:uid="{B6F08522-74D3-4D76-952D-6C918B3D46D7}"/>
    <cellStyle name="AggOrange9 2 3 55" xfId="24546" xr:uid="{D234F1E9-58D2-4E3E-9FE9-204742F01411}"/>
    <cellStyle name="AggOrange9 2 3 56" xfId="26017" xr:uid="{72B4BC39-01F8-4ADE-9632-395992D1AB3F}"/>
    <cellStyle name="AggOrange9 2 3 57" xfId="25498" xr:uid="{D9536AC4-FA36-43FD-A878-42969E080CCE}"/>
    <cellStyle name="AggOrange9 2 3 58" xfId="26673" xr:uid="{AC411A10-B5D5-4246-97A5-E7852D085088}"/>
    <cellStyle name="AggOrange9 2 3 59" xfId="26503" xr:uid="{3D8EAAF0-B69D-4CA6-8E1D-B696C135BF7F}"/>
    <cellStyle name="AggOrange9 2 3 6" xfId="1535" xr:uid="{B28D75CC-AF6F-474C-B5E6-108DA77C50C5}"/>
    <cellStyle name="AggOrange9 2 3 60" xfId="26672" xr:uid="{6E3F1A42-60F8-49A2-9D8A-1A81E916AD1B}"/>
    <cellStyle name="AggOrange9 2 3 61" xfId="28142" xr:uid="{6273417A-4198-4E94-92B0-ADDA947D35B6}"/>
    <cellStyle name="AggOrange9 2 3 62" xfId="27927" xr:uid="{B87A9173-EE83-4984-96D2-1D9EC3BD28A7}"/>
    <cellStyle name="AggOrange9 2 3 63" xfId="27926" xr:uid="{6259BDBB-26E9-418D-859E-560954023E98}"/>
    <cellStyle name="AggOrange9 2 3 64" xfId="28195" xr:uid="{24810EB6-523B-467F-A545-DB0D169F05B1}"/>
    <cellStyle name="AggOrange9 2 3 65" xfId="29607" xr:uid="{3B06F158-5817-4102-83E7-C1C31F03B2C1}"/>
    <cellStyle name="AggOrange9 2 3 66" xfId="28177" xr:uid="{1CFE0E67-3E46-49B4-B18C-8A2E7B966615}"/>
    <cellStyle name="AggOrange9 2 3 67" xfId="28311" xr:uid="{88A6CC1B-F518-4E83-BFB7-595F15E7C8DA}"/>
    <cellStyle name="AggOrange9 2 3 68" xfId="30615" xr:uid="{1D530D7A-F60C-4F29-9E4D-457A361A125E}"/>
    <cellStyle name="AggOrange9 2 3 7" xfId="2091" xr:uid="{02DE139B-10C0-45AA-8189-10E8354F4C95}"/>
    <cellStyle name="AggOrange9 2 3 8" xfId="2272" xr:uid="{37114F37-5C35-4A41-969E-CC0DE326233B}"/>
    <cellStyle name="AggOrange9 2 3 9" xfId="3297" xr:uid="{6EC3386F-BB3D-4BC3-99B4-C23C9E949B3F}"/>
    <cellStyle name="AggOrange9 3" xfId="408" xr:uid="{6F42F83B-5566-491D-BEC1-15E34F81203B}"/>
    <cellStyle name="AggOrange9 3 2" xfId="597" xr:uid="{D2BBCFEA-23E9-4463-82F2-E3AA697257B2}"/>
    <cellStyle name="AggOrange9 3 2 10" xfId="3593" xr:uid="{A9D36F16-FDA7-4810-A500-0F1D173CA105}"/>
    <cellStyle name="AggOrange9 3 2 11" xfId="5245" xr:uid="{BCD83DFB-CFA5-449F-B97C-9254D6B240AD}"/>
    <cellStyle name="AggOrange9 3 2 12" xfId="5922" xr:uid="{1DE4B44A-0CAA-4007-94D3-1C62E36D35E8}"/>
    <cellStyle name="AggOrange9 3 2 13" xfId="6279" xr:uid="{BA4AE5CC-2D03-4F65-A7FB-81C05198BEB7}"/>
    <cellStyle name="AggOrange9 3 2 14" xfId="6256" xr:uid="{EED8E698-C2FC-443E-ABAC-84F3BB856EA3}"/>
    <cellStyle name="AggOrange9 3 2 15" xfId="7317" xr:uid="{4C3964BD-72F0-489E-B2FF-8099F2D0B95D}"/>
    <cellStyle name="AggOrange9 3 2 16" xfId="7914" xr:uid="{09BC0642-6D60-4F1C-A52E-20E372369896}"/>
    <cellStyle name="AggOrange9 3 2 17" xfId="6749" xr:uid="{5197F3C3-762B-421B-8D0B-E8F5C8AC5AB3}"/>
    <cellStyle name="AggOrange9 3 2 18" xfId="8226" xr:uid="{D1D0903A-7A3A-4DD2-9F55-C6DB7E6BE96C}"/>
    <cellStyle name="AggOrange9 3 2 19" xfId="9531" xr:uid="{3650A024-4805-4F41-9AC1-96B5F52FF49C}"/>
    <cellStyle name="AggOrange9 3 2 2" xfId="812" xr:uid="{953C128A-7A1D-4485-A300-A6244DE41AAA}"/>
    <cellStyle name="AggOrange9 3 2 2 10" xfId="5460" xr:uid="{0E3E3C14-413B-487B-97C3-BA08A1AD35CD}"/>
    <cellStyle name="AggOrange9 3 2 2 11" xfId="4851" xr:uid="{65FFA5D5-9D4E-48ED-AC11-7E0E23FE4DAB}"/>
    <cellStyle name="AggOrange9 3 2 2 12" xfId="5708" xr:uid="{6930593E-738D-44FA-8D6A-A4AED0C9D900}"/>
    <cellStyle name="AggOrange9 3 2 2 13" xfId="6394" xr:uid="{AEF3EF12-2E37-4D1F-94EE-C2A90DA8ED0B}"/>
    <cellStyle name="AggOrange9 3 2 2 14" xfId="7532" xr:uid="{5BABD927-3285-4AF3-BE3D-634EFF6B8D86}"/>
    <cellStyle name="AggOrange9 3 2 2 15" xfId="7204" xr:uid="{696A4C9A-3C65-4544-B886-88CF340EBBBA}"/>
    <cellStyle name="AggOrange9 3 2 2 16" xfId="8005" xr:uid="{BDC1328D-01CE-41DB-B2E9-70985400B125}"/>
    <cellStyle name="AggOrange9 3 2 2 17" xfId="8423" xr:uid="{7AFA9530-F070-4DE2-9B28-AC1537B2939F}"/>
    <cellStyle name="AggOrange9 3 2 2 18" xfId="9746" xr:uid="{F78DDD5E-A17A-4505-B92A-C08B3B6488A1}"/>
    <cellStyle name="AggOrange9 3 2 2 19" xfId="9417" xr:uid="{FBDA29CE-A9A1-4920-8D4E-E7128E35CE5F}"/>
    <cellStyle name="AggOrange9 3 2 2 2" xfId="1286" xr:uid="{CC8B8CCE-E90C-48B5-87ED-0F6B00B35E1F}"/>
    <cellStyle name="AggOrange9 3 2 2 20" xfId="10210" xr:uid="{F89ED520-DEC3-4BB5-99B2-C7F80674C4A9}"/>
    <cellStyle name="AggOrange9 3 2 2 21" xfId="10960" xr:uid="{C885E398-233D-493D-ADFE-DF1A7C67D3AB}"/>
    <cellStyle name="AggOrange9 3 2 2 22" xfId="11172" xr:uid="{D449E8BF-049D-441B-832D-0663B28D6756}"/>
    <cellStyle name="AggOrange9 3 2 2 23" xfId="12165" xr:uid="{9251F7D7-DF0F-4456-B1FE-178F41B497A5}"/>
    <cellStyle name="AggOrange9 3 2 2 24" xfId="12638" xr:uid="{13DBB192-CCAC-4596-9518-B137650C2B5C}"/>
    <cellStyle name="AggOrange9 3 2 2 25" xfId="13072" xr:uid="{9E8F1D82-1BAB-43A9-AF1D-77EB998DE4CA}"/>
    <cellStyle name="AggOrange9 3 2 2 26" xfId="13509" xr:uid="{83BD896B-6CB0-4308-A80B-EE5D646689FF}"/>
    <cellStyle name="AggOrange9 3 2 2 27" xfId="11537" xr:uid="{05EA10F3-8273-492C-9002-9B006CD7EB90}"/>
    <cellStyle name="AggOrange9 3 2 2 28" xfId="13851" xr:uid="{A224B10C-EDE2-4F13-B43F-EB9DAFC10F37}"/>
    <cellStyle name="AggOrange9 3 2 2 29" xfId="13648" xr:uid="{D5961017-ABD4-4714-AF1D-44FFCD6EF356}"/>
    <cellStyle name="AggOrange9 3 2 2 3" xfId="1421" xr:uid="{FAC6F471-12C2-4ADD-9BF7-925EC1C00B2E}"/>
    <cellStyle name="AggOrange9 3 2 2 30" xfId="15109" xr:uid="{A2975FE4-C8F7-4EA2-97B3-00CC39C1FEF3}"/>
    <cellStyle name="AggOrange9 3 2 2 31" xfId="15360" xr:uid="{304F7974-925F-4A90-84D5-371C0189DF56}"/>
    <cellStyle name="AggOrange9 3 2 2 32" xfId="15453" xr:uid="{12CB66DA-011E-4C28-99A4-B691C6027EC1}"/>
    <cellStyle name="AggOrange9 3 2 2 33" xfId="16857" xr:uid="{E39A3F79-3133-4B38-91CA-E3B7874EB437}"/>
    <cellStyle name="AggOrange9 3 2 2 34" xfId="16526" xr:uid="{32CA80CE-6E33-42C8-9522-FFFCDA7C6A7E}"/>
    <cellStyle name="AggOrange9 3 2 2 35" xfId="17331" xr:uid="{3EDABE09-C251-4ECD-90F4-41C42CB4B4BC}"/>
    <cellStyle name="AggOrange9 3 2 2 36" xfId="18208" xr:uid="{B9C87102-10BF-4ED7-8650-144CC7006115}"/>
    <cellStyle name="AggOrange9 3 2 2 37" xfId="18675" xr:uid="{0B11D254-73B8-4B2E-B281-1E41BEB489D8}"/>
    <cellStyle name="AggOrange9 3 2 2 38" xfId="17801" xr:uid="{08295377-FA9A-448A-B2D5-6E1B2278535D}"/>
    <cellStyle name="AggOrange9 3 2 2 39" xfId="18004" xr:uid="{5B15D25A-C1FA-4FFE-8107-D72C31A154F9}"/>
    <cellStyle name="AggOrange9 3 2 2 4" xfId="2634" xr:uid="{CE973EBA-CE84-4A07-8270-50B70FC66FF1}"/>
    <cellStyle name="AggOrange9 3 2 2 40" xfId="20194" xr:uid="{9DCF524A-9920-4E7A-BF7A-8D5BAFD4C861}"/>
    <cellStyle name="AggOrange9 3 2 2 41" xfId="19862" xr:uid="{DE1A3F26-65B8-4409-A0AD-499AD9035F72}"/>
    <cellStyle name="AggOrange9 3 2 2 42" xfId="20686" xr:uid="{3CE10B97-93E8-4856-8CBC-666E9D87710D}"/>
    <cellStyle name="AggOrange9 3 2 2 43" xfId="20906" xr:uid="{855335F6-CBFB-475E-8CEE-13B7A86322BD}"/>
    <cellStyle name="AggOrange9 3 2 2 44" xfId="20595" xr:uid="{B0CA0DA0-19D7-40EB-873C-A2427FD47AD5}"/>
    <cellStyle name="AggOrange9 3 2 2 45" xfId="20786" xr:uid="{AFB22145-4F41-4CBF-992A-1A66F502383A}"/>
    <cellStyle name="AggOrange9 3 2 2 46" xfId="19742" xr:uid="{C942F214-42EC-43B9-9FC0-64FBE83ACBEC}"/>
    <cellStyle name="AggOrange9 3 2 2 47" xfId="22293" xr:uid="{0BD82114-EF72-47DE-8EC1-E4D6698FF3F5}"/>
    <cellStyle name="AggOrange9 3 2 2 48" xfId="23518" xr:uid="{E0A20FF1-6FF3-457A-8150-86C50F36E113}"/>
    <cellStyle name="AggOrange9 3 2 2 49" xfId="23994" xr:uid="{D8838B53-C02B-42D6-B7C4-48479B72C541}"/>
    <cellStyle name="AggOrange9 3 2 2 5" xfId="2713" xr:uid="{FD776FCB-80A9-4269-B37F-46E1FF4B4BBD}"/>
    <cellStyle name="AggOrange9 3 2 2 50" xfId="24902" xr:uid="{8172E975-FDCF-4177-837D-A59444E08E6A}"/>
    <cellStyle name="AggOrange9 3 2 2 51" xfId="24566" xr:uid="{BDE053F2-B304-481C-8956-D358BFE3FD37}"/>
    <cellStyle name="AggOrange9 3 2 2 52" xfId="25818" xr:uid="{F298CEEE-3567-42E7-A284-3E5EFDE0212E}"/>
    <cellStyle name="AggOrange9 3 2 2 53" xfId="24348" xr:uid="{A7A4272A-9C9E-4B63-A963-72B09373A2C1}"/>
    <cellStyle name="AggOrange9 3 2 2 54" xfId="26676" xr:uid="{BABDEF61-839D-4702-88D9-B5D36449F97F}"/>
    <cellStyle name="AggOrange9 3 2 2 55" xfId="27106" xr:uid="{DF50E847-AD7E-4CCA-AD04-5393E28FF908}"/>
    <cellStyle name="AggOrange9 3 2 2 56" xfId="27525" xr:uid="{41978612-CAFE-4E88-8083-EB3B4E7C8908}"/>
    <cellStyle name="AggOrange9 3 2 2 57" xfId="25970" xr:uid="{A84B4447-6EDB-4247-9063-007A0D6B3EB4}"/>
    <cellStyle name="AggOrange9 3 2 2 58" xfId="28652" xr:uid="{23331CDA-92E6-4930-AAED-ACBA4BEFCC2C}"/>
    <cellStyle name="AggOrange9 3 2 2 59" xfId="29119" xr:uid="{C7A89AE9-483C-441C-9406-27BA1062BADB}"/>
    <cellStyle name="AggOrange9 3 2 2 6" xfId="3324" xr:uid="{BE2FD3C4-F0B4-40F6-98C8-280BF9FD1B2A}"/>
    <cellStyle name="AggOrange9 3 2 2 60" xfId="28795" xr:uid="{EF17D128-A51E-4533-B9DB-E58D022CA6D6}"/>
    <cellStyle name="AggOrange9 3 2 2 61" xfId="29908" xr:uid="{7E41B832-5685-4060-8088-D807CE7C2CA7}"/>
    <cellStyle name="AggOrange9 3 2 2 62" xfId="30314" xr:uid="{1997B88F-A465-4A7A-827E-3482DD256947}"/>
    <cellStyle name="AggOrange9 3 2 2 63" xfId="30731" xr:uid="{3B8CBB9C-2502-4C8A-BF73-35BA1A790D00}"/>
    <cellStyle name="AggOrange9 3 2 2 64" xfId="28055" xr:uid="{EDDCA812-1883-4097-B36E-60C3BD70D197}"/>
    <cellStyle name="AggOrange9 3 2 2 65" xfId="31347" xr:uid="{E76CF395-876A-432B-98CC-F3C31CB1DE91}"/>
    <cellStyle name="AggOrange9 3 2 2 7" xfId="4130" xr:uid="{4451C1DE-CEA5-4BEE-BED5-1EE66FE25F99}"/>
    <cellStyle name="AggOrange9 3 2 2 8" xfId="4567" xr:uid="{F313578A-74F6-488C-B254-30C8A36E7896}"/>
    <cellStyle name="AggOrange9 3 2 2 9" xfId="3273" xr:uid="{9B762390-7D32-4D3E-AB52-B4AA7C80E803}"/>
    <cellStyle name="AggOrange9 3 2 20" xfId="10128" xr:uid="{FD0DD6E8-A02B-4C8F-B4D9-623454893A73}"/>
    <cellStyle name="AggOrange9 3 2 21" xfId="10538" xr:uid="{CADC470B-D450-4A81-BC2E-AE9430738847}"/>
    <cellStyle name="AggOrange9 3 2 22" xfId="9836" xr:uid="{B6674146-1790-4F88-8C77-F3D5ED7499F1}"/>
    <cellStyle name="AggOrange9 3 2 23" xfId="10663" xr:uid="{2AB8EA9C-4329-4B12-88F6-39D623B03462}"/>
    <cellStyle name="AggOrange9 3 2 24" xfId="11950" xr:uid="{7CEBBEF2-5201-4B49-968C-0842B756830E}"/>
    <cellStyle name="AggOrange9 3 2 25" xfId="12423" xr:uid="{766A0D14-ADE6-4B48-A4CC-504F784700B5}"/>
    <cellStyle name="AggOrange9 3 2 26" xfId="12857" xr:uid="{EF04C3CB-558B-4290-A6F0-7261480D4AFE}"/>
    <cellStyle name="AggOrange9 3 2 27" xfId="13294" xr:uid="{A75C429C-61C5-4D49-9E0D-6FD2D61CA68C}"/>
    <cellStyle name="AggOrange9 3 2 28" xfId="11649" xr:uid="{C6231EBC-4747-4905-9299-A70D45E14042}"/>
    <cellStyle name="AggOrange9 3 2 29" xfId="14283" xr:uid="{2536627C-7017-41D0-BFA7-D8761AA8F7A5}"/>
    <cellStyle name="AggOrange9 3 2 3" xfId="1080" xr:uid="{D46D383D-CF24-4829-BDC2-06DABDB028EB}"/>
    <cellStyle name="AggOrange9 3 2 30" xfId="14229" xr:uid="{DB640BA9-0C97-4E91-8366-3E207E15D95D}"/>
    <cellStyle name="AggOrange9 3 2 31" xfId="14435" xr:uid="{E679A1C9-9C61-4077-8925-B2BA74B61154}"/>
    <cellStyle name="AggOrange9 3 2 32" xfId="14570" xr:uid="{A4175F0C-5ADB-45C4-8D09-37C6A87FED98}"/>
    <cellStyle name="AggOrange9 3 2 33" xfId="15922" xr:uid="{FA3EE8E0-3144-42AE-B1CB-2CF70F2CFAF8}"/>
    <cellStyle name="AggOrange9 3 2 34" xfId="16642" xr:uid="{A58D2565-2F23-488B-98D2-617B1F60B992}"/>
    <cellStyle name="AggOrange9 3 2 35" xfId="17247" xr:uid="{8BAEB11F-0CB1-4A5C-85B7-97519EA11923}"/>
    <cellStyle name="AggOrange9 3 2 36" xfId="17691" xr:uid="{98AD04DB-F28E-48D9-B138-3F3323A3E61C}"/>
    <cellStyle name="AggOrange9 3 2 37" xfId="17787" xr:uid="{19986764-F5D1-4350-AF18-2AFDCE5C41FA}"/>
    <cellStyle name="AggOrange9 3 2 38" xfId="18460" xr:uid="{9DC86B71-CD86-48BB-9EED-2D58DAF6BB7A}"/>
    <cellStyle name="AggOrange9 3 2 39" xfId="18181" xr:uid="{97173DE0-1ECF-45C6-BA10-26D2654D3326}"/>
    <cellStyle name="AggOrange9 3 2 4" xfId="1454" xr:uid="{E6C73A95-8F2B-4E05-A0B3-54E4EC34A706}"/>
    <cellStyle name="AggOrange9 3 2 40" xfId="18868" xr:uid="{AAB216B4-CDA7-4759-B9EC-45FA1930550A}"/>
    <cellStyle name="AggOrange9 3 2 41" xfId="19979" xr:uid="{64AC57D4-F3A9-478E-8CF3-97AE5804D3E0}"/>
    <cellStyle name="AggOrange9 3 2 42" xfId="20597" xr:uid="{A14D6596-BD44-4F8B-A736-7462C3498BFA}"/>
    <cellStyle name="AggOrange9 3 2 43" xfId="21052" xr:uid="{5AE06830-6B9D-4DBD-B159-97F26FD09C9F}"/>
    <cellStyle name="AggOrange9 3 2 44" xfId="21381" xr:uid="{6D217DFA-89C9-47C1-B918-8FBA87DDF5EB}"/>
    <cellStyle name="AggOrange9 3 2 45" xfId="21983" xr:uid="{A18180A8-6C2F-46DB-89D5-3E613D8F986B}"/>
    <cellStyle name="AggOrange9 3 2 46" xfId="22414" xr:uid="{3320D6CF-7012-4460-A2E3-BF45FCD243AE}"/>
    <cellStyle name="AggOrange9 3 2 47" xfId="21873" xr:uid="{7E6A6A29-1D19-4A72-AF61-7DE79733818B}"/>
    <cellStyle name="AggOrange9 3 2 48" xfId="22183" xr:uid="{F9D34B20-FBCA-474A-8760-766C476E94AF}"/>
    <cellStyle name="AggOrange9 3 2 49" xfId="22642" xr:uid="{0C1E7719-13E9-40E3-A34C-047109512A74}"/>
    <cellStyle name="AggOrange9 3 2 5" xfId="2419" xr:uid="{F6C6C17A-AA2D-45FC-BB8A-340FEC0C50AE}"/>
    <cellStyle name="AggOrange9 3 2 50" xfId="23788" xr:uid="{277197B5-4AC7-4D24-A0F2-DC30C9D0D67B}"/>
    <cellStyle name="AggOrange9 3 2 51" xfId="24687" xr:uid="{E94CB4A6-DCF8-475D-848F-9F32C22BB32B}"/>
    <cellStyle name="AggOrange9 3 2 52" xfId="25306" xr:uid="{00B72FC8-3338-4C22-81BA-6EE71CE6F809}"/>
    <cellStyle name="AggOrange9 3 2 53" xfId="25605" xr:uid="{7138EE46-2787-4718-B251-57DDF9D8EA62}"/>
    <cellStyle name="AggOrange9 3 2 54" xfId="25483" xr:uid="{F0C4AED5-22D6-4E24-BEF1-01BE732ACF9B}"/>
    <cellStyle name="AggOrange9 3 2 55" xfId="26588" xr:uid="{5047C09F-2758-43A8-90F3-D751B693FC04}"/>
    <cellStyle name="AggOrange9 3 2 56" xfId="26895" xr:uid="{606AAA30-0ED3-476B-A049-B6ECB3ED2681}"/>
    <cellStyle name="AggOrange9 3 2 57" xfId="27314" xr:uid="{B2512FB0-0BC3-4520-918E-5F96AAEC6DEC}"/>
    <cellStyle name="AggOrange9 3 2 58" xfId="27714" xr:uid="{3519B99B-2CEF-419C-A0A3-4CFAA5D0C809}"/>
    <cellStyle name="AggOrange9 3 2 59" xfId="28437" xr:uid="{D60B2445-D784-44E4-AD44-3C19E41D64A2}"/>
    <cellStyle name="AggOrange9 3 2 6" xfId="2289" xr:uid="{01CA79EC-B455-4AF4-A36D-1F003A7F4709}"/>
    <cellStyle name="AggOrange9 3 2 60" xfId="28905" xr:uid="{699AAFBE-E9DD-44CD-ADD8-CECB7638C3B5}"/>
    <cellStyle name="AggOrange9 3 2 61" xfId="29428" xr:uid="{0148226D-FA1B-42B7-8CFD-C67C85B59C4A}"/>
    <cellStyle name="AggOrange9 3 2 62" xfId="29695" xr:uid="{A63FD401-4DC3-4346-8EA5-D269658E9462}"/>
    <cellStyle name="AggOrange9 3 2 63" xfId="30103" xr:uid="{762EB609-4EE4-4A8A-A9F6-D685A4DCAAB3}"/>
    <cellStyle name="AggOrange9 3 2 64" xfId="30517" xr:uid="{D5B665B3-A152-4ED1-A7E4-B75A31141E22}"/>
    <cellStyle name="AggOrange9 3 2 65" xfId="30852" xr:uid="{A8D4399F-CE81-410F-B190-59BDEA2914B1}"/>
    <cellStyle name="AggOrange9 3 2 66" xfId="31141" xr:uid="{D05E9FF0-6C2C-4FE0-955E-2C39F2179D70}"/>
    <cellStyle name="AggOrange9 3 2 7" xfId="2298" xr:uid="{1786538D-3D98-40C4-A259-77E83C3CA3F8}"/>
    <cellStyle name="AggOrange9 3 2 8" xfId="3915" xr:uid="{A6664AC4-445D-42DD-8C08-236D861FD93D}"/>
    <cellStyle name="AggOrange9 3 2 9" xfId="4353" xr:uid="{12CC3EDC-CA3D-4BF1-9490-72469CC8CC1C}"/>
    <cellStyle name="AggOrange9 3 3" xfId="715" xr:uid="{5D22E125-D3B4-4FEC-95AF-DC72E75B51C7}"/>
    <cellStyle name="AggOrange9 3 3 10" xfId="5363" xr:uid="{BCE1E7AA-2AB9-49A7-A7F9-68E1A75F325C}"/>
    <cellStyle name="AggOrange9 3 3 11" xfId="5821" xr:uid="{28E5BF18-E1EE-48FD-878A-F093680946F0}"/>
    <cellStyle name="AggOrange9 3 3 12" xfId="5759" xr:uid="{5BCF3E41-F5A9-40EA-AB93-011BBAFD3CE4}"/>
    <cellStyle name="AggOrange9 3 3 13" xfId="3393" xr:uid="{A5C26904-24B8-4BB5-A42F-EDE91E4FB241}"/>
    <cellStyle name="AggOrange9 3 3 14" xfId="7435" xr:uid="{315CD689-CE7E-481A-9B51-7D97114B87C9}"/>
    <cellStyle name="AggOrange9 3 3 15" xfId="6861" xr:uid="{9583E487-94E7-4560-AA64-DBE18EA249C5}"/>
    <cellStyle name="AggOrange9 3 3 16" xfId="8091" xr:uid="{F1AE11B7-9C39-4458-9C5D-33B7ADF8CF6C}"/>
    <cellStyle name="AggOrange9 3 3 17" xfId="7913" xr:uid="{F0B2F615-0F0B-4F9C-9EE3-77B01324E91D}"/>
    <cellStyle name="AggOrange9 3 3 18" xfId="9649" xr:uid="{8017EF00-C71D-4F53-98EB-7DBAB165671C}"/>
    <cellStyle name="AggOrange9 3 3 19" xfId="9076" xr:uid="{78B109A9-B7E2-4547-A237-20E3CE48A276}"/>
    <cellStyle name="AggOrange9 3 3 2" xfId="1189" xr:uid="{FD3B597D-53C3-4132-A578-24B228014FC2}"/>
    <cellStyle name="AggOrange9 3 3 20" xfId="10294" xr:uid="{C23242E1-9F29-4603-B257-AC73D928590F}"/>
    <cellStyle name="AggOrange9 3 3 21" xfId="9972" xr:uid="{6E419CFB-F727-45C3-80F2-22CD93EE785F}"/>
    <cellStyle name="AggOrange9 3 3 22" xfId="11261" xr:uid="{E94A917A-CC2E-4215-B051-45488731F162}"/>
    <cellStyle name="AggOrange9 3 3 23" xfId="12068" xr:uid="{561CED4D-FCF1-491A-B1C7-FFEB482AE23A}"/>
    <cellStyle name="AggOrange9 3 3 24" xfId="12541" xr:uid="{076F16E6-520D-4C3E-94CC-FEAA2C68DA12}"/>
    <cellStyle name="AggOrange9 3 3 25" xfId="12975" xr:uid="{C8AA227C-C197-44E9-B52C-FA17825E6179}"/>
    <cellStyle name="AggOrange9 3 3 26" xfId="13412" xr:uid="{967AEB4D-E692-4170-A34D-D460FFCB4C40}"/>
    <cellStyle name="AggOrange9 3 3 27" xfId="12321" xr:uid="{8CB5BD43-4190-4DF4-BCC3-44B67E7E23A1}"/>
    <cellStyle name="AggOrange9 3 3 28" xfId="13993" xr:uid="{3F8FB1BA-687A-456F-B317-CDA11ECDF050}"/>
    <cellStyle name="AggOrange9 3 3 29" xfId="14395" xr:uid="{896687A1-F61C-41FB-9415-A050FE06F44B}"/>
    <cellStyle name="AggOrange9 3 3 3" xfId="1446" xr:uid="{F5A267A7-FC80-4F2C-AE73-3D1A7267458D}"/>
    <cellStyle name="AggOrange9 3 3 30" xfId="15020" xr:uid="{DA1E2311-8C20-46C6-ADC6-79106C905F33}"/>
    <cellStyle name="AggOrange9 3 3 31" xfId="12735" xr:uid="{55B9240A-D9CB-45E5-AEAB-191AAEAEE68B}"/>
    <cellStyle name="AggOrange9 3 3 32" xfId="15367" xr:uid="{E7610EA4-B5A5-4780-9320-F6EF19D5411A}"/>
    <cellStyle name="AggOrange9 3 3 33" xfId="16760" xr:uid="{55A472D6-939B-4D2F-A70D-C14A7EE59095}"/>
    <cellStyle name="AggOrange9 3 3 34" xfId="16177" xr:uid="{67AE4C6B-B955-46DD-8EFC-F4B68344E77A}"/>
    <cellStyle name="AggOrange9 3 3 35" xfId="17195" xr:uid="{C1E0636F-5283-485C-BC58-3812DDDDDD82}"/>
    <cellStyle name="AggOrange9 3 3 36" xfId="18037" xr:uid="{99B98654-12E8-4B8C-88F8-22EBAFDCC6CB}"/>
    <cellStyle name="AggOrange9 3 3 37" xfId="18578" xr:uid="{BDAF9A3E-855C-4AAE-9580-E36FD1F68555}"/>
    <cellStyle name="AggOrange9 3 3 38" xfId="18259" xr:uid="{D8B0A7D3-2DDF-44AF-BBAC-ABB8BAA31092}"/>
    <cellStyle name="AggOrange9 3 3 39" xfId="16167" xr:uid="{23AA4EEC-8A4F-4ADE-A00E-D8A9FC95F88C}"/>
    <cellStyle name="AggOrange9 3 3 4" xfId="2537" xr:uid="{02779AFA-4D65-4072-9497-2399E01812F9}"/>
    <cellStyle name="AggOrange9 3 3 40" xfId="20097" xr:uid="{D23F9EBC-24FC-4F2B-9BF2-81B841091D92}"/>
    <cellStyle name="AggOrange9 3 3 41" xfId="19507" xr:uid="{74289C74-F8A6-4020-9E12-857429E45F67}"/>
    <cellStyle name="AggOrange9 3 3 42" xfId="20651" xr:uid="{62D44477-912D-4488-9159-32547A928761}"/>
    <cellStyle name="AggOrange9 3 3 43" xfId="20563" xr:uid="{B44D65FA-B8F4-4B73-A658-080828000D9F}"/>
    <cellStyle name="AggOrange9 3 3 44" xfId="20821" xr:uid="{9EEB3F2E-0C7B-4DC7-A7D1-4746D85D583C}"/>
    <cellStyle name="AggOrange9 3 3 45" xfId="20943" xr:uid="{FE3FE2FA-B18B-45CC-87EF-AEF69A8ADB3B}"/>
    <cellStyle name="AggOrange9 3 3 46" xfId="22113" xr:uid="{1E8A8955-F656-4425-A189-2A390120A04B}"/>
    <cellStyle name="AggOrange9 3 3 47" xfId="22791" xr:uid="{86C4020A-A3E3-45D3-AC60-826E84C52020}"/>
    <cellStyle name="AggOrange9 3 3 48" xfId="23047" xr:uid="{F782FE88-226B-40E2-9A08-409C9EF10DFF}"/>
    <cellStyle name="AggOrange9 3 3 49" xfId="23897" xr:uid="{041C7D5C-A99E-4F4B-B692-DC8149E57195}"/>
    <cellStyle name="AggOrange9 3 3 5" xfId="2046" xr:uid="{654863E2-E858-437B-BA18-C658DAB0F908}"/>
    <cellStyle name="AggOrange9 3 3 50" xfId="24805" xr:uid="{B00E2E24-924B-4314-8324-5A5CCD1DB68C}"/>
    <cellStyle name="AggOrange9 3 3 51" xfId="24114" xr:uid="{7E505C9F-B725-434D-8494-AA84F8001807}"/>
    <cellStyle name="AggOrange9 3 3 52" xfId="25721" xr:uid="{CF7EEEAA-0610-4A20-8F33-29E236BF3010}"/>
    <cellStyle name="AggOrange9 3 3 53" xfId="25902" xr:uid="{091D1231-1D90-43BF-B769-010C2CCF988E}"/>
    <cellStyle name="AggOrange9 3 3 54" xfId="25154" xr:uid="{D21B206A-AA71-42B8-88FA-D7C2DC07C4A8}"/>
    <cellStyle name="AggOrange9 3 3 55" xfId="27009" xr:uid="{768F48AF-995D-461E-BBA1-D33FA39A704F}"/>
    <cellStyle name="AggOrange9 3 3 56" xfId="27428" xr:uid="{D33E30F0-5704-44F0-B14E-E2A486B7A74F}"/>
    <cellStyle name="AggOrange9 3 3 57" xfId="26525" xr:uid="{90626254-8013-4D5F-86CB-CA651D696536}"/>
    <cellStyle name="AggOrange9 3 3 58" xfId="28555" xr:uid="{3AFE2457-0237-4242-A5C9-9E298EFB21B4}"/>
    <cellStyle name="AggOrange9 3 3 59" xfId="29022" xr:uid="{DAAC8C51-2751-47D4-9DDF-9229182EBB36}"/>
    <cellStyle name="AggOrange9 3 3 6" xfId="2977" xr:uid="{8CD46B8B-EC03-423B-9DE3-CC3855C32E84}"/>
    <cellStyle name="AggOrange9 3 3 60" xfId="28170" xr:uid="{991800C9-B778-47C7-B757-4DF603BFA6D5}"/>
    <cellStyle name="AggOrange9 3 3 61" xfId="29811" xr:uid="{96910CD1-BEF2-4ABE-A3D2-9442E5A159D1}"/>
    <cellStyle name="AggOrange9 3 3 62" xfId="30217" xr:uid="{33B94F4D-83CB-4B94-9182-829261A257BD}"/>
    <cellStyle name="AggOrange9 3 3 63" xfId="30634" xr:uid="{5703A707-A2A3-4F0D-9B9E-60C1D4168261}"/>
    <cellStyle name="AggOrange9 3 3 64" xfId="30907" xr:uid="{12277BDB-51B9-485F-B5B7-07893BA1DDC9}"/>
    <cellStyle name="AggOrange9 3 3 65" xfId="31250" xr:uid="{05F1BD92-E1EE-44D7-BE82-0FCCACEEC758}"/>
    <cellStyle name="AggOrange9 3 3 7" xfId="4033" xr:uid="{B8B88F1A-2CD6-4076-8FA1-83F9936096C3}"/>
    <cellStyle name="AggOrange9 3 3 8" xfId="4470" xr:uid="{BA530C96-1789-498C-AB31-ADAA42CEEE55}"/>
    <cellStyle name="AggOrange9 3 3 9" xfId="4762" xr:uid="{173B5DDA-0D54-4A9B-A5DF-0796387BBBD6}"/>
    <cellStyle name="AggOrange9 4" xfId="266" xr:uid="{F19A7FC1-CAB0-4B57-AF9D-5991FC0FDFE3}"/>
    <cellStyle name="AggOrange9 4 10" xfId="3635" xr:uid="{16FFCA76-6020-4DF1-8A5C-39E398C4EEC4}"/>
    <cellStyle name="AggOrange9 4 11" xfId="2323" xr:uid="{9774574F-C5CE-4882-B2A6-BFC6C021060A}"/>
    <cellStyle name="AggOrange9 4 12" xfId="3707" xr:uid="{07B95B4A-B159-40AC-A069-C56E3E564BA3}"/>
    <cellStyle name="AggOrange9 4 13" xfId="1860" xr:uid="{4342FAB0-7038-41AA-B2EB-B4A64124F463}"/>
    <cellStyle name="AggOrange9 4 14" xfId="5812" xr:uid="{8F71FAE0-99E9-4973-8A5B-18486247292E}"/>
    <cellStyle name="AggOrange9 4 15" xfId="5855" xr:uid="{0F05F6A3-AAC7-4F99-A996-769A5C32CB56}"/>
    <cellStyle name="AggOrange9 4 16" xfId="6689" xr:uid="{39F4B7A7-21FD-403B-B2D1-3675D2EA1DCD}"/>
    <cellStyle name="AggOrange9 4 17" xfId="6996" xr:uid="{AF0A0346-8643-4748-80E0-89BDF507DE6C}"/>
    <cellStyle name="AggOrange9 4 18" xfId="7645" xr:uid="{9FAB2093-48A0-48E6-9942-245BD81CB9F5}"/>
    <cellStyle name="AggOrange9 4 19" xfId="8464" xr:uid="{D4E73BF5-0874-4C37-8D5E-F9445B52742D}"/>
    <cellStyle name="AggOrange9 4 2" xfId="605" xr:uid="{9643F564-E0CB-4D6D-8B31-EE6B194DE6A6}"/>
    <cellStyle name="AggOrange9 4 2 10" xfId="3468" xr:uid="{916871AB-7C6D-4798-8491-C20EC93D51AB}"/>
    <cellStyle name="AggOrange9 4 2 11" xfId="5253" xr:uid="{57A84A5D-583D-4E85-8971-4E82B75B36ED}"/>
    <cellStyle name="AggOrange9 4 2 12" xfId="4664" xr:uid="{50F2EE6E-7892-4B65-927A-CA025277FEF8}"/>
    <cellStyle name="AggOrange9 4 2 13" xfId="6010" xr:uid="{2BFA813C-83E2-4FE9-B54A-8A94AB332034}"/>
    <cellStyle name="AggOrange9 4 2 14" xfId="6671" xr:uid="{66105B4A-A00A-4BFE-9409-7E1D18135791}"/>
    <cellStyle name="AggOrange9 4 2 15" xfId="7325" xr:uid="{77B97920-F0A6-4133-A053-1251FB317368}"/>
    <cellStyle name="AggOrange9 4 2 16" xfId="7751" xr:uid="{834D0540-F674-49FE-B445-22C0CF2FAEB3}"/>
    <cellStyle name="AggOrange9 4 2 17" xfId="6948" xr:uid="{E7D83EFF-417E-44FD-A175-3913989D8F44}"/>
    <cellStyle name="AggOrange9 4 2 18" xfId="8851" xr:uid="{5DD23759-1A6E-46AE-ADF9-EEB7E39024E2}"/>
    <cellStyle name="AggOrange9 4 2 19" xfId="9539" xr:uid="{9CB04FC2-C789-4F10-8155-1BBC19573C15}"/>
    <cellStyle name="AggOrange9 4 2 2" xfId="820" xr:uid="{99C0289D-38E4-4189-B84E-3B54A4C7E13A}"/>
    <cellStyle name="AggOrange9 4 2 2 10" xfId="5468" xr:uid="{31ED65D9-7AF6-4113-A24C-FAF5145A927D}"/>
    <cellStyle name="AggOrange9 4 2 2 11" xfId="5815" xr:uid="{D76B2F6B-FC3E-46CC-8FBC-98E5EABBC859}"/>
    <cellStyle name="AggOrange9 4 2 2 12" xfId="4894" xr:uid="{B456F33F-BBDA-43AE-A7FF-61C73575005F}"/>
    <cellStyle name="AggOrange9 4 2 2 13" xfId="6410" xr:uid="{A091F031-347F-49D2-8717-22A2CB6CA371}"/>
    <cellStyle name="AggOrange9 4 2 2 14" xfId="7540" xr:uid="{16EB538A-535E-4464-93A6-0B267A9B9517}"/>
    <cellStyle name="AggOrange9 4 2 2 15" xfId="6980" xr:uid="{512A58CA-67EF-4521-B3B8-70581DB1C4AC}"/>
    <cellStyle name="AggOrange9 4 2 2 16" xfId="7906" xr:uid="{B8A23D15-113C-41B4-A44B-95D62E84E28E}"/>
    <cellStyle name="AggOrange9 4 2 2 17" xfId="8793" xr:uid="{24B69960-947D-4C7F-A2E1-00ECAFBD9AEA}"/>
    <cellStyle name="AggOrange9 4 2 2 18" xfId="9754" xr:uid="{015568B0-358F-4C9D-960C-A4AD0C2A4A3B}"/>
    <cellStyle name="AggOrange9 4 2 2 19" xfId="9321" xr:uid="{FB03BCA3-B2C1-47E3-A6EC-1C5D91129857}"/>
    <cellStyle name="AggOrange9 4 2 2 2" xfId="1294" xr:uid="{D1B4EAE7-46AA-4CFE-8F3E-002067E7AC1D}"/>
    <cellStyle name="AggOrange9 4 2 2 20" xfId="9842" xr:uid="{2D896CDF-DA11-4B1C-AF93-3EC34CF2FEF0}"/>
    <cellStyle name="AggOrange9 4 2 2 21" xfId="10657" xr:uid="{EBBF226E-64CC-4B1A-91EF-390E21DD37DC}"/>
    <cellStyle name="AggOrange9 4 2 2 22" xfId="9954" xr:uid="{4E98AB5B-7580-4571-9C1A-20CCFE2FAFF8}"/>
    <cellStyle name="AggOrange9 4 2 2 23" xfId="12173" xr:uid="{C92B288A-D120-4592-A87C-835581607704}"/>
    <cellStyle name="AggOrange9 4 2 2 24" xfId="12646" xr:uid="{E9C614DF-5A12-4B2C-9C03-9CD339D5F3BB}"/>
    <cellStyle name="AggOrange9 4 2 2 25" xfId="13080" xr:uid="{C13D9DA1-AF20-4741-87E2-5AFAC62F5E9A}"/>
    <cellStyle name="AggOrange9 4 2 2 26" xfId="13517" xr:uid="{B7D9964F-AFDD-421C-8AFE-9B1DA3FCCD95}"/>
    <cellStyle name="AggOrange9 4 2 2 27" xfId="11597" xr:uid="{2FB5C1B7-263D-4ACB-B5E9-BE3DBC7F80EB}"/>
    <cellStyle name="AggOrange9 4 2 2 28" xfId="13930" xr:uid="{198FD394-59EB-4195-BE1E-2FF8AF9CC68B}"/>
    <cellStyle name="AggOrange9 4 2 2 29" xfId="11367" xr:uid="{8B7F0F93-1DA6-4392-BE94-45E23915AA1A}"/>
    <cellStyle name="AggOrange9 4 2 2 3" xfId="1417" xr:uid="{D36C77D6-017B-43EF-BAF8-D1B817019ACD}"/>
    <cellStyle name="AggOrange9 4 2 2 30" xfId="11674" xr:uid="{D597FB59-AFBA-41B1-8ED6-BA8525D77732}"/>
    <cellStyle name="AggOrange9 4 2 2 31" xfId="15474" xr:uid="{52BAEA7C-8098-487B-A66D-2907200B9083}"/>
    <cellStyle name="AggOrange9 4 2 2 32" xfId="15577" xr:uid="{2BE9C6BE-2D2F-4DAF-84D6-6A0AC044C490}"/>
    <cellStyle name="AggOrange9 4 2 2 33" xfId="16865" xr:uid="{B6CE4414-EDBA-4CC7-A757-A5EBBDC88B44}"/>
    <cellStyle name="AggOrange9 4 2 2 34" xfId="16300" xr:uid="{8C50BEF7-B7B7-42BB-801C-1A2BC5904D99}"/>
    <cellStyle name="AggOrange9 4 2 2 35" xfId="16503" xr:uid="{812D777A-2136-4B95-BC96-DF0DFEB7923B}"/>
    <cellStyle name="AggOrange9 4 2 2 36" xfId="16104" xr:uid="{5D5B16CE-17DA-422F-BFA5-CDEF2E619240}"/>
    <cellStyle name="AggOrange9 4 2 2 37" xfId="18683" xr:uid="{4BF1A208-9007-4993-9509-D1569CDB66E3}"/>
    <cellStyle name="AggOrange9 4 2 2 38" xfId="18856" xr:uid="{C6AF3C06-3CF1-4788-9D51-0A928532A2A0}"/>
    <cellStyle name="AggOrange9 4 2 2 39" xfId="17861" xr:uid="{40FCA688-D60A-48E3-8539-F540AE7696D8}"/>
    <cellStyle name="AggOrange9 4 2 2 4" xfId="2642" xr:uid="{45507269-3B8D-4D04-B86E-461041BCEAF7}"/>
    <cellStyle name="AggOrange9 4 2 2 40" xfId="20202" xr:uid="{560B45D5-2FDB-4241-926D-CC020676CC90}"/>
    <cellStyle name="AggOrange9 4 2 2 41" xfId="19471" xr:uid="{E0FC883C-62BA-4E03-8729-3BD2001A8988}"/>
    <cellStyle name="AggOrange9 4 2 2 42" xfId="19829" xr:uid="{361952D2-7CD8-44E5-B3CE-9F073CBAEF3F}"/>
    <cellStyle name="AggOrange9 4 2 2 43" xfId="21628" xr:uid="{00022C36-2090-403D-BF57-9AA0A3C3FC09}"/>
    <cellStyle name="AggOrange9 4 2 2 44" xfId="21469" xr:uid="{B5F3D975-0025-409C-A68E-56756AE95B38}"/>
    <cellStyle name="AggOrange9 4 2 2 45" xfId="20938" xr:uid="{BAEC268B-91E0-4911-9EF8-3FE4367D4801}"/>
    <cellStyle name="AggOrange9 4 2 2 46" xfId="22244" xr:uid="{4699DDDE-D89B-4E1B-90CB-1C4E7BEE64B8}"/>
    <cellStyle name="AggOrange9 4 2 2 47" xfId="23133" xr:uid="{CC38DBAD-A21C-47FE-9645-4C51CE20203F}"/>
    <cellStyle name="AggOrange9 4 2 2 48" xfId="23159" xr:uid="{B256073A-7C1D-45AD-8318-0E0BF90D4DDC}"/>
    <cellStyle name="AggOrange9 4 2 2 49" xfId="24002" xr:uid="{8470D0A0-5C04-4D33-BD1C-2DA2C808243F}"/>
    <cellStyle name="AggOrange9 4 2 2 5" xfId="1916" xr:uid="{313C86AC-5074-4B77-BA74-03BFCBC3CE16}"/>
    <cellStyle name="AggOrange9 4 2 2 50" xfId="24910" xr:uid="{B6C7FF9B-B63C-44B2-89FE-56682B263A18}"/>
    <cellStyle name="AggOrange9 4 2 2 51" xfId="24188" xr:uid="{936F502B-34C3-42FA-86B0-BB0961F18FA9}"/>
    <cellStyle name="AggOrange9 4 2 2 52" xfId="25826" xr:uid="{C953925A-7D88-4A36-B28B-4928FAA8D8D5}"/>
    <cellStyle name="AggOrange9 4 2 2 53" xfId="24098" xr:uid="{69EC2441-5A63-4DDC-8908-42C061C4011D}"/>
    <cellStyle name="AggOrange9 4 2 2 54" xfId="26543" xr:uid="{D8CC7F0B-6722-4D62-ABAE-7E3D2F19AAA1}"/>
    <cellStyle name="AggOrange9 4 2 2 55" xfId="27114" xr:uid="{A3E9E199-A425-4156-8CA3-1AD9E3FFC244}"/>
    <cellStyle name="AggOrange9 4 2 2 56" xfId="27533" xr:uid="{B4796773-B32C-48B6-82C9-6AE8030882AF}"/>
    <cellStyle name="AggOrange9 4 2 2 57" xfId="26998" xr:uid="{7D5266D9-A672-48BF-BCDC-2811A4DBD340}"/>
    <cellStyle name="AggOrange9 4 2 2 58" xfId="28660" xr:uid="{6A3E9AC9-66BD-4DD5-BF6E-2CB90CCA877F}"/>
    <cellStyle name="AggOrange9 4 2 2 59" xfId="29127" xr:uid="{0ABFB195-D12E-4A68-AE2A-552EA3A567AF}"/>
    <cellStyle name="AggOrange9 4 2 2 6" xfId="2063" xr:uid="{863CFD4D-6458-4B25-929A-27F865C09E30}"/>
    <cellStyle name="AggOrange9 4 2 2 60" xfId="28105" xr:uid="{49686E34-CEDE-45ED-B611-09C05BE72531}"/>
    <cellStyle name="AggOrange9 4 2 2 61" xfId="29916" xr:uid="{63C4E035-CD72-4449-88B1-4BB882F48FCF}"/>
    <cellStyle name="AggOrange9 4 2 2 62" xfId="30322" xr:uid="{47601666-4AAA-4530-A740-377CBDA7326C}"/>
    <cellStyle name="AggOrange9 4 2 2 63" xfId="30739" xr:uid="{B12E32F9-5810-4C0E-8078-D4A9EB7F58B7}"/>
    <cellStyle name="AggOrange9 4 2 2 64" xfId="28209" xr:uid="{9B576642-A4AC-4FDA-9859-F0E99FA9FECB}"/>
    <cellStyle name="AggOrange9 4 2 2 65" xfId="31355" xr:uid="{53B8B356-1925-4405-9679-F1477D6AAB30}"/>
    <cellStyle name="AggOrange9 4 2 2 7" xfId="4138" xr:uid="{06631451-FB26-4953-BEF0-4E2C5511DE40}"/>
    <cellStyle name="AggOrange9 4 2 2 8" xfId="4575" xr:uid="{E8259133-329C-4973-B7C4-32E0BD06C8D8}"/>
    <cellStyle name="AggOrange9 4 2 2 9" xfId="4813" xr:uid="{4D3DEDE1-25D3-4BDA-8349-C54311190133}"/>
    <cellStyle name="AggOrange9 4 2 20" xfId="9965" xr:uid="{CE98A7E2-CB2A-4B2B-87A3-F8DC2BBAF8BE}"/>
    <cellStyle name="AggOrange9 4 2 21" xfId="10393" xr:uid="{A0724F1E-7099-44AC-86C2-414B510076F1}"/>
    <cellStyle name="AggOrange9 4 2 22" xfId="10648" xr:uid="{E3EC6B74-6A03-4426-993C-B4F4B08D7316}"/>
    <cellStyle name="AggOrange9 4 2 23" xfId="11288" xr:uid="{83EBC24E-FA60-4A7F-BE3B-0C69DC0A0D9E}"/>
    <cellStyle name="AggOrange9 4 2 24" xfId="11958" xr:uid="{B70A5892-AF32-455B-BC39-555C5C1F5EE3}"/>
    <cellStyle name="AggOrange9 4 2 25" xfId="12431" xr:uid="{E8F80738-9E91-4BB1-ADB4-EA58877ED6B1}"/>
    <cellStyle name="AggOrange9 4 2 26" xfId="12865" xr:uid="{6AC7AA05-C0C7-4846-BF93-C978EDF7BD64}"/>
    <cellStyle name="AggOrange9 4 2 27" xfId="13302" xr:uid="{8285752A-967C-474D-87A1-2EDD15A3F6F2}"/>
    <cellStyle name="AggOrange9 4 2 28" xfId="13168" xr:uid="{8A44D87C-02FF-4BFC-8263-27BBE39BF4B4}"/>
    <cellStyle name="AggOrange9 4 2 29" xfId="13606" xr:uid="{8DFFCAB6-F958-4AD2-83EF-896FC91E4D31}"/>
    <cellStyle name="AggOrange9 4 2 3" xfId="1088" xr:uid="{C288C543-0466-4F5E-92C5-7B4A6948B82F}"/>
    <cellStyle name="AggOrange9 4 2 30" xfId="14598" xr:uid="{9411DF3F-4711-4EEE-A931-A1C5C8E9B911}"/>
    <cellStyle name="AggOrange9 4 2 31" xfId="14603" xr:uid="{5D211ED8-4523-4EB5-97BF-1E6682BF284E}"/>
    <cellStyle name="AggOrange9 4 2 32" xfId="15357" xr:uid="{2733A9B3-CF5D-446F-8E6E-5646547F558B}"/>
    <cellStyle name="AggOrange9 4 2 33" xfId="15835" xr:uid="{AD23EFA9-FB43-4D8E-83FE-A551537FB002}"/>
    <cellStyle name="AggOrange9 4 2 34" xfId="16650" xr:uid="{6EA5D757-9D12-445F-A500-1C9BF149A8B2}"/>
    <cellStyle name="AggOrange9 4 2 35" xfId="17080" xr:uid="{2834E8D3-A47B-4806-A992-BA688AF2825E}"/>
    <cellStyle name="AggOrange9 4 2 36" xfId="17527" xr:uid="{1D6A06DA-A523-4DEB-879B-07C39978689D}"/>
    <cellStyle name="AggOrange9 4 2 37" xfId="18240" xr:uid="{48FB417B-476B-44FE-97B9-DE3EE1083DDD}"/>
    <cellStyle name="AggOrange9 4 2 38" xfId="18468" xr:uid="{80498092-6F16-46A9-A430-58F45C0F44ED}"/>
    <cellStyle name="AggOrange9 4 2 39" xfId="19007" xr:uid="{4F506C35-AAB5-42C7-925A-CFE75CE35F48}"/>
    <cellStyle name="AggOrange9 4 2 4" xfId="1727" xr:uid="{C4E7B601-FC19-462A-B4CC-77AC0FD1E64C}"/>
    <cellStyle name="AggOrange9 4 2 40" xfId="18779" xr:uid="{7CE8D081-BEF1-409D-9496-F02D7CC83FF0}"/>
    <cellStyle name="AggOrange9 4 2 41" xfId="19987" xr:uid="{9910DBD2-EABF-4A17-93D3-09F6953F2F09}"/>
    <cellStyle name="AggOrange9 4 2 42" xfId="20433" xr:uid="{855C365A-1353-4029-BE1D-ABC0CF30A6E6}"/>
    <cellStyle name="AggOrange9 4 2 43" xfId="20885" xr:uid="{1BE461DF-C9E8-4543-B4D7-2BD8A69BD9E0}"/>
    <cellStyle name="AggOrange9 4 2 44" xfId="21314" xr:uid="{6578E812-BC45-4976-B403-3BB4C1ABDDCF}"/>
    <cellStyle name="AggOrange9 4 2 45" xfId="21817" xr:uid="{5E9CD326-8528-46A9-BB84-9255DF10BCDC}"/>
    <cellStyle name="AggOrange9 4 2 46" xfId="22251" xr:uid="{FC5EE32A-43F7-4DAA-A3E6-999F65ADD0D2}"/>
    <cellStyle name="AggOrange9 4 2 47" xfId="22294" xr:uid="{C1466276-CFB4-4E5E-81E5-D22AF7B8A10A}"/>
    <cellStyle name="AggOrange9 4 2 48" xfId="23289" xr:uid="{DD6F17D4-7C1E-4DC2-BE13-B674EB0A2D72}"/>
    <cellStyle name="AggOrange9 4 2 49" xfId="22939" xr:uid="{6252B50F-202F-4C4D-A3E3-EC320BD53D6C}"/>
    <cellStyle name="AggOrange9 4 2 5" xfId="2427" xr:uid="{E5616025-F3E0-4E4C-8D0F-1230D99B1D19}"/>
    <cellStyle name="AggOrange9 4 2 50" xfId="23796" xr:uid="{CE42CC6E-8627-4AFC-A79B-E7748436F397}"/>
    <cellStyle name="AggOrange9 4 2 51" xfId="24695" xr:uid="{9887E212-61B7-4247-AA94-0C795338412E}"/>
    <cellStyle name="AggOrange9 4 2 52" xfId="25140" xr:uid="{9BB8BAFB-DF99-40EA-B0C4-085E209B197B}"/>
    <cellStyle name="AggOrange9 4 2 53" xfId="25613" xr:uid="{023F10FD-74E8-4367-BB83-1C5592E7E14D}"/>
    <cellStyle name="AggOrange9 4 2 54" xfId="25480" xr:uid="{BCCC05C6-C15C-450C-9369-948EC5656943}"/>
    <cellStyle name="AggOrange9 4 2 55" xfId="24219" xr:uid="{5C4164CB-BB80-4C97-BF22-7601ABA74259}"/>
    <cellStyle name="AggOrange9 4 2 56" xfId="26903" xr:uid="{E555CF90-3DCB-4982-8DAA-101E020A7D69}"/>
    <cellStyle name="AggOrange9 4 2 57" xfId="27322" xr:uid="{E16B6537-7E05-4199-9FCF-AAE370FE5CCE}"/>
    <cellStyle name="AggOrange9 4 2 58" xfId="27741" xr:uid="{1FEE3E32-5976-4936-ACE9-FE0D023D634F}"/>
    <cellStyle name="AggOrange9 4 2 59" xfId="28445" xr:uid="{5D6A7DA7-B5FE-44F4-BBA9-973F5FB48FE9}"/>
    <cellStyle name="AggOrange9 4 2 6" xfId="2281" xr:uid="{71E0E1C2-C3E7-421F-BEC7-48212177AF4A}"/>
    <cellStyle name="AggOrange9 4 2 60" xfId="28913" xr:uid="{260052E0-87F7-462F-A73C-4D546C9E0992}"/>
    <cellStyle name="AggOrange9 4 2 61" xfId="29292" xr:uid="{B628D91D-16A8-409C-8924-03C669B0779D}"/>
    <cellStyle name="AggOrange9 4 2 62" xfId="29703" xr:uid="{95970219-8877-4CEF-8EC7-CC18C07EAEBB}"/>
    <cellStyle name="AggOrange9 4 2 63" xfId="30111" xr:uid="{A4CC8FD8-D3E7-42FD-8E2D-336AE6564220}"/>
    <cellStyle name="AggOrange9 4 2 64" xfId="30525" xr:uid="{4FFAE84E-2A71-400D-8444-35A342F18257}"/>
    <cellStyle name="AggOrange9 4 2 65" xfId="30968" xr:uid="{668471AE-8CC2-4A1F-9CCE-B49202BA7363}"/>
    <cellStyle name="AggOrange9 4 2 66" xfId="31149" xr:uid="{EE75FE80-C92B-45DA-B732-B606197248DE}"/>
    <cellStyle name="AggOrange9 4 2 7" xfId="3594" xr:uid="{9F1C657F-86B1-43EA-A4C9-0085407EA1FF}"/>
    <cellStyle name="AggOrange9 4 2 8" xfId="3923" xr:uid="{A680C7BF-384D-4FF6-8493-62D45AF9C04A}"/>
    <cellStyle name="AggOrange9 4 2 9" xfId="4361" xr:uid="{602F0361-D98F-4E85-8872-F478951514F2}"/>
    <cellStyle name="AggOrange9 4 20" xfId="8736" xr:uid="{64D2C463-088E-4693-9607-D8B871FC2588}"/>
    <cellStyle name="AggOrange9 4 21" xfId="9210" xr:uid="{AB8B1CB1-F9BD-489A-8CE0-4BCD80CBCC57}"/>
    <cellStyle name="AggOrange9 4 22" xfId="9855" xr:uid="{26D2D4EF-6EC5-4B4A-920D-0CDDF6F9E84D}"/>
    <cellStyle name="AggOrange9 4 23" xfId="10298" xr:uid="{310E2DD0-8886-4790-94F1-1D6CE01F87E2}"/>
    <cellStyle name="AggOrange9 4 24" xfId="10483" xr:uid="{59BFC937-6103-4F05-A87D-71A925CF89AB}"/>
    <cellStyle name="AggOrange9 4 25" xfId="11306" xr:uid="{3D9AD390-64EE-437B-8A68-6C1CB4C5E21F}"/>
    <cellStyle name="AggOrange9 4 26" xfId="11622" xr:uid="{4E414B9D-3B25-4D5E-A64A-7F149CB4207F}"/>
    <cellStyle name="AggOrange9 4 27" xfId="11480" xr:uid="{29389DF5-ECDB-4F2B-A6E8-65970D8E04A5}"/>
    <cellStyle name="AggOrange9 4 28" xfId="12524" xr:uid="{F1178DA6-1347-4837-BFC8-ED7E0B9B672D}"/>
    <cellStyle name="AggOrange9 4 29" xfId="11605" xr:uid="{B01225F9-7448-457C-A145-A0A1AD701525}"/>
    <cellStyle name="AggOrange9 4 3" xfId="550" xr:uid="{75A3D90F-29A3-4F41-8BF4-77ED2E06F35B}"/>
    <cellStyle name="AggOrange9 4 3 10" xfId="4920" xr:uid="{963EA5BD-068E-44F4-90F9-38410E4DF4FB}"/>
    <cellStyle name="AggOrange9 4 3 11" xfId="5198" xr:uid="{67E7AE27-603D-469E-AD07-93CCCCFA08C6}"/>
    <cellStyle name="AggOrange9 4 3 12" xfId="5637" xr:uid="{2EA88A1B-717D-4081-A12A-8FA96BA1B64D}"/>
    <cellStyle name="AggOrange9 4 3 13" xfId="5586" xr:uid="{FA1DC34F-458C-483B-B546-1AD45BD827FC}"/>
    <cellStyle name="AggOrange9 4 3 14" xfId="6520" xr:uid="{C37DAC68-2BDE-47FA-8179-6C72D5394060}"/>
    <cellStyle name="AggOrange9 4 3 15" xfId="7270" xr:uid="{E3FCEA55-A549-4D8F-B13D-92F0F07D31ED}"/>
    <cellStyle name="AggOrange9 4 3 16" xfId="6960" xr:uid="{05FBA6CD-4C1C-417D-BB86-1860DFB6D96B}"/>
    <cellStyle name="AggOrange9 4 3 17" xfId="6848" xr:uid="{E0BA7E8F-68EA-4E70-9115-6CB0C846035D}"/>
    <cellStyle name="AggOrange9 4 3 18" xfId="8732" xr:uid="{75F2573B-58C0-4638-A68E-80A7FF92722B}"/>
    <cellStyle name="AggOrange9 4 3 19" xfId="9484" xr:uid="{97371AE2-718B-49BD-97D6-BE7553F2E71D}"/>
    <cellStyle name="AggOrange9 4 3 2" xfId="765" xr:uid="{CA1ECDF8-CD70-448B-B773-B39D4D9ED5BE}"/>
    <cellStyle name="AggOrange9 4 3 2 10" xfId="5413" xr:uid="{48871EDF-B343-4897-BA90-B5A444E35B6C}"/>
    <cellStyle name="AggOrange9 4 3 2 11" xfId="5734" xr:uid="{B8780AF0-B414-4B65-BAF2-E7E65489F318}"/>
    <cellStyle name="AggOrange9 4 3 2 12" xfId="6041" xr:uid="{1857BF93-1BC0-4DCD-8156-1AE0C827F593}"/>
    <cellStyle name="AggOrange9 4 3 2 13" xfId="4902" xr:uid="{DC782CE3-0088-4C6C-BD4E-5BBC1C7F26DF}"/>
    <cellStyle name="AggOrange9 4 3 2 14" xfId="7485" xr:uid="{92DADD6D-11CE-4C1E-B650-ED79160AF36D}"/>
    <cellStyle name="AggOrange9 4 3 2 15" xfId="6962" xr:uid="{F276672E-4C81-48E3-BD8C-9E3C54FAD9F6}"/>
    <cellStyle name="AggOrange9 4 3 2 16" xfId="8357" xr:uid="{6FDA2E27-1171-4892-ACCC-FE288C0A37D3}"/>
    <cellStyle name="AggOrange9 4 3 2 17" xfId="8388" xr:uid="{F0F235C2-5558-4C01-ACE2-7185E4B61B8B}"/>
    <cellStyle name="AggOrange9 4 3 2 18" xfId="9699" xr:uid="{9DE7CBD3-88E2-40A7-9443-BFD79CD14151}"/>
    <cellStyle name="AggOrange9 4 3 2 19" xfId="9175" xr:uid="{1F49378A-F37E-4C1F-8404-7CDE9D806A30}"/>
    <cellStyle name="AggOrange9 4 3 2 2" xfId="1239" xr:uid="{FC6DCDF0-8E6E-4E09-9A8F-80B508832AFB}"/>
    <cellStyle name="AggOrange9 4 3 2 20" xfId="9151" xr:uid="{E7667728-82AF-4679-9C1D-E9901D3ED5F0}"/>
    <cellStyle name="AggOrange9 4 3 2 21" xfId="10694" xr:uid="{E191A022-5339-456A-849B-D7B2C7A9FF12}"/>
    <cellStyle name="AggOrange9 4 3 2 22" xfId="11190" xr:uid="{307B7525-8C77-49EA-BBEC-30998005AD17}"/>
    <cellStyle name="AggOrange9 4 3 2 23" xfId="12118" xr:uid="{5A118DD6-B6AB-4974-B8C2-2BB48406BB8A}"/>
    <cellStyle name="AggOrange9 4 3 2 24" xfId="12591" xr:uid="{4610BE91-7AF2-4DC6-AA5F-C9D3AC46F6D5}"/>
    <cellStyle name="AggOrange9 4 3 2 25" xfId="13025" xr:uid="{1F31C577-E553-49E3-ABA5-0019E3F262C7}"/>
    <cellStyle name="AggOrange9 4 3 2 26" xfId="13462" xr:uid="{1BC28903-E045-406E-817B-B69B6EF8E617}"/>
    <cellStyle name="AggOrange9 4 3 2 27" xfId="11399" xr:uid="{3130B009-C9BE-4301-A2FB-F47AB41246C7}"/>
    <cellStyle name="AggOrange9 4 3 2 28" xfId="11476" xr:uid="{EB89C2F8-207F-4D02-B4DF-5106A078422C}"/>
    <cellStyle name="AggOrange9 4 3 2 29" xfId="14072" xr:uid="{630D1DF0-664F-4158-A712-7F92B3DF54CC}"/>
    <cellStyle name="AggOrange9 4 3 2 3" xfId="1648" xr:uid="{3E51A010-C52F-465C-A376-78396AC042CF}"/>
    <cellStyle name="AggOrange9 4 3 2 30" xfId="14336" xr:uid="{C742091E-4D0F-4B00-93EC-9DDACC0581C5}"/>
    <cellStyle name="AggOrange9 4 3 2 31" xfId="15482" xr:uid="{6B0BB290-A75A-4788-A2F3-1F017FC03A3E}"/>
    <cellStyle name="AggOrange9 4 3 2 32" xfId="15634" xr:uid="{435E2A03-8BE9-4961-90E4-4968C057F7E4}"/>
    <cellStyle name="AggOrange9 4 3 2 33" xfId="16810" xr:uid="{11448BC4-3A80-4489-A235-E24322354746}"/>
    <cellStyle name="AggOrange9 4 3 2 34" xfId="16281" xr:uid="{BDAA79D4-7B4C-4467-9798-9C63077597A4}"/>
    <cellStyle name="AggOrange9 4 3 2 35" xfId="16136" xr:uid="{789DFF93-1A6E-4D5F-A87C-ABC38EBE7C5C}"/>
    <cellStyle name="AggOrange9 4 3 2 36" xfId="17452" xr:uid="{0EBB21CE-7D1D-4FD7-AA1A-B4F95C8CCCF2}"/>
    <cellStyle name="AggOrange9 4 3 2 37" xfId="18628" xr:uid="{300D7A9A-541D-479E-96CA-41CC14391FCA}"/>
    <cellStyle name="AggOrange9 4 3 2 38" xfId="18126" xr:uid="{C7CF4883-51FA-4645-BC28-89B511131164}"/>
    <cellStyle name="AggOrange9 4 3 2 39" xfId="18339" xr:uid="{C7BA0A70-4DA7-4174-A8A1-EFD54CB39B00}"/>
    <cellStyle name="AggOrange9 4 3 2 4" xfId="2587" xr:uid="{C6998C78-3FB4-40C0-91B1-AD1306039636}"/>
    <cellStyle name="AggOrange9 4 3 2 40" xfId="20147" xr:uid="{F9EF6FEB-62F2-40BE-8F91-6F807C4F28CE}"/>
    <cellStyle name="AggOrange9 4 3 2 41" xfId="19614" xr:uid="{8424964E-1794-48F3-A0DC-56CDC062633A}"/>
    <cellStyle name="AggOrange9 4 3 2 42" xfId="19605" xr:uid="{00C273A9-30B4-4F38-88E0-06616E788468}"/>
    <cellStyle name="AggOrange9 4 3 2 43" xfId="21039" xr:uid="{2E346561-89D2-4F1E-83EB-156487F4CD16}"/>
    <cellStyle name="AggOrange9 4 3 2 44" xfId="21502" xr:uid="{7ECF8D12-92EA-4FEC-95EC-C5D97D451EAB}"/>
    <cellStyle name="AggOrange9 4 3 2 45" xfId="21784" xr:uid="{1126895B-3EC4-45B1-925D-8661C4F88EBF}"/>
    <cellStyle name="AggOrange9 4 3 2 46" xfId="21805" xr:uid="{83BFA7C8-F2E8-4E3B-ACF1-12AD62A1E221}"/>
    <cellStyle name="AggOrange9 4 3 2 47" xfId="20503" xr:uid="{686A5BC1-A0BF-4323-8DAA-818511E7A9D8}"/>
    <cellStyle name="AggOrange9 4 3 2 48" xfId="23436" xr:uid="{B68A3192-97EB-462F-8001-73EC67920476}"/>
    <cellStyle name="AggOrange9 4 3 2 49" xfId="23947" xr:uid="{8E598D9B-C5A4-41DF-9214-2840B4CF176E}"/>
    <cellStyle name="AggOrange9 4 3 2 5" xfId="1822" xr:uid="{4FD0E5A1-946D-481E-BF50-12B75B328123}"/>
    <cellStyle name="AggOrange9 4 3 2 50" xfId="24855" xr:uid="{99B75B70-0226-4EF5-BAAB-89B9965FE81F}"/>
    <cellStyle name="AggOrange9 4 3 2 51" xfId="24242" xr:uid="{E0B770EB-F785-4B47-A465-163D3917F23B}"/>
    <cellStyle name="AggOrange9 4 3 2 52" xfId="25771" xr:uid="{15160DF5-1668-4FCB-A70A-3C0A9FA990DC}"/>
    <cellStyle name="AggOrange9 4 3 2 53" xfId="25915" xr:uid="{8AEC9ACB-BA48-4195-89D5-70191EF350A6}"/>
    <cellStyle name="AggOrange9 4 3 2 54" xfId="26423" xr:uid="{ABF1BCC1-C9B6-4ACD-82CF-3EA327A86BB7}"/>
    <cellStyle name="AggOrange9 4 3 2 55" xfId="27059" xr:uid="{6DDAB664-E8FA-421C-AD01-0B82889C4C0E}"/>
    <cellStyle name="AggOrange9 4 3 2 56" xfId="27478" xr:uid="{FAD9B763-E374-4798-AE70-2869AE7682E3}"/>
    <cellStyle name="AggOrange9 4 3 2 57" xfId="24317" xr:uid="{AA30F070-AD45-4C8D-8B1E-3915839BFC90}"/>
    <cellStyle name="AggOrange9 4 3 2 58" xfId="28605" xr:uid="{B44C1BEC-C971-4375-95CB-122067D64299}"/>
    <cellStyle name="AggOrange9 4 3 2 59" xfId="29072" xr:uid="{20A6FFD1-7E32-445F-AC3B-8678E628D113}"/>
    <cellStyle name="AggOrange9 4 3 2 6" xfId="2724" xr:uid="{1FDFF4C4-CB40-48C9-8F07-13437154149C}"/>
    <cellStyle name="AggOrange9 4 3 2 60" xfId="28064" xr:uid="{637ADA5D-E08A-480E-B709-25667A819BF8}"/>
    <cellStyle name="AggOrange9 4 3 2 61" xfId="29861" xr:uid="{36C6E1E9-18E6-4A4F-B63F-A8B8CEDF56BA}"/>
    <cellStyle name="AggOrange9 4 3 2 62" xfId="30267" xr:uid="{076407B9-51EB-4994-845B-D137174BAF41}"/>
    <cellStyle name="AggOrange9 4 3 2 63" xfId="30684" xr:uid="{50CC1EB7-3A6B-4280-A950-44EFF4EEF9CC}"/>
    <cellStyle name="AggOrange9 4 3 2 64" xfId="28051" xr:uid="{517DDB80-2844-4B75-A1A4-CEE3F830329F}"/>
    <cellStyle name="AggOrange9 4 3 2 65" xfId="31300" xr:uid="{34FF801E-FF5A-4CCB-AB5D-63801F61CF6A}"/>
    <cellStyle name="AggOrange9 4 3 2 7" xfId="4083" xr:uid="{91A2F09E-B21A-45F4-A966-7896154D1C0E}"/>
    <cellStyle name="AggOrange9 4 3 2 8" xfId="4520" xr:uid="{6A2880A4-239D-4A14-8900-9195B16154AA}"/>
    <cellStyle name="AggOrange9 4 3 2 9" xfId="4454" xr:uid="{9EB85458-FE16-4298-AEF5-527381B1B362}"/>
    <cellStyle name="AggOrange9 4 3 20" xfId="9173" xr:uid="{5C2DA413-0F5C-4C66-9C51-C49FD8944163}"/>
    <cellStyle name="AggOrange9 4 3 21" xfId="8973" xr:uid="{E4C7351B-650C-4890-B170-913D87E2245E}"/>
    <cellStyle name="AggOrange9 4 3 22" xfId="10222" xr:uid="{04DB48A4-734C-45D2-91E5-ED66D8F35D0A}"/>
    <cellStyle name="AggOrange9 4 3 23" xfId="11128" xr:uid="{18B8147D-AFF9-4524-8AE8-216869CD97C7}"/>
    <cellStyle name="AggOrange9 4 3 24" xfId="11903" xr:uid="{C1AA24E6-66E8-4B8B-B6A0-882353A74FBF}"/>
    <cellStyle name="AggOrange9 4 3 25" xfId="12376" xr:uid="{A9183579-59BA-41B6-A836-48A114F16DD7}"/>
    <cellStyle name="AggOrange9 4 3 26" xfId="12810" xr:uid="{4761AB22-14BA-49C3-9C4B-7E423DE6A9FE}"/>
    <cellStyle name="AggOrange9 4 3 27" xfId="13247" xr:uid="{105437ED-2C7C-4524-AFD4-DA1FDAF0705E}"/>
    <cellStyle name="AggOrange9 4 3 28" xfId="12249" xr:uid="{EC325FF7-2E14-4E67-BCB6-310B57AC7F8D}"/>
    <cellStyle name="AggOrange9 4 3 29" xfId="14135" xr:uid="{A689D40F-C4C8-4129-BC34-BB94E15314F4}"/>
    <cellStyle name="AggOrange9 4 3 3" xfId="1033" xr:uid="{C7C36FD1-4794-4EFE-9487-2B08EF5398F9}"/>
    <cellStyle name="AggOrange9 4 3 30" xfId="14722" xr:uid="{F211E2EA-FB7E-44AA-BA64-559CC09A0EDF}"/>
    <cellStyle name="AggOrange9 4 3 31" xfId="15257" xr:uid="{7AAB7819-A7A2-49CC-B573-22FA52AD073B}"/>
    <cellStyle name="AggOrange9 4 3 32" xfId="15552" xr:uid="{167B3325-09B8-49AF-A003-EC041F424740}"/>
    <cellStyle name="AggOrange9 4 3 33" xfId="11400" xr:uid="{22379AB0-E5D2-44D6-B35F-938EE84C712F}"/>
    <cellStyle name="AggOrange9 4 3 34" xfId="16595" xr:uid="{9281A91F-6479-498B-9659-2AABA5970C8F}"/>
    <cellStyle name="AggOrange9 4 3 35" xfId="16279" xr:uid="{8E7C9881-B15D-4B4E-8ED7-636E7F78EBDF}"/>
    <cellStyle name="AggOrange9 4 3 36" xfId="16162" xr:uid="{77B4116A-A870-4FB4-A753-65E5972B86AE}"/>
    <cellStyle name="AggOrange9 4 3 37" xfId="17969" xr:uid="{A9B417EB-5E12-4000-8CF2-F6AF785714B7}"/>
    <cellStyle name="AggOrange9 4 3 38" xfId="18413" xr:uid="{E07E34FC-0D65-4382-AE0D-3C0D566AAFB6}"/>
    <cellStyle name="AggOrange9 4 3 39" xfId="18802" xr:uid="{1C7B9875-BC67-4A94-BF57-67936F00BF55}"/>
    <cellStyle name="AggOrange9 4 3 4" xfId="1456" xr:uid="{2ECD35EE-BA8C-49C3-B0E1-717B37E48AAA}"/>
    <cellStyle name="AggOrange9 4 3 40" xfId="17077" xr:uid="{06AF07AD-F051-41A2-BC6C-19637C4FAA62}"/>
    <cellStyle name="AggOrange9 4 3 41" xfId="19932" xr:uid="{14972848-99D6-49BB-A308-EAC8BFD7722A}"/>
    <cellStyle name="AggOrange9 4 3 42" xfId="19612" xr:uid="{61AF5BEC-126F-43C4-B04D-6886681C1C13}"/>
    <cellStyle name="AggOrange9 4 3 43" xfId="20543" xr:uid="{CB65300E-3D9C-4DF1-8053-54BE2C87F22C}"/>
    <cellStyle name="AggOrange9 4 3 44" xfId="20416" xr:uid="{77588E79-6418-444A-91B5-4678FC0D4833}"/>
    <cellStyle name="AggOrange9 4 3 45" xfId="19495" xr:uid="{4C1F4761-47D7-4968-80F3-782D30479BAE}"/>
    <cellStyle name="AggOrange9 4 3 46" xfId="21993" xr:uid="{367CCF08-4D8F-41E0-A14B-E1607823DB58}"/>
    <cellStyle name="AggOrange9 4 3 47" xfId="22194" xr:uid="{B8CE402F-661E-4EFA-9A78-856113D43792}"/>
    <cellStyle name="AggOrange9 4 3 48" xfId="23077" xr:uid="{5D3ABD66-FFA3-45DF-ADCE-A7969D853113}"/>
    <cellStyle name="AggOrange9 4 3 49" xfId="23432" xr:uid="{5447CFE2-4AA6-43BA-9424-26B38EA40D59}"/>
    <cellStyle name="AggOrange9 4 3 5" xfId="2372" xr:uid="{D82A7B88-5D4D-48D3-8B08-B54A19B11046}"/>
    <cellStyle name="AggOrange9 4 3 50" xfId="23741" xr:uid="{ACB20C98-440C-4B54-A137-1992F47286B5}"/>
    <cellStyle name="AggOrange9 4 3 51" xfId="24640" xr:uid="{492DA370-2ED6-4E0E-8767-4D29D6DD1068}"/>
    <cellStyle name="AggOrange9 4 3 52" xfId="24380" xr:uid="{22B62C12-1549-4563-BC80-F8ED904F0567}"/>
    <cellStyle name="AggOrange9 4 3 53" xfId="25558" xr:uid="{645CF2A6-DA45-4A61-BA66-817F1076C4DC}"/>
    <cellStyle name="AggOrange9 4 3 54" xfId="25430" xr:uid="{C5BF0C6A-33D3-4F9B-8132-EE54BCC23A80}"/>
    <cellStyle name="AggOrange9 4 3 55" xfId="26159" xr:uid="{C51776E8-06D9-47A6-A81D-E68C8AD8B9A8}"/>
    <cellStyle name="AggOrange9 4 3 56" xfId="26848" xr:uid="{A1B45116-0421-4472-9DD4-22A07FF7ECEB}"/>
    <cellStyle name="AggOrange9 4 3 57" xfId="27267" xr:uid="{B7699DC8-F2FE-40D2-82E4-C2AFAF712E8A}"/>
    <cellStyle name="AggOrange9 4 3 58" xfId="27763" xr:uid="{8BEE4B2A-3432-48D8-8044-DAD70A3A3E85}"/>
    <cellStyle name="AggOrange9 4 3 59" xfId="28390" xr:uid="{C27D9A47-2FB1-4078-B21C-5B36BFB4BEA9}"/>
    <cellStyle name="AggOrange9 4 3 6" xfId="1927" xr:uid="{E6BC8D25-3264-4797-BB85-F83B15E9A23D}"/>
    <cellStyle name="AggOrange9 4 3 60" xfId="28858" xr:uid="{D97E081D-09C5-4BB7-9EAE-285C20825C1D}"/>
    <cellStyle name="AggOrange9 4 3 61" xfId="28302" xr:uid="{BBE50F7D-4B5E-4A58-9E6A-EEF06FBA4F3C}"/>
    <cellStyle name="AggOrange9 4 3 62" xfId="29648" xr:uid="{836C7D60-6EF8-4F51-B4FA-0CE5D99627C1}"/>
    <cellStyle name="AggOrange9 4 3 63" xfId="30056" xr:uid="{D4C15300-D10D-4704-99F8-D1B0E3AC16E0}"/>
    <cellStyle name="AggOrange9 4 3 64" xfId="30470" xr:uid="{39B7229A-339C-4EE5-BDBC-4CFDA6C2704A}"/>
    <cellStyle name="AggOrange9 4 3 65" xfId="30951" xr:uid="{5E9C44E7-DD2A-48A6-BE99-212F29AA0690}"/>
    <cellStyle name="AggOrange9 4 3 66" xfId="31094" xr:uid="{0116FF38-068F-4A6B-B2BC-AE2DA1D6312D}"/>
    <cellStyle name="AggOrange9 4 3 7" xfId="1910" xr:uid="{8DA4AA6A-A0C0-4880-8A82-862C78CA17A3}"/>
    <cellStyle name="AggOrange9 4 3 8" xfId="3868" xr:uid="{11142174-9819-42BC-8598-EC0C6CA81656}"/>
    <cellStyle name="AggOrange9 4 3 9" xfId="4306" xr:uid="{EC3FDF1A-F88B-4F90-9C87-28A1E2AD7A6A}"/>
    <cellStyle name="AggOrange9 4 30" xfId="13746" xr:uid="{11DC4213-FAD0-44F6-8BE8-00FBFC4E4EC2}"/>
    <cellStyle name="AggOrange9 4 31" xfId="13169" xr:uid="{1AFCC467-FA85-44BB-8DD0-A66994627AC9}"/>
    <cellStyle name="AggOrange9 4 32" xfId="14233" xr:uid="{BC5415F7-EE74-4A04-A2F8-01D9560DCDFE}"/>
    <cellStyle name="AggOrange9 4 33" xfId="15192" xr:uid="{5A031D1A-033D-48BD-819D-58037935D276}"/>
    <cellStyle name="AggOrange9 4 34" xfId="15730" xr:uid="{24E05F66-198B-406B-845F-FE53D5A23909}"/>
    <cellStyle name="AggOrange9 4 35" xfId="15483" xr:uid="{2A1202F7-4155-47BA-9B0C-D64A20ABC496}"/>
    <cellStyle name="AggOrange9 4 36" xfId="16317" xr:uid="{90917186-20DB-4240-9A03-BFF234A56E9F}"/>
    <cellStyle name="AggOrange9 4 37" xfId="16971" xr:uid="{6DA5E42C-2631-467B-B35F-7BEA85712366}"/>
    <cellStyle name="AggOrange9 4 38" xfId="17422" xr:uid="{942BB0B3-AC5D-4749-BCAA-356C5C43D401}"/>
    <cellStyle name="AggOrange9 4 39" xfId="17818" xr:uid="{D919BA11-9683-40D7-8CDE-D53A6CF75525}"/>
    <cellStyle name="AggOrange9 4 4" xfId="596" xr:uid="{7B33F60E-248D-4227-B80D-2AFE44CEB7EF}"/>
    <cellStyle name="AggOrange9 4 4 10" xfId="2210" xr:uid="{F4067BA1-E0F0-4EBA-8E54-54E17AE8E1A2}"/>
    <cellStyle name="AggOrange9 4 4 11" xfId="5244" xr:uid="{B9773903-6171-4CF1-9D90-ACDB3A2DB83A}"/>
    <cellStyle name="AggOrange9 4 4 12" xfId="5985" xr:uid="{CCEC1FA3-81A9-4C50-8E07-A3B43FF27DDA}"/>
    <cellStyle name="AggOrange9 4 4 13" xfId="6349" xr:uid="{D4E50442-32CB-4393-9DA9-33C3705942D4}"/>
    <cellStyle name="AggOrange9 4 4 14" xfId="6430" xr:uid="{E84140F5-250D-43ED-B746-20E6BD033DE0}"/>
    <cellStyle name="AggOrange9 4 4 15" xfId="7316" xr:uid="{6B2B3379-041A-4444-B7FF-257D2ECF6EB6}"/>
    <cellStyle name="AggOrange9 4 4 16" xfId="7416" xr:uid="{6B722457-42D5-42D0-A591-5487E287B625}"/>
    <cellStyle name="AggOrange9 4 4 17" xfId="6767" xr:uid="{6E557AFA-9DE0-4231-9263-A2EAF8BD6710}"/>
    <cellStyle name="AggOrange9 4 4 18" xfId="8298" xr:uid="{11CE5950-B72A-4314-8AD3-A6CEF542262F}"/>
    <cellStyle name="AggOrange9 4 4 19" xfId="9530" xr:uid="{08EDE684-FB83-4344-A584-554989BA466A}"/>
    <cellStyle name="AggOrange9 4 4 2" xfId="811" xr:uid="{C269180F-39A6-4C77-9E44-20FF5D738C88}"/>
    <cellStyle name="AggOrange9 4 4 2 10" xfId="5459" xr:uid="{7F13BFD6-C5CF-4805-A962-F4E05532E2FB}"/>
    <cellStyle name="AggOrange9 4 4 2 11" xfId="5568" xr:uid="{3048DDCB-7917-4CD2-99AF-EDDDFB5254D1}"/>
    <cellStyle name="AggOrange9 4 4 2 12" xfId="5683" xr:uid="{8BE6DD0A-2515-4135-8C54-A0547E1A9895}"/>
    <cellStyle name="AggOrange9 4 4 2 13" xfId="6143" xr:uid="{A9F8736D-F4A2-40C5-A291-819AB64BEA05}"/>
    <cellStyle name="AggOrange9 4 4 2 14" xfId="7531" xr:uid="{E17A3E7D-2848-4071-B03F-E1217140F657}"/>
    <cellStyle name="AggOrange9 4 4 2 15" xfId="6928" xr:uid="{CC811194-A77B-4C26-A0D9-C401744D15A8}"/>
    <cellStyle name="AggOrange9 4 4 2 16" xfId="8450" xr:uid="{1604B2E2-F8C6-47E1-A3B0-BF9024C5283D}"/>
    <cellStyle name="AggOrange9 4 4 2 17" xfId="8870" xr:uid="{1F207A43-6A10-4A50-B9DF-31B4F3514275}"/>
    <cellStyle name="AggOrange9 4 4 2 18" xfId="9745" xr:uid="{0E001202-F070-48D0-A0C9-14A049FAFB7E}"/>
    <cellStyle name="AggOrange9 4 4 2 19" xfId="9141" xr:uid="{CFFAA265-5BC2-4A3A-839F-96E9A866922C}"/>
    <cellStyle name="AggOrange9 4 4 2 2" xfId="1285" xr:uid="{AE467267-8512-4584-8697-C92BC5B4C27B}"/>
    <cellStyle name="AggOrange9 4 4 2 20" xfId="10029" xr:uid="{79A87FCC-C913-4829-A77D-BF4B69193CB8}"/>
    <cellStyle name="AggOrange9 4 4 2 21" xfId="10700" xr:uid="{71E1E4DA-1656-4D71-B377-292C73CEE019}"/>
    <cellStyle name="AggOrange9 4 4 2 22" xfId="10430" xr:uid="{EDBF9F3C-F78F-477D-8984-A812435D0BAD}"/>
    <cellStyle name="AggOrange9 4 4 2 23" xfId="12164" xr:uid="{5FC73D75-CBEF-498F-A98F-D347E939C083}"/>
    <cellStyle name="AggOrange9 4 4 2 24" xfId="12637" xr:uid="{D04DD0FA-2F21-4291-AC83-BA1158242F8A}"/>
    <cellStyle name="AggOrange9 4 4 2 25" xfId="13071" xr:uid="{21B4DCA4-0A3E-411D-98E6-5CBFEF781DED}"/>
    <cellStyle name="AggOrange9 4 4 2 26" xfId="13508" xr:uid="{4245F649-B266-4110-8A76-D6214BEA0AB6}"/>
    <cellStyle name="AggOrange9 4 4 2 27" xfId="13616" xr:uid="{3E129FD2-098B-4F0C-B162-11DA0B0D55CD}"/>
    <cellStyle name="AggOrange9 4 4 2 28" xfId="11755" xr:uid="{C887F579-E678-4334-9904-57558C28E9D9}"/>
    <cellStyle name="AggOrange9 4 4 2 29" xfId="14144" xr:uid="{8272D276-5FF2-4528-B10B-DAACC3DEBB08}"/>
    <cellStyle name="AggOrange9 4 4 2 3" xfId="1478" xr:uid="{BDD5CEF5-BDCB-40C2-938A-C3E2695A5FCC}"/>
    <cellStyle name="AggOrange9 4 4 2 30" xfId="15005" xr:uid="{EF140341-0A0C-409C-BF99-7ACF3DDB4FC3}"/>
    <cellStyle name="AggOrange9 4 4 2 31" xfId="15551" xr:uid="{2760565A-85FE-498C-9FED-249C427E9E52}"/>
    <cellStyle name="AggOrange9 4 4 2 32" xfId="15725" xr:uid="{E3909823-D330-4C14-990F-CB747D66CC8F}"/>
    <cellStyle name="AggOrange9 4 4 2 33" xfId="16856" xr:uid="{F873487C-5F0A-4D67-B6B0-0CF90A2E88C6}"/>
    <cellStyle name="AggOrange9 4 4 2 34" xfId="16245" xr:uid="{5586C379-3ED1-4E42-A86D-BDE1D48B5CCB}"/>
    <cellStyle name="AggOrange9 4 4 2 35" xfId="17146" xr:uid="{DD3090C3-DADE-4541-A8B6-5DE124EC7016}"/>
    <cellStyle name="AggOrange9 4 4 2 36" xfId="16339" xr:uid="{D138F2A6-F3B4-4083-BF13-0E3E45D207F0}"/>
    <cellStyle name="AggOrange9 4 4 2 37" xfId="18674" xr:uid="{4A601D52-47AA-40E9-8FD4-1B6B4AFF3477}"/>
    <cellStyle name="AggOrange9 4 4 2 38" xfId="18981" xr:uid="{AE082344-20A0-41A0-BF51-641C702ADA27}"/>
    <cellStyle name="AggOrange9 4 4 2 39" xfId="19172" xr:uid="{711ECED7-649D-4564-B079-0A2579F6ED13}"/>
    <cellStyle name="AggOrange9 4 4 2 4" xfId="2633" xr:uid="{20E95111-C487-4257-B85E-8CE9DFBE0202}"/>
    <cellStyle name="AggOrange9 4 4 2 40" xfId="20193" xr:uid="{68D8A2A8-17EB-4301-AF43-6CB1D4163816}"/>
    <cellStyle name="AggOrange9 4 4 2 41" xfId="19578" xr:uid="{70A3094E-16C4-4CB0-98A6-D9C6C3826472}"/>
    <cellStyle name="AggOrange9 4 4 2 42" xfId="20398" xr:uid="{F7DAB4E5-875A-4E3E-BECB-62178346F6D9}"/>
    <cellStyle name="AggOrange9 4 4 2 43" xfId="21643" xr:uid="{3D2EC094-DA6D-4118-8B33-19CD14C1BA7A}"/>
    <cellStyle name="AggOrange9 4 4 2 44" xfId="21620" xr:uid="{145A76FA-F641-4711-B043-F8B295199396}"/>
    <cellStyle name="AggOrange9 4 4 2 45" xfId="21573" xr:uid="{9E99F0C0-5F14-44CF-90AF-4E3655E5FCBF}"/>
    <cellStyle name="AggOrange9 4 4 2 46" xfId="22625" xr:uid="{5C287899-008B-4C8E-9EE5-99CF55817B6C}"/>
    <cellStyle name="AggOrange9 4 4 2 47" xfId="23268" xr:uid="{4F303A0F-186F-480E-ABFA-F56F06C4A5B0}"/>
    <cellStyle name="AggOrange9 4 4 2 48" xfId="22434" xr:uid="{DA28DA09-B9DC-420C-80D2-A41D430FB4AB}"/>
    <cellStyle name="AggOrange9 4 4 2 49" xfId="23993" xr:uid="{62801DE1-4961-43F4-B212-6F05B578B351}"/>
    <cellStyle name="AggOrange9 4 4 2 5" xfId="2783" xr:uid="{FDA8F18D-DCD1-4FFC-AC8F-E7BDBD65108C}"/>
    <cellStyle name="AggOrange9 4 4 2 50" xfId="24901" xr:uid="{A9E872C3-1BA3-4833-B001-35438D205F62}"/>
    <cellStyle name="AggOrange9 4 4 2 51" xfId="24246" xr:uid="{81FF20E1-89FC-4C64-B640-D9EC0D17FEA4}"/>
    <cellStyle name="AggOrange9 4 4 2 52" xfId="25817" xr:uid="{7FEAFF2E-C3E0-4A4D-B1AE-5657261B1F9B}"/>
    <cellStyle name="AggOrange9 4 4 2 53" xfId="25202" xr:uid="{C94154BD-D0EF-4059-A356-44BC8BF96062}"/>
    <cellStyle name="AggOrange9 4 4 2 54" xfId="26044" xr:uid="{29D3F31D-19F5-4D10-8953-4CD53738D650}"/>
    <cellStyle name="AggOrange9 4 4 2 55" xfId="27105" xr:uid="{AA2F558C-EA58-4E06-B894-9AE483F04C44}"/>
    <cellStyle name="AggOrange9 4 4 2 56" xfId="27524" xr:uid="{EC47B5DE-18E7-4231-8311-CA7760EA9023}"/>
    <cellStyle name="AggOrange9 4 4 2 57" xfId="26216" xr:uid="{80987AA8-ED50-437F-B705-D8399472B5DF}"/>
    <cellStyle name="AggOrange9 4 4 2 58" xfId="28651" xr:uid="{0CE11147-0975-426F-ABB6-A2F464C7066B}"/>
    <cellStyle name="AggOrange9 4 4 2 59" xfId="29118" xr:uid="{084D7E2A-B2CE-46B7-88AD-78D311CDD000}"/>
    <cellStyle name="AggOrange9 4 4 2 6" xfId="2150" xr:uid="{66FF079D-D690-4025-A9F7-0514B97CA828}"/>
    <cellStyle name="AggOrange9 4 4 2 60" xfId="28294" xr:uid="{EC59B846-F396-4916-912F-CEFBF88A5F9C}"/>
    <cellStyle name="AggOrange9 4 4 2 61" xfId="29907" xr:uid="{D269143A-9857-4C24-A06F-926219553256}"/>
    <cellStyle name="AggOrange9 4 4 2 62" xfId="30313" xr:uid="{FBAECC1D-B999-43CC-AF10-281FF1DAB8A5}"/>
    <cellStyle name="AggOrange9 4 4 2 63" xfId="30730" xr:uid="{9286A1AB-A274-45E8-885C-F8F4D03EB85A}"/>
    <cellStyle name="AggOrange9 4 4 2 64" xfId="29218" xr:uid="{05016218-60C4-4F52-9F61-45735B5A839C}"/>
    <cellStyle name="AggOrange9 4 4 2 65" xfId="31346" xr:uid="{CAE16F39-7305-4F5E-8B62-F2487591EE88}"/>
    <cellStyle name="AggOrange9 4 4 2 7" xfId="4129" xr:uid="{4EE82F5F-C2B9-4AED-AA94-888801FC884C}"/>
    <cellStyle name="AggOrange9 4 4 2 8" xfId="4566" xr:uid="{C158A81D-2908-401D-85B1-E74C22DAF52B}"/>
    <cellStyle name="AggOrange9 4 4 2 9" xfId="2146" xr:uid="{0C20B0FE-69EE-4295-9ECE-38617765147F}"/>
    <cellStyle name="AggOrange9 4 4 20" xfId="9352" xr:uid="{837906D7-41AC-4AFF-9628-A5EFC6DDFA14}"/>
    <cellStyle name="AggOrange9 4 4 21" xfId="9967" xr:uid="{E86A04E5-E380-4D6F-974F-2E7D8F0F22D9}"/>
    <cellStyle name="AggOrange9 4 4 22" xfId="10092" xr:uid="{B0D74CBE-037D-47D1-B737-29D63B275172}"/>
    <cellStyle name="AggOrange9 4 4 23" xfId="11046" xr:uid="{DC41702F-5B75-44DF-B375-6883ADB471F0}"/>
    <cellStyle name="AggOrange9 4 4 24" xfId="11949" xr:uid="{7C552654-037E-4A4B-82D3-847609C0C423}"/>
    <cellStyle name="AggOrange9 4 4 25" xfId="12422" xr:uid="{51D73252-CB21-4088-920F-49059A2E7884}"/>
    <cellStyle name="AggOrange9 4 4 26" xfId="12856" xr:uid="{211C180A-B9EF-4FAE-8141-4D4B62C9809C}"/>
    <cellStyle name="AggOrange9 4 4 27" xfId="13293" xr:uid="{0E7DCE0C-EDFC-4CBB-B210-AD006A9609F1}"/>
    <cellStyle name="AggOrange9 4 4 28" xfId="11446" xr:uid="{843554A9-7D45-4FBF-B8BA-53576F52EB7A}"/>
    <cellStyle name="AggOrange9 4 4 29" xfId="13829" xr:uid="{F7885968-3567-4E38-9636-C4447E142740}"/>
    <cellStyle name="AggOrange9 4 4 3" xfId="1079" xr:uid="{C55640FF-311C-406F-8E0E-B09E0DF06539}"/>
    <cellStyle name="AggOrange9 4 4 30" xfId="14574" xr:uid="{9CE10C70-3816-4D5E-B0F5-4DDBBE421CF9}"/>
    <cellStyle name="AggOrange9 4 4 31" xfId="15364" xr:uid="{EFC4C9C6-19EC-4267-91CF-688081C306F1}"/>
    <cellStyle name="AggOrange9 4 4 32" xfId="14802" xr:uid="{03F84BB7-3C13-4C8D-9ECA-114FA13A6C38}"/>
    <cellStyle name="AggOrange9 4 4 33" xfId="15755" xr:uid="{D6198FE7-894D-4147-B904-E9C25A2C5A12}"/>
    <cellStyle name="AggOrange9 4 4 34" xfId="16641" xr:uid="{53146CF1-9C5A-47CF-936F-F29B49CEC0A6}"/>
    <cellStyle name="AggOrange9 4 4 35" xfId="16741" xr:uid="{CF850879-AD1A-482B-AB83-4B89562676B3}"/>
    <cellStyle name="AggOrange9 4 4 36" xfId="17091" xr:uid="{B78C0F24-DD10-4AC0-8753-694234716A2B}"/>
    <cellStyle name="AggOrange9 4 4 37" xfId="18097" xr:uid="{505E72F7-9457-405D-8DC2-6794DC4AAE03}"/>
    <cellStyle name="AggOrange9 4 4 38" xfId="18459" xr:uid="{1DFA6524-13D4-4046-806F-7B6DCBD3A25D}"/>
    <cellStyle name="AggOrange9 4 4 39" xfId="18174" xr:uid="{912A73A9-71F4-4391-B284-14CEB565F121}"/>
    <cellStyle name="AggOrange9 4 4 4" xfId="1581" xr:uid="{1A415F67-EABB-4A83-A877-C1B90E87D85A}"/>
    <cellStyle name="AggOrange9 4 4 40" xfId="18760" xr:uid="{6BF6074F-6E29-43B8-96BE-34AABB14AB83}"/>
    <cellStyle name="AggOrange9 4 4 41" xfId="19978" xr:uid="{D8FAE3FE-4CDF-4385-AB7A-DC9155927FEC}"/>
    <cellStyle name="AggOrange9 4 4 42" xfId="19793" xr:uid="{A4180781-8223-4BB6-8ADB-916A46FEF5C7}"/>
    <cellStyle name="AggOrange9 4 4 43" xfId="19413" xr:uid="{7AAD076E-CF4B-47AC-BF8C-E6AC7834007D}"/>
    <cellStyle name="AggOrange9 4 4 44" xfId="21037" xr:uid="{B53973E2-313D-4363-ACE9-1BD1ACDF0936}"/>
    <cellStyle name="AggOrange9 4 4 45" xfId="20910" xr:uid="{C0C04256-A9DB-46FA-A1BE-60C9C5158A20}"/>
    <cellStyle name="AggOrange9 4 4 46" xfId="21932" xr:uid="{81D20D4D-A7F4-420B-9197-B0F1D3687251}"/>
    <cellStyle name="AggOrange9 4 4 47" xfId="22272" xr:uid="{9C010C5C-5D94-4584-A15F-9D2813B3700B}"/>
    <cellStyle name="AggOrange9 4 4 48" xfId="22258" xr:uid="{431A8C82-F747-4D7E-A6E1-E260832B2F31}"/>
    <cellStyle name="AggOrange9 4 4 49" xfId="22246" xr:uid="{EDD33486-E70C-4141-94E0-41BBA44F2076}"/>
    <cellStyle name="AggOrange9 4 4 5" xfId="2418" xr:uid="{8340755A-D099-4B0E-8EF8-598E2CC21A1A}"/>
    <cellStyle name="AggOrange9 4 4 50" xfId="23787" xr:uid="{0639355C-6FAE-4BD5-B008-D603BF65D808}"/>
    <cellStyle name="AggOrange9 4 4 51" xfId="24686" xr:uid="{26AC7C81-D7B7-4D27-9FB3-3DC198A169A0}"/>
    <cellStyle name="AggOrange9 4 4 52" xfId="24222" xr:uid="{3CFEB1D8-43E8-441A-9051-8CC91B85E731}"/>
    <cellStyle name="AggOrange9 4 4 53" xfId="25604" xr:uid="{EAFFEACD-5824-4402-B0CE-7B0D00AF3347}"/>
    <cellStyle name="AggOrange9 4 4 54" xfId="25336" xr:uid="{1BB86C51-10C4-4123-AD09-720587FFB525}"/>
    <cellStyle name="AggOrange9 4 4 55" xfId="26020" xr:uid="{87C6C1CB-A001-4182-BBBB-4947C3B16505}"/>
    <cellStyle name="AggOrange9 4 4 56" xfId="26894" xr:uid="{56D92A40-CEFF-4BE6-90F1-77B85CF2B2A3}"/>
    <cellStyle name="AggOrange9 4 4 57" xfId="27313" xr:uid="{6BB5A0E9-DF22-49C4-9B9D-34B2C1E2CE44}"/>
    <cellStyle name="AggOrange9 4 4 58" xfId="26492" xr:uid="{9C8ACF66-770F-4325-ABCA-58798FF627A5}"/>
    <cellStyle name="AggOrange9 4 4 59" xfId="28436" xr:uid="{89F2BC2A-8E80-457A-9898-CF4EB6934981}"/>
    <cellStyle name="AggOrange9 4 4 6" xfId="1938" xr:uid="{ACF3C77E-734C-4221-94E2-BD0BFD2BEE81}"/>
    <cellStyle name="AggOrange9 4 4 60" xfId="28904" xr:uid="{B79FB5B7-BA2B-42B1-8497-DB2DEE8153FA}"/>
    <cellStyle name="AggOrange9 4 4 61" xfId="27951" xr:uid="{1928DB2F-246A-4837-8D70-2342CD113B51}"/>
    <cellStyle name="AggOrange9 4 4 62" xfId="29694" xr:uid="{09CA691B-0224-40DE-9BF1-5CCF2C2CD50D}"/>
    <cellStyle name="AggOrange9 4 4 63" xfId="30102" xr:uid="{1ACA1CCF-3169-4522-B5D1-02A1ECD11A8D}"/>
    <cellStyle name="AggOrange9 4 4 64" xfId="30516" xr:uid="{AF45982E-B5F7-4B62-B90E-F0D8E3578869}"/>
    <cellStyle name="AggOrange9 4 4 65" xfId="30966" xr:uid="{5FCAC689-BACA-4635-920F-61BC7700ACBE}"/>
    <cellStyle name="AggOrange9 4 4 66" xfId="31140" xr:uid="{4A5FC649-CEA6-41A5-AF0E-748F8279F063}"/>
    <cellStyle name="AggOrange9 4 4 7" xfId="3290" xr:uid="{44D9FB08-4028-4C2C-A961-DDE44268A92F}"/>
    <cellStyle name="AggOrange9 4 4 8" xfId="3914" xr:uid="{68A0BFDC-9CDD-4EA2-9190-D9301EC2F37A}"/>
    <cellStyle name="AggOrange9 4 4 9" xfId="4352" xr:uid="{E8C4FF03-3633-4AD2-A81B-A73D23D8515E}"/>
    <cellStyle name="AggOrange9 4 40" xfId="17970" xr:uid="{A9C5D530-65B9-476F-9531-9C9C578B0AEA}"/>
    <cellStyle name="AggOrange9 4 41" xfId="18845" xr:uid="{C7130523-6320-4492-AD4D-30F4431BB7EC}"/>
    <cellStyle name="AggOrange9 4 42" xfId="18912" xr:uid="{39B10BA0-3123-48F4-A9E1-068EE1D88014}"/>
    <cellStyle name="AggOrange9 4 43" xfId="19650" xr:uid="{6FFC3A34-918B-4B0F-AEDF-7D867DF189E6}"/>
    <cellStyle name="AggOrange9 4 44" xfId="20318" xr:uid="{33466BD7-81C5-42FD-B607-2CD62410A7B7}"/>
    <cellStyle name="AggOrange9 4 45" xfId="20774" xr:uid="{8FAD9C25-94C8-4AD3-806C-F4922C25C980}"/>
    <cellStyle name="AggOrange9 4 46" xfId="19883" xr:uid="{786C9BE1-5270-47BE-A067-A092C6CBF840}"/>
    <cellStyle name="AggOrange9 4 47" xfId="21400" xr:uid="{4964CBF0-1881-41B0-B380-DD6DE19E23AE}"/>
    <cellStyle name="AggOrange9 4 48" xfId="21259" xr:uid="{23DDB7C4-6FF4-42C4-ACA2-329A421A201D}"/>
    <cellStyle name="AggOrange9 4 49" xfId="22741" xr:uid="{B47D5BD2-ECA5-47AB-9684-D8E120273775}"/>
    <cellStyle name="AggOrange9 4 5" xfId="943" xr:uid="{2697D08C-3864-47F5-8CD7-50A7CE080E92}"/>
    <cellStyle name="AggOrange9 4 50" xfId="23121" xr:uid="{15BE6040-DCE5-477C-AABB-42FCCE8FE73D}"/>
    <cellStyle name="AggOrange9 4 51" xfId="23555" xr:uid="{3FA6B080-5524-445A-BCBB-915AE98C3721}"/>
    <cellStyle name="AggOrange9 4 52" xfId="23657" xr:uid="{FDC9D598-ABD1-4416-B8D7-113E2F09D62F}"/>
    <cellStyle name="AggOrange9 4 53" xfId="24370" xr:uid="{CE7235AA-DBB9-4A50-A42C-76B39C260CA4}"/>
    <cellStyle name="AggOrange9 4 54" xfId="24207" xr:uid="{E6B32460-3955-4F99-9BD8-123535EA4C1C}"/>
    <cellStyle name="AggOrange9 4 55" xfId="25172" xr:uid="{1AA2F440-26B1-44F0-A3D1-F0CE6772F4F8}"/>
    <cellStyle name="AggOrange9 4 56" xfId="24295" xr:uid="{2EE0FB35-D8FA-42E4-BE02-C6F0B93D5E8D}"/>
    <cellStyle name="AggOrange9 4 57" xfId="26345" xr:uid="{DE53D8FF-1EA8-4AD2-B340-AED61292A97C}"/>
    <cellStyle name="AggOrange9 4 58" xfId="26710" xr:uid="{6A230D1B-CB02-4484-BB82-8FFAE92D31BC}"/>
    <cellStyle name="AggOrange9 4 59" xfId="25494" xr:uid="{B9463467-9DC4-4063-9345-13C31F6FFACC}"/>
    <cellStyle name="AggOrange9 4 6" xfId="1590" xr:uid="{6A10806A-96B6-4F38-9F87-53E02B52EC45}"/>
    <cellStyle name="AggOrange9 4 60" xfId="26379" xr:uid="{76763C4C-8BF3-4CCD-83F4-12962D6EFDC8}"/>
    <cellStyle name="AggOrange9 4 61" xfId="28141" xr:uid="{1553C4E3-5EEE-4BFB-9DBF-5A4EF5B09CA6}"/>
    <cellStyle name="AggOrange9 4 62" xfId="28015" xr:uid="{61085557-82CC-49BE-9F85-46FDB999AEDD}"/>
    <cellStyle name="AggOrange9 4 63" xfId="28052" xr:uid="{5E54EAD9-455F-4F07-B8B5-EA79E5080D16}"/>
    <cellStyle name="AggOrange9 4 64" xfId="29535" xr:uid="{A9AC7526-8877-4C69-9E5C-20210BAEE4FB}"/>
    <cellStyle name="AggOrange9 4 65" xfId="29795" xr:uid="{E936EB2F-3DEE-4070-A523-AC7F0479BB2D}"/>
    <cellStyle name="AggOrange9 4 66" xfId="28235" xr:uid="{433E2230-19F4-4B17-A73B-48E6CA0233CD}"/>
    <cellStyle name="AggOrange9 4 67" xfId="28770" xr:uid="{89821E9D-2497-462E-BE9A-633E64104E9E}"/>
    <cellStyle name="AggOrange9 4 68" xfId="28076" xr:uid="{E7F7050C-D885-4530-BD00-4BE40AEBF071}"/>
    <cellStyle name="AggOrange9 4 7" xfId="2090" xr:uid="{9F98C779-4494-4C14-94DE-852E09FA8FD9}"/>
    <cellStyle name="AggOrange9 4 8" xfId="2911" xr:uid="{C8B24781-C1FA-44DC-85A1-C38BB197E988}"/>
    <cellStyle name="AggOrange9 4 9" xfId="3612" xr:uid="{776394EF-0CEB-40D4-BCB4-971F90AD0A13}"/>
    <cellStyle name="AggOrange9 5" xfId="69" xr:uid="{FC7CD900-2D58-4E90-B9B5-2048B46E06D5}"/>
    <cellStyle name="AggOrange9 5 10" xfId="16121" xr:uid="{58C4EDEB-EEF9-4D68-87A2-03EC98F1D9A4}"/>
    <cellStyle name="AggOrange9 5 11" xfId="18354" xr:uid="{7E580E63-E973-43A8-8E08-B20EE4B5228D}"/>
    <cellStyle name="AggOrange9 5 12" xfId="19454" xr:uid="{850FBC89-297A-48B5-869B-F026F2D0C622}"/>
    <cellStyle name="AggOrange9 5 13" xfId="22363" xr:uid="{CE47602D-D3C5-43B0-9913-A886FE2E5F8F}"/>
    <cellStyle name="AggOrange9 5 14" xfId="24175" xr:uid="{985183C8-72AC-4C7F-9370-6D82E64F37C0}"/>
    <cellStyle name="AggOrange9 5 15" xfId="26134" xr:uid="{FB1D3889-DE31-4150-A329-E1FA4A05793E}"/>
    <cellStyle name="AggOrange9 5 16" xfId="27968" xr:uid="{06735F70-B4F7-4B62-AAF2-4035AB77E3F6}"/>
    <cellStyle name="AggOrange9 5 2" xfId="916" xr:uid="{E8C92826-2960-4A85-B1EB-0F51F4A151BB}"/>
    <cellStyle name="AggOrange9 5 3" xfId="1898" xr:uid="{58BDF84B-BA61-4966-919A-3B9ECA028B6E}"/>
    <cellStyle name="AggOrange9 5 4" xfId="3465" xr:uid="{08E8ECC3-C724-48B9-8447-249E64D083C7}"/>
    <cellStyle name="AggOrange9 5 5" xfId="3372" xr:uid="{D7AA9822-342B-45A2-B429-5DE41266BFDA}"/>
    <cellStyle name="AggOrange9 5 6" xfId="6810" xr:uid="{8F6DA5A3-C003-48FF-BDB1-3C6A5BA55B56}"/>
    <cellStyle name="AggOrange9 5 7" xfId="8645" xr:uid="{AFB959AB-12EB-430D-9E7E-D447609DE8D2}"/>
    <cellStyle name="AggOrange9 5 8" xfId="9024" xr:uid="{660B4413-A586-46A7-A3E3-ECB1D0A0EAB5}"/>
    <cellStyle name="AggOrange9 5 9" xfId="11429" xr:uid="{02D6C0BB-3E42-4AFD-98D9-E334C7A51A0C}"/>
    <cellStyle name="AggOrangeLB_2x" xfId="28" xr:uid="{CC991F6A-F108-4DC1-A1A4-83BD1C3785D5}"/>
    <cellStyle name="AggOrangeLBorder" xfId="30" xr:uid="{8D130D96-ED23-4673-8CFE-2D02F908505E}"/>
    <cellStyle name="AggOrangeLBorder 2" xfId="118" xr:uid="{A47EB40F-5715-43A7-9A42-54800B57DDB3}"/>
    <cellStyle name="AggOrangeLBorder 2 2" xfId="411" xr:uid="{752D987F-3B32-462D-BD06-8572576B875A}"/>
    <cellStyle name="AggOrangeLBorder 2 2 2" xfId="3714" xr:uid="{87F82221-2E80-4123-B0BD-B783CD9643F1}"/>
    <cellStyle name="AggOrangeLBorder 2 2 3" xfId="16985" xr:uid="{F5D7F3C0-7BEB-4A82-9217-B239D72CED51}"/>
    <cellStyle name="AggOrangeLBorder 2 3" xfId="269" xr:uid="{2F4F0801-1BB3-46C9-8F7A-19C3806E2C03}"/>
    <cellStyle name="AggOrangeLBorder 2 3 10" xfId="3713" xr:uid="{18D76BD4-3D4A-4529-B9AE-81A99A367ED1}"/>
    <cellStyle name="AggOrangeLBorder 2 3 11" xfId="3368" xr:uid="{D3B17B85-9546-4641-BC0F-6E09C394F902}"/>
    <cellStyle name="AggOrangeLBorder 2 3 12" xfId="3565" xr:uid="{A7297F5A-36AD-47AF-B6C9-CD6B47AB47C7}"/>
    <cellStyle name="AggOrangeLBorder 2 3 13" xfId="3145" xr:uid="{07751F24-5FA4-40FF-AC67-71F2391DE6CC}"/>
    <cellStyle name="AggOrangeLBorder 2 3 14" xfId="4709" xr:uid="{33F749A1-1D16-4417-82F8-84924BA3B33B}"/>
    <cellStyle name="AggOrangeLBorder 2 3 15" xfId="4812" xr:uid="{3EFBBD1E-13BF-4843-96A7-01062E11CED4}"/>
    <cellStyle name="AggOrangeLBorder 2 3 16" xfId="6125" xr:uid="{EE8756B8-8790-4A12-AA38-30D2F362A45B}"/>
    <cellStyle name="AggOrangeLBorder 2 3 17" xfId="2927" xr:uid="{50521C4F-A5A4-4B7C-A976-7BA13F72F3DF}"/>
    <cellStyle name="AggOrangeLBorder 2 3 18" xfId="6999" xr:uid="{C823CD1A-84C6-423E-9D63-EF13FCDB0ACE}"/>
    <cellStyle name="AggOrangeLBorder 2 3 19" xfId="7644" xr:uid="{6F097394-065B-4C3F-9946-060B5740DF4F}"/>
    <cellStyle name="AggOrangeLBorder 2 3 2" xfId="608" xr:uid="{0E4CD936-AECF-43A6-896B-FF396200207A}"/>
    <cellStyle name="AggOrangeLBorder 2 3 2 10" xfId="1950" xr:uid="{2C01D802-F67B-4268-BBA8-AE9676CFE917}"/>
    <cellStyle name="AggOrangeLBorder 2 3 2 11" xfId="5256" xr:uid="{F1B374D4-1E19-4470-A1BC-784C6F0B9941}"/>
    <cellStyle name="AggOrangeLBorder 2 3 2 12" xfId="3392" xr:uid="{D2865A5C-B864-4608-B74D-ACABDF00C584}"/>
    <cellStyle name="AggOrangeLBorder 2 3 2 13" xfId="4835" xr:uid="{E3ADEB31-F585-4976-B926-F8F4C7DCAC6C}"/>
    <cellStyle name="AggOrangeLBorder 2 3 2 14" xfId="6325" xr:uid="{6C10985E-E2F0-4E9C-AADD-E99D718F0F6F}"/>
    <cellStyle name="AggOrangeLBorder 2 3 2 15" xfId="7328" xr:uid="{8D7AEDD8-4AAD-47E7-A31C-5FC358449383}"/>
    <cellStyle name="AggOrangeLBorder 2 3 2 16" xfId="7989" xr:uid="{B484FAB1-4D87-4DC3-87BE-0A8CACE5E882}"/>
    <cellStyle name="AggOrangeLBorder 2 3 2 17" xfId="7837" xr:uid="{36946216-205D-48CA-8FD9-AF236BC94B9B}"/>
    <cellStyle name="AggOrangeLBorder 2 3 2 18" xfId="8310" xr:uid="{19D2C4F9-91EB-4B5C-A4BD-B825D7B7A80A}"/>
    <cellStyle name="AggOrangeLBorder 2 3 2 19" xfId="9542" xr:uid="{28846011-70FA-4DC3-95BB-19BB758989ED}"/>
    <cellStyle name="AggOrangeLBorder 2 3 2 2" xfId="823" xr:uid="{52003FF5-B18C-46B6-BE4F-CF4D5ECF747C}"/>
    <cellStyle name="AggOrangeLBorder 2 3 2 2 10" xfId="5471" xr:uid="{1A92A188-6F8C-4C5E-982A-98B94127B617}"/>
    <cellStyle name="AggOrangeLBorder 2 3 2 2 11" xfId="3511" xr:uid="{AF652978-5767-4F6F-917A-C30F92DB21D3}"/>
    <cellStyle name="AggOrangeLBorder 2 3 2 2 12" xfId="5805" xr:uid="{7E842AEA-C06F-422A-907C-9A42279A863A}"/>
    <cellStyle name="AggOrangeLBorder 2 3 2 2 13" xfId="6096" xr:uid="{60D64AC0-408C-40B1-8004-7A8420F3A16B}"/>
    <cellStyle name="AggOrangeLBorder 2 3 2 2 14" xfId="7543" xr:uid="{CFB6F68D-B714-491A-9143-B886D441A5D0}"/>
    <cellStyle name="AggOrangeLBorder 2 3 2 2 15" xfId="6733" xr:uid="{0F423877-126E-4871-9834-3001DF52DDCB}"/>
    <cellStyle name="AggOrangeLBorder 2 3 2 2 16" xfId="8541" xr:uid="{B6AEE28B-9CDD-4D63-9FDA-D0AA1BD4DC18}"/>
    <cellStyle name="AggOrangeLBorder 2 3 2 2 17" xfId="8454" xr:uid="{88421A33-BCEC-4488-A288-79EB44079D7C}"/>
    <cellStyle name="AggOrangeLBorder 2 3 2 2 18" xfId="9757" xr:uid="{192E6ED2-B798-42A7-8DE2-93C3471A79CF}"/>
    <cellStyle name="AggOrangeLBorder 2 3 2 2 19" xfId="9185" xr:uid="{22C07611-DD0F-4822-AD3A-BB698513A357}"/>
    <cellStyle name="AggOrangeLBorder 2 3 2 2 2" xfId="1297" xr:uid="{D14C8E9C-D9E6-4B61-A37D-243B823D58D2}"/>
    <cellStyle name="AggOrangeLBorder 2 3 2 2 20" xfId="9370" xr:uid="{13A76AD3-D826-4174-892E-04BA5B819D94}"/>
    <cellStyle name="AggOrangeLBorder 2 3 2 2 21" xfId="10593" xr:uid="{C2EA0BF3-A177-40E3-B675-B3B185BB23D8}"/>
    <cellStyle name="AggOrangeLBorder 2 3 2 2 22" xfId="10825" xr:uid="{44D73667-35A4-4725-8ACC-776DC1098457}"/>
    <cellStyle name="AggOrangeLBorder 2 3 2 2 23" xfId="12176" xr:uid="{F201EAC7-4167-4B27-A8FC-058652899619}"/>
    <cellStyle name="AggOrangeLBorder 2 3 2 2 24" xfId="12649" xr:uid="{711D4C6F-003D-4DA5-A2CC-A7E73A4AB9AE}"/>
    <cellStyle name="AggOrangeLBorder 2 3 2 2 25" xfId="13083" xr:uid="{3F08775E-1218-489A-847E-3D9853FC6628}"/>
    <cellStyle name="AggOrangeLBorder 2 3 2 2 26" xfId="13520" xr:uid="{7D0EBEB7-C2BB-4592-B707-569C25565732}"/>
    <cellStyle name="AggOrangeLBorder 2 3 2 2 27" xfId="11692" xr:uid="{B7E6B151-160A-4EAA-A668-7DE98DBD5250}"/>
    <cellStyle name="AggOrangeLBorder 2 3 2 2 28" xfId="14133" xr:uid="{C9C6D485-463D-47D4-88B9-AC3F1C1CB038}"/>
    <cellStyle name="AggOrangeLBorder 2 3 2 2 29" xfId="12752" xr:uid="{0AB1ED58-E2FF-42BE-A73D-45F19CFDAA23}"/>
    <cellStyle name="AggOrangeLBorder 2 3 2 2 3" xfId="1504" xr:uid="{E021295B-2B86-4B12-ABF7-2FE5D4A260D5}"/>
    <cellStyle name="AggOrangeLBorder 2 3 2 2 30" xfId="14530" xr:uid="{8EA75ACF-8DF4-4F19-99DE-DA931825B284}"/>
    <cellStyle name="AggOrangeLBorder 2 3 2 2 31" xfId="15711" xr:uid="{4FA7FA6C-E9CF-455A-84CD-9F06F2156CEC}"/>
    <cellStyle name="AggOrangeLBorder 2 3 2 2 32" xfId="15026" xr:uid="{AF913AE5-8869-4786-9E15-5B4B66A24346}"/>
    <cellStyle name="AggOrangeLBorder 2 3 2 2 33" xfId="16868" xr:uid="{08EDDC6B-A1B7-4DF1-B8B7-83760B311835}"/>
    <cellStyle name="AggOrangeLBorder 2 3 2 2 34" xfId="16041" xr:uid="{61234569-6D56-4DC0-95FA-E7D43C10B256}"/>
    <cellStyle name="AggOrangeLBorder 2 3 2 2 35" xfId="16476" xr:uid="{22BB5BBB-8767-4BC1-8355-E981E25F7CFD}"/>
    <cellStyle name="AggOrangeLBorder 2 3 2 2 36" xfId="17776" xr:uid="{6334DF08-7828-49E9-BEC8-8C16E317C4C7}"/>
    <cellStyle name="AggOrangeLBorder 2 3 2 2 37" xfId="18686" xr:uid="{75C192EE-F2ED-4FB7-AD8F-B4CE042035CD}"/>
    <cellStyle name="AggOrangeLBorder 2 3 2 2 38" xfId="17929" xr:uid="{8621E11B-2716-44AD-9C66-B1669591EA97}"/>
    <cellStyle name="AggOrangeLBorder 2 3 2 2 39" xfId="17031" xr:uid="{E623D2CD-3C09-471E-8131-1BE7D8862D5F}"/>
    <cellStyle name="AggOrangeLBorder 2 3 2 2 4" xfId="2645" xr:uid="{E9ACC781-E48F-4E85-87BF-E0B708C5EB09}"/>
    <cellStyle name="AggOrangeLBorder 2 3 2 2 40" xfId="20205" xr:uid="{C8CDEAA2-125D-4C17-85DD-1B56A13321F4}"/>
    <cellStyle name="AggOrangeLBorder 2 3 2 2 41" xfId="19515" xr:uid="{684FCC94-5C8A-4800-9CF9-C861B5C97A39}"/>
    <cellStyle name="AggOrangeLBorder 2 3 2 2 42" xfId="20717" xr:uid="{784BE28D-5245-4861-A442-E52296894DF2}"/>
    <cellStyle name="AggOrangeLBorder 2 3 2 2 43" xfId="20787" xr:uid="{368BEFF3-E2C1-48DD-858B-FC69123E23FC}"/>
    <cellStyle name="AggOrangeLBorder 2 3 2 2 44" xfId="21351" xr:uid="{B792DDB1-7F1F-4B19-8B9D-D62F0EDEB722}"/>
    <cellStyle name="AggOrangeLBorder 2 3 2 2 45" xfId="21981" xr:uid="{41703B95-7809-44E0-BD0D-5424AC310E52}"/>
    <cellStyle name="AggOrangeLBorder 2 3 2 2 46" xfId="22276" xr:uid="{F4520275-45D6-431E-8B74-D6EBEB8114C5}"/>
    <cellStyle name="AggOrangeLBorder 2 3 2 2 47" xfId="22159" xr:uid="{8D543EC5-4DFE-4DED-9D35-056D52AC968B}"/>
    <cellStyle name="AggOrangeLBorder 2 3 2 2 48" xfId="23350" xr:uid="{C1608A02-2F6A-4642-B207-B22BEA7B665E}"/>
    <cellStyle name="AggOrangeLBorder 2 3 2 2 49" xfId="24005" xr:uid="{68CE4042-3CB7-4B4A-A5ED-A5F2393F64F6}"/>
    <cellStyle name="AggOrangeLBorder 2 3 2 2 5" xfId="1940" xr:uid="{58C06E1A-DCF9-466A-A85B-2F1BAE0FD594}"/>
    <cellStyle name="AggOrangeLBorder 2 3 2 2 50" xfId="24913" xr:uid="{973DEA4F-D0B1-4412-99CF-34C3AF83D6E5}"/>
    <cellStyle name="AggOrangeLBorder 2 3 2 2 51" xfId="24230" xr:uid="{942E8624-E17B-4062-95D8-F536AE154DC3}"/>
    <cellStyle name="AggOrangeLBorder 2 3 2 2 52" xfId="25829" xr:uid="{6CA38409-4B67-4154-A1AD-34E47FC89149}"/>
    <cellStyle name="AggOrangeLBorder 2 3 2 2 53" xfId="24479" xr:uid="{FEEB9E4C-C8C2-4EA8-87DA-D9BECA4AFBE2}"/>
    <cellStyle name="AggOrangeLBorder 2 3 2 2 54" xfId="26648" xr:uid="{BA42100F-7015-402F-88E7-6F5A3EDC9C99}"/>
    <cellStyle name="AggOrangeLBorder 2 3 2 2 55" xfId="27117" xr:uid="{C05D4B41-46D0-4041-B91E-8A5D3621C7C1}"/>
    <cellStyle name="AggOrangeLBorder 2 3 2 2 56" xfId="27536" xr:uid="{A50B0123-507E-4AB2-B712-D4EAC9788AF9}"/>
    <cellStyle name="AggOrangeLBorder 2 3 2 2 57" xfId="26555" xr:uid="{437740A6-6D4C-455B-96ED-151D1DD2CC2F}"/>
    <cellStyle name="AggOrangeLBorder 2 3 2 2 58" xfId="28663" xr:uid="{6677FF22-9CBF-4EAD-94D1-4C73F2B2762D}"/>
    <cellStyle name="AggOrangeLBorder 2 3 2 2 59" xfId="29130" xr:uid="{A693E42F-236B-4780-9A7B-3015DDC95B2E}"/>
    <cellStyle name="AggOrangeLBorder 2 3 2 2 6" xfId="3309" xr:uid="{0D5885B4-7D57-4B9B-A99D-5546653C70E8}"/>
    <cellStyle name="AggOrangeLBorder 2 3 2 2 60" xfId="27980" xr:uid="{D8812722-8BC8-4DE0-9311-7CB8E0B044D4}"/>
    <cellStyle name="AggOrangeLBorder 2 3 2 2 61" xfId="29919" xr:uid="{412613AF-944B-4758-BFD7-82A44F14C40C}"/>
    <cellStyle name="AggOrangeLBorder 2 3 2 2 62" xfId="30325" xr:uid="{BF90DA7A-3257-4D39-82FA-F57AEEB0E92E}"/>
    <cellStyle name="AggOrangeLBorder 2 3 2 2 63" xfId="30742" xr:uid="{32107360-D686-452D-9553-4FF7E22B0264}"/>
    <cellStyle name="AggOrangeLBorder 2 3 2 2 64" xfId="31003" xr:uid="{528254A7-1CF0-4F16-8D46-4D75EBEE8B29}"/>
    <cellStyle name="AggOrangeLBorder 2 3 2 2 65" xfId="31358" xr:uid="{A5FCCF00-F7A5-4524-995A-9D6E7ECB08AF}"/>
    <cellStyle name="AggOrangeLBorder 2 3 2 2 7" xfId="4141" xr:uid="{F406F10B-690F-4B80-93AB-BDEF322B2123}"/>
    <cellStyle name="AggOrangeLBorder 2 3 2 2 8" xfId="4578" xr:uid="{FFB738E8-4A0C-4243-A067-7657291F2755}"/>
    <cellStyle name="AggOrangeLBorder 2 3 2 2 9" xfId="4918" xr:uid="{3005C9F3-6BF0-4518-9284-22825D0E9A68}"/>
    <cellStyle name="AggOrangeLBorder 2 3 2 20" xfId="10205" xr:uid="{DFB7D3B7-41DF-440F-87F1-7B1B6B24ED84}"/>
    <cellStyle name="AggOrangeLBorder 2 3 2 21" xfId="10609" xr:uid="{723F8C6A-681A-469F-9F6D-0B5530F42CAF}"/>
    <cellStyle name="AggOrangeLBorder 2 3 2 22" xfId="9164" xr:uid="{66FE6981-64B0-41A9-954D-1AC202735510}"/>
    <cellStyle name="AggOrangeLBorder 2 3 2 23" xfId="11131" xr:uid="{9320C811-55EF-4638-A236-A03C1CE62949}"/>
    <cellStyle name="AggOrangeLBorder 2 3 2 24" xfId="11961" xr:uid="{04495F5F-B88B-499C-B98D-C29E9E129B66}"/>
    <cellStyle name="AggOrangeLBorder 2 3 2 25" xfId="12434" xr:uid="{A46296D7-D715-47F2-B3F0-ACB966F71EA6}"/>
    <cellStyle name="AggOrangeLBorder 2 3 2 26" xfId="12868" xr:uid="{9348B190-3EE2-45D8-8B29-470FDF99E6C8}"/>
    <cellStyle name="AggOrangeLBorder 2 3 2 27" xfId="13305" xr:uid="{FD6C765F-F8C0-468C-9DAF-45E5497CB689}"/>
    <cellStyle name="AggOrangeLBorder 2 3 2 28" xfId="12959" xr:uid="{9C1387A8-91BC-4334-B3E3-F6C0F4D362B5}"/>
    <cellStyle name="AggOrangeLBorder 2 3 2 29" xfId="13801" xr:uid="{EC6C1B56-C060-4FF6-8F28-AAB8B16BDD98}"/>
    <cellStyle name="AggOrangeLBorder 2 3 2 3" xfId="1091" xr:uid="{FD2D35C9-A18B-40EA-A173-1E898199931D}"/>
    <cellStyle name="AggOrangeLBorder 2 3 2 30" xfId="14137" xr:uid="{8663A1FC-2F62-4308-BF62-71256A1FD2A0}"/>
    <cellStyle name="AggOrangeLBorder 2 3 2 31" xfId="14698" xr:uid="{F4F342E1-6F8E-40DF-9506-3E0BB8D79905}"/>
    <cellStyle name="AggOrangeLBorder 2 3 2 32" xfId="15687" xr:uid="{285D2D8F-0523-4E1E-A9E9-C0C3E24C62F2}"/>
    <cellStyle name="AggOrangeLBorder 2 3 2 33" xfId="15968" xr:uid="{8E79B657-50DB-4575-AD64-29A63EDE07EF}"/>
    <cellStyle name="AggOrangeLBorder 2 3 2 34" xfId="16653" xr:uid="{3CCBDD88-CC96-462A-9DA2-A49346556307}"/>
    <cellStyle name="AggOrangeLBorder 2 3 2 35" xfId="17326" xr:uid="{9DD26224-C621-4A09-BC81-ED5CF5F7D2FA}"/>
    <cellStyle name="AggOrangeLBorder 2 3 2 36" xfId="17769" xr:uid="{0122EE54-405F-4946-B1C9-01FCE2B15503}"/>
    <cellStyle name="AggOrangeLBorder 2 3 2 37" xfId="17194" xr:uid="{0C558A1C-A22C-4C2D-B34D-2383A1B31901}"/>
    <cellStyle name="AggOrangeLBorder 2 3 2 38" xfId="18471" xr:uid="{E57FFCB2-0FBA-48A7-9EB6-915AF45D3F43}"/>
    <cellStyle name="AggOrangeLBorder 2 3 2 39" xfId="18336" xr:uid="{9578DE90-A9E5-4738-AA7D-F81D252C54F7}"/>
    <cellStyle name="AggOrangeLBorder 2 3 2 4" xfId="1686" xr:uid="{B291267E-991E-4FAC-B776-FF514227F15F}"/>
    <cellStyle name="AggOrangeLBorder 2 3 2 40" xfId="19280" xr:uid="{DF258199-E3F7-4B87-A24D-DB1C70305090}"/>
    <cellStyle name="AggOrangeLBorder 2 3 2 41" xfId="19990" xr:uid="{80C8AF9F-497E-4EB7-B5BD-A8BD6AB83CB7}"/>
    <cellStyle name="AggOrangeLBorder 2 3 2 42" xfId="20677" xr:uid="{E9DAB59C-2C65-43FD-8CA9-EDFB38F69F08}"/>
    <cellStyle name="AggOrangeLBorder 2 3 2 43" xfId="21133" xr:uid="{9BE8929F-0D59-4743-A3AA-BB4342CB677A}"/>
    <cellStyle name="AggOrangeLBorder 2 3 2 44" xfId="21194" xr:uid="{0824209A-5150-4E30-80D1-A73AFCEF1B04}"/>
    <cellStyle name="AggOrangeLBorder 2 3 2 45" xfId="22065" xr:uid="{08EC2D1C-3AB3-49C4-90FC-0F10551A6203}"/>
    <cellStyle name="AggOrangeLBorder 2 3 2 46" xfId="22493" xr:uid="{6F0C420D-877E-407B-85BA-758334C6C80C}"/>
    <cellStyle name="AggOrangeLBorder 2 3 2 47" xfId="22305" xr:uid="{8BA741E7-2825-4125-BE75-707C365FDBA8}"/>
    <cellStyle name="AggOrangeLBorder 2 3 2 48" xfId="22407" xr:uid="{50A19346-E195-4F30-AF01-A8B48C4B8972}"/>
    <cellStyle name="AggOrangeLBorder 2 3 2 49" xfId="23383" xr:uid="{107BECA3-C7D1-466D-BAF7-CFEF91D94B8C}"/>
    <cellStyle name="AggOrangeLBorder 2 3 2 5" xfId="2430" xr:uid="{B13248E1-8E94-4EBF-9FE2-4BDCE1213F29}"/>
    <cellStyle name="AggOrangeLBorder 2 3 2 50" xfId="23799" xr:uid="{FA41FD57-B866-461F-BC83-8EF6501CE63B}"/>
    <cellStyle name="AggOrangeLBorder 2 3 2 51" xfId="24698" xr:uid="{AA05D4BD-3482-4EB0-B8AF-EBD1B218F9DF}"/>
    <cellStyle name="AggOrangeLBorder 2 3 2 52" xfId="25380" xr:uid="{DC1E4ACF-586B-44B9-86C4-15DA69D1C3DE}"/>
    <cellStyle name="AggOrangeLBorder 2 3 2 53" xfId="25616" xr:uid="{989916D4-14A0-4405-BE31-BA1B467BEF64}"/>
    <cellStyle name="AggOrangeLBorder 2 3 2 54" xfId="25020" xr:uid="{6D0FF96E-CCFC-4816-8C8A-91C3ADBB0211}"/>
    <cellStyle name="AggOrangeLBorder 2 3 2 55" xfId="26580" xr:uid="{A1769718-7387-4CEA-B541-965A6E5FC6A6}"/>
    <cellStyle name="AggOrangeLBorder 2 3 2 56" xfId="26906" xr:uid="{850B2C04-EE78-477F-BAFF-D2B08D959553}"/>
    <cellStyle name="AggOrangeLBorder 2 3 2 57" xfId="27325" xr:uid="{66975B47-74FC-4A27-803F-060E3AA3341F}"/>
    <cellStyle name="AggOrangeLBorder 2 3 2 58" xfId="27195" xr:uid="{7A92DD32-C294-4CDB-A42E-779E632EA731}"/>
    <cellStyle name="AggOrangeLBorder 2 3 2 59" xfId="28448" xr:uid="{D809B51D-AB29-4829-ADD6-B5845F6AF80F}"/>
    <cellStyle name="AggOrangeLBorder 2 3 2 6" xfId="1913" xr:uid="{96316375-72CC-4311-9D13-6FD875D5E94F}"/>
    <cellStyle name="AggOrangeLBorder 2 3 2 60" xfId="28916" xr:uid="{06F43657-DFC7-4C3D-98D3-8DA2C1CF77CC}"/>
    <cellStyle name="AggOrangeLBorder 2 3 2 61" xfId="29502" xr:uid="{E36B86F8-E5B4-4B90-9BA6-6B67BF5563EF}"/>
    <cellStyle name="AggOrangeLBorder 2 3 2 62" xfId="29706" xr:uid="{0A540F4C-0084-4A98-85A8-60A80A7A1174}"/>
    <cellStyle name="AggOrangeLBorder 2 3 2 63" xfId="30114" xr:uid="{02EA2249-C07D-41A4-BB4A-F30FFC6E9411}"/>
    <cellStyle name="AggOrangeLBorder 2 3 2 64" xfId="30528" xr:uid="{E62400E3-E5B0-4B85-85E4-A3DF2859F0B4}"/>
    <cellStyle name="AggOrangeLBorder 2 3 2 65" xfId="30842" xr:uid="{F8046F29-DD60-4BB4-9FBB-2AD526FCAADF}"/>
    <cellStyle name="AggOrangeLBorder 2 3 2 66" xfId="31152" xr:uid="{F96B5A2B-B336-49AD-9392-C753FA2B8CB9}"/>
    <cellStyle name="AggOrangeLBorder 2 3 2 7" xfId="3667" xr:uid="{1944EBA9-C87F-4644-96AD-69D11DF8C486}"/>
    <cellStyle name="AggOrangeLBorder 2 3 2 8" xfId="3926" xr:uid="{603F7594-6B89-4C0F-A40F-1E1D4DCA35A8}"/>
    <cellStyle name="AggOrangeLBorder 2 3 2 9" xfId="4364" xr:uid="{CD98CC9D-9CFB-40E5-8D08-BF5D9FD036B8}"/>
    <cellStyle name="AggOrangeLBorder 2 3 20" xfId="8619" xr:uid="{8E9C7856-69B6-485E-87FD-A8BE1F9C5AA7}"/>
    <cellStyle name="AggOrangeLBorder 2 3 21" xfId="8775" xr:uid="{63AAE990-61C1-4B28-B0E9-4A247F04F6F5}"/>
    <cellStyle name="AggOrangeLBorder 2 3 22" xfId="9213" xr:uid="{5BC99588-E23D-4AB9-9B56-AC6C51B0F2EA}"/>
    <cellStyle name="AggOrangeLBorder 2 3 23" xfId="9854" xr:uid="{1C73B6A0-9FF3-4867-B311-4306EB050966}"/>
    <cellStyle name="AggOrangeLBorder 2 3 24" xfId="10297" xr:uid="{127C33DF-C9ED-43B1-99D9-8863839E2D5E}"/>
    <cellStyle name="AggOrangeLBorder 2 3 25" xfId="10183" xr:uid="{480BC6D3-9006-4A42-85DE-127379B9098B}"/>
    <cellStyle name="AggOrangeLBorder 2 3 26" xfId="10996" xr:uid="{85ACA22D-E458-4E88-8C7B-427E461EAE10}"/>
    <cellStyle name="AggOrangeLBorder 2 3 27" xfId="11625" xr:uid="{0B968416-01DB-4643-91CF-D3EA0D0C4BBE}"/>
    <cellStyle name="AggOrangeLBorder 2 3 28" xfId="12048" xr:uid="{B527C691-8490-4056-A588-B4BAC4A3D4A4}"/>
    <cellStyle name="AggOrangeLBorder 2 3 29" xfId="11795" xr:uid="{B6ED0FC2-C680-40DC-9F0F-7E411167168C}"/>
    <cellStyle name="AggOrangeLBorder 2 3 3" xfId="548" xr:uid="{D1E2162A-7FF6-4CE4-BD94-180E233BD522}"/>
    <cellStyle name="AggOrangeLBorder 2 3 3 10" xfId="3070" xr:uid="{00E02270-0509-4AF7-B945-C16EA105D5D7}"/>
    <cellStyle name="AggOrangeLBorder 2 3 3 11" xfId="5196" xr:uid="{87464E6A-06DF-4022-9B38-EFCF5826F8FB}"/>
    <cellStyle name="AggOrangeLBorder 2 3 3 12" xfId="5966" xr:uid="{0FD61E85-E807-4D9C-9519-263B0E47C886}"/>
    <cellStyle name="AggOrangeLBorder 2 3 3 13" xfId="6037" xr:uid="{300CFBAC-0180-4AC3-A1B5-E06D506EB5DD}"/>
    <cellStyle name="AggOrangeLBorder 2 3 3 14" xfId="5600" xr:uid="{DCD62C81-EB1E-44D2-B0CC-5450CFBB37D7}"/>
    <cellStyle name="AggOrangeLBorder 2 3 3 15" xfId="7268" xr:uid="{406404D6-0CD1-43F4-8CF3-B037DF42A4BA}"/>
    <cellStyle name="AggOrangeLBorder 2 3 3 16" xfId="6937" xr:uid="{011F7E8E-B47E-4489-88CA-596F682E08FC}"/>
    <cellStyle name="AggOrangeLBorder 2 3 3 17" xfId="8441" xr:uid="{71007B0A-B5F9-4E98-86F2-21A7AFB326DB}"/>
    <cellStyle name="AggOrangeLBorder 2 3 3 18" xfId="8824" xr:uid="{D9171D1C-A084-4997-819B-378BD68EFBFB}"/>
    <cellStyle name="AggOrangeLBorder 2 3 3 19" xfId="9482" xr:uid="{F4AFC65E-348E-4F37-BCAF-1074CE662C13}"/>
    <cellStyle name="AggOrangeLBorder 2 3 3 2" xfId="763" xr:uid="{E1F57CBC-41A0-4F52-BF25-9613FA7A8CA9}"/>
    <cellStyle name="AggOrangeLBorder 2 3 3 2 10" xfId="5411" xr:uid="{2723EE51-C975-4E45-9F96-83276C66AEC9}"/>
    <cellStyle name="AggOrangeLBorder 2 3 3 2 11" xfId="3697" xr:uid="{164C2502-AE88-45A9-9639-25D63D695145}"/>
    <cellStyle name="AggOrangeLBorder 2 3 3 2 12" xfId="5007" xr:uid="{98DD45A9-D992-4FC8-815B-B0718403960C}"/>
    <cellStyle name="AggOrangeLBorder 2 3 3 2 13" xfId="6616" xr:uid="{2654C85C-D0F6-4ED9-9B5E-EB267FEEC6B9}"/>
    <cellStyle name="AggOrangeLBorder 2 3 3 2 14" xfId="7483" xr:uid="{1D33B92A-2F2C-47FD-8C8B-4400C361206A}"/>
    <cellStyle name="AggOrangeLBorder 2 3 3 2 15" xfId="7196" xr:uid="{44620CF1-9372-4961-95F8-8A08EF3D6659}"/>
    <cellStyle name="AggOrangeLBorder 2 3 3 2 16" xfId="7182" xr:uid="{1B88333A-1CAB-4335-89B9-366606F9090C}"/>
    <cellStyle name="AggOrangeLBorder 2 3 3 2 17" xfId="8795" xr:uid="{E6B7010C-F878-4B64-8E26-DC9A0A93DF00}"/>
    <cellStyle name="AggOrangeLBorder 2 3 3 2 18" xfId="9697" xr:uid="{56CCB37D-16AF-4E3F-A26B-609E46624CE0}"/>
    <cellStyle name="AggOrangeLBorder 2 3 3 2 19" xfId="9409" xr:uid="{888C529B-840E-4D03-A201-D9F23467FC7B}"/>
    <cellStyle name="AggOrangeLBorder 2 3 3 2 2" xfId="1237" xr:uid="{48636564-C995-4C07-B210-205DCBA081CC}"/>
    <cellStyle name="AggOrangeLBorder 2 3 3 2 20" xfId="10060" xr:uid="{39435BF9-40EB-4877-B610-D943C6D124C9}"/>
    <cellStyle name="AggOrangeLBorder 2 3 3 2 21" xfId="10531" xr:uid="{47CA45B4-FD7B-4010-BF31-A120F6A2FC36}"/>
    <cellStyle name="AggOrangeLBorder 2 3 3 2 22" xfId="9295" xr:uid="{9029934E-4231-4047-BB5C-670F4B5F9B15}"/>
    <cellStyle name="AggOrangeLBorder 2 3 3 2 23" xfId="12116" xr:uid="{AFE092AB-20BC-4041-8EA8-13402C10A545}"/>
    <cellStyle name="AggOrangeLBorder 2 3 3 2 24" xfId="12589" xr:uid="{CDAF20C5-0B51-4514-963C-13E196708232}"/>
    <cellStyle name="AggOrangeLBorder 2 3 3 2 25" xfId="13023" xr:uid="{DB9E5ABC-68F8-4600-9363-6A63600AA599}"/>
    <cellStyle name="AggOrangeLBorder 2 3 3 2 26" xfId="13460" xr:uid="{AEAE2605-AB5B-497E-8D24-47FDB912EA9C}"/>
    <cellStyle name="AggOrangeLBorder 2 3 3 2 27" xfId="11461" xr:uid="{B1872EAE-3A44-4A51-BA3E-2730D4E4B302}"/>
    <cellStyle name="AggOrangeLBorder 2 3 3 2 28" xfId="11688" xr:uid="{49C5D9D5-7D6B-4DEA-AED4-E7B1BF198BA8}"/>
    <cellStyle name="AggOrangeLBorder 2 3 3 2 29" xfId="14268" xr:uid="{CCD63BD2-B537-4C86-B34D-E336324D8FE1}"/>
    <cellStyle name="AggOrangeLBorder 2 3 3 2 3" xfId="1622" xr:uid="{282E61BA-8A82-46DB-AC38-FFB3E01126C8}"/>
    <cellStyle name="AggOrangeLBorder 2 3 3 2 30" xfId="15235" xr:uid="{808D0634-713B-481C-9ACC-C83474AB44F9}"/>
    <cellStyle name="AggOrangeLBorder 2 3 3 2 31" xfId="15504" xr:uid="{CBFE39BF-AEF4-4932-B0E4-4959D8411BE6}"/>
    <cellStyle name="AggOrangeLBorder 2 3 3 2 32" xfId="15333" xr:uid="{88BC8945-599F-497C-9BDF-32E9B0A90377}"/>
    <cellStyle name="AggOrangeLBorder 2 3 3 2 33" xfId="16808" xr:uid="{2CB2F54B-DA12-46BB-98BC-83C875D15A2E}"/>
    <cellStyle name="AggOrangeLBorder 2 3 3 2 34" xfId="16518" xr:uid="{86698F12-4C25-422E-8E64-AF8ACE9CDC36}"/>
    <cellStyle name="AggOrangeLBorder 2 3 3 2 35" xfId="17178" xr:uid="{0D3064E3-585B-42DC-8014-E0FE94457C16}"/>
    <cellStyle name="AggOrangeLBorder 2 3 3 2 36" xfId="17985" xr:uid="{08B93F2F-1848-4B0B-97E3-286FB6CC30FD}"/>
    <cellStyle name="AggOrangeLBorder 2 3 3 2 37" xfId="18626" xr:uid="{41784CFF-EE3F-4FC1-B21E-0F9F8F9FDE6D}"/>
    <cellStyle name="AggOrangeLBorder 2 3 3 2 38" xfId="18926" xr:uid="{3B017034-8FE1-4AF7-9E7D-1BEE86809F83}"/>
    <cellStyle name="AggOrangeLBorder 2 3 3 2 39" xfId="17284" xr:uid="{CD996BB2-ECEC-4C9A-8C18-4A9395060F02}"/>
    <cellStyle name="AggOrangeLBorder 2 3 3 2 4" xfId="2585" xr:uid="{19462BB2-BF3D-4C61-BAD7-43D924516F94}"/>
    <cellStyle name="AggOrangeLBorder 2 3 3 2 40" xfId="20145" xr:uid="{3B056778-F9C0-4C19-916C-D8F7CB427653}"/>
    <cellStyle name="AggOrangeLBorder 2 3 3 2 41" xfId="19854" xr:uid="{8A7D41E4-B356-4544-B413-CD92D8A8F904}"/>
    <cellStyle name="AggOrangeLBorder 2 3 3 2 42" xfId="20372" xr:uid="{08E8E963-1033-4517-977F-3446EEF57E11}"/>
    <cellStyle name="AggOrangeLBorder 2 3 3 2 43" xfId="21537" xr:uid="{096EEF62-DAA8-450A-8B91-A63F7CAB865F}"/>
    <cellStyle name="AggOrangeLBorder 2 3 3 2 44" xfId="21229" xr:uid="{C2A2C23B-34BD-4E2E-AA9C-FA7DDFAEBAC8}"/>
    <cellStyle name="AggOrangeLBorder 2 3 3 2 45" xfId="21999" xr:uid="{0B6D42F8-E37E-4848-9003-2AD8CC227ECB}"/>
    <cellStyle name="AggOrangeLBorder 2 3 3 2 46" xfId="22296" xr:uid="{D83524E3-EA37-4B78-B336-2D9767DC170F}"/>
    <cellStyle name="AggOrangeLBorder 2 3 3 2 47" xfId="23211" xr:uid="{B6557A08-5054-4101-9EA9-8A66EBB36607}"/>
    <cellStyle name="AggOrangeLBorder 2 3 3 2 48" xfId="22451" xr:uid="{AACED697-45CF-438D-9D15-E43AE3848BE6}"/>
    <cellStyle name="AggOrangeLBorder 2 3 3 2 49" xfId="23945" xr:uid="{4DA3888C-8692-4956-9FF0-E52C4F718D5E}"/>
    <cellStyle name="AggOrangeLBorder 2 3 3 2 5" xfId="2003" xr:uid="{58BF26CA-0322-4A9B-854C-5C087C25A25E}"/>
    <cellStyle name="AggOrangeLBorder 2 3 3 2 50" xfId="24853" xr:uid="{27D1BB06-2E6D-4271-9F78-64176109B6AF}"/>
    <cellStyle name="AggOrangeLBorder 2 3 3 2 51" xfId="24519" xr:uid="{9172506C-A6FC-4AC0-A049-1A631CB58079}"/>
    <cellStyle name="AggOrangeLBorder 2 3 3 2 52" xfId="25769" xr:uid="{40DEE200-223E-449F-8E02-4704B7E83143}"/>
    <cellStyle name="AggOrangeLBorder 2 3 3 2 53" xfId="25203" xr:uid="{84431598-E84A-43A3-A2C7-1D9946DF4325}"/>
    <cellStyle name="AggOrangeLBorder 2 3 3 2 54" xfId="26638" xr:uid="{80A83614-9E7D-446B-9D88-81A17C46BD89}"/>
    <cellStyle name="AggOrangeLBorder 2 3 3 2 55" xfId="27057" xr:uid="{4C72C888-F7FE-41A1-A1F1-70348BE34139}"/>
    <cellStyle name="AggOrangeLBorder 2 3 3 2 56" xfId="27476" xr:uid="{DCBE08B3-BA44-4515-809F-59E0F0CB25F5}"/>
    <cellStyle name="AggOrangeLBorder 2 3 3 2 57" xfId="26218" xr:uid="{AB9D3FCA-4C04-497B-A92B-35E25E4DA849}"/>
    <cellStyle name="AggOrangeLBorder 2 3 3 2 58" xfId="28603" xr:uid="{B3852CB2-CF09-449D-A5B4-B47B9BC39817}"/>
    <cellStyle name="AggOrangeLBorder 2 3 3 2 59" xfId="29070" xr:uid="{823A2E9F-6566-444C-A24D-B1FB28788481}"/>
    <cellStyle name="AggOrangeLBorder 2 3 3 2 6" xfId="2717" xr:uid="{87413ABD-5815-405D-A4C4-10AF2E3765D0}"/>
    <cellStyle name="AggOrangeLBorder 2 3 3 2 60" xfId="28789" xr:uid="{046A5F16-31FF-4A0B-92B2-A2F1D59F79A7}"/>
    <cellStyle name="AggOrangeLBorder 2 3 3 2 61" xfId="29859" xr:uid="{CA5B019C-958B-4CFB-ABCE-25D140D62013}"/>
    <cellStyle name="AggOrangeLBorder 2 3 3 2 62" xfId="30265" xr:uid="{F6B85BA7-FF38-4D54-93EE-FE5AB85B2003}"/>
    <cellStyle name="AggOrangeLBorder 2 3 3 2 63" xfId="30682" xr:uid="{08129830-62A0-486B-8A7F-AFBC670F2319}"/>
    <cellStyle name="AggOrangeLBorder 2 3 3 2 64" xfId="28740" xr:uid="{D2519938-8686-417A-8CC2-77C4F17696E0}"/>
    <cellStyle name="AggOrangeLBorder 2 3 3 2 65" xfId="31298" xr:uid="{F7664949-8B87-4FC9-8BE9-0E03CD63967E}"/>
    <cellStyle name="AggOrangeLBorder 2 3 3 2 7" xfId="4081" xr:uid="{2613D0A3-148D-41CC-83D9-E23F0D308043}"/>
    <cellStyle name="AggOrangeLBorder 2 3 3 2 8" xfId="4518" xr:uid="{C6353920-BCA3-4A93-A6E4-D3F815D9E5E7}"/>
    <cellStyle name="AggOrangeLBorder 2 3 3 2 9" xfId="3238" xr:uid="{397E2184-A4FE-4D8F-B153-F9F33ABDC3E6}"/>
    <cellStyle name="AggOrangeLBorder 2 3 3 20" xfId="8951" xr:uid="{CED19DDB-E17C-4E6C-BA5D-6E57D42C8235}"/>
    <cellStyle name="AggOrangeLBorder 2 3 3 21" xfId="9403" xr:uid="{456F2C1E-A7C4-4554-853D-D3104DB472AC}"/>
    <cellStyle name="AggOrangeLBorder 2 3 3 22" xfId="10385" xr:uid="{781D8776-597D-44A0-B051-B8EAD939255E}"/>
    <cellStyle name="AggOrangeLBorder 2 3 3 23" xfId="11061" xr:uid="{584F3FD0-8DEF-44B0-8ABD-31A9F70227FE}"/>
    <cellStyle name="AggOrangeLBorder 2 3 3 24" xfId="11901" xr:uid="{2C9985E3-FF7F-4E35-A440-590E4B8EE20E}"/>
    <cellStyle name="AggOrangeLBorder 2 3 3 25" xfId="12374" xr:uid="{3DBB5282-FEAA-4ABC-A309-3A8802333D09}"/>
    <cellStyle name="AggOrangeLBorder 2 3 3 26" xfId="12808" xr:uid="{41906F99-B950-4F51-96B6-BB5F773AFE7C}"/>
    <cellStyle name="AggOrangeLBorder 2 3 3 27" xfId="13245" xr:uid="{A2BEAFB8-185A-4678-9707-8912F384861F}"/>
    <cellStyle name="AggOrangeLBorder 2 3 3 28" xfId="13164" xr:uid="{A2324AD3-3BD4-4428-9D49-94E9B25D39A3}"/>
    <cellStyle name="AggOrangeLBorder 2 3 3 29" xfId="14294" xr:uid="{ED20DF77-F57D-4177-8CD3-0041290E8DE7}"/>
    <cellStyle name="AggOrangeLBorder 2 3 3 3" xfId="1031" xr:uid="{0C5A87E3-983B-4B46-BC75-91ECFCC96474}"/>
    <cellStyle name="AggOrangeLBorder 2 3 3 30" xfId="12755" xr:uid="{95418C05-DE90-4A4E-92DE-15A36E8B0C7F}"/>
    <cellStyle name="AggOrangeLBorder 2 3 3 31" xfId="15172" xr:uid="{5D6A5BBE-688B-456D-9D75-092DF0AA3DD8}"/>
    <cellStyle name="AggOrangeLBorder 2 3 3 32" xfId="15743" xr:uid="{3303BDD5-0C87-4B97-9EAE-7CC0B32B769C}"/>
    <cellStyle name="AggOrangeLBorder 2 3 3 33" xfId="13743" xr:uid="{9F823B7A-AC6E-4D92-9844-32BD0A85D10F}"/>
    <cellStyle name="AggOrangeLBorder 2 3 3 34" xfId="16593" xr:uid="{C4A97C87-C4BD-4018-B970-DE715C60DC99}"/>
    <cellStyle name="AggOrangeLBorder 2 3 3 35" xfId="16255" xr:uid="{C9BA0AA6-A5CE-498E-9305-AA81357179B9}"/>
    <cellStyle name="AggOrangeLBorder 2 3 3 36" xfId="17136" xr:uid="{3CC745ED-765B-4078-A73F-825F4E036832}"/>
    <cellStyle name="AggOrangeLBorder 2 3 3 37" xfId="17719" xr:uid="{45BB0B61-AD57-4A77-834C-514CAC4D58BB}"/>
    <cellStyle name="AggOrangeLBorder 2 3 3 38" xfId="18411" xr:uid="{DD8104CE-1693-42C0-B88C-A9F195D778BD}"/>
    <cellStyle name="AggOrangeLBorder 2 3 3 39" xfId="18963" xr:uid="{6616AE0F-2860-4BEB-803D-8B0137F67EA5}"/>
    <cellStyle name="AggOrangeLBorder 2 3 3 4" xfId="1458" xr:uid="{CA7B6A29-2B53-40B3-AF78-1BED0786D9CE}"/>
    <cellStyle name="AggOrangeLBorder 2 3 3 40" xfId="19034" xr:uid="{E51C6E3E-547F-4455-BF51-E1278A744017}"/>
    <cellStyle name="AggOrangeLBorder 2 3 3 41" xfId="19930" xr:uid="{C81BC6E5-2631-463E-828A-6EAB4024B973}"/>
    <cellStyle name="AggOrangeLBorder 2 3 3 42" xfId="19585" xr:uid="{0CB55C6C-F097-4E0B-AD97-40201FF3D2E0}"/>
    <cellStyle name="AggOrangeLBorder 2 3 3 43" xfId="20694" xr:uid="{9AC4A521-EF8D-4A11-B88D-D063DF2BC789}"/>
    <cellStyle name="AggOrangeLBorder 2 3 3 44" xfId="21036" xr:uid="{C64E01E3-0CF0-44E1-A566-FB6A1ABC81D4}"/>
    <cellStyle name="AggOrangeLBorder 2 3 3 45" xfId="20797" xr:uid="{0E8CFB07-32ED-4509-A1F9-1B2350EE68FE}"/>
    <cellStyle name="AggOrangeLBorder 2 3 3 46" xfId="21499" xr:uid="{8F8811D6-F393-4ED5-92F8-32F6BA72148C}"/>
    <cellStyle name="AggOrangeLBorder 2 3 3 47" xfId="20532" xr:uid="{4714C392-45B3-4458-8BC8-A72E32093E48}"/>
    <cellStyle name="AggOrangeLBorder 2 3 3 48" xfId="23251" xr:uid="{B6946915-ACAB-4580-9529-8646E1122E9E}"/>
    <cellStyle name="AggOrangeLBorder 2 3 3 49" xfId="23543" xr:uid="{42A0C7B7-732A-43DC-8407-EFCA9AF75DEE}"/>
    <cellStyle name="AggOrangeLBorder 2 3 3 5" xfId="2370" xr:uid="{89C47AC0-C05F-4E7B-9AF3-A52D4EBC5964}"/>
    <cellStyle name="AggOrangeLBorder 2 3 3 50" xfId="23739" xr:uid="{8F268BB7-6984-4222-9791-7B24381E8B3E}"/>
    <cellStyle name="AggOrangeLBorder 2 3 3 51" xfId="24638" xr:uid="{2D089D09-CC49-4FA6-99C9-3B2C3B60E201}"/>
    <cellStyle name="AggOrangeLBorder 2 3 3 52" xfId="24350" xr:uid="{D86A445B-69E0-493C-865D-993293945E88}"/>
    <cellStyle name="AggOrangeLBorder 2 3 3 53" xfId="25556" xr:uid="{E7C24975-25F4-445D-977C-A644F04C2527}"/>
    <cellStyle name="AggOrangeLBorder 2 3 3 54" xfId="25125" xr:uid="{F62792E2-11C7-4496-BC1D-223CA6D59288}"/>
    <cellStyle name="AggOrangeLBorder 2 3 3 55" xfId="25912" xr:uid="{35BAE2B0-C4D2-41B4-83E6-E5393629C73A}"/>
    <cellStyle name="AggOrangeLBorder 2 3 3 56" xfId="26846" xr:uid="{E4C0575B-9701-4440-8043-4D23EAC49C31}"/>
    <cellStyle name="AggOrangeLBorder 2 3 3 57" xfId="27265" xr:uid="{CBE72F08-DA9A-4E4D-BCDC-F6EA947ECA9E}"/>
    <cellStyle name="AggOrangeLBorder 2 3 3 58" xfId="26680" xr:uid="{F0DE39A3-B9C8-49A5-A73D-F3E8031D6F29}"/>
    <cellStyle name="AggOrangeLBorder 2 3 3 59" xfId="28388" xr:uid="{25C5E8C5-9FA0-4D4F-9BA8-0B7A3A431AEA}"/>
    <cellStyle name="AggOrangeLBorder 2 3 3 6" xfId="2124" xr:uid="{F379B1CF-317F-4723-B92A-59E483734B29}"/>
    <cellStyle name="AggOrangeLBorder 2 3 3 60" xfId="28856" xr:uid="{3E963514-F2FD-4267-A880-F7E742EDF4E8}"/>
    <cellStyle name="AggOrangeLBorder 2 3 3 61" xfId="27984" xr:uid="{1324F23F-1D43-42A5-B012-C48EA8A29DDF}"/>
    <cellStyle name="AggOrangeLBorder 2 3 3 62" xfId="29646" xr:uid="{05C1FB46-EF2A-4C05-B9D8-7B95040BDECA}"/>
    <cellStyle name="AggOrangeLBorder 2 3 3 63" xfId="30054" xr:uid="{D78392AF-FE3E-4997-AC6F-7F1A9D2DA3B7}"/>
    <cellStyle name="AggOrangeLBorder 2 3 3 64" xfId="30468" xr:uid="{C88701FE-62A3-42F6-ABD2-B4641D932078}"/>
    <cellStyle name="AggOrangeLBorder 2 3 3 65" xfId="30838" xr:uid="{C4E1AD95-2106-4F66-A1F2-1B33521BD588}"/>
    <cellStyle name="AggOrangeLBorder 2 3 3 66" xfId="31092" xr:uid="{D861B222-021E-46D2-AFBC-60BF1D1A4B30}"/>
    <cellStyle name="AggOrangeLBorder 2 3 3 7" xfId="3193" xr:uid="{F0D18B7E-F989-40B1-8C3A-53B45605F407}"/>
    <cellStyle name="AggOrangeLBorder 2 3 3 8" xfId="3866" xr:uid="{5C70D69F-D234-4AD5-A3E1-768190233A64}"/>
    <cellStyle name="AggOrangeLBorder 2 3 3 9" xfId="4304" xr:uid="{FDE0D09B-344A-4092-80C0-47C5D22DDB1E}"/>
    <cellStyle name="AggOrangeLBorder 2 3 30" xfId="11854" xr:uid="{16746FD5-D423-48C2-831E-919D0728C6CE}"/>
    <cellStyle name="AggOrangeLBorder 2 3 31" xfId="13956" xr:uid="{6BD0459B-B4DD-47E1-8644-3174A0728E72}"/>
    <cellStyle name="AggOrangeLBorder 2 3 32" xfId="14020" xr:uid="{DA7A523C-9C4D-44FE-8CDD-76B0B5B834E8}"/>
    <cellStyle name="AggOrangeLBorder 2 3 33" xfId="13813" xr:uid="{1CA45A4D-8E9C-4D8B-A5A4-F6D74B537570}"/>
    <cellStyle name="AggOrangeLBorder 2 3 34" xfId="15086" xr:uid="{14F539EC-99F9-48A5-B458-FE69825B8C14}"/>
    <cellStyle name="AggOrangeLBorder 2 3 35" xfId="15449" xr:uid="{97D46526-A911-4CF0-9170-E67DF8C9C549}"/>
    <cellStyle name="AggOrangeLBorder 2 3 36" xfId="15719" xr:uid="{1888FCD3-84F8-480F-BD9E-B3E928C2A432}"/>
    <cellStyle name="AggOrangeLBorder 2 3 37" xfId="16320" xr:uid="{DAD82A91-0C64-486C-A496-27C6F1A36EB8}"/>
    <cellStyle name="AggOrangeLBorder 2 3 38" xfId="16970" xr:uid="{8DC61788-503B-4787-BE6A-7478ED313E7B}"/>
    <cellStyle name="AggOrangeLBorder 2 3 39" xfId="17421" xr:uid="{2879A09E-DC3F-490B-80B1-0709BEF19146}"/>
    <cellStyle name="AggOrangeLBorder 2 3 4" xfId="574" xr:uid="{A953E283-BF29-4FC5-AF9A-C44235210B41}"/>
    <cellStyle name="AggOrangeLBorder 2 3 4 10" xfId="3411" xr:uid="{3FE59C66-1B8D-4199-967F-76475DA2B5C7}"/>
    <cellStyle name="AggOrangeLBorder 2 3 4 11" xfId="5222" xr:uid="{F02A5023-D5B4-4806-85EA-475DB18BFFB4}"/>
    <cellStyle name="AggOrangeLBorder 2 3 4 12" xfId="3398" xr:uid="{EC6C4C4E-C850-479F-818F-9BFC0E4D879F}"/>
    <cellStyle name="AggOrangeLBorder 2 3 4 13" xfId="6273" xr:uid="{CBFA2F05-43F7-486B-B4E9-DF355440B844}"/>
    <cellStyle name="AggOrangeLBorder 2 3 4 14" xfId="6079" xr:uid="{A90B277A-32AE-4553-BE39-B4322B5427BD}"/>
    <cellStyle name="AggOrangeLBorder 2 3 4 15" xfId="7294" xr:uid="{7B762EFF-9974-4B40-BF2D-EB7300ABA32C}"/>
    <cellStyle name="AggOrangeLBorder 2 3 4 16" xfId="7189" xr:uid="{50C262DF-F549-42E2-8A71-17EBF02D0DAD}"/>
    <cellStyle name="AggOrangeLBorder 2 3 4 17" xfId="7669" xr:uid="{49C89806-F391-44CE-B4DD-12FE9397D50A}"/>
    <cellStyle name="AggOrangeLBorder 2 3 4 18" xfId="8725" xr:uid="{460F19D8-E7C1-4C92-8BDE-E0C3776F3720}"/>
    <cellStyle name="AggOrangeLBorder 2 3 4 19" xfId="9508" xr:uid="{D6F0FB04-2433-43AB-8F7F-442EB9D4D42D}"/>
    <cellStyle name="AggOrangeLBorder 2 3 4 2" xfId="789" xr:uid="{4E91DA4B-45E7-4F4A-83DD-F07402C3DF5F}"/>
    <cellStyle name="AggOrangeLBorder 2 3 4 2 10" xfId="5437" xr:uid="{C6905274-2527-4C0E-952A-00336213F227}"/>
    <cellStyle name="AggOrangeLBorder 2 3 4 2 11" xfId="3233" xr:uid="{5C50F7EA-E7A5-4D7B-9853-5E8AD4891842}"/>
    <cellStyle name="AggOrangeLBorder 2 3 4 2 12" xfId="4693" xr:uid="{05D4D1DD-325F-46ED-97F1-499D8156B4F9}"/>
    <cellStyle name="AggOrangeLBorder 2 3 4 2 13" xfId="6208" xr:uid="{8C3E2847-9DEE-468C-9DC9-BBF140412E4F}"/>
    <cellStyle name="AggOrangeLBorder 2 3 4 2 14" xfId="7509" xr:uid="{2AC55DBB-83AC-40E6-A999-B0E1D144B6C6}"/>
    <cellStyle name="AggOrangeLBorder 2 3 4 2 15" xfId="6957" xr:uid="{0326343B-355E-483A-9562-97D1246394DA}"/>
    <cellStyle name="AggOrangeLBorder 2 3 4 2 16" xfId="7757" xr:uid="{1E2F5D0B-DCFF-4F17-B76B-451A46548FEE}"/>
    <cellStyle name="AggOrangeLBorder 2 3 4 2 17" xfId="8771" xr:uid="{E37C1884-948F-487D-98EC-3B6CB2E186B0}"/>
    <cellStyle name="AggOrangeLBorder 2 3 4 2 18" xfId="9723" xr:uid="{EE3F38CE-7240-4882-B94F-7ACA336EA2D6}"/>
    <cellStyle name="AggOrangeLBorder 2 3 4 2 19" xfId="9309" xr:uid="{D35D223D-7EAA-4F32-BBCA-47A44ED3D005}"/>
    <cellStyle name="AggOrangeLBorder 2 3 4 2 2" xfId="1263" xr:uid="{169AD3A1-A1D3-4097-94B9-E5656E37BBBF}"/>
    <cellStyle name="AggOrangeLBorder 2 3 4 2 20" xfId="9117" xr:uid="{075F80AF-D20C-442E-8823-79DD11E716BD}"/>
    <cellStyle name="AggOrangeLBorder 2 3 4 2 21" xfId="10336" xr:uid="{DEC1876E-096B-45D8-BDAB-DB5E65A86357}"/>
    <cellStyle name="AggOrangeLBorder 2 3 4 2 22" xfId="10740" xr:uid="{2F64E0A8-6875-404A-AE53-039E8376AB1C}"/>
    <cellStyle name="AggOrangeLBorder 2 3 4 2 23" xfId="12142" xr:uid="{FFC6C778-5C7F-4ED9-AE46-CCD0DDC0ADFB}"/>
    <cellStyle name="AggOrangeLBorder 2 3 4 2 24" xfId="12615" xr:uid="{1AC5A5A5-1EE5-46B2-9E5C-BA7E99716AD2}"/>
    <cellStyle name="AggOrangeLBorder 2 3 4 2 25" xfId="13049" xr:uid="{28D9AE75-2D04-4545-B5D9-20FDDBD10539}"/>
    <cellStyle name="AggOrangeLBorder 2 3 4 2 26" xfId="13486" xr:uid="{65CEE84B-2D47-4FF2-B6BC-43AD4D140CE1}"/>
    <cellStyle name="AggOrangeLBorder 2 3 4 2 27" xfId="11648" xr:uid="{020560AB-4654-4645-BD55-4C3C06B56E90}"/>
    <cellStyle name="AggOrangeLBorder 2 3 4 2 28" xfId="11439" xr:uid="{26C70013-E436-452E-BD75-0363EE127D38}"/>
    <cellStyle name="AggOrangeLBorder 2 3 4 2 29" xfId="14352" xr:uid="{0673BC7C-5898-48F8-B952-5DA0CD74A461}"/>
    <cellStyle name="AggOrangeLBorder 2 3 4 2 3" xfId="1560" xr:uid="{8BF15D64-F85A-46EA-A1E8-120A144CCBA4}"/>
    <cellStyle name="AggOrangeLBorder 2 3 4 2 30" xfId="13654" xr:uid="{45C5CB07-B3E3-4335-B626-297BE4A0B100}"/>
    <cellStyle name="AggOrangeLBorder 2 3 4 2 31" xfId="15153" xr:uid="{9F9F85D6-C0A8-43D7-8145-02C8B02318D4}"/>
    <cellStyle name="AggOrangeLBorder 2 3 4 2 32" xfId="15586" xr:uid="{95359339-0376-4E48-8EF0-78DC0A31ED90}"/>
    <cellStyle name="AggOrangeLBorder 2 3 4 2 33" xfId="16834" xr:uid="{2E882CF5-8721-4C7D-ADA8-3B483D17C4BA}"/>
    <cellStyle name="AggOrangeLBorder 2 3 4 2 34" xfId="16276" xr:uid="{C575F71C-3797-4FCA-A7DB-674FC784107C}"/>
    <cellStyle name="AggOrangeLBorder 2 3 4 2 35" xfId="16221" xr:uid="{AE215BEB-1FD0-4BCD-B973-DE572C0F4913}"/>
    <cellStyle name="AggOrangeLBorder 2 3 4 2 36" xfId="18184" xr:uid="{9B857165-3016-4D21-B12C-BA1CD3F653E4}"/>
    <cellStyle name="AggOrangeLBorder 2 3 4 2 37" xfId="18652" xr:uid="{6843F47E-A1A4-4297-97F1-417F13031F3C}"/>
    <cellStyle name="AggOrangeLBorder 2 3 4 2 38" xfId="18917" xr:uid="{465F9D1B-130A-40F9-971D-053BC7A66024}"/>
    <cellStyle name="AggOrangeLBorder 2 3 4 2 39" xfId="18075" xr:uid="{D2F4B807-6575-4E19-8E94-89EA1CB58A15}"/>
    <cellStyle name="AggOrangeLBorder 2 3 4 2 4" xfId="2611" xr:uid="{00945495-A3AD-4068-84DB-94CBA47475B9}"/>
    <cellStyle name="AggOrangeLBorder 2 3 4 2 40" xfId="20171" xr:uid="{7836A94D-FAC0-4813-A988-B02F8A207844}"/>
    <cellStyle name="AggOrangeLBorder 2 3 4 2 41" xfId="19511" xr:uid="{7C455DCC-62D2-4156-A3AE-4C7110F654F2}"/>
    <cellStyle name="AggOrangeLBorder 2 3 4 2 42" xfId="20766" xr:uid="{64CBAB73-AFD5-4A39-AACD-38CDDB277426}"/>
    <cellStyle name="AggOrangeLBorder 2 3 4 2 43" xfId="21456" xr:uid="{6090004D-2895-4361-A5BD-5E51CF7EFCF6}"/>
    <cellStyle name="AggOrangeLBorder 2 3 4 2 44" xfId="20963" xr:uid="{F84CAF29-17A9-4E4B-ABB7-CFAE76225A1F}"/>
    <cellStyle name="AggOrangeLBorder 2 3 4 2 45" xfId="19603" xr:uid="{FA384106-5B27-421F-A677-45AD7EEAF9CD}"/>
    <cellStyle name="AggOrangeLBorder 2 3 4 2 46" xfId="22304" xr:uid="{CA88F9E0-4DC2-4762-A652-0193D926D7D9}"/>
    <cellStyle name="AggOrangeLBorder 2 3 4 2 47" xfId="23199" xr:uid="{5C8907CF-A073-4792-A931-3285A92CC301}"/>
    <cellStyle name="AggOrangeLBorder 2 3 4 2 48" xfId="23192" xr:uid="{A8D590CE-19FB-4059-B63D-F2F1040296BF}"/>
    <cellStyle name="AggOrangeLBorder 2 3 4 2 49" xfId="23971" xr:uid="{B9E3DC3D-64A0-4017-AFD3-79F7C1ABA5A0}"/>
    <cellStyle name="AggOrangeLBorder 2 3 4 2 5" xfId="2727" xr:uid="{D1264C8A-74D7-47D8-B7C5-190D5B050731}"/>
    <cellStyle name="AggOrangeLBorder 2 3 4 2 50" xfId="24879" xr:uid="{FA0FBFAE-91FD-48E3-8E20-2574878E8132}"/>
    <cellStyle name="AggOrangeLBorder 2 3 4 2 51" xfId="24226" xr:uid="{415063DE-5DF8-4B19-87CB-972501DAC52A}"/>
    <cellStyle name="AggOrangeLBorder 2 3 4 2 52" xfId="25795" xr:uid="{908922C1-ECCA-4DCA-B4D6-5A76E77A5F58}"/>
    <cellStyle name="AggOrangeLBorder 2 3 4 2 53" xfId="25329" xr:uid="{F0123780-9E96-4FE3-9618-8605C470D9BC}"/>
    <cellStyle name="AggOrangeLBorder 2 3 4 2 54" xfId="26269" xr:uid="{9027F325-1AF0-48FF-AA31-566F393A8CAA}"/>
    <cellStyle name="AggOrangeLBorder 2 3 4 2 55" xfId="27083" xr:uid="{5BACA9F0-BBFE-4207-B504-C693C758C7E7}"/>
    <cellStyle name="AggOrangeLBorder 2 3 4 2 56" xfId="27502" xr:uid="{792F4F60-56E2-42E8-84C3-4EC2C26ECA94}"/>
    <cellStyle name="AggOrangeLBorder 2 3 4 2 57" xfId="26342" xr:uid="{21475B0C-2C5B-4416-86B1-0A630F6E69B8}"/>
    <cellStyle name="AggOrangeLBorder 2 3 4 2 58" xfId="28629" xr:uid="{396F2F60-2335-4F35-A9A7-FF1D9E0482B5}"/>
    <cellStyle name="AggOrangeLBorder 2 3 4 2 59" xfId="29096" xr:uid="{778FAA2F-9880-4415-8068-AB4C4CEEB08E}"/>
    <cellStyle name="AggOrangeLBorder 2 3 4 2 6" xfId="1839" xr:uid="{50FA5A05-BC4E-468E-8658-19CCE006193A}"/>
    <cellStyle name="AggOrangeLBorder 2 3 4 2 60" xfId="28128" xr:uid="{31ABA8AE-2499-49FE-9B9F-100F56FD382D}"/>
    <cellStyle name="AggOrangeLBorder 2 3 4 2 61" xfId="29885" xr:uid="{3EC74A9F-88A5-4B5D-B239-154A6E051662}"/>
    <cellStyle name="AggOrangeLBorder 2 3 4 2 62" xfId="30291" xr:uid="{589D4FD1-EB64-4BE7-81AB-811A37548A32}"/>
    <cellStyle name="AggOrangeLBorder 2 3 4 2 63" xfId="30708" xr:uid="{805B09B0-29C8-4588-8DE6-C1AADA99A31A}"/>
    <cellStyle name="AggOrangeLBorder 2 3 4 2 64" xfId="31002" xr:uid="{196DDC8E-3F60-490C-872A-DFFC560D1412}"/>
    <cellStyle name="AggOrangeLBorder 2 3 4 2 65" xfId="31324" xr:uid="{DDC4BFAB-D75E-4E19-9B46-421FF26E002B}"/>
    <cellStyle name="AggOrangeLBorder 2 3 4 2 7" xfId="4107" xr:uid="{918EC8B4-7E12-4AE7-8162-B04745389DFA}"/>
    <cellStyle name="AggOrangeLBorder 2 3 4 2 8" xfId="4544" xr:uid="{E38EF5EC-6FCE-4F89-8FD6-CBD7B3831D0A}"/>
    <cellStyle name="AggOrangeLBorder 2 3 4 2 9" xfId="4239" xr:uid="{CEC6775F-B642-44FD-8F5E-8E5FD0E03D1F}"/>
    <cellStyle name="AggOrangeLBorder 2 3 4 20" xfId="9402" xr:uid="{585266B5-5215-4FD0-BCCC-05D851DC7391}"/>
    <cellStyle name="AggOrangeLBorder 2 3 4 21" xfId="9097" xr:uid="{1D67A7EA-8E13-4859-9C40-4A3C60C5B635}"/>
    <cellStyle name="AggOrangeLBorder 2 3 4 22" xfId="10926" xr:uid="{F6C68A8B-D90C-4215-BC3E-8C437BC158F8}"/>
    <cellStyle name="AggOrangeLBorder 2 3 4 23" xfId="11201" xr:uid="{02559A80-ED24-49CF-97A5-926E12DBBDEA}"/>
    <cellStyle name="AggOrangeLBorder 2 3 4 24" xfId="11927" xr:uid="{E0C0FD69-DDEB-47E6-B1EC-1B15937213F3}"/>
    <cellStyle name="AggOrangeLBorder 2 3 4 25" xfId="12400" xr:uid="{6DD6DC8F-73FC-4E61-83B5-BAE4BAA7E6DC}"/>
    <cellStyle name="AggOrangeLBorder 2 3 4 26" xfId="12834" xr:uid="{F9F85A77-B44E-48BD-AFD3-2E8A6929D796}"/>
    <cellStyle name="AggOrangeLBorder 2 3 4 27" xfId="13271" xr:uid="{455A4C88-E9B6-411B-ACEE-BDE8DB37ACF5}"/>
    <cellStyle name="AggOrangeLBorder 2 3 4 28" xfId="13960" xr:uid="{0EB8181C-E12A-45F2-B025-F7C4F811A59F}"/>
    <cellStyle name="AggOrangeLBorder 2 3 4 29" xfId="14285" xr:uid="{34D9C03C-3486-4961-9FCD-A042AF34D053}"/>
    <cellStyle name="AggOrangeLBorder 2 3 4 3" xfId="1057" xr:uid="{3F541256-B0A3-41B1-8657-68663D0758DD}"/>
    <cellStyle name="AggOrangeLBorder 2 3 4 30" xfId="12727" xr:uid="{C9BB0365-5DE4-4434-87F8-7C17973D0126}"/>
    <cellStyle name="AggOrangeLBorder 2 3 4 31" xfId="14944" xr:uid="{76EBA886-86A7-4F91-BEBF-3D8801D59BF0}"/>
    <cellStyle name="AggOrangeLBorder 2 3 4 32" xfId="15352" xr:uid="{0963B22E-E4D8-4C18-9599-D2C706847FD4}"/>
    <cellStyle name="AggOrangeLBorder 2 3 4 33" xfId="15427" xr:uid="{803FAB03-88F3-4B3E-BDC7-E73A96834B6E}"/>
    <cellStyle name="AggOrangeLBorder 2 3 4 34" xfId="16619" xr:uid="{08A859F5-2F12-4402-9D25-EF7511C7C5F4}"/>
    <cellStyle name="AggOrangeLBorder 2 3 4 35" xfId="16511" xr:uid="{395D39B3-6814-45A8-8C92-A57A64C664E7}"/>
    <cellStyle name="AggOrangeLBorder 2 3 4 36" xfId="16200" xr:uid="{E0B5E718-2A0E-4CA5-A092-24CCB2BC231C}"/>
    <cellStyle name="AggOrangeLBorder 2 3 4 37" xfId="17677" xr:uid="{ACE99942-629C-49FE-8679-97AC418E2354}"/>
    <cellStyle name="AggOrangeLBorder 2 3 4 38" xfId="18437" xr:uid="{995BFC55-4E4E-41EA-AA8E-21A8D544531F}"/>
    <cellStyle name="AggOrangeLBorder 2 3 4 39" xfId="19060" xr:uid="{22518966-4C68-4A18-934F-BA659DBE3BCA}"/>
    <cellStyle name="AggOrangeLBorder 2 3 4 4" xfId="1600" xr:uid="{867631B8-BA93-49AD-B8F2-47AB8948BB27}"/>
    <cellStyle name="AggOrangeLBorder 2 3 4 40" xfId="19316" xr:uid="{10D6C2A1-F385-4734-AE44-506C7DEFB460}"/>
    <cellStyle name="AggOrangeLBorder 2 3 4 41" xfId="19956" xr:uid="{6630C93C-DA34-42D8-BE74-2B95B1BE2202}"/>
    <cellStyle name="AggOrangeLBorder 2 3 4 42" xfId="19847" xr:uid="{4970E3C7-9069-4420-8094-05D0267E3351}"/>
    <cellStyle name="AggOrangeLBorder 2 3 4 43" xfId="19780" xr:uid="{DD3F2B21-3D57-4DC1-A7B3-6CA093EE6A38}"/>
    <cellStyle name="AggOrangeLBorder 2 3 4 44" xfId="21287" xr:uid="{2FF4B443-C121-4206-8892-01588D8A9C90}"/>
    <cellStyle name="AggOrangeLBorder 2 3 4 45" xfId="21676" xr:uid="{3B5DFB20-6767-4564-BF54-74612DDBAEE5}"/>
    <cellStyle name="AggOrangeLBorder 2 3 4 46" xfId="22115" xr:uid="{EC918C88-74DE-401E-A32E-1845C9E6CB71}"/>
    <cellStyle name="AggOrangeLBorder 2 3 4 47" xfId="22933" xr:uid="{4F73F256-27E1-4AAA-9143-60F6E515C23A}"/>
    <cellStyle name="AggOrangeLBorder 2 3 4 48" xfId="23337" xr:uid="{D4EAE699-0ACA-4B30-BADE-CD2454C09F82}"/>
    <cellStyle name="AggOrangeLBorder 2 3 4 49" xfId="23493" xr:uid="{B43F07E5-3DA9-4EA8-9712-DF90C3B01671}"/>
    <cellStyle name="AggOrangeLBorder 2 3 4 5" xfId="2396" xr:uid="{BFE67C4A-89FC-4F53-B50F-395D18CD322C}"/>
    <cellStyle name="AggOrangeLBorder 2 3 4 50" xfId="23765" xr:uid="{D395C475-B069-4168-BC44-45579C928316}"/>
    <cellStyle name="AggOrangeLBorder 2 3 4 51" xfId="24664" xr:uid="{354A906C-FB1B-451B-9ADA-282F0C9DD61E}"/>
    <cellStyle name="AggOrangeLBorder 2 3 4 52" xfId="24549" xr:uid="{6B6AEB76-194D-448C-948B-031BAE08EAC7}"/>
    <cellStyle name="AggOrangeLBorder 2 3 4 53" xfId="25582" xr:uid="{3E0D1E80-CC88-4A11-91F7-8284CBA6F46C}"/>
    <cellStyle name="AggOrangeLBorder 2 3 4 54" xfId="26049" xr:uid="{14B7AD2D-404B-49E3-8AFD-288D0123E116}"/>
    <cellStyle name="AggOrangeLBorder 2 3 4 55" xfId="26558" xr:uid="{4A148E34-CDF1-4EE3-B0AE-CD07581B88B1}"/>
    <cellStyle name="AggOrangeLBorder 2 3 4 56" xfId="26872" xr:uid="{216649A7-98C8-48C7-BC44-22F0BFC7BEF0}"/>
    <cellStyle name="AggOrangeLBorder 2 3 4 57" xfId="27291" xr:uid="{BCA60F78-6A4C-4D36-A320-8BBA67A73C62}"/>
    <cellStyle name="AggOrangeLBorder 2 3 4 58" xfId="27808" xr:uid="{B5BA26DA-36A3-44A4-BCE0-57747E256F7F}"/>
    <cellStyle name="AggOrangeLBorder 2 3 4 59" xfId="28414" xr:uid="{92AD8D4F-E933-4C7E-92E3-4A24EE50DC80}"/>
    <cellStyle name="AggOrangeLBorder 2 3 4 6" xfId="3129" xr:uid="{27DF5050-4977-4322-BEF5-809F952CA672}"/>
    <cellStyle name="AggOrangeLBorder 2 3 4 60" xfId="28882" xr:uid="{252E0C82-727A-4009-A1C9-868913FB041A}"/>
    <cellStyle name="AggOrangeLBorder 2 3 4 61" xfId="28098" xr:uid="{14A83B26-C941-4A2E-B345-81CD4881878E}"/>
    <cellStyle name="AggOrangeLBorder 2 3 4 62" xfId="29672" xr:uid="{EBFBE304-0FA8-4622-93A3-44F7D64BCD09}"/>
    <cellStyle name="AggOrangeLBorder 2 3 4 63" xfId="30080" xr:uid="{C2CFF43E-F96B-4A33-8066-EC6DCB61F4A9}"/>
    <cellStyle name="AggOrangeLBorder 2 3 4 64" xfId="30494" xr:uid="{CAD91F49-8497-4B05-A6B6-C7563556C19A}"/>
    <cellStyle name="AggOrangeLBorder 2 3 4 65" xfId="30987" xr:uid="{2887CBEE-B889-47D8-97F7-6EB8A2EB5735}"/>
    <cellStyle name="AggOrangeLBorder 2 3 4 66" xfId="31118" xr:uid="{32B98C43-BBF1-4271-8E1B-E159A44D9490}"/>
    <cellStyle name="AggOrangeLBorder 2 3 4 7" xfId="3377" xr:uid="{27D980F3-FD12-4C90-AFFA-4FEB23E28C66}"/>
    <cellStyle name="AggOrangeLBorder 2 3 4 8" xfId="3892" xr:uid="{63CB8F59-50A5-4BF4-AEA4-1760C7E0B3A6}"/>
    <cellStyle name="AggOrangeLBorder 2 3 4 9" xfId="4330" xr:uid="{8D748E43-BC67-45FC-8633-85B643993735}"/>
    <cellStyle name="AggOrangeLBorder 2 3 40" xfId="17065" xr:uid="{CB368766-F323-408B-8F90-7DF9ED2BEA86}"/>
    <cellStyle name="AggOrangeLBorder 2 3 41" xfId="16992" xr:uid="{5B2364A2-E4B3-4C9A-8F0D-A2A3AA5BA371}"/>
    <cellStyle name="AggOrangeLBorder 2 3 42" xfId="18972" xr:uid="{4813948F-3E8A-4D05-B30A-F9A71ADCFA28}"/>
    <cellStyle name="AggOrangeLBorder 2 3 43" xfId="18177" xr:uid="{4C9B40CA-2E2F-4B46-A215-E82355488006}"/>
    <cellStyle name="AggOrangeLBorder 2 3 44" xfId="19653" xr:uid="{98F93D91-5E60-4280-ACAA-5F79D27FE3EF}"/>
    <cellStyle name="AggOrangeLBorder 2 3 45" xfId="20317" xr:uid="{1704B468-A6C1-43AA-8104-0ED1575CEF41}"/>
    <cellStyle name="AggOrangeLBorder 2 3 46" xfId="20773" xr:uid="{DC2EE67E-861F-419C-8353-34EB237B9F13}"/>
    <cellStyle name="AggOrangeLBorder 2 3 47" xfId="21390" xr:uid="{31F25744-97ED-4C7B-A4C6-1EB493998A46}"/>
    <cellStyle name="AggOrangeLBorder 2 3 48" xfId="19752" xr:uid="{4671EB4E-001E-4A02-99B6-D761460AEFBE}"/>
    <cellStyle name="AggOrangeLBorder 2 3 49" xfId="21868" xr:uid="{FB41F498-1233-4C33-AAEC-520D77B17AD8}"/>
    <cellStyle name="AggOrangeLBorder 2 3 5" xfId="694" xr:uid="{076DE6C4-B3F0-423C-8D76-041B49EABAFE}"/>
    <cellStyle name="AggOrangeLBorder 2 3 5 2" xfId="5342" xr:uid="{8DBF9C98-B836-4971-9941-25E0DEF6F3AA}"/>
    <cellStyle name="AggOrangeLBorder 2 3 5 3" xfId="18758" xr:uid="{62F5CED3-EF75-40CC-8994-9346D1A51FE8}"/>
    <cellStyle name="AggOrangeLBorder 2 3 50" xfId="22930" xr:uid="{1449E838-3729-4B98-BB38-A2C411DB97B8}"/>
    <cellStyle name="AggOrangeLBorder 2 3 51" xfId="23258" xr:uid="{E074C477-1775-47B4-B878-D2BC2CA17FF6}"/>
    <cellStyle name="AggOrangeLBorder 2 3 52" xfId="21916" xr:uid="{0C46AFAF-5709-4CD9-97CA-85E150C7FA82}"/>
    <cellStyle name="AggOrangeLBorder 2 3 53" xfId="22989" xr:uid="{205D4969-159A-4226-96D2-E7A506A017B0}"/>
    <cellStyle name="AggOrangeLBorder 2 3 54" xfId="24373" xr:uid="{EC86F286-3093-42C1-A2F4-2166C5112388}"/>
    <cellStyle name="AggOrangeLBorder 2 3 55" xfId="24320" xr:uid="{999B7554-E7CF-4757-98FF-C97741FF7455}"/>
    <cellStyle name="AggOrangeLBorder 2 3 56" xfId="24357" xr:uid="{CD2ABBA0-134C-4BAF-A4E2-FCED42967530}"/>
    <cellStyle name="AggOrangeLBorder 2 3 57" xfId="24588" xr:uid="{722BFC14-42D0-4102-A195-415A1AA42A26}"/>
    <cellStyle name="AggOrangeLBorder 2 3 58" xfId="24483" xr:uid="{E4852E2B-7D7F-4CB5-9B07-D58F716993EF}"/>
    <cellStyle name="AggOrangeLBorder 2 3 59" xfId="25097" xr:uid="{94C21798-C0CF-4730-9E8F-D0A88ED9AF48}"/>
    <cellStyle name="AggOrangeLBorder 2 3 6" xfId="946" xr:uid="{96C4FF16-1A65-4559-AA0A-07DD8AE3D080}"/>
    <cellStyle name="AggOrangeLBorder 2 3 60" xfId="26806" xr:uid="{F2764E68-AD8C-4627-A644-99E902F1CD3D}"/>
    <cellStyle name="AggOrangeLBorder 2 3 61" xfId="26393" xr:uid="{4E144641-804F-428F-967F-ABB3398C3ADA}"/>
    <cellStyle name="AggOrangeLBorder 2 3 62" xfId="28144" xr:uid="{33EF023D-6085-44EF-A4E3-03BAA829564C}"/>
    <cellStyle name="AggOrangeLBorder 2 3 63" xfId="28268" xr:uid="{DAA15435-0BB3-43F6-8513-F9EF4EA7B143}"/>
    <cellStyle name="AggOrangeLBorder 2 3 64" xfId="28242" xr:uid="{C7AAC026-240D-4CB8-86EF-B9ACE46B535C}"/>
    <cellStyle name="AggOrangeLBorder 2 3 65" xfId="28817" xr:uid="{58F82F8F-DF0E-42D2-AE52-1AED51DD4401}"/>
    <cellStyle name="AggOrangeLBorder 2 3 66" xfId="28232" xr:uid="{B83DC031-9C54-4E93-8CEB-D702A7DEAA3E}"/>
    <cellStyle name="AggOrangeLBorder 2 3 67" xfId="30202" xr:uid="{37A03830-67AA-406D-A5AB-DC0BFE3BA48B}"/>
    <cellStyle name="AggOrangeLBorder 2 3 68" xfId="27933" xr:uid="{959D7265-CF65-4E1D-A75D-38BD7A659962}"/>
    <cellStyle name="AggOrangeLBorder 2 3 69" xfId="30935" xr:uid="{D9137357-B60A-4F8F-9FED-5E8E5C46DDAA}"/>
    <cellStyle name="AggOrangeLBorder 2 3 7" xfId="1589" xr:uid="{50255718-0DD7-4555-9AC4-EA65D0C4B6C1}"/>
    <cellStyle name="AggOrangeLBorder 2 3 8" xfId="2093" xr:uid="{C69229FA-BC25-470F-BC59-3DEA5DF7C01C}"/>
    <cellStyle name="AggOrangeLBorder 2 3 9" xfId="3125" xr:uid="{70C48C99-24E6-47C3-9BD6-E740381DC0C6}"/>
    <cellStyle name="AggOrangeLBorder 3" xfId="410" xr:uid="{C1908E62-12C2-473A-8694-8302058E3F10}"/>
    <cellStyle name="AggOrangeLBorder 3 2" xfId="2213" xr:uid="{C0748E5E-101B-4332-AC16-21ABA144EC7A}"/>
    <cellStyle name="AggOrangeLBorder 3 3" xfId="18863" xr:uid="{E18DA9BE-5737-44A8-B730-BC37121960B1}"/>
    <cellStyle name="AggOrangeLBorder 4" xfId="268" xr:uid="{BA9CC048-045E-467E-807B-AFF08F0CA33D}"/>
    <cellStyle name="AggOrangeLBorder 4 10" xfId="3251" xr:uid="{E61DA5CF-8A2F-42F0-956F-E91D13CC71E2}"/>
    <cellStyle name="AggOrangeLBorder 4 11" xfId="2004" xr:uid="{113167FD-3FE2-4BB2-95FB-581E40DD178E}"/>
    <cellStyle name="AggOrangeLBorder 4 12" xfId="3623" xr:uid="{6EB237D6-4A7C-4338-8DB4-7DB8B12F3054}"/>
    <cellStyle name="AggOrangeLBorder 4 13" xfId="3548" xr:uid="{DA24C981-BF93-401A-A2EA-BFA7084E45A7}"/>
    <cellStyle name="AggOrangeLBorder 4 14" xfId="2295" xr:uid="{DBBCDB13-E591-40CA-BE2B-D5E7DF63B3C5}"/>
    <cellStyle name="AggOrangeLBorder 4 15" xfId="4653" xr:uid="{7C136181-3AF6-4A82-BB07-F337420C012A}"/>
    <cellStyle name="AggOrangeLBorder 4 16" xfId="5589" xr:uid="{0FB6667E-086A-4898-9AE1-82463B4B03EB}"/>
    <cellStyle name="AggOrangeLBorder 4 17" xfId="5977" xr:uid="{2B161F5C-F2EF-4DF2-9DE6-C77131ADC66D}"/>
    <cellStyle name="AggOrangeLBorder 4 18" xfId="6998" xr:uid="{06F09126-8F43-4BA8-8657-D82B2A90A9A0}"/>
    <cellStyle name="AggOrangeLBorder 4 19" xfId="7643" xr:uid="{4E8C95F9-39E7-4468-A9DF-02AFF38ED272}"/>
    <cellStyle name="AggOrangeLBorder 4 2" xfId="607" xr:uid="{3761E87B-B348-4352-8869-D79966437C99}"/>
    <cellStyle name="AggOrangeLBorder 4 2 10" xfId="2517" xr:uid="{4C060662-0DFA-4BBE-AF58-B22B6F7782E0}"/>
    <cellStyle name="AggOrangeLBorder 4 2 11" xfId="5255" xr:uid="{35914B71-E4AF-4F87-B14E-F9BA563F358B}"/>
    <cellStyle name="AggOrangeLBorder 4 2 12" xfId="5698" xr:uid="{A6E4C179-A7B1-4546-BAC8-99EB6F787FC4}"/>
    <cellStyle name="AggOrangeLBorder 4 2 13" xfId="6145" xr:uid="{6B36750C-CECE-4516-9985-4A4CF8C9D773}"/>
    <cellStyle name="AggOrangeLBorder 4 2 14" xfId="6539" xr:uid="{798438A6-DAA5-4E48-88BF-6A86C6B3FAD0}"/>
    <cellStyle name="AggOrangeLBorder 4 2 15" xfId="7327" xr:uid="{00076814-55C2-44DA-911B-43FCF0E6B1FF}"/>
    <cellStyle name="AggOrangeLBorder 4 2 16" xfId="7732" xr:uid="{6586F1E2-2946-45C0-9EB8-9784614FDC15}"/>
    <cellStyle name="AggOrangeLBorder 4 2 17" xfId="8569" xr:uid="{F3F2C3CC-8A80-487F-91D1-C82AA27D1CAD}"/>
    <cellStyle name="AggOrangeLBorder 4 2 18" xfId="8753" xr:uid="{60E2BA70-4E9B-4C84-8A08-E3A33F19BD95}"/>
    <cellStyle name="AggOrangeLBorder 4 2 19" xfId="9541" xr:uid="{FE741632-43E1-4B31-B316-A6F73A490503}"/>
    <cellStyle name="AggOrangeLBorder 4 2 2" xfId="822" xr:uid="{3C7200B8-0D32-40DD-A098-8AA7EA5A3D17}"/>
    <cellStyle name="AggOrangeLBorder 4 2 2 10" xfId="5470" xr:uid="{2680D734-9B7A-4686-B8D8-689CF79A43DA}"/>
    <cellStyle name="AggOrangeLBorder 4 2 2 11" xfId="5919" xr:uid="{C4FFEF42-EA65-42FF-9474-578009388447}"/>
    <cellStyle name="AggOrangeLBorder 4 2 2 12" xfId="5826" xr:uid="{17454B56-AE0F-446B-86E6-2181D3D0723E}"/>
    <cellStyle name="AggOrangeLBorder 4 2 2 13" xfId="6503" xr:uid="{AE5727E1-F21B-4FA0-A8BC-103B7D29C01B}"/>
    <cellStyle name="AggOrangeLBorder 4 2 2 14" xfId="7542" xr:uid="{8348FDFF-3D3B-4052-8A9E-5F3310D5EBF8}"/>
    <cellStyle name="AggOrangeLBorder 4 2 2 15" xfId="7108" xr:uid="{80F70E44-25C0-484E-833E-DA0054E60340}"/>
    <cellStyle name="AggOrangeLBorder 4 2 2 16" xfId="8509" xr:uid="{0AF895AB-6933-4CF9-AFA7-7414400A6C5F}"/>
    <cellStyle name="AggOrangeLBorder 4 2 2 17" xfId="8280" xr:uid="{5189340A-A0EA-4D1B-A19C-29E3F77B1A9E}"/>
    <cellStyle name="AggOrangeLBorder 4 2 2 18" xfId="9756" xr:uid="{38D69B04-DCC0-442B-8477-264B95029143}"/>
    <cellStyle name="AggOrangeLBorder 4 2 2 19" xfId="9194" xr:uid="{128D3D18-C17B-4433-A205-5C0F4FAE165B}"/>
    <cellStyle name="AggOrangeLBorder 4 2 2 2" xfId="1296" xr:uid="{63E1B6EC-A380-4DB6-8CEB-045DB567F4F5}"/>
    <cellStyle name="AggOrangeLBorder 4 2 2 20" xfId="9393" xr:uid="{A4D1B60E-8811-4E75-9A57-2FE6E7E435B7}"/>
    <cellStyle name="AggOrangeLBorder 4 2 2 21" xfId="9870" xr:uid="{8F909A8F-8BC6-4116-97C4-19881A3B23FA}"/>
    <cellStyle name="AggOrangeLBorder 4 2 2 22" xfId="11103" xr:uid="{970E1BE5-C20D-4A33-BC52-616B0A944634}"/>
    <cellStyle name="AggOrangeLBorder 4 2 2 23" xfId="12175" xr:uid="{AB9A764B-E8C0-4576-AB91-FC58E78BE30F}"/>
    <cellStyle name="AggOrangeLBorder 4 2 2 24" xfId="12648" xr:uid="{E150B314-E028-4A1B-9F56-3DCB1900024D}"/>
    <cellStyle name="AggOrangeLBorder 4 2 2 25" xfId="13082" xr:uid="{333C1BF3-3A66-4073-A232-16AD201140B8}"/>
    <cellStyle name="AggOrangeLBorder 4 2 2 26" xfId="13519" xr:uid="{3192E4CD-33D1-409E-B6DF-2723AC70D904}"/>
    <cellStyle name="AggOrangeLBorder 4 2 2 27" xfId="11552" xr:uid="{2F0F61B4-BA82-4B04-9DB1-42939FCA1491}"/>
    <cellStyle name="AggOrangeLBorder 4 2 2 28" xfId="14329" xr:uid="{310B7627-C392-47D4-BD06-800ED5185C43}"/>
    <cellStyle name="AggOrangeLBorder 4 2 2 29" xfId="14361" xr:uid="{B318578A-9F46-47F3-A239-458D0FF1FD14}"/>
    <cellStyle name="AggOrangeLBorder 4 2 2 3" xfId="1416" xr:uid="{7EB6326D-796E-42FA-8FB9-7E60842193B9}"/>
    <cellStyle name="AggOrangeLBorder 4 2 2 30" xfId="14999" xr:uid="{8127912A-5426-4499-B281-383525C91178}"/>
    <cellStyle name="AggOrangeLBorder 4 2 2 31" xfId="15636" xr:uid="{D5AECFA5-171E-443C-8F3B-B15201437AA0}"/>
    <cellStyle name="AggOrangeLBorder 4 2 2 32" xfId="15585" xr:uid="{EE3E1243-10E6-4488-9E85-055C3CF039CD}"/>
    <cellStyle name="AggOrangeLBorder 4 2 2 33" xfId="16867" xr:uid="{ED4CE636-3A5E-475F-9DA7-5EF88AFE24FC}"/>
    <cellStyle name="AggOrangeLBorder 4 2 2 34" xfId="16430" xr:uid="{3AE82AB5-9ABE-46E8-B979-0B2226BE237C}"/>
    <cellStyle name="AggOrangeLBorder 4 2 2 35" xfId="16958" xr:uid="{6797B309-AA7A-4FA2-B76D-DF1408F1B756}"/>
    <cellStyle name="AggOrangeLBorder 4 2 2 36" xfId="17879" xr:uid="{6BF13AE4-113E-4A56-B61B-4B2D32C13B56}"/>
    <cellStyle name="AggOrangeLBorder 4 2 2 37" xfId="18685" xr:uid="{EF705D96-A49B-49AA-A803-5B75173AA7DE}"/>
    <cellStyle name="AggOrangeLBorder 4 2 2 38" xfId="17947" xr:uid="{9080E580-BA35-4BCD-B922-3F0F37C7DBF2}"/>
    <cellStyle name="AggOrangeLBorder 4 2 2 39" xfId="17273" xr:uid="{0C6E36D1-F3EF-426B-9A0B-E37103748BCF}"/>
    <cellStyle name="AggOrangeLBorder 4 2 2 4" xfId="2644" xr:uid="{AC5FD24F-D27A-4660-B564-9C151FB8A854}"/>
    <cellStyle name="AggOrangeLBorder 4 2 2 40" xfId="20204" xr:uid="{7EA7AD1C-FEA7-4F55-BC5B-78BD8EE8221E}"/>
    <cellStyle name="AggOrangeLBorder 4 2 2 41" xfId="19472" xr:uid="{FB5F11CB-8F20-4602-9373-1CC2E8BE6655}"/>
    <cellStyle name="AggOrangeLBorder 4 2 2 42" xfId="19520" xr:uid="{7EB422EE-849E-4BEE-B6F8-630FED51AAF8}"/>
    <cellStyle name="AggOrangeLBorder 4 2 2 43" xfId="21505" xr:uid="{4A4D59E8-1DC4-404E-B322-957D1404F21C}"/>
    <cellStyle name="AggOrangeLBorder 4 2 2 44" xfId="20624" xr:uid="{818472C9-5B24-4990-8B29-83C930A12F0C}"/>
    <cellStyle name="AggOrangeLBorder 4 2 2 45" xfId="21266" xr:uid="{39DF498D-7BB5-4B00-ACDB-BF0E99DFD81F}"/>
    <cellStyle name="AggOrangeLBorder 4 2 2 46" xfId="21269" xr:uid="{D19F03FE-77DC-4853-B8A1-D253E56A9F01}"/>
    <cellStyle name="AggOrangeLBorder 4 2 2 47" xfId="22986" xr:uid="{23913B2A-653B-47CB-AD3A-954FC1A2745C}"/>
    <cellStyle name="AggOrangeLBorder 4 2 2 48" xfId="23402" xr:uid="{1E4AFE69-1017-4D68-B098-967A5317328B}"/>
    <cellStyle name="AggOrangeLBorder 4 2 2 49" xfId="24004" xr:uid="{47C999BE-D7F5-4E3E-B9B4-C78C37FB67E3}"/>
    <cellStyle name="AggOrangeLBorder 4 2 2 5" xfId="2275" xr:uid="{33946D93-FAE5-4754-A955-B98DC9719462}"/>
    <cellStyle name="AggOrangeLBorder 4 2 2 50" xfId="24912" xr:uid="{384C6FD5-0AEE-474A-9596-0573AF40EF9E}"/>
    <cellStyle name="AggOrangeLBorder 4 2 2 51" xfId="24307" xr:uid="{BA86C758-193F-45C8-813B-41F48C3FFD0C}"/>
    <cellStyle name="AggOrangeLBorder 4 2 2 52" xfId="25828" xr:uid="{7FA4083F-1CC7-4264-A946-6C293220FC9E}"/>
    <cellStyle name="AggOrangeLBorder 4 2 2 53" xfId="25474" xr:uid="{897EB9A3-B0CB-451A-A196-7F0AAA01A62E}"/>
    <cellStyle name="AggOrangeLBorder 4 2 2 54" xfId="26616" xr:uid="{5BDDDD58-2A8C-4859-A032-7CE51BA6B69F}"/>
    <cellStyle name="AggOrangeLBorder 4 2 2 55" xfId="27116" xr:uid="{929F2A6E-7C68-4E75-9821-86131A65C024}"/>
    <cellStyle name="AggOrangeLBorder 4 2 2 56" xfId="27535" xr:uid="{3410560F-969D-4001-A610-03171D30DA1F}"/>
    <cellStyle name="AggOrangeLBorder 4 2 2 57" xfId="27210" xr:uid="{1938B729-DF8F-4B1E-AB60-040ECEDC53D0}"/>
    <cellStyle name="AggOrangeLBorder 4 2 2 58" xfId="28662" xr:uid="{7A0A65AC-4949-49F7-87F6-38181A2AF5C4}"/>
    <cellStyle name="AggOrangeLBorder 4 2 2 59" xfId="29129" xr:uid="{5C55B400-EC19-471D-B161-11D00B3F3D1E}"/>
    <cellStyle name="AggOrangeLBorder 4 2 2 6" xfId="3541" xr:uid="{D0C911C6-604A-4870-97E4-0F777E35F942}"/>
    <cellStyle name="AggOrangeLBorder 4 2 2 60" xfId="28319" xr:uid="{E4481871-B60C-494B-BF02-F5DBF82C8067}"/>
    <cellStyle name="AggOrangeLBorder 4 2 2 61" xfId="29918" xr:uid="{11B1828E-9AEB-48F1-B324-F3BF3008EAFA}"/>
    <cellStyle name="AggOrangeLBorder 4 2 2 62" xfId="30324" xr:uid="{6A1F4782-56DF-4948-9AC7-01FCA5E45261}"/>
    <cellStyle name="AggOrangeLBorder 4 2 2 63" xfId="30741" xr:uid="{A085F92F-0BA0-4700-8769-5C4115A76445}"/>
    <cellStyle name="AggOrangeLBorder 4 2 2 64" xfId="30833" xr:uid="{352E5617-0D6C-4984-9E6E-7C9DE113EFC2}"/>
    <cellStyle name="AggOrangeLBorder 4 2 2 65" xfId="31357" xr:uid="{E51E21C4-500C-4473-BEDE-1787FD238E54}"/>
    <cellStyle name="AggOrangeLBorder 4 2 2 7" xfId="4140" xr:uid="{53A053F5-2154-498C-AB14-1F80A9D14CEE}"/>
    <cellStyle name="AggOrangeLBorder 4 2 2 8" xfId="4577" xr:uid="{EF4D5DD1-8ECD-4D02-8F18-7479CF9F83CC}"/>
    <cellStyle name="AggOrangeLBorder 4 2 2 9" xfId="4885" xr:uid="{E424A8D0-62C9-4C6B-BA37-D90BB5C258B3}"/>
    <cellStyle name="AggOrangeLBorder 4 2 20" xfId="9946" xr:uid="{E8D20D01-DF72-49E7-BFBB-DFEAB841A764}"/>
    <cellStyle name="AggOrangeLBorder 4 2 21" xfId="10376" xr:uid="{80B255A5-0272-4926-A90E-844F85E41BDA}"/>
    <cellStyle name="AggOrangeLBorder 4 2 22" xfId="10985" xr:uid="{F0CF0C19-9D28-43DA-89D6-1DB49D217E23}"/>
    <cellStyle name="AggOrangeLBorder 4 2 23" xfId="11001" xr:uid="{C1C4C188-4567-4050-B16B-DEE1ADC975E5}"/>
    <cellStyle name="AggOrangeLBorder 4 2 24" xfId="11960" xr:uid="{2B0FA5C6-FBD8-4E1D-B47C-1547CE83278D}"/>
    <cellStyle name="AggOrangeLBorder 4 2 25" xfId="12433" xr:uid="{DAD3000B-A7FD-4355-B00B-34B198008CB3}"/>
    <cellStyle name="AggOrangeLBorder 4 2 26" xfId="12867" xr:uid="{062B3D42-8648-4681-B222-F49669412971}"/>
    <cellStyle name="AggOrangeLBorder 4 2 27" xfId="13304" xr:uid="{C81EE3B8-9C99-4A3B-9C83-868A2CC37172}"/>
    <cellStyle name="AggOrangeLBorder 4 2 28" xfId="11521" xr:uid="{D965BEB8-3052-4A80-9CD7-C73DD366D4BC}"/>
    <cellStyle name="AggOrangeLBorder 4 2 29" xfId="14004" xr:uid="{ED4FE27D-1925-4F43-9B86-4326FB1BAF68}"/>
    <cellStyle name="AggOrangeLBorder 4 2 3" xfId="1090" xr:uid="{492395FA-8BE2-4715-BB90-DA5B1010846F}"/>
    <cellStyle name="AggOrangeLBorder 4 2 30" xfId="14654" xr:uid="{79865519-829E-4BD4-84A5-01B4E54CB6FF}"/>
    <cellStyle name="AggOrangeLBorder 4 2 31" xfId="14513" xr:uid="{1EE258AB-A3B4-4B78-817E-332F4713AECD}"/>
    <cellStyle name="AggOrangeLBorder 4 2 32" xfId="14995" xr:uid="{95A951E3-E24A-45D2-BBAC-1A04B58637E5}"/>
    <cellStyle name="AggOrangeLBorder 4 2 33" xfId="15826" xr:uid="{53AE69CB-E525-4F71-B0CF-B287473D655B}"/>
    <cellStyle name="AggOrangeLBorder 4 2 34" xfId="16652" xr:uid="{7F2B2979-3112-4904-A091-67151860892A}"/>
    <cellStyle name="AggOrangeLBorder 4 2 35" xfId="17060" xr:uid="{1F432E02-3492-4E2F-9CA4-C1C3457E7238}"/>
    <cellStyle name="AggOrangeLBorder 4 2 36" xfId="17506" xr:uid="{A98ADB09-F2F0-45B8-A63E-CE2B09B06915}"/>
    <cellStyle name="AggOrangeLBorder 4 2 37" xfId="17708" xr:uid="{B77D01C0-0531-45B8-9FA6-28F9D812D317}"/>
    <cellStyle name="AggOrangeLBorder 4 2 38" xfId="18470" xr:uid="{ECD78D37-AE7A-4EF9-88A3-35021488D7C5}"/>
    <cellStyle name="AggOrangeLBorder 4 2 39" xfId="18855" xr:uid="{298010BA-180C-4696-A19D-07A2CC76B923}"/>
    <cellStyle name="AggOrangeLBorder 4 2 4" xfId="1522" xr:uid="{14C2909D-58F1-4DD5-BBE8-3BB36C6258C6}"/>
    <cellStyle name="AggOrangeLBorder 4 2 40" xfId="19250" xr:uid="{CF5278C2-F47A-4188-AE77-403CD155A63D}"/>
    <cellStyle name="AggOrangeLBorder 4 2 41" xfId="19989" xr:uid="{E08F3A15-093A-4ACE-BEE8-E3C78E42C38F}"/>
    <cellStyle name="AggOrangeLBorder 4 2 42" xfId="20412" xr:uid="{A7DCDB3A-D855-42D2-AAFF-448CA1D4753C}"/>
    <cellStyle name="AggOrangeLBorder 4 2 43" xfId="20865" xr:uid="{8EB03841-D924-44CA-AD93-8133208C7FEA}"/>
    <cellStyle name="AggOrangeLBorder 4 2 44" xfId="21638" xr:uid="{4B1292B1-0AFE-4E06-8C08-23C64C4784F0}"/>
    <cellStyle name="AggOrangeLBorder 4 2 45" xfId="21797" xr:uid="{0DB6D9AB-C18E-43EA-A2E2-E91B360C558B}"/>
    <cellStyle name="AggOrangeLBorder 4 2 46" xfId="22234" xr:uid="{6F8B8940-B789-47F4-8137-299C3C1C7F65}"/>
    <cellStyle name="AggOrangeLBorder 4 2 47" xfId="21944" xr:uid="{A9FA301D-DF63-470B-94EB-95CA5EE5B2F1}"/>
    <cellStyle name="AggOrangeLBorder 4 2 48" xfId="23132" xr:uid="{06C7725E-2476-4AD9-A38D-54C1CBD376DD}"/>
    <cellStyle name="AggOrangeLBorder 4 2 49" xfId="23536" xr:uid="{5E88B42C-74B7-46B6-BF3E-C4183A75D175}"/>
    <cellStyle name="AggOrangeLBorder 4 2 5" xfId="2429" xr:uid="{29077D49-4DE7-4322-B730-C05D51A61131}"/>
    <cellStyle name="AggOrangeLBorder 4 2 50" xfId="23798" xr:uid="{43B3199B-82CF-42B4-A10B-108D8DAA3F03}"/>
    <cellStyle name="AggOrangeLBorder 4 2 51" xfId="24697" xr:uid="{67375747-2447-48FF-A9D3-4F35B47CB249}"/>
    <cellStyle name="AggOrangeLBorder 4 2 52" xfId="25120" xr:uid="{DC93F5B8-2B41-451B-9809-0C258BB850AE}"/>
    <cellStyle name="AggOrangeLBorder 4 2 53" xfId="25615" xr:uid="{0A5F4D97-0CC8-475B-BB58-146E8275A971}"/>
    <cellStyle name="AggOrangeLBorder 4 2 54" xfId="25113" xr:uid="{13F08D84-89C5-40CD-8296-46B18BAD8F65}"/>
    <cellStyle name="AggOrangeLBorder 4 2 55" xfId="25932" xr:uid="{FA51EEF9-710D-492D-802A-6F367E71C924}"/>
    <cellStyle name="AggOrangeLBorder 4 2 56" xfId="26905" xr:uid="{AA99841E-AF98-4EA9-B55B-547201A2672C}"/>
    <cellStyle name="AggOrangeLBorder 4 2 57" xfId="27324" xr:uid="{6E97B63C-6894-4350-9A6D-602132168E86}"/>
    <cellStyle name="AggOrangeLBorder 4 2 58" xfId="25291" xr:uid="{4C36EA6E-A3D7-4A40-8175-2C5D902EBCDB}"/>
    <cellStyle name="AggOrangeLBorder 4 2 59" xfId="28447" xr:uid="{04C299ED-10E6-4F2F-AA21-A3233026D333}"/>
    <cellStyle name="AggOrangeLBorder 4 2 6" xfId="1917" xr:uid="{2C34EAAC-8830-4243-B636-3A2738CD026B}"/>
    <cellStyle name="AggOrangeLBorder 4 2 60" xfId="28915" xr:uid="{AE7790CE-7F3B-42EB-AF95-6A7B45A4B380}"/>
    <cellStyle name="AggOrangeLBorder 4 2 61" xfId="29275" xr:uid="{2E54CEDB-6A27-41AB-B401-4F19EF00BF68}"/>
    <cellStyle name="AggOrangeLBorder 4 2 62" xfId="29705" xr:uid="{56E6559A-8978-4BA5-BB2A-316A46396A26}"/>
    <cellStyle name="AggOrangeLBorder 4 2 63" xfId="30113" xr:uid="{F903D24D-6747-4CA6-8DC8-033E44D16405}"/>
    <cellStyle name="AggOrangeLBorder 4 2 64" xfId="30527" xr:uid="{01060AFB-EA02-434E-B400-D12D8AAA171B}"/>
    <cellStyle name="AggOrangeLBorder 4 2 65" xfId="30957" xr:uid="{A9464E3A-EFE4-4617-B884-8BC3F40A8471}"/>
    <cellStyle name="AggOrangeLBorder 4 2 66" xfId="31151" xr:uid="{5F2D250F-C451-4723-8EA5-2D508827B414}"/>
    <cellStyle name="AggOrangeLBorder 4 2 7" xfId="3517" xr:uid="{E5F26E4E-A17B-48AC-BB3A-47DF8A0E621E}"/>
    <cellStyle name="AggOrangeLBorder 4 2 8" xfId="3925" xr:uid="{EA6D7BDC-EC8B-4273-9426-920440E9769B}"/>
    <cellStyle name="AggOrangeLBorder 4 2 9" xfId="4363" xr:uid="{FC23A3E5-A60A-443E-AFF1-716013C64FDC}"/>
    <cellStyle name="AggOrangeLBorder 4 20" xfId="7821" xr:uid="{A39062F2-92EA-46F7-B0CA-961E884D467E}"/>
    <cellStyle name="AggOrangeLBorder 4 21" xfId="8780" xr:uid="{878BFBDF-87C4-4D64-B6C3-AA76254C53EC}"/>
    <cellStyle name="AggOrangeLBorder 4 22" xfId="9212" xr:uid="{D3A728BA-2347-47DA-B6CA-0F799BC59719}"/>
    <cellStyle name="AggOrangeLBorder 4 23" xfId="9853" xr:uid="{7B1BB6B6-BA51-4418-BE0A-AF7D9AAC4615}"/>
    <cellStyle name="AggOrangeLBorder 4 24" xfId="10296" xr:uid="{F9CFF00E-F83E-41E4-8EAC-FAC097D7CE39}"/>
    <cellStyle name="AggOrangeLBorder 4 25" xfId="10534" xr:uid="{081027CC-5804-4B1A-ABF4-4B3CC2B077D3}"/>
    <cellStyle name="AggOrangeLBorder 4 26" xfId="10744" xr:uid="{56F95038-5D23-495D-AEFE-2ABE851E5A77}"/>
    <cellStyle name="AggOrangeLBorder 4 27" xfId="11624" xr:uid="{8659EACA-CB6E-4FD9-B85B-11069E08307E}"/>
    <cellStyle name="AggOrangeLBorder 4 28" xfId="11432" xr:uid="{DAEECC0E-94F6-4172-ACAB-3445F01B96CA}"/>
    <cellStyle name="AggOrangeLBorder 4 29" xfId="11598" xr:uid="{D0FE9AA8-C85F-4C54-972C-1D18B8A3C78B}"/>
    <cellStyle name="AggOrangeLBorder 4 3" xfId="549" xr:uid="{DA466A5D-C337-4134-8E17-B82726A57CC0}"/>
    <cellStyle name="AggOrangeLBorder 4 3 10" xfId="4882" xr:uid="{4E451AEE-0A39-40A4-8241-2EF5CBDF3607}"/>
    <cellStyle name="AggOrangeLBorder 4 3 11" xfId="5197" xr:uid="{1E831811-2BAD-42BC-BDF8-6A9D105C845C}"/>
    <cellStyle name="AggOrangeLBorder 4 3 12" xfId="5547" xr:uid="{97DA1167-3DF7-4499-9A98-5B4DB92D62E7}"/>
    <cellStyle name="AggOrangeLBorder 4 3 13" xfId="6124" xr:uid="{7809A8D7-C708-4303-8E2E-AE234E37F45D}"/>
    <cellStyle name="AggOrangeLBorder 4 3 14" xfId="6579" xr:uid="{8D59D138-79C3-449C-B547-BB3356186FBD}"/>
    <cellStyle name="AggOrangeLBorder 4 3 15" xfId="7269" xr:uid="{C04FC6E4-BAA1-4AE2-8B9F-250AD8AFDCBC}"/>
    <cellStyle name="AggOrangeLBorder 4 3 16" xfId="6943" xr:uid="{31A4BA38-C7D8-4564-9F70-799CD774979C}"/>
    <cellStyle name="AggOrangeLBorder 4 3 17" xfId="7672" xr:uid="{4D575653-875D-4448-B0C9-5AE268FD48EC}"/>
    <cellStyle name="AggOrangeLBorder 4 3 18" xfId="8798" xr:uid="{02A989C3-9089-4A47-8B8D-7AD3E89003A2}"/>
    <cellStyle name="AggOrangeLBorder 4 3 19" xfId="9483" xr:uid="{1182C70E-4FD5-4C07-91ED-B9C1D769EE52}"/>
    <cellStyle name="AggOrangeLBorder 4 3 2" xfId="764" xr:uid="{CEF07C67-37DE-499D-A67A-77226F86054F}"/>
    <cellStyle name="AggOrangeLBorder 4 3 2 10" xfId="5412" xr:uid="{124F73D0-8017-478F-B905-40B96643A815}"/>
    <cellStyle name="AggOrangeLBorder 4 3 2 11" xfId="5116" xr:uid="{731DA0F3-5922-41FC-B984-23A28A0B2BA0}"/>
    <cellStyle name="AggOrangeLBorder 4 3 2 12" xfId="4697" xr:uid="{A95A68D1-BEE1-45C8-9672-CCFF944DACC8}"/>
    <cellStyle name="AggOrangeLBorder 4 3 2 13" xfId="5947" xr:uid="{504C564F-6634-4ED4-9DBC-047631F405AD}"/>
    <cellStyle name="AggOrangeLBorder 4 3 2 14" xfId="7484" xr:uid="{A3930603-297C-46F3-AF53-6B4D6C190799}"/>
    <cellStyle name="AggOrangeLBorder 4 3 2 15" xfId="6987" xr:uid="{D1D46C81-CEB7-4756-A237-2F7B430D24E9}"/>
    <cellStyle name="AggOrangeLBorder 4 3 2 16" xfId="6946" xr:uid="{3C0ACFFC-A782-4594-9B24-9E4C97522A45}"/>
    <cellStyle name="AggOrangeLBorder 4 3 2 17" xfId="8592" xr:uid="{C5620AFB-B364-4E42-BF0F-3245CB1A8740}"/>
    <cellStyle name="AggOrangeLBorder 4 3 2 18" xfId="9698" xr:uid="{44FDBE71-73BF-4BC5-979D-A49F1701DA3F}"/>
    <cellStyle name="AggOrangeLBorder 4 3 2 19" xfId="9328" xr:uid="{5955FB61-5B44-4E36-934A-D9427233E886}"/>
    <cellStyle name="AggOrangeLBorder 4 3 2 2" xfId="1238" xr:uid="{96C5E97E-E128-4800-8F03-82E2CE67EAB1}"/>
    <cellStyle name="AggOrangeLBorder 4 3 2 20" xfId="9876" xr:uid="{0A73E101-720B-40FB-8189-99BD60ADAF37}"/>
    <cellStyle name="AggOrangeLBorder 4 3 2 21" xfId="10379" xr:uid="{30D223CB-A819-4723-8A2F-6F2E29A26E85}"/>
    <cellStyle name="AggOrangeLBorder 4 3 2 22" xfId="10615" xr:uid="{6319E578-C132-4FE2-BBD8-F69B3BA837A8}"/>
    <cellStyle name="AggOrangeLBorder 4 3 2 23" xfId="12117" xr:uid="{BE698086-3BD6-4489-96C9-A6045425E2C0}"/>
    <cellStyle name="AggOrangeLBorder 4 3 2 24" xfId="12590" xr:uid="{A498DBB3-F91F-443C-9FB6-D8A2958E1096}"/>
    <cellStyle name="AggOrangeLBorder 4 3 2 25" xfId="13024" xr:uid="{ED69C35F-9AF6-400E-AA65-F29BEFCA09DC}"/>
    <cellStyle name="AggOrangeLBorder 4 3 2 26" xfId="13461" xr:uid="{862AFBC0-F590-4822-9ABE-ADBEDDABABBD}"/>
    <cellStyle name="AggOrangeLBorder 4 3 2 27" xfId="11382" xr:uid="{02C19912-9296-4C56-9C4E-4DD2BA98E46F}"/>
    <cellStyle name="AggOrangeLBorder 4 3 2 28" xfId="11442" xr:uid="{8AE8451C-A1F7-48B6-B3D4-C66C32CCDD08}"/>
    <cellStyle name="AggOrangeLBorder 4 3 2 29" xfId="14375" xr:uid="{37C17C60-2B52-4045-9696-ACB590D2682C}"/>
    <cellStyle name="AggOrangeLBorder 4 3 2 3" xfId="1740" xr:uid="{F9D4ED72-CDC8-421D-AAFD-0F0962C528AD}"/>
    <cellStyle name="AggOrangeLBorder 4 3 2 30" xfId="14975" xr:uid="{6F60296E-BF6F-443C-AC3B-A65DC0D38857}"/>
    <cellStyle name="AggOrangeLBorder 4 3 2 31" xfId="15418" xr:uid="{312A8C69-5A8A-4ED6-ABD7-37D3A5CC1E5B}"/>
    <cellStyle name="AggOrangeLBorder 4 3 2 32" xfId="14296" xr:uid="{69453D82-8519-498C-B448-CF788FDA9BFE}"/>
    <cellStyle name="AggOrangeLBorder 4 3 2 33" xfId="16809" xr:uid="{7F460A7E-EF4C-40CF-8FB0-2EEC1925B740}"/>
    <cellStyle name="AggOrangeLBorder 4 3 2 34" xfId="16307" xr:uid="{344D9C58-E13C-4846-815D-74243BAFA486}"/>
    <cellStyle name="AggOrangeLBorder 4 3 2 35" xfId="16469" xr:uid="{435BDC55-3109-4C56-84B4-97E80B421275}"/>
    <cellStyle name="AggOrangeLBorder 4 3 2 36" xfId="16186" xr:uid="{5574AB05-9DA8-47D7-9E5B-7CF0A30D8043}"/>
    <cellStyle name="AggOrangeLBorder 4 3 2 37" xfId="18627" xr:uid="{4282557B-5DC3-45E9-BA04-4F3100086241}"/>
    <cellStyle name="AggOrangeLBorder 4 3 2 38" xfId="17681" xr:uid="{3361B95A-5736-4465-839A-D1289A33F425}"/>
    <cellStyle name="AggOrangeLBorder 4 3 2 39" xfId="18815" xr:uid="{B54247C0-3989-4ACC-8F20-6AFD7489CAB6}"/>
    <cellStyle name="AggOrangeLBorder 4 3 2 4" xfId="2586" xr:uid="{2490633A-0889-4B5D-B9EC-FB149E63DFB7}"/>
    <cellStyle name="AggOrangeLBorder 4 3 2 40" xfId="20146" xr:uid="{A059386D-567B-44F2-8129-EE06F021AC4C}"/>
    <cellStyle name="AggOrangeLBorder 4 3 2 41" xfId="19575" xr:uid="{32941923-588A-4A02-9850-4831FA23E697}"/>
    <cellStyle name="AggOrangeLBorder 4 3 2 42" xfId="19580" xr:uid="{38DF5421-C23B-41F7-8C49-AF87D2A923E8}"/>
    <cellStyle name="AggOrangeLBorder 4 3 2 43" xfId="21427" xr:uid="{AE9C3A29-ADB1-49DA-87E3-93AFEDE9F10D}"/>
    <cellStyle name="AggOrangeLBorder 4 3 2 44" xfId="20363" xr:uid="{D784C891-E4A0-4895-BC1C-92CC38FA1D39}"/>
    <cellStyle name="AggOrangeLBorder 4 3 2 45" xfId="21861" xr:uid="{686B93B8-E2D9-444A-948F-A87102C05FCE}"/>
    <cellStyle name="AggOrangeLBorder 4 3 2 46" xfId="21083" xr:uid="{295C6DF4-9740-47DD-8202-C53D96C08781}"/>
    <cellStyle name="AggOrangeLBorder 4 3 2 47" xfId="22260" xr:uid="{B5515380-B630-4AE1-A2D5-949F7665F738}"/>
    <cellStyle name="AggOrangeLBorder 4 3 2 48" xfId="22072" xr:uid="{9320DC23-7441-4A4B-BCA7-66182D61DCE5}"/>
    <cellStyle name="AggOrangeLBorder 4 3 2 49" xfId="23946" xr:uid="{D716E710-760C-468A-ABF4-15979BEA67F5}"/>
    <cellStyle name="AggOrangeLBorder 4 3 2 5" xfId="2722" xr:uid="{F41D87CF-0559-4249-94CE-3CD7F3CC1BBE}"/>
    <cellStyle name="AggOrangeLBorder 4 3 2 50" xfId="24854" xr:uid="{D82E2841-B19B-4CE9-93CB-6A240927CB93}"/>
    <cellStyle name="AggOrangeLBorder 4 3 2 51" xfId="24198" xr:uid="{A4C1B53B-7EC7-4953-BC4F-F8E45343FD1E}"/>
    <cellStyle name="AggOrangeLBorder 4 3 2 52" xfId="25770" xr:uid="{2A3819F0-404F-47C0-9C8E-EFE9CF260E28}"/>
    <cellStyle name="AggOrangeLBorder 4 3 2 53" xfId="25304" xr:uid="{EA88985C-B5B2-48FD-AEC8-5EF69BA9F99D}"/>
    <cellStyle name="AggOrangeLBorder 4 3 2 54" xfId="26400" xr:uid="{D3074404-392E-4A6D-B40E-043C7FEAE27F}"/>
    <cellStyle name="AggOrangeLBorder 4 3 2 55" xfId="27058" xr:uid="{096595E7-3F6D-4B9B-B773-29B3C1872C14}"/>
    <cellStyle name="AggOrangeLBorder 4 3 2 56" xfId="27477" xr:uid="{0247FC9B-F4CD-49DC-8539-E6EA8B3C4FDB}"/>
    <cellStyle name="AggOrangeLBorder 4 3 2 57" xfId="26797" xr:uid="{C2C3900E-DD11-4DEB-8F6E-4BEEA0E96AD6}"/>
    <cellStyle name="AggOrangeLBorder 4 3 2 58" xfId="28604" xr:uid="{7EE7261A-8DFD-4D7A-A75F-47D50F08475F}"/>
    <cellStyle name="AggOrangeLBorder 4 3 2 59" xfId="29071" xr:uid="{B022CCE8-2798-4D0A-B704-02ECA8E0ABCF}"/>
    <cellStyle name="AggOrangeLBorder 4 3 2 6" xfId="3457" xr:uid="{A0F94E8B-5B4F-47AB-920E-C2197E9EC1AE}"/>
    <cellStyle name="AggOrangeLBorder 4 3 2 60" xfId="28287" xr:uid="{2FE89668-DBD1-48E0-94E1-9839A67FCEF1}"/>
    <cellStyle name="AggOrangeLBorder 4 3 2 61" xfId="29860" xr:uid="{BBB6956E-E4CB-469E-92EB-68F5D38335B0}"/>
    <cellStyle name="AggOrangeLBorder 4 3 2 62" xfId="30266" xr:uid="{F468FFCF-C5E2-45BF-AA75-38F2AF9BEB3D}"/>
    <cellStyle name="AggOrangeLBorder 4 3 2 63" xfId="30683" xr:uid="{1859B62C-89EF-49F2-A37A-4D6DFEAA9F6B}"/>
    <cellStyle name="AggOrangeLBorder 4 3 2 64" xfId="29606" xr:uid="{628155D9-CF71-4122-A1DD-622B0FDCC8D5}"/>
    <cellStyle name="AggOrangeLBorder 4 3 2 65" xfId="31299" xr:uid="{A0E87018-22B3-4632-ADC4-B3443B705DD7}"/>
    <cellStyle name="AggOrangeLBorder 4 3 2 7" xfId="4082" xr:uid="{27C1D06F-B795-400F-896F-FE728ABB44A0}"/>
    <cellStyle name="AggOrangeLBorder 4 3 2 8" xfId="4519" xr:uid="{CF514A66-D6F1-496E-B7F4-040C154BBD8C}"/>
    <cellStyle name="AggOrangeLBorder 4 3 2 9" xfId="3561" xr:uid="{B1206D37-9A51-4579-99A1-192C652CAE18}"/>
    <cellStyle name="AggOrangeLBorder 4 3 20" xfId="8953" xr:uid="{BF5B0861-263F-4E83-8F43-83AA38FA95E7}"/>
    <cellStyle name="AggOrangeLBorder 4 3 21" xfId="9123" xr:uid="{796401C0-325C-444D-AC2D-E4FABEA621B2}"/>
    <cellStyle name="AggOrangeLBorder 4 3 22" xfId="10848" xr:uid="{CED9663A-6618-4B4C-8B51-F716D4F353E0}"/>
    <cellStyle name="AggOrangeLBorder 4 3 23" xfId="11210" xr:uid="{F1F8E96F-2325-490B-83D8-24AB9C3C6FF4}"/>
    <cellStyle name="AggOrangeLBorder 4 3 24" xfId="11902" xr:uid="{2B42668E-76F7-4AC0-AB5C-B8DACFC269AD}"/>
    <cellStyle name="AggOrangeLBorder 4 3 25" xfId="12375" xr:uid="{31EEAF0D-7B0C-48CC-9426-2EA2C7688606}"/>
    <cellStyle name="AggOrangeLBorder 4 3 26" xfId="12809" xr:uid="{B36E0C39-4476-4DD8-BA45-63A831D6142C}"/>
    <cellStyle name="AggOrangeLBorder 4 3 27" xfId="13246" xr:uid="{4B73B29F-EF41-47F4-AB54-34A9B454EAB6}"/>
    <cellStyle name="AggOrangeLBorder 4 3 28" xfId="13719" xr:uid="{B159A400-8DE1-48D4-9738-D9EB197DC495}"/>
    <cellStyle name="AggOrangeLBorder 4 3 29" xfId="14331" xr:uid="{EA1B95D7-8831-45AC-B421-A8B40D5126CE}"/>
    <cellStyle name="AggOrangeLBorder 4 3 3" xfId="1032" xr:uid="{EBAE6C41-8411-4F3E-B3CD-76C7CEE795B7}"/>
    <cellStyle name="AggOrangeLBorder 4 3 30" xfId="14449" xr:uid="{F2421874-4271-4CDE-893C-58E39C6BE4DA}"/>
    <cellStyle name="AggOrangeLBorder 4 3 31" xfId="14524" xr:uid="{8263B5F7-32E2-408F-888F-281E6A253883}"/>
    <cellStyle name="AggOrangeLBorder 4 3 32" xfId="15609" xr:uid="{FCFEEDDE-64B3-47DB-AC68-755D7E2FD085}"/>
    <cellStyle name="AggOrangeLBorder 4 3 33" xfId="15575" xr:uid="{8F23FACE-F1C4-4ACA-A52C-B32375D8AB98}"/>
    <cellStyle name="AggOrangeLBorder 4 3 34" xfId="16594" xr:uid="{396E7BBA-2F4A-4D08-A390-C79F62AA6E54}"/>
    <cellStyle name="AggOrangeLBorder 4 3 35" xfId="16261" xr:uid="{66812F39-2427-4DAF-A8F1-A5C906355862}"/>
    <cellStyle name="AggOrangeLBorder 4 3 36" xfId="16940" xr:uid="{328AA59A-05C9-4824-B7F5-BCC06CDEBFD4}"/>
    <cellStyle name="AggOrangeLBorder 4 3 37" xfId="18003" xr:uid="{05265C01-A6CF-430A-9E6D-4053C226BF40}"/>
    <cellStyle name="AggOrangeLBorder 4 3 38" xfId="18412" xr:uid="{64CCF9FF-5BB0-452D-87B7-DB9BA8C5CD83}"/>
    <cellStyle name="AggOrangeLBorder 4 3 39" xfId="17558" xr:uid="{C0ECC20A-EB47-4AC4-8BEB-CA38C96503A2}"/>
    <cellStyle name="AggOrangeLBorder 4 3 4" xfId="1457" xr:uid="{549A723E-7084-4892-B133-6C46CC8EE80B}"/>
    <cellStyle name="AggOrangeLBorder 4 3 40" xfId="18840" xr:uid="{04916553-A342-4FBC-BDF0-7CE87F57B943}"/>
    <cellStyle name="AggOrangeLBorder 4 3 41" xfId="19931" xr:uid="{E07BCF55-86F1-45C8-B0CD-84AE247F4DFB}"/>
    <cellStyle name="AggOrangeLBorder 4 3 42" xfId="19591" xr:uid="{BF91CB0E-DA65-4230-8385-CC269F6A8D77}"/>
    <cellStyle name="AggOrangeLBorder 4 3 43" xfId="19606" xr:uid="{92770CD2-8838-4C13-BB91-AE0CA5FEB427}"/>
    <cellStyle name="AggOrangeLBorder 4 3 44" xfId="21556" xr:uid="{3A88E1C1-A04E-4A0C-903B-0D6A6D2794EA}"/>
    <cellStyle name="AggOrangeLBorder 4 3 45" xfId="21482" xr:uid="{B3A8448E-9E16-4AC5-B6A1-2957E21999F9}"/>
    <cellStyle name="AggOrangeLBorder 4 3 46" xfId="20369" xr:uid="{B413C7E3-2EE5-47FB-973B-5C7CD4D18BB4}"/>
    <cellStyle name="AggOrangeLBorder 4 3 47" xfId="22715" xr:uid="{FB83013B-EEC6-42A7-9CD8-C0DEECB3F684}"/>
    <cellStyle name="AggOrangeLBorder 4 3 48" xfId="22778" xr:uid="{0D878F31-014A-4CF0-9341-7EDC3D9274F8}"/>
    <cellStyle name="AggOrangeLBorder 4 3 49" xfId="23653" xr:uid="{D056A9A5-B17B-4A04-810F-88D3C4300441}"/>
    <cellStyle name="AggOrangeLBorder 4 3 5" xfId="2371" xr:uid="{82EBADB3-82B4-4A48-8817-19DE16A95391}"/>
    <cellStyle name="AggOrangeLBorder 4 3 50" xfId="23740" xr:uid="{17DFA6EC-813C-4D04-942A-AF7A59B24005}"/>
    <cellStyle name="AggOrangeLBorder 4 3 51" xfId="24639" xr:uid="{A22EC343-4C98-490F-B472-D076419B61BE}"/>
    <cellStyle name="AggOrangeLBorder 4 3 52" xfId="24356" xr:uid="{03CA39AA-283F-43F8-AB4F-EE4A069FF906}"/>
    <cellStyle name="AggOrangeLBorder 4 3 53" xfId="25557" xr:uid="{11FA6159-2240-42E2-802A-7FF91FAA962C}"/>
    <cellStyle name="AggOrangeLBorder 4 3 54" xfId="26019" xr:uid="{02E987FB-A2C6-4641-9914-77B3D918DECA}"/>
    <cellStyle name="AggOrangeLBorder 4 3 55" xfId="26621" xr:uid="{EA36B3CC-F043-4EEC-8D42-EABF4EB5699A}"/>
    <cellStyle name="AggOrangeLBorder 4 3 56" xfId="26847" xr:uid="{6756D1EB-6CDA-43AA-B68A-2C4AB5A3173C}"/>
    <cellStyle name="AggOrangeLBorder 4 3 57" xfId="27266" xr:uid="{9DFCCD9D-86AC-44F1-97EC-5E5D550234CA}"/>
    <cellStyle name="AggOrangeLBorder 4 3 58" xfId="27721" xr:uid="{1BEFC6C1-1E44-43D7-A1EA-047ECFC6F659}"/>
    <cellStyle name="AggOrangeLBorder 4 3 59" xfId="28389" xr:uid="{8FD5B51E-54E8-4ABA-9951-477A189A1CC5}"/>
    <cellStyle name="AggOrangeLBorder 4 3 6" xfId="2884" xr:uid="{87B3D19F-91C6-42C7-915F-6F3877733A16}"/>
    <cellStyle name="AggOrangeLBorder 4 3 60" xfId="28857" xr:uid="{ABFF2F53-E3E2-4691-B82E-AF1892692DA3}"/>
    <cellStyle name="AggOrangeLBorder 4 3 61" xfId="28228" xr:uid="{8E36E46E-7BB2-431F-B1C1-03B49B05209B}"/>
    <cellStyle name="AggOrangeLBorder 4 3 62" xfId="29647" xr:uid="{496ACDE9-CF9B-4803-B4F7-D5496F6337D1}"/>
    <cellStyle name="AggOrangeLBorder 4 3 63" xfId="30055" xr:uid="{4BFE58DC-C5BE-486D-9414-9405213DDF6B}"/>
    <cellStyle name="AggOrangeLBorder 4 3 64" xfId="30469" xr:uid="{213432A7-6EDC-4C92-9DE2-BB85DE80736B}"/>
    <cellStyle name="AggOrangeLBorder 4 3 65" xfId="30920" xr:uid="{0F2FDD23-E591-4846-870A-8A3F4640DB57}"/>
    <cellStyle name="AggOrangeLBorder 4 3 66" xfId="31093" xr:uid="{FBA56EDE-7A76-4EFB-BD36-F43CC3C66FA9}"/>
    <cellStyle name="AggOrangeLBorder 4 3 7" xfId="2803" xr:uid="{E8DB8D54-AA35-4771-A6B0-8FFCB714DEA3}"/>
    <cellStyle name="AggOrangeLBorder 4 3 8" xfId="3867" xr:uid="{DBB2B61E-DF06-4E2C-9655-088D7EE3C05D}"/>
    <cellStyle name="AggOrangeLBorder 4 3 9" xfId="4305" xr:uid="{8DDCE302-EA9D-4D94-B444-7FB24CEADF09}"/>
    <cellStyle name="AggOrangeLBorder 4 30" xfId="11496" xr:uid="{8DC6C779-B21E-4250-B221-A24EBD2B793D}"/>
    <cellStyle name="AggOrangeLBorder 4 31" xfId="13716" xr:uid="{2FE76C81-4913-4F29-B378-01BD72A3EC60}"/>
    <cellStyle name="AggOrangeLBorder 4 32" xfId="13692" xr:uid="{75713E9B-0858-4719-A38F-BDE23E66D280}"/>
    <cellStyle name="AggOrangeLBorder 4 33" xfId="14065" xr:uid="{D7893C62-A149-4CB6-8554-C72CB118C48B}"/>
    <cellStyle name="AggOrangeLBorder 4 34" xfId="14555" xr:uid="{092A9E6D-CC6C-44EF-8023-F1A4E9D3D19A}"/>
    <cellStyle name="AggOrangeLBorder 4 35" xfId="15061" xr:uid="{260A2FE1-13C1-482A-96B9-4474933C9338}"/>
    <cellStyle name="AggOrangeLBorder 4 36" xfId="15071" xr:uid="{F2C3A443-4175-4716-A559-0C0D205A0F94}"/>
    <cellStyle name="AggOrangeLBorder 4 37" xfId="16319" xr:uid="{D59696D7-793B-4E0F-B590-E31829D461B8}"/>
    <cellStyle name="AggOrangeLBorder 4 38" xfId="16969" xr:uid="{87039E78-777F-4C35-BB34-85A2BAE72193}"/>
    <cellStyle name="AggOrangeLBorder 4 39" xfId="17420" xr:uid="{EEA0700D-68E8-4BDA-9839-1601CCF7E048}"/>
    <cellStyle name="AggOrangeLBorder 4 4" xfId="570" xr:uid="{502CC28D-1109-45C1-B6CC-F38E797BC80B}"/>
    <cellStyle name="AggOrangeLBorder 4 4 10" xfId="3266" xr:uid="{4B4885F7-1980-4F3D-8539-9DC1DB4DCC02}"/>
    <cellStyle name="AggOrangeLBorder 4 4 11" xfId="5218" xr:uid="{BF1FBF8E-73EF-48AA-B81C-719D82A1B01C}"/>
    <cellStyle name="AggOrangeLBorder 4 4 12" xfId="4896" xr:uid="{FAE582BC-0FC8-4BF5-8D7F-ABDAD6A88771}"/>
    <cellStyle name="AggOrangeLBorder 4 4 13" xfId="5958" xr:uid="{066A4927-E6BD-4ED8-A011-04A0E2EAA802}"/>
    <cellStyle name="AggOrangeLBorder 4 4 14" xfId="6684" xr:uid="{15A4A7F1-80A0-41A7-B40D-FDBA253AB4C6}"/>
    <cellStyle name="AggOrangeLBorder 4 4 15" xfId="7290" xr:uid="{0DE2D18B-7518-490B-A0A3-355522C94C60}"/>
    <cellStyle name="AggOrangeLBorder 4 4 16" xfId="7053" xr:uid="{5E271A2B-77B1-4F33-9A74-55581B096882}"/>
    <cellStyle name="AggOrangeLBorder 4 4 17" xfId="8618" xr:uid="{C7251BC5-21CF-4215-BF5A-06BC94C9BF19}"/>
    <cellStyle name="AggOrangeLBorder 4 4 18" xfId="8776" xr:uid="{46C6F897-C924-4923-B982-D7D9E9C75260}"/>
    <cellStyle name="AggOrangeLBorder 4 4 19" xfId="9504" xr:uid="{8D384622-77B6-4BBA-AE9F-FB5CCB9B0076}"/>
    <cellStyle name="AggOrangeLBorder 4 4 2" xfId="785" xr:uid="{5DDACE16-FD17-47CE-92EA-FCD786B905DE}"/>
    <cellStyle name="AggOrangeLBorder 4 4 2 10" xfId="5433" xr:uid="{C33AC736-0391-4762-BB3F-3F9F85F4EF10}"/>
    <cellStyle name="AggOrangeLBorder 4 4 2 11" xfId="5100" xr:uid="{7C3E8CF6-25C9-4F8B-9D77-3E510B0D9C9C}"/>
    <cellStyle name="AggOrangeLBorder 4 4 2 12" xfId="5983" xr:uid="{09E600F3-99CE-4D70-9C3A-45E05CADECFB}"/>
    <cellStyle name="AggOrangeLBorder 4 4 2 13" xfId="6514" xr:uid="{F798E7CE-BF20-4FAE-9286-81BF2F3281E3}"/>
    <cellStyle name="AggOrangeLBorder 4 4 2 14" xfId="7505" xr:uid="{4B8DC95E-4317-4999-BB71-5C5C7E4ABEEC}"/>
    <cellStyle name="AggOrangeLBorder 4 4 2 15" xfId="6863" xr:uid="{1CA19BC0-B93B-495D-AB3F-4B3BD59F2E97}"/>
    <cellStyle name="AggOrangeLBorder 4 4 2 16" xfId="8590" xr:uid="{68041B25-E729-43C3-84C8-275FF0B08654}"/>
    <cellStyle name="AggOrangeLBorder 4 4 2 17" xfId="6909" xr:uid="{036E9235-3314-4678-B348-CF47E161E7DA}"/>
    <cellStyle name="AggOrangeLBorder 4 4 2 18" xfId="9719" xr:uid="{3FC4795B-E450-4245-910D-D25A82C1D225}"/>
    <cellStyle name="AggOrangeLBorder 4 4 2 19" xfId="9079" xr:uid="{6AFD38C9-65C3-48AB-92AE-BF588C958001}"/>
    <cellStyle name="AggOrangeLBorder 4 4 2 2" xfId="1259" xr:uid="{337FC2D7-D18A-4A00-A13E-73EEA2784A0D}"/>
    <cellStyle name="AggOrangeLBorder 4 4 2 20" xfId="10246" xr:uid="{926A9A20-F1EC-43B4-9E26-03B3AFA993E7}"/>
    <cellStyle name="AggOrangeLBorder 4 4 2 21" xfId="10438" xr:uid="{80D9C2E1-9EEF-4D4F-9A9F-D7705819996A}"/>
    <cellStyle name="AggOrangeLBorder 4 4 2 22" xfId="9902" xr:uid="{F2A579E3-BC05-4064-9382-2A10FA434E44}"/>
    <cellStyle name="AggOrangeLBorder 4 4 2 23" xfId="12138" xr:uid="{23E82066-E57E-42C1-B499-A63FC8B28595}"/>
    <cellStyle name="AggOrangeLBorder 4 4 2 24" xfId="12611" xr:uid="{9D42C8C0-C65D-4111-9A39-A11627190DA7}"/>
    <cellStyle name="AggOrangeLBorder 4 4 2 25" xfId="13045" xr:uid="{74CBCCB2-94E6-433E-9AF1-47DA1EA256AA}"/>
    <cellStyle name="AggOrangeLBorder 4 4 2 26" xfId="13482" xr:uid="{1BBF5F24-FF2F-401F-859C-2BECD1421C1F}"/>
    <cellStyle name="AggOrangeLBorder 4 4 2 27" xfId="12248" xr:uid="{3EA73C0F-3723-452A-9337-0DA8F030E4C8}"/>
    <cellStyle name="AggOrangeLBorder 4 4 2 28" xfId="11349" xr:uid="{68A8CC47-0B60-4CCD-ACCA-FDBDBFAC4673}"/>
    <cellStyle name="AggOrangeLBorder 4 4 2 29" xfId="14507" xr:uid="{44E27788-A26F-4C93-949C-58A13D476ADB}"/>
    <cellStyle name="AggOrangeLBorder 4 4 2 3" xfId="1562" xr:uid="{F239E1F7-BF66-4E40-A18B-01A7986AAACC}"/>
    <cellStyle name="AggOrangeLBorder 4 4 2 30" xfId="15149" xr:uid="{B145DF08-233E-44B2-9ABE-71EF012E8F9B}"/>
    <cellStyle name="AggOrangeLBorder 4 4 2 31" xfId="15097" xr:uid="{250BD812-CC02-44CD-8FE3-92698DB17329}"/>
    <cellStyle name="AggOrangeLBorder 4 4 2 32" xfId="15490" xr:uid="{4400D282-15AB-43EE-9CED-36C714A50CD1}"/>
    <cellStyle name="AggOrangeLBorder 4 4 2 33" xfId="16830" xr:uid="{16CCA6F3-9476-4E13-93A3-0AE527429581}"/>
    <cellStyle name="AggOrangeLBorder 4 4 2 34" xfId="16179" xr:uid="{A7869391-1CE5-4FBC-AB88-6544F8D203AC}"/>
    <cellStyle name="AggOrangeLBorder 4 4 2 35" xfId="17367" xr:uid="{D476CBD5-8F48-4E58-8468-3B986BDC7F64}"/>
    <cellStyle name="AggOrangeLBorder 4 4 2 36" xfId="17208" xr:uid="{4F1BC41D-190E-4236-8EA7-8D71525E0DB6}"/>
    <cellStyle name="AggOrangeLBorder 4 4 2 37" xfId="18648" xr:uid="{8605142B-8DD7-4EFA-A3B4-0048ED033A39}"/>
    <cellStyle name="AggOrangeLBorder 4 4 2 38" xfId="16268" xr:uid="{DEEEC664-6B86-4750-A4BD-929F23E19828}"/>
    <cellStyle name="AggOrangeLBorder 4 4 2 39" xfId="18197" xr:uid="{6BA311CF-D627-4B9F-A627-BE1827E9611A}"/>
    <cellStyle name="AggOrangeLBorder 4 4 2 4" xfId="2607" xr:uid="{70C543FB-A78E-425D-80A2-15686D10AA8A}"/>
    <cellStyle name="AggOrangeLBorder 4 4 2 40" xfId="20167" xr:uid="{BC367701-D34C-405E-B5F5-345B23040429}"/>
    <cellStyle name="AggOrangeLBorder 4 4 2 41" xfId="19607" xr:uid="{65120FDA-B1B5-462F-8D84-8102C3F6A2D8}"/>
    <cellStyle name="AggOrangeLBorder 4 4 2 42" xfId="20444" xr:uid="{D040EC65-504E-463D-9277-B72377ECFCF0}"/>
    <cellStyle name="AggOrangeLBorder 4 4 2 43" xfId="19560" xr:uid="{94576808-6406-4AA3-A21D-0F04ECD362EE}"/>
    <cellStyle name="AggOrangeLBorder 4 4 2 44" xfId="19770" xr:uid="{BA9E7AC5-E380-45E5-8C54-DC95DA6C3643}"/>
    <cellStyle name="AggOrangeLBorder 4 4 2 45" xfId="21584" xr:uid="{18FAF4C0-1467-41BE-8739-5828CBCD8E3A}"/>
    <cellStyle name="AggOrangeLBorder 4 4 2 46" xfId="22503" xr:uid="{8EC86914-1EF8-4B15-A8BB-A3C204B01257}"/>
    <cellStyle name="AggOrangeLBorder 4 4 2 47" xfId="22971" xr:uid="{744B3915-E2C5-4797-9CE7-771AD47EA72B}"/>
    <cellStyle name="AggOrangeLBorder 4 4 2 48" xfId="22858" xr:uid="{109B3A94-64A6-4572-AD50-6FF079524027}"/>
    <cellStyle name="AggOrangeLBorder 4 4 2 49" xfId="23967" xr:uid="{AFCCEA3B-02FE-4FCA-9E91-0B1488B5505B}"/>
    <cellStyle name="AggOrangeLBorder 4 4 2 5" xfId="1843" xr:uid="{187F4156-A7DE-45D0-8360-9B8071083962}"/>
    <cellStyle name="AggOrangeLBorder 4 4 2 50" xfId="24875" xr:uid="{88362E40-1194-4A8C-8A86-31EF95E7FC50}"/>
    <cellStyle name="AggOrangeLBorder 4 4 2 51" xfId="24136" xr:uid="{D229EAD2-579C-4D46-85CD-838EF45956B1}"/>
    <cellStyle name="AggOrangeLBorder 4 4 2 52" xfId="25791" xr:uid="{33D69F34-6141-4DDF-B989-4A37F9297DBE}"/>
    <cellStyle name="AggOrangeLBorder 4 4 2 53" xfId="25057" xr:uid="{DE2E172A-8928-4A75-9B80-C9CF1FBD6E94}"/>
    <cellStyle name="AggOrangeLBorder 4 4 2 54" xfId="26394" xr:uid="{9BCC74CE-1EF8-4E01-A451-0B63B50E2D03}"/>
    <cellStyle name="AggOrangeLBorder 4 4 2 55" xfId="27079" xr:uid="{B5FE02FF-60BC-4AED-A0E5-66222807EBFB}"/>
    <cellStyle name="AggOrangeLBorder 4 4 2 56" xfId="27498" xr:uid="{D3ED9570-7D13-4AB6-A751-A0C3845DB30A}"/>
    <cellStyle name="AggOrangeLBorder 4 4 2 57" xfId="26346" xr:uid="{87270E35-D70E-4F89-A971-5777402D4CC8}"/>
    <cellStyle name="AggOrangeLBorder 4 4 2 58" xfId="28625" xr:uid="{A4CF343B-A059-4BC5-8436-9E3FCC7CC511}"/>
    <cellStyle name="AggOrangeLBorder 4 4 2 59" xfId="29092" xr:uid="{C74381DE-01FE-4C5D-B875-7879B404217F}"/>
    <cellStyle name="AggOrangeLBorder 4 4 2 6" xfId="2231" xr:uid="{D5DD1DF9-0FAF-443E-AB35-B24CF05D119E}"/>
    <cellStyle name="AggOrangeLBorder 4 4 2 60" xfId="27916" xr:uid="{8D2F7D73-59D8-4AE9-AB14-253C3A28300A}"/>
    <cellStyle name="AggOrangeLBorder 4 4 2 61" xfId="29881" xr:uid="{E5DB611A-BB8A-46C9-B64E-A04CF46E4293}"/>
    <cellStyle name="AggOrangeLBorder 4 4 2 62" xfId="30287" xr:uid="{27598617-AA50-42B3-8EBB-83443B70E958}"/>
    <cellStyle name="AggOrangeLBorder 4 4 2 63" xfId="30704" xr:uid="{20DD58A5-F14E-4EC1-875F-C2630C814638}"/>
    <cellStyle name="AggOrangeLBorder 4 4 2 64" xfId="31021" xr:uid="{5C2F00F6-9358-45C4-9A68-E7ACBF78C4CF}"/>
    <cellStyle name="AggOrangeLBorder 4 4 2 65" xfId="31320" xr:uid="{83E200A1-DB7F-4480-BA03-4C2039E7D864}"/>
    <cellStyle name="AggOrangeLBorder 4 4 2 7" xfId="4103" xr:uid="{3E0D7665-2FFD-43DE-BF50-00D03615019A}"/>
    <cellStyle name="AggOrangeLBorder 4 4 2 8" xfId="4540" xr:uid="{3577F758-E016-4897-99CC-2CBDB287BB10}"/>
    <cellStyle name="AggOrangeLBorder 4 4 2 9" xfId="2983" xr:uid="{B8DD31C8-CA58-408C-A395-4A7BA00A109C}"/>
    <cellStyle name="AggOrangeLBorder 4 4 20" xfId="9266" xr:uid="{59F984AC-05B6-4190-82B8-853893D0304B}"/>
    <cellStyle name="AggOrangeLBorder 4 4 21" xfId="10226" xr:uid="{188FDA62-CBD8-43FB-AEFE-8A710161D9D2}"/>
    <cellStyle name="AggOrangeLBorder 4 4 22" xfId="10907" xr:uid="{FE3C2F61-74E3-47C9-901B-9E68E709EB70}"/>
    <cellStyle name="AggOrangeLBorder 4 4 23" xfId="11301" xr:uid="{77B6CBEF-6E71-44AA-ACE4-119D107001FC}"/>
    <cellStyle name="AggOrangeLBorder 4 4 24" xfId="11923" xr:uid="{BD259BF8-FF68-49B9-B829-29640A1CF45C}"/>
    <cellStyle name="AggOrangeLBorder 4 4 25" xfId="12396" xr:uid="{B418DBD1-1F59-47C5-9E0E-546E6E7E4427}"/>
    <cellStyle name="AggOrangeLBorder 4 4 26" xfId="12830" xr:uid="{5C67721A-6D39-4A1B-A7AC-FC9C714A0FDC}"/>
    <cellStyle name="AggOrangeLBorder 4 4 27" xfId="13267" xr:uid="{FA37AE01-4322-4F32-9D52-F41F6BBE8660}"/>
    <cellStyle name="AggOrangeLBorder 4 4 28" xfId="13921" xr:uid="{1FDBD54C-3E4F-4FED-B034-2712C028466C}"/>
    <cellStyle name="AggOrangeLBorder 4 4 29" xfId="14439" xr:uid="{BE2D0466-ACE3-4E01-9A71-2697151E8DA4}"/>
    <cellStyle name="AggOrangeLBorder 4 4 3" xfId="1053" xr:uid="{1F4A5728-AA40-4690-8A03-1020370A5110}"/>
    <cellStyle name="AggOrangeLBorder 4 4 30" xfId="14287" xr:uid="{AE524752-304E-4F95-977F-193D9BFEEC6C}"/>
    <cellStyle name="AggOrangeLBorder 4 4 31" xfId="14344" xr:uid="{B505AA3D-E133-462C-816D-52BCA5A0C8D8}"/>
    <cellStyle name="AggOrangeLBorder 4 4 32" xfId="15744" xr:uid="{16DEA78E-F969-4D24-A477-AD940114E114}"/>
    <cellStyle name="AggOrangeLBorder 4 4 33" xfId="13184" xr:uid="{86DCA0E4-56D6-4672-9493-E25DA84C54F5}"/>
    <cellStyle name="AggOrangeLBorder 4 4 34" xfId="16615" xr:uid="{3D725555-A902-43DC-A16B-E6381408B34B}"/>
    <cellStyle name="AggOrangeLBorder 4 4 35" xfId="16375" xr:uid="{88641AE0-117D-4A6F-8CAE-69B10150C5E7}"/>
    <cellStyle name="AggOrangeLBorder 4 4 36" xfId="17347" xr:uid="{816415B2-B257-4F1B-A630-20535180C69A}"/>
    <cellStyle name="AggOrangeLBorder 4 4 37" xfId="18262" xr:uid="{49AA306E-41F7-43B4-AACB-1C0D9C16FB3D}"/>
    <cellStyle name="AggOrangeLBorder 4 4 38" xfId="18433" xr:uid="{5764FFE1-D0F5-43BF-A256-C5E9A5B2A083}"/>
    <cellStyle name="AggOrangeLBorder 4 4 39" xfId="19086" xr:uid="{3E7DA326-37BD-4602-906F-5B4F56DA17E4}"/>
    <cellStyle name="AggOrangeLBorder 4 4 4" xfId="1732" xr:uid="{F254E39B-E661-4334-8699-525A22B54788}"/>
    <cellStyle name="AggOrangeLBorder 4 4 40" xfId="19302" xr:uid="{693342FE-3B88-4F8F-9CF7-6BA96B677576}"/>
    <cellStyle name="AggOrangeLBorder 4 4 41" xfId="19952" xr:uid="{AC55A8D9-6C1B-44EA-88A5-0E893F4F4E3C}"/>
    <cellStyle name="AggOrangeLBorder 4 4 42" xfId="19709" xr:uid="{7BBAB10C-9D9F-4509-85C3-3B8DEB18AA01}"/>
    <cellStyle name="AggOrangeLBorder 4 4 43" xfId="19699" xr:uid="{8A508A26-4EAB-4F8F-8AE9-BDB0266CBB94}"/>
    <cellStyle name="AggOrangeLBorder 4 4 44" xfId="21391" xr:uid="{123AF0C8-70B2-416A-95A5-DE93D37D4371}"/>
    <cellStyle name="AggOrangeLBorder 4 4 45" xfId="19497" xr:uid="{2419BB4A-FF4E-4822-866D-6D0F5CC39B3A}"/>
    <cellStyle name="AggOrangeLBorder 4 4 46" xfId="20695" xr:uid="{A79D166A-D2EC-4FD5-865A-530C8DEA07F5}"/>
    <cellStyle name="AggOrangeLBorder 4 4 47" xfId="22897" xr:uid="{F5E4F69F-DEFB-4518-86A1-E254632613F7}"/>
    <cellStyle name="AggOrangeLBorder 4 4 48" xfId="23364" xr:uid="{33DC0863-C7EB-4C54-BD3D-5453459BD4C4}"/>
    <cellStyle name="AggOrangeLBorder 4 4 49" xfId="23477" xr:uid="{F336AC42-D8BC-42DB-8D5A-426776D1891E}"/>
    <cellStyle name="AggOrangeLBorder 4 4 5" xfId="2392" xr:uid="{0C019066-CA7B-45AD-B67C-F67CF184210E}"/>
    <cellStyle name="AggOrangeLBorder 4 4 50" xfId="23761" xr:uid="{7C7895DE-26C6-48D8-A43E-EC7B9DC4A32F}"/>
    <cellStyle name="AggOrangeLBorder 4 4 51" xfId="24660" xr:uid="{2F4BBF19-2060-4F3C-B921-2E1AAA5216AE}"/>
    <cellStyle name="AggOrangeLBorder 4 4 52" xfId="24384" xr:uid="{791EFF81-E647-4E00-BEA6-35ECC8EA7ADA}"/>
    <cellStyle name="AggOrangeLBorder 4 4 53" xfId="25578" xr:uid="{7F71C687-2A7F-40DD-BD35-43676AF121A4}"/>
    <cellStyle name="AggOrangeLBorder 4 4 54" xfId="26011" xr:uid="{42BB1209-8667-4796-8DC0-0C1DE14F80D7}"/>
    <cellStyle name="AggOrangeLBorder 4 4 55" xfId="25477" xr:uid="{B9FA3994-7231-4900-B1A3-5547FABFA7F1}"/>
    <cellStyle name="AggOrangeLBorder 4 4 56" xfId="26868" xr:uid="{D837776B-5A86-4880-A42E-B786579E9F55}"/>
    <cellStyle name="AggOrangeLBorder 4 4 57" xfId="27287" xr:uid="{8E3F5235-16FD-456C-AF57-B05FB3BA2F6A}"/>
    <cellStyle name="AggOrangeLBorder 4 4 58" xfId="24204" xr:uid="{7058CBD6-08C1-42CF-ABA2-968BFADC2D02}"/>
    <cellStyle name="AggOrangeLBorder 4 4 59" xfId="28410" xr:uid="{40598B01-B2BC-4492-99DA-21543F5AB721}"/>
    <cellStyle name="AggOrangeLBorder 4 4 6" xfId="3089" xr:uid="{5841D55E-9F39-469E-AC8B-AC4D17459937}"/>
    <cellStyle name="AggOrangeLBorder 4 4 60" xfId="28878" xr:uid="{C81B814F-0160-42B5-B7A2-6AAA12FA897B}"/>
    <cellStyle name="AggOrangeLBorder 4 4 61" xfId="28771" xr:uid="{3DADD449-D2D3-480E-BBB8-364B4339ACF3}"/>
    <cellStyle name="AggOrangeLBorder 4 4 62" xfId="29668" xr:uid="{035D93F9-C280-4AED-BCD7-51890A86CF08}"/>
    <cellStyle name="AggOrangeLBorder 4 4 63" xfId="30076" xr:uid="{16033DD4-2974-44D6-A508-0996ABB9FCE2}"/>
    <cellStyle name="AggOrangeLBorder 4 4 64" xfId="30490" xr:uid="{AECA9A87-6115-4B79-9DD5-AD978BC9FCEB}"/>
    <cellStyle name="AggOrangeLBorder 4 4 65" xfId="31017" xr:uid="{84515D24-197D-4FDB-B513-90DC4C2E1DB2}"/>
    <cellStyle name="AggOrangeLBorder 4 4 66" xfId="31114" xr:uid="{045AF0C2-6C1A-4CCA-B969-9DCF3FDAF093}"/>
    <cellStyle name="AggOrangeLBorder 4 4 7" xfId="3712" xr:uid="{A12EE8BD-7C25-40E5-B97A-2F16BB7FEFC4}"/>
    <cellStyle name="AggOrangeLBorder 4 4 8" xfId="3888" xr:uid="{F45104CA-2CD3-4066-A9A4-33888CFC9FC1}"/>
    <cellStyle name="AggOrangeLBorder 4 4 9" xfId="4326" xr:uid="{9568936C-75C0-4EAD-A3A4-A76A5D6F09C5}"/>
    <cellStyle name="AggOrangeLBorder 4 40" xfId="17495" xr:uid="{2B315CA3-B019-45E2-ACF2-29C08DE05387}"/>
    <cellStyle name="AggOrangeLBorder 4 41" xfId="17991" xr:uid="{47C82D81-A34F-413B-95BE-4296A5294D6B}"/>
    <cellStyle name="AggOrangeLBorder 4 42" xfId="18179" xr:uid="{E0C21833-7051-4514-9A33-F1288BBC0E16}"/>
    <cellStyle name="AggOrangeLBorder 4 43" xfId="17638" xr:uid="{B63DACAF-724A-4AAF-90F6-8F8B19C0FE53}"/>
    <cellStyle name="AggOrangeLBorder 4 44" xfId="19652" xr:uid="{B6C37869-F707-4562-92CC-C5471441464E}"/>
    <cellStyle name="AggOrangeLBorder 4 45" xfId="20316" xr:uid="{74917B70-9142-4EE0-9226-AA3E1E246FF0}"/>
    <cellStyle name="AggOrangeLBorder 4 46" xfId="20772" xr:uid="{2BA37067-567F-48C7-94C4-B7A0F70C2422}"/>
    <cellStyle name="AggOrangeLBorder 4 47" xfId="21451" xr:uid="{5BC1957D-C28E-4194-8857-AFB785E374CD}"/>
    <cellStyle name="AggOrangeLBorder 4 48" xfId="21106" xr:uid="{7EB6B3EE-0851-4FF2-A1E5-25505F270870}"/>
    <cellStyle name="AggOrangeLBorder 4 49" xfId="21428" xr:uid="{2BCBB604-63A4-45F9-9041-E305E4E36D18}"/>
    <cellStyle name="AggOrangeLBorder 4 5" xfId="693" xr:uid="{A971E2FC-1129-4779-BE81-C8AAA0A76EAB}"/>
    <cellStyle name="AggOrangeLBorder 4 5 2" xfId="5341" xr:uid="{4880002D-3ACF-4A2E-81F4-04B16A04C4E1}"/>
    <cellStyle name="AggOrangeLBorder 4 5 3" xfId="18247" xr:uid="{D2FA19F4-D600-4DC7-A171-8391C3B8BD48}"/>
    <cellStyle name="AggOrangeLBorder 4 50" xfId="22712" xr:uid="{2EDA2DF4-31F0-4B08-8AA5-B0E52E0262E9}"/>
    <cellStyle name="AggOrangeLBorder 4 51" xfId="19415" xr:uid="{6336D226-5B31-4DAC-86AE-0B609D5CAE62}"/>
    <cellStyle name="AggOrangeLBorder 4 52" xfId="23223" xr:uid="{C5EF4F6C-6455-4D2D-9659-17B25C4D938F}"/>
    <cellStyle name="AggOrangeLBorder 4 53" xfId="23561" xr:uid="{6DA287D1-D9E2-4165-AC0A-728EC528D21C}"/>
    <cellStyle name="AggOrangeLBorder 4 54" xfId="24372" xr:uid="{E8D119DF-13E7-41D8-9F5F-4013CD89CE45}"/>
    <cellStyle name="AggOrangeLBorder 4 55" xfId="25032" xr:uid="{31E2CDEF-E595-4984-9408-3B6F3332ECDE}"/>
    <cellStyle name="AggOrangeLBorder 4 56" xfId="25355" xr:uid="{CB36B15C-ED29-4344-98E9-3A6F843D3AB3}"/>
    <cellStyle name="AggOrangeLBorder 4 57" xfId="26236" xr:uid="{E0A86D15-9ED9-4D27-A20B-393F9D26AB1F}"/>
    <cellStyle name="AggOrangeLBorder 4 58" xfId="26427" xr:uid="{160D7289-1780-4524-ABCF-4E70FC2CAD99}"/>
    <cellStyle name="AggOrangeLBorder 4 59" xfId="25073" xr:uid="{C424EB6B-A728-4583-818E-35B213682C9B}"/>
    <cellStyle name="AggOrangeLBorder 4 6" xfId="945" xr:uid="{3249D5D9-9B68-4AFA-AD4C-739E94A638DC}"/>
    <cellStyle name="AggOrangeLBorder 4 60" xfId="26993" xr:uid="{6A8FA818-480E-4585-A606-4DAD09764A5D}"/>
    <cellStyle name="AggOrangeLBorder 4 61" xfId="26258" xr:uid="{50336A07-F8FA-4153-92CD-4C3CC3440A4B}"/>
    <cellStyle name="AggOrangeLBorder 4 62" xfId="28143" xr:uid="{F695F02C-5D14-4C47-812B-FC992F952A15}"/>
    <cellStyle name="AggOrangeLBorder 4 63" xfId="28267" xr:uid="{9D6DD9A1-A21D-4585-AC3E-56D61910D6EF}"/>
    <cellStyle name="AggOrangeLBorder 4 64" xfId="28731" xr:uid="{01BE88B2-AFDE-4B7A-82F8-DBA95C7A0394}"/>
    <cellStyle name="AggOrangeLBorder 4 65" xfId="29367" xr:uid="{73063961-3CCE-43F2-A914-57D5A5430199}"/>
    <cellStyle name="AggOrangeLBorder 4 66" xfId="29247" xr:uid="{DC730849-F988-4FB9-A84B-A6DDBF32A521}"/>
    <cellStyle name="AggOrangeLBorder 4 67" xfId="28286" xr:uid="{C2CBBF6D-49A7-4E92-A169-00F9482D8FD4}"/>
    <cellStyle name="AggOrangeLBorder 4 68" xfId="29471" xr:uid="{A24E15DF-6D36-4DC2-9767-C9E04FE45F73}"/>
    <cellStyle name="AggOrangeLBorder 4 69" xfId="30825" xr:uid="{0B2285B8-781A-4167-B109-69A7EBFB18F5}"/>
    <cellStyle name="AggOrangeLBorder 4 7" xfId="1588" xr:uid="{A76513F8-D836-4C86-A999-151ABD4B3328}"/>
    <cellStyle name="AggOrangeLBorder 4 8" xfId="2092" xr:uid="{AFC97032-8B02-4844-B7CD-AE3C0E0BF12A}"/>
    <cellStyle name="AggOrangeLBorder 4 9" xfId="2881" xr:uid="{FBA92CD3-2E43-4797-8D2A-C59C438B6CB3}"/>
    <cellStyle name="AggOrangeLBorder 5" xfId="77" xr:uid="{EB5CA716-4A0A-45E1-84C2-443E6321562C}"/>
    <cellStyle name="AggOrangeLBorder 5 2" xfId="4741" xr:uid="{5988D7A4-4A8E-42D7-BD6E-D47DB7D349D5}"/>
    <cellStyle name="AggOrangeLBorder 5 3" xfId="18899" xr:uid="{2DB3F43D-D686-4A94-B293-DB44DEBB9BF8}"/>
    <cellStyle name="AggOrangeRBorder" xfId="19" xr:uid="{8D8A4B21-4DF8-4D08-903C-AFF08CBBF8E1}"/>
    <cellStyle name="AggOrangeRBorder 2" xfId="119" xr:uid="{50C1C0CA-B400-4C81-B242-3A06CD4B0166}"/>
    <cellStyle name="AggOrangeRBorder 2 2" xfId="413" xr:uid="{99F60842-29AF-440B-BA1A-5983B0EEDC1B}"/>
    <cellStyle name="AggOrangeRBorder 2 2 2" xfId="525" xr:uid="{6D924AED-6C10-4002-88B9-36ACBCEC2996}"/>
    <cellStyle name="AggOrangeRBorder 2 2 2 10" xfId="4792" xr:uid="{34CB8085-4A4C-4308-AE0B-BCCAECE818BC}"/>
    <cellStyle name="AggOrangeRBorder 2 2 2 11" xfId="5173" xr:uid="{9936F174-ADD2-4998-AC4B-F412276300A3}"/>
    <cellStyle name="AggOrangeRBorder 2 2 2 12" xfId="6006" xr:uid="{D1947205-BA87-4FFA-A013-DDD471FCF6B8}"/>
    <cellStyle name="AggOrangeRBorder 2 2 2 13" xfId="6368" xr:uid="{04E1BB57-BADD-4BAC-889C-E33ED49CB6DA}"/>
    <cellStyle name="AggOrangeRBorder 2 2 2 14" xfId="5542" xr:uid="{0972B6EB-2334-4763-AEA7-610F7B053A6A}"/>
    <cellStyle name="AggOrangeRBorder 2 2 2 15" xfId="7245" xr:uid="{53730A8C-FB57-4E27-A76A-65610F83970F}"/>
    <cellStyle name="AggOrangeRBorder 2 2 2 16" xfId="7019" xr:uid="{8B7AD777-CD3A-49F4-8172-5547B05DEA7D}"/>
    <cellStyle name="AggOrangeRBorder 2 2 2 17" xfId="7846" xr:uid="{DCA41EDF-C7D1-4DA6-8685-552FAF1C9BCB}"/>
    <cellStyle name="AggOrangeRBorder 2 2 2 18" xfId="6940" xr:uid="{53386537-AFFF-4D23-8C91-8FD57C3CE7C0}"/>
    <cellStyle name="AggOrangeRBorder 2 2 2 19" xfId="9459" xr:uid="{61372F7B-B3F1-4AD7-9678-8CFAE119024C}"/>
    <cellStyle name="AggOrangeRBorder 2 2 2 2" xfId="740" xr:uid="{099FF38E-B1AF-4DAE-AF4F-528DBB827FD4}"/>
    <cellStyle name="AggOrangeRBorder 2 2 2 2 10" xfId="5388" xr:uid="{9CAE0975-E97C-4221-8AB5-E3F3E2359CCC}"/>
    <cellStyle name="AggOrangeRBorder 2 2 2 2 11" xfId="5761" xr:uid="{11ADC646-D49B-48D5-9680-2533DA348A14}"/>
    <cellStyle name="AggOrangeRBorder 2 2 2 2 12" xfId="6160" xr:uid="{D969C80C-1FBE-4E8A-BA8C-61464CCC8B70}"/>
    <cellStyle name="AggOrangeRBorder 2 2 2 2 13" xfId="6426" xr:uid="{E5FA3FDB-B8E6-489F-A945-F642E587DFC4}"/>
    <cellStyle name="AggOrangeRBorder 2 2 2 2 14" xfId="7460" xr:uid="{9CF818AE-4BA1-437C-8EE6-DC285B0BE009}"/>
    <cellStyle name="AggOrangeRBorder 2 2 2 2 15" xfId="7151" xr:uid="{8A418F6B-5151-44D8-AEDD-8F904DEDB503}"/>
    <cellStyle name="AggOrangeRBorder 2 2 2 2 16" xfId="8201" xr:uid="{51BD79F1-E027-410D-8F09-5FE73A27C05D}"/>
    <cellStyle name="AggOrangeRBorder 2 2 2 2 17" xfId="8485" xr:uid="{902A6FEC-93B8-411D-A769-8CD0DE6776B0}"/>
    <cellStyle name="AggOrangeRBorder 2 2 2 2 18" xfId="9674" xr:uid="{AED3C53D-0994-44F7-A4FF-A0F3274BE53B}"/>
    <cellStyle name="AggOrangeRBorder 2 2 2 2 19" xfId="9366" xr:uid="{8B889B1F-3325-4E79-8DC7-0022FDBF5BB7}"/>
    <cellStyle name="AggOrangeRBorder 2 2 2 2 2" xfId="1214" xr:uid="{DC101EE4-0AE9-4B31-BF03-8E4845E5E50A}"/>
    <cellStyle name="AggOrangeRBorder 2 2 2 2 20" xfId="9364" xr:uid="{18976122-C10A-480F-8AE4-FA20A8D956BB}"/>
    <cellStyle name="AggOrangeRBorder 2 2 2 2 21" xfId="10961" xr:uid="{132675C9-88C9-4B0B-A1D4-5790BF3DC76D}"/>
    <cellStyle name="AggOrangeRBorder 2 2 2 2 22" xfId="11237" xr:uid="{3F0B92E8-7127-4786-9535-7513855EEB3D}"/>
    <cellStyle name="AggOrangeRBorder 2 2 2 2 23" xfId="12093" xr:uid="{CB37C2E9-1232-48A1-9659-2086BEBFD4DD}"/>
    <cellStyle name="AggOrangeRBorder 2 2 2 2 24" xfId="12566" xr:uid="{D95B60E1-04B2-48F8-AB63-39576633675B}"/>
    <cellStyle name="AggOrangeRBorder 2 2 2 2 25" xfId="13000" xr:uid="{F52BEDAC-BB51-47E1-898F-31DF192C664D}"/>
    <cellStyle name="AggOrangeRBorder 2 2 2 2 26" xfId="13437" xr:uid="{E791202C-4197-46CB-85CF-BE93407D6F06}"/>
    <cellStyle name="AggOrangeRBorder 2 2 2 2 27" xfId="12333" xr:uid="{2A6515F9-E642-4C2B-A363-030AD246FABB}"/>
    <cellStyle name="AggOrangeRBorder 2 2 2 2 28" xfId="13805" xr:uid="{CE1A33DE-592C-4A27-9AD2-6056DA0A7AC7}"/>
    <cellStyle name="AggOrangeRBorder 2 2 2 2 29" xfId="14112" xr:uid="{BE9EE390-21FF-442D-921B-795EA3847BEC}"/>
    <cellStyle name="AggOrangeRBorder 2 2 2 2 3" xfId="1487" xr:uid="{A5E9792F-3829-470E-934B-E8FC16F70F04}"/>
    <cellStyle name="AggOrangeRBorder 2 2 2 2 30" xfId="14264" xr:uid="{31DA4650-BE8A-471E-B971-F93D591825BF}"/>
    <cellStyle name="AggOrangeRBorder 2 2 2 2 31" xfId="15161" xr:uid="{52B01C74-76E3-4E48-9CEF-ED10F170A3D8}"/>
    <cellStyle name="AggOrangeRBorder 2 2 2 2 32" xfId="15518" xr:uid="{A1BBC39B-0782-4A7A-9608-D9CED7C39A9B}"/>
    <cellStyle name="AggOrangeRBorder 2 2 2 2 33" xfId="16785" xr:uid="{37A18F68-AA44-4E9D-9911-5782E5A7A235}"/>
    <cellStyle name="AggOrangeRBorder 2 2 2 2 34" xfId="16472" xr:uid="{91299E18-334E-4C21-9220-B6C9EE731478}"/>
    <cellStyle name="AggOrangeRBorder 2 2 2 2 35" xfId="16470" xr:uid="{D7087159-50C2-4F94-B2D5-25D4DF2B72D6}"/>
    <cellStyle name="AggOrangeRBorder 2 2 2 2 36" xfId="17999" xr:uid="{F218E2DE-807D-4952-8C7D-0F2159A01C00}"/>
    <cellStyle name="AggOrangeRBorder 2 2 2 2 37" xfId="18603" xr:uid="{4328C663-1791-4763-A78C-58FA1341AB1C}"/>
    <cellStyle name="AggOrangeRBorder 2 2 2 2 38" xfId="17882" xr:uid="{C92C36CC-8F7B-4C38-94E6-A51538D8218B}"/>
    <cellStyle name="AggOrangeRBorder 2 2 2 2 39" xfId="17100" xr:uid="{4F8CE0F6-803B-45FD-9355-24008A2D67CB}"/>
    <cellStyle name="AggOrangeRBorder 2 2 2 2 4" xfId="2562" xr:uid="{850D6A8E-7ACC-4349-9EFF-6D44AF9F5B2A}"/>
    <cellStyle name="AggOrangeRBorder 2 2 2 2 40" xfId="20122" xr:uid="{74A21CF0-6B5C-45E5-91D6-8D1D1298E478}"/>
    <cellStyle name="AggOrangeRBorder 2 2 2 2 41" xfId="19808" xr:uid="{E867353E-AE0D-4FBA-9458-113BF25286E3}"/>
    <cellStyle name="AggOrangeRBorder 2 2 2 2 42" xfId="20588" xr:uid="{24CC6BA2-0714-4709-A510-08DD80FDCB1F}"/>
    <cellStyle name="AggOrangeRBorder 2 2 2 2 43" xfId="21255" xr:uid="{A73B164A-FCB4-48F4-BEC0-7269A1595345}"/>
    <cellStyle name="AggOrangeRBorder 2 2 2 2 44" xfId="21248" xr:uid="{7B729BC2-310F-485F-9443-B5121754DCCF}"/>
    <cellStyle name="AggOrangeRBorder 2 2 2 2 45" xfId="20804" xr:uid="{EA7E5731-261C-45CE-94D6-EEC01C6BD9F5}"/>
    <cellStyle name="AggOrangeRBorder 2 2 2 2 46" xfId="21245" xr:uid="{588C207E-F032-4049-A141-9C53FEA0CD45}"/>
    <cellStyle name="AggOrangeRBorder 2 2 2 2 47" xfId="22973" xr:uid="{89EE4B46-863B-41F4-8681-C5CC12172F3A}"/>
    <cellStyle name="AggOrangeRBorder 2 2 2 2 48" xfId="23519" xr:uid="{1CD5761D-4918-455A-A9DD-84C8BCD4A2AC}"/>
    <cellStyle name="AggOrangeRBorder 2 2 2 2 49" xfId="23922" xr:uid="{C211B7AC-6CA8-41C7-AA97-66D8A3A87C92}"/>
    <cellStyle name="AggOrangeRBorder 2 2 2 2 5" xfId="2244" xr:uid="{9FA472B8-0AA5-4A8D-9E66-9130F48770AD}"/>
    <cellStyle name="AggOrangeRBorder 2 2 2 2 50" xfId="24830" xr:uid="{083465A5-9AF9-4EF0-BB91-C3B7D756C77D}"/>
    <cellStyle name="AggOrangeRBorder 2 2 2 2 51" xfId="24555" xr:uid="{F90E04DB-FB87-4C55-8F9B-D62D60824E69}"/>
    <cellStyle name="AggOrangeRBorder 2 2 2 2 52" xfId="25746" xr:uid="{639C4607-7D2F-48CD-A0B6-8E697EAA3969}"/>
    <cellStyle name="AggOrangeRBorder 2 2 2 2 53" xfId="24163" xr:uid="{4144B280-9FEC-4B68-835D-F4A4045BBDFF}"/>
    <cellStyle name="AggOrangeRBorder 2 2 2 2 54" xfId="26373" xr:uid="{02508653-29CA-436A-BE92-FA0CFC92CF80}"/>
    <cellStyle name="AggOrangeRBorder 2 2 2 2 55" xfId="27034" xr:uid="{05AB24B3-14A3-4481-8B5E-D8476DC414F6}"/>
    <cellStyle name="AggOrangeRBorder 2 2 2 2 56" xfId="27453" xr:uid="{9DABF0B2-E776-496E-9C4F-F1925344FCD9}"/>
    <cellStyle name="AggOrangeRBorder 2 2 2 2 57" xfId="26398" xr:uid="{08DA4307-F002-4B7F-AF4C-31DB448773A0}"/>
    <cellStyle name="AggOrangeRBorder 2 2 2 2 58" xfId="28580" xr:uid="{24FE4083-55A5-45A4-9720-25C700B163CE}"/>
    <cellStyle name="AggOrangeRBorder 2 2 2 2 59" xfId="29047" xr:uid="{8C341E22-6CED-4F01-9274-C04A2091EEAB}"/>
    <cellStyle name="AggOrangeRBorder 2 2 2 2 6" xfId="3349" xr:uid="{DE689FB4-1441-429F-BC92-F45AD70B8160}"/>
    <cellStyle name="AggOrangeRBorder 2 2 2 2 60" xfId="28785" xr:uid="{E8313339-CCAE-4E34-A07A-E031EE6CA123}"/>
    <cellStyle name="AggOrangeRBorder 2 2 2 2 61" xfId="29836" xr:uid="{4BF654BD-876A-4D69-8ED6-4FF9349F49E6}"/>
    <cellStyle name="AggOrangeRBorder 2 2 2 2 62" xfId="30242" xr:uid="{4A916859-3A8E-4010-8823-4D6E37FA65C7}"/>
    <cellStyle name="AggOrangeRBorder 2 2 2 2 63" xfId="30659" xr:uid="{884DC5E8-7863-4CE2-A2C1-B38A909612F4}"/>
    <cellStyle name="AggOrangeRBorder 2 2 2 2 64" xfId="30401" xr:uid="{81EA5947-A0CD-4EB6-B345-564FB9599152}"/>
    <cellStyle name="AggOrangeRBorder 2 2 2 2 65" xfId="31275" xr:uid="{DAD68417-8D90-40CB-8F9E-99E9DCCF17D6}"/>
    <cellStyle name="AggOrangeRBorder 2 2 2 2 7" xfId="4058" xr:uid="{243416B2-7BCE-43D8-93E3-71551F697795}"/>
    <cellStyle name="AggOrangeRBorder 2 2 2 2 8" xfId="4495" xr:uid="{089341EF-7A98-40A0-BDFB-47B9C3A6AE9B}"/>
    <cellStyle name="AggOrangeRBorder 2 2 2 2 9" xfId="4234" xr:uid="{CB081691-FEA0-4CE3-9207-C4016BE469E6}"/>
    <cellStyle name="AggOrangeRBorder 2 2 2 20" xfId="9233" xr:uid="{082B0340-A724-4422-90F8-139462A54494}"/>
    <cellStyle name="AggOrangeRBorder 2 2 2 21" xfId="10006" xr:uid="{FF753CD1-D1E5-424E-B01B-26B99A75F789}"/>
    <cellStyle name="AggOrangeRBorder 2 2 2 22" xfId="10776" xr:uid="{3DF21258-FDCF-4143-917D-79F10B4BC159}"/>
    <cellStyle name="AggOrangeRBorder 2 2 2 23" xfId="11048" xr:uid="{11EC055C-9B85-4A52-A85A-450E64923B85}"/>
    <cellStyle name="AggOrangeRBorder 2 2 2 24" xfId="11878" xr:uid="{C5CE8298-7097-4BEB-9A4F-40976213A089}"/>
    <cellStyle name="AggOrangeRBorder 2 2 2 25" xfId="12351" xr:uid="{D35B995E-4379-4F6C-93C0-6D76767C4A71}"/>
    <cellStyle name="AggOrangeRBorder 2 2 2 26" xfId="12785" xr:uid="{D170BF79-2B4E-4D23-A79F-72C6276DB23F}"/>
    <cellStyle name="AggOrangeRBorder 2 2 2 27" xfId="13222" xr:uid="{364C568C-8C0E-4A35-9064-EA5FDDB29DCB}"/>
    <cellStyle name="AggOrangeRBorder 2 2 2 28" xfId="12272" xr:uid="{7F8996DF-981D-4881-A143-4EE12ED359BD}"/>
    <cellStyle name="AggOrangeRBorder 2 2 2 29" xfId="13951" xr:uid="{9FB08706-2A75-475E-82D2-AFF8E82E5042}"/>
    <cellStyle name="AggOrangeRBorder 2 2 2 3" xfId="1008" xr:uid="{1CD14584-B6A1-4278-B8F3-EB88C7836D7B}"/>
    <cellStyle name="AggOrangeRBorder 2 2 2 30" xfId="14914" xr:uid="{A8CA6C10-B3BD-47A9-B6A0-DB6B13F0FE2D}"/>
    <cellStyle name="AggOrangeRBorder 2 2 2 31" xfId="15385" xr:uid="{AF91A7F5-9819-4218-8B44-5E3BB9602A50}"/>
    <cellStyle name="AggOrangeRBorder 2 2 2 32" xfId="15608" xr:uid="{354E2C51-89FE-4D76-A090-8E4AA85327EC}"/>
    <cellStyle name="AggOrangeRBorder 2 2 2 33" xfId="15705" xr:uid="{68B9FCBB-9A0B-4766-B589-E392160DDC66}"/>
    <cellStyle name="AggOrangeRBorder 2 2 2 34" xfId="16570" xr:uid="{6C759AFE-ACC3-42CF-8C6C-D213E615A4EB}"/>
    <cellStyle name="AggOrangeRBorder 2 2 2 35" xfId="16341" xr:uid="{98F033C5-23AD-4FAC-A320-4EEB01A2AA2C}"/>
    <cellStyle name="AggOrangeRBorder 2 2 2 36" xfId="17122" xr:uid="{AA7C761F-EEFB-4082-A243-35B25640AA37}"/>
    <cellStyle name="AggOrangeRBorder 2 2 2 37" xfId="17206" xr:uid="{0EABC8DD-AE1F-4BD6-81FC-E5872EECAB19}"/>
    <cellStyle name="AggOrangeRBorder 2 2 2 38" xfId="18388" xr:uid="{B6F8B227-01C2-478A-AFC9-92B655E5D687}"/>
    <cellStyle name="AggOrangeRBorder 2 2 2 39" xfId="16407" xr:uid="{937FE871-25E1-4A4E-AF78-334DFEB8F97C}"/>
    <cellStyle name="AggOrangeRBorder 2 2 2 4" xfId="1549" xr:uid="{5EA7724D-4417-4A6E-BD53-676DFBF90C5A}"/>
    <cellStyle name="AggOrangeRBorder 2 2 2 40" xfId="16980" xr:uid="{93619DE6-86CA-424C-ABC6-465EAA5E5794}"/>
    <cellStyle name="AggOrangeRBorder 2 2 2 41" xfId="19907" xr:uid="{AA25EF3C-D90E-4A76-8DA2-E4BD166F353B}"/>
    <cellStyle name="AggOrangeRBorder 2 2 2 42" xfId="19674" xr:uid="{D2DEEEF0-6094-4981-89C6-4EBA519E4082}"/>
    <cellStyle name="AggOrangeRBorder 2 2 2 43" xfId="19581" xr:uid="{55961637-5C9A-4D2D-8942-BC1B1F89C89F}"/>
    <cellStyle name="AggOrangeRBorder 2 2 2 44" xfId="20427" xr:uid="{A47F32F8-83D0-4A21-B880-CEBDD86BF7DC}"/>
    <cellStyle name="AggOrangeRBorder 2 2 2 45" xfId="21301" xr:uid="{D3A2A580-C62B-4240-886F-627E8EE04DA4}"/>
    <cellStyle name="AggOrangeRBorder 2 2 2 46" xfId="21921" xr:uid="{09CC3255-24B2-4084-B474-A545A4541BA1}"/>
    <cellStyle name="AggOrangeRBorder 2 2 2 47" xfId="21225" xr:uid="{D1C502F2-CDF9-4FA4-BD42-D20C8D21400C}"/>
    <cellStyle name="AggOrangeRBorder 2 2 2 48" xfId="20430" xr:uid="{4A974242-6917-4D67-BADE-5A696FD97885}"/>
    <cellStyle name="AggOrangeRBorder 2 2 2 49" xfId="23642" xr:uid="{2B86DAD4-D0C7-4E05-98D9-D71FC92B81B1}"/>
    <cellStyle name="AggOrangeRBorder 2 2 2 5" xfId="2347" xr:uid="{F4180944-15E1-4ACB-ACB8-53A992BDAD7E}"/>
    <cellStyle name="AggOrangeRBorder 2 2 2 50" xfId="23716" xr:uid="{09669F00-8CAB-4ACD-997D-B6157DFB9633}"/>
    <cellStyle name="AggOrangeRBorder 2 2 2 51" xfId="24615" xr:uid="{AA57AA58-A818-481D-A085-26FD62269C73}"/>
    <cellStyle name="AggOrangeRBorder 2 2 2 52" xfId="24548" xr:uid="{1132563A-AF5E-4314-ADA0-CFA2D78D4A41}"/>
    <cellStyle name="AggOrangeRBorder 2 2 2 53" xfId="25533" xr:uid="{E6C8EDE4-876A-409C-B072-0426AA754CA2}"/>
    <cellStyle name="AggOrangeRBorder 2 2 2 54" xfId="26186" xr:uid="{3480265F-9159-4506-B935-32737FC72D38}"/>
    <cellStyle name="AggOrangeRBorder 2 2 2 55" xfId="26431" xr:uid="{41648752-4989-4ABB-A4AA-7940F377984F}"/>
    <cellStyle name="AggOrangeRBorder 2 2 2 56" xfId="26823" xr:uid="{F727CFB9-542D-4641-82BB-30C3226A8A21}"/>
    <cellStyle name="AggOrangeRBorder 2 2 2 57" xfId="27242" xr:uid="{72B172C4-B076-46C9-9B95-D7AEDF2866D4}"/>
    <cellStyle name="AggOrangeRBorder 2 2 2 58" xfId="27706" xr:uid="{0FCDD58D-0912-479B-9D13-D4F7055DD331}"/>
    <cellStyle name="AggOrangeRBorder 2 2 2 59" xfId="28365" xr:uid="{A0DB5A44-4AD6-4861-A131-3C2B704DBCBD}"/>
    <cellStyle name="AggOrangeRBorder 2 2 2 6" xfId="1857" xr:uid="{EC545A1F-0063-4ECA-B42D-BE2ED750F689}"/>
    <cellStyle name="AggOrangeRBorder 2 2 2 60" xfId="28833" xr:uid="{5536BBF4-5CB1-4016-A2AC-AADC53962559}"/>
    <cellStyle name="AggOrangeRBorder 2 2 2 61" xfId="28777" xr:uid="{31D51970-4D5B-47F8-A03D-F83DBB8C9C22}"/>
    <cellStyle name="AggOrangeRBorder 2 2 2 62" xfId="29623" xr:uid="{9569E680-445F-4FE3-8182-64125F234916}"/>
    <cellStyle name="AggOrangeRBorder 2 2 2 63" xfId="30031" xr:uid="{E0AA2903-401B-494E-8C75-3E1715DC28AC}"/>
    <cellStyle name="AggOrangeRBorder 2 2 2 64" xfId="30445" xr:uid="{5DBEAF58-B949-4C50-B079-5B8628E19159}"/>
    <cellStyle name="AggOrangeRBorder 2 2 2 65" xfId="30919" xr:uid="{0C78BF59-07CF-41EF-9B86-8F88E25D0020}"/>
    <cellStyle name="AggOrangeRBorder 2 2 2 66" xfId="31069" xr:uid="{245EFD9F-E017-4357-860E-DF9B18D4AB3D}"/>
    <cellStyle name="AggOrangeRBorder 2 2 2 7" xfId="3403" xr:uid="{F795790D-1F81-4452-9535-7CCE13C41ECA}"/>
    <cellStyle name="AggOrangeRBorder 2 2 2 8" xfId="3843" xr:uid="{1E1E1292-4E18-4564-BF9A-B01EFDBD6916}"/>
    <cellStyle name="AggOrangeRBorder 2 2 2 9" xfId="4281" xr:uid="{BC43FE3B-662E-48DD-A1E1-C8F0FE6643B5}"/>
    <cellStyle name="AggOrangeRBorder 2 3" xfId="271" xr:uid="{2DC8BC9D-87DC-43C9-96DB-603A54B33BE1}"/>
    <cellStyle name="AggOrangeRBorder 2 3 10" xfId="3286" xr:uid="{3055E48C-0AB1-4E06-8910-AA8965E67855}"/>
    <cellStyle name="AggOrangeRBorder 2 3 11" xfId="3743" xr:uid="{FC6373DF-0B43-4E4E-8277-C1E2485A344A}"/>
    <cellStyle name="AggOrangeRBorder 2 3 12" xfId="2301" xr:uid="{4B46A2F3-0035-4F6C-BE0C-98A036093E7D}"/>
    <cellStyle name="AggOrangeRBorder 2 3 13" xfId="2789" xr:uid="{F9665A73-19B1-496E-8327-FBBD0C1413F3}"/>
    <cellStyle name="AggOrangeRBorder 2 3 14" xfId="4898" xr:uid="{73B2D109-9012-40EB-A37B-290F06D00945}"/>
    <cellStyle name="AggOrangeRBorder 2 3 15" xfId="1867" xr:uid="{F890CFFC-0C68-40A2-A8AD-EE0AB54CE566}"/>
    <cellStyle name="AggOrangeRBorder 2 3 16" xfId="6282" xr:uid="{93D533F7-CE7F-46D6-AD53-78E775CF81C4}"/>
    <cellStyle name="AggOrangeRBorder 2 3 17" xfId="6623" xr:uid="{3558B028-DEF6-4C36-9F99-1E7EFD320DF6}"/>
    <cellStyle name="AggOrangeRBorder 2 3 18" xfId="7001" xr:uid="{C03ABE97-7A9F-454F-B0B1-DD2ADF522C74}"/>
    <cellStyle name="AggOrangeRBorder 2 3 19" xfId="6927" xr:uid="{6EB1565E-8D5E-4105-A769-672974D1F90E}"/>
    <cellStyle name="AggOrangeRBorder 2 3 2" xfId="610" xr:uid="{B89BEFDA-FF0B-4D37-BE82-29C2FF3F2991}"/>
    <cellStyle name="AggOrangeRBorder 2 3 2 10" xfId="2916" xr:uid="{87B56B11-FFBD-4205-BDF4-37035C97B79D}"/>
    <cellStyle name="AggOrangeRBorder 2 3 2 11" xfId="5258" xr:uid="{898A8FB1-DA16-4C98-8E4A-4986B4D4A2D9}"/>
    <cellStyle name="AggOrangeRBorder 2 3 2 12" xfId="4760" xr:uid="{E784AEA8-8CAD-4A09-8213-9024DD23D98C}"/>
    <cellStyle name="AggOrangeRBorder 2 3 2 13" xfId="6164" xr:uid="{B69291CF-C57D-40C1-9A26-ACE6E3FFC22A}"/>
    <cellStyle name="AggOrangeRBorder 2 3 2 14" xfId="6266" xr:uid="{2B59037A-2FC1-4AC7-BACD-A8FE479FA87B}"/>
    <cellStyle name="AggOrangeRBorder 2 3 2 15" xfId="7330" xr:uid="{2347131D-26D4-4BC9-BEF0-6582D2294CD9}"/>
    <cellStyle name="AggOrangeRBorder 2 3 2 16" xfId="7415" xr:uid="{1BB704D1-E576-4473-81B5-9D37721E7B77}"/>
    <cellStyle name="AggOrangeRBorder 2 3 2 17" xfId="8451" xr:uid="{B94C29C1-1942-4309-90B8-02F3D96EEA0F}"/>
    <cellStyle name="AggOrangeRBorder 2 3 2 18" xfId="8765" xr:uid="{60B7288D-A7C7-4C3D-B1E6-054A8D366E29}"/>
    <cellStyle name="AggOrangeRBorder 2 3 2 19" xfId="9544" xr:uid="{C05D5672-96BB-43CD-8E52-9F0C04CB064F}"/>
    <cellStyle name="AggOrangeRBorder 2 3 2 2" xfId="825" xr:uid="{40AF0C93-35EA-4CBC-895F-C94165B4FC4D}"/>
    <cellStyle name="AggOrangeRBorder 2 3 2 2 10" xfId="5473" xr:uid="{054473AE-6786-4A9A-B963-70CDADF0F664}"/>
    <cellStyle name="AggOrangeRBorder 2 3 2 2 11" xfId="3179" xr:uid="{18C93898-26AA-461C-B4FB-D70B14F87859}"/>
    <cellStyle name="AggOrangeRBorder 2 3 2 2 12" xfId="5136" xr:uid="{10B0BA94-9C7B-4F2E-BA62-7C4FE5A76F46}"/>
    <cellStyle name="AggOrangeRBorder 2 3 2 2 13" xfId="6112" xr:uid="{4F9AA7DB-1B72-4B67-BD68-5CD0B68DE24D}"/>
    <cellStyle name="AggOrangeRBorder 2 3 2 2 14" xfId="7545" xr:uid="{FCD9C98F-67BA-4674-B867-9AF3C30943B4}"/>
    <cellStyle name="AggOrangeRBorder 2 3 2 2 15" xfId="6972" xr:uid="{6538C654-53E9-49D8-A35A-42863C9DC1CE}"/>
    <cellStyle name="AggOrangeRBorder 2 3 2 2 16" xfId="7424" xr:uid="{014B837E-3CE1-4A0C-A546-932E83848337}"/>
    <cellStyle name="AggOrangeRBorder 2 3 2 2 17" xfId="8634" xr:uid="{E345B16B-CE09-48E1-B079-B47FBA61FFFB}"/>
    <cellStyle name="AggOrangeRBorder 2 3 2 2 18" xfId="9759" xr:uid="{FF47BAD8-3C08-453D-A731-33AEF6899EBF}"/>
    <cellStyle name="AggOrangeRBorder 2 3 2 2 19" xfId="9083" xr:uid="{C2F12ADA-FBE3-4028-88E2-C420B677AAE2}"/>
    <cellStyle name="AggOrangeRBorder 2 3 2 2 2" xfId="1299" xr:uid="{77FCEBBC-1CEA-49E9-B9D4-F294FE526E33}"/>
    <cellStyle name="AggOrangeRBorder 2 3 2 2 20" xfId="9109" xr:uid="{A226C13B-2DA2-4DF6-9024-535698C8566B}"/>
    <cellStyle name="AggOrangeRBorder 2 3 2 2 21" xfId="10176" xr:uid="{7528D1BC-0A44-45AE-9F34-94BF8DAD9475}"/>
    <cellStyle name="AggOrangeRBorder 2 3 2 2 22" xfId="10842" xr:uid="{EAC2994D-C2BA-4CAB-90DB-C88F0C7257F2}"/>
    <cellStyle name="AggOrangeRBorder 2 3 2 2 23" xfId="12178" xr:uid="{48612821-A0F9-4A7C-B590-2D4D8C2EBEF2}"/>
    <cellStyle name="AggOrangeRBorder 2 3 2 2 24" xfId="12651" xr:uid="{FDA57294-831E-41BD-BF05-3C47498905D2}"/>
    <cellStyle name="AggOrangeRBorder 2 3 2 2 25" xfId="13085" xr:uid="{16863C44-C406-4A71-BEEE-4CCAE29D67AA}"/>
    <cellStyle name="AggOrangeRBorder 2 3 2 2 26" xfId="13522" xr:uid="{0CC63C19-5067-4580-BAD4-33B4041B8AD2}"/>
    <cellStyle name="AggOrangeRBorder 2 3 2 2 27" xfId="12766" xr:uid="{03D3F32B-7A0D-41BD-95AF-2BA618A8BD4F}"/>
    <cellStyle name="AggOrangeRBorder 2 3 2 2 28" xfId="11697" xr:uid="{7786F3C8-106F-4C40-9ADA-7E1BAE87AC9C}"/>
    <cellStyle name="AggOrangeRBorder 2 3 2 2 29" xfId="13941" xr:uid="{01969CFD-A1B8-49D6-BB3E-384C2B2F6D6C}"/>
    <cellStyle name="AggOrangeRBorder 2 3 2 2 3" xfId="1503" xr:uid="{ADB56C23-A26D-4328-B344-E1FBCF53E2A4}"/>
    <cellStyle name="AggOrangeRBorder 2 3 2 2 30" xfId="12753" xr:uid="{25D5DE90-4C63-40DF-8532-87FF43B1A71D}"/>
    <cellStyle name="AggOrangeRBorder 2 3 2 2 31" xfId="15185" xr:uid="{D172C059-D112-42C3-A0F1-3A9537B97D87}"/>
    <cellStyle name="AggOrangeRBorder 2 3 2 2 32" xfId="15764" xr:uid="{6BB4D89B-6F66-4DCF-B223-E6BEACDD6393}"/>
    <cellStyle name="AggOrangeRBorder 2 3 2 2 33" xfId="16870" xr:uid="{0C89B696-5F66-4710-B45F-54BB630A49A2}"/>
    <cellStyle name="AggOrangeRBorder 2 3 2 2 34" xfId="16292" xr:uid="{9A0CCBD7-09FD-432C-9B2E-CAB2ABD5F962}"/>
    <cellStyle name="AggOrangeRBorder 2 3 2 2 35" xfId="16212" xr:uid="{AD6F88C6-1AF7-4C11-B650-8254E590F63E}"/>
    <cellStyle name="AggOrangeRBorder 2 3 2 2 36" xfId="17964" xr:uid="{427388A7-6204-4591-BCA6-26560B75B667}"/>
    <cellStyle name="AggOrangeRBorder 2 3 2 2 37" xfId="18688" xr:uid="{17C3D19E-7323-497C-9D70-FAF2094E3A7E}"/>
    <cellStyle name="AggOrangeRBorder 2 3 2 2 38" xfId="18223" xr:uid="{3CE0020D-ECAC-4407-881A-517EA0D01E75}"/>
    <cellStyle name="AggOrangeRBorder 2 3 2 2 39" xfId="18809" xr:uid="{E9D04763-6366-4223-8FF3-E7E08682A9AB}"/>
    <cellStyle name="AggOrangeRBorder 2 3 2 2 4" xfId="2647" xr:uid="{FDF60FA1-B622-428A-895B-FA6CC7B851F8}"/>
    <cellStyle name="AggOrangeRBorder 2 3 2 2 40" xfId="20207" xr:uid="{C6C7A284-7E29-4BF4-9FE9-705D040080DB}"/>
    <cellStyle name="AggOrangeRBorder 2 3 2 2 41" xfId="19797" xr:uid="{ACD38B35-7120-4B21-B94B-5245E6F05C44}"/>
    <cellStyle name="AggOrangeRBorder 2 3 2 2 42" xfId="20572" xr:uid="{75BEE360-27CB-4C55-B128-80FC28804DBE}"/>
    <cellStyle name="AggOrangeRBorder 2 3 2 2 43" xfId="20888" xr:uid="{F0FB6FF7-180D-4170-BB9F-915F6E082E7C}"/>
    <cellStyle name="AggOrangeRBorder 2 3 2 2 44" xfId="21594" xr:uid="{40D4E71C-7D5B-4D00-AB92-91CEC59CF178}"/>
    <cellStyle name="AggOrangeRBorder 2 3 2 2 45" xfId="21389" xr:uid="{C96970A1-719A-40EB-9D8F-5FB02D633B00}"/>
    <cellStyle name="AggOrangeRBorder 2 3 2 2 46" xfId="22406" xr:uid="{3FC51933-88AC-4503-9AEC-2EABF60D01C4}"/>
    <cellStyle name="AggOrangeRBorder 2 3 2 2 47" xfId="22961" xr:uid="{655EAEEA-B336-490F-87F6-89D775E193C7}"/>
    <cellStyle name="AggOrangeRBorder 2 3 2 2 48" xfId="20930" xr:uid="{99935BDA-9F42-42E7-9FB9-89E61CFFFD17}"/>
    <cellStyle name="AggOrangeRBorder 2 3 2 2 49" xfId="24007" xr:uid="{56C4CCBC-2DC6-480A-8BA7-810CF38FB6EA}"/>
    <cellStyle name="AggOrangeRBorder 2 3 2 2 5" xfId="1936" xr:uid="{C30FEB13-084B-4B2C-AE9A-4ADA4E4B3B96}"/>
    <cellStyle name="AggOrangeRBorder 2 3 2 2 50" xfId="24915" xr:uid="{74A2F778-700F-41EB-9D67-C7D4FC764E9C}"/>
    <cellStyle name="AggOrangeRBorder 2 3 2 2 51" xfId="24231" xr:uid="{B59CFCC0-B542-44E4-B71E-1272B29A821D}"/>
    <cellStyle name="AggOrangeRBorder 2 3 2 2 52" xfId="25831" xr:uid="{A63F0883-2B9A-41ED-B8EB-B48616CAB13C}"/>
    <cellStyle name="AggOrangeRBorder 2 3 2 2 53" xfId="25701" xr:uid="{58C9DD8A-A30E-443B-A2CE-85C6BE0F1E87}"/>
    <cellStyle name="AggOrangeRBorder 2 3 2 2 54" xfId="26024" xr:uid="{637ECB78-1B7F-422A-9C4A-14B142FAA6A4}"/>
    <cellStyle name="AggOrangeRBorder 2 3 2 2 55" xfId="27119" xr:uid="{CB222544-4191-45CD-99F4-A0779C386F05}"/>
    <cellStyle name="AggOrangeRBorder 2 3 2 2 56" xfId="27538" xr:uid="{3E161CD7-5A94-41F7-919B-97991B0E7463}"/>
    <cellStyle name="AggOrangeRBorder 2 3 2 2 57" xfId="26727" xr:uid="{F1148BDD-175B-4E4E-B501-79E120341285}"/>
    <cellStyle name="AggOrangeRBorder 2 3 2 2 58" xfId="28665" xr:uid="{986F28E0-28BF-44E5-AA32-1223C9FD0F10}"/>
    <cellStyle name="AggOrangeRBorder 2 3 2 2 59" xfId="29132" xr:uid="{DBCD40CC-CC25-40CF-820C-8F49B18E917E}"/>
    <cellStyle name="AggOrangeRBorder 2 3 2 2 6" xfId="3618" xr:uid="{1E95B92B-F79D-42C2-8E22-FD428E02EB98}"/>
    <cellStyle name="AggOrangeRBorder 2 3 2 2 60" xfId="28266" xr:uid="{A16F69B3-64A0-43F8-AEF8-98249E11C00C}"/>
    <cellStyle name="AggOrangeRBorder 2 3 2 2 61" xfId="29921" xr:uid="{9619D38F-451A-4D6A-AA96-D23669291B76}"/>
    <cellStyle name="AggOrangeRBorder 2 3 2 2 62" xfId="30327" xr:uid="{BFEB20DB-02A0-4C45-8C3C-19A37DFACC31}"/>
    <cellStyle name="AggOrangeRBorder 2 3 2 2 63" xfId="30744" xr:uid="{ACFA4CA1-CBF4-411F-B3A8-842A327B635C}"/>
    <cellStyle name="AggOrangeRBorder 2 3 2 2 64" xfId="31001" xr:uid="{14D8EB9A-682A-4DF1-BDB3-23D9CC466731}"/>
    <cellStyle name="AggOrangeRBorder 2 3 2 2 65" xfId="31360" xr:uid="{BDD3F053-6C33-47F2-9E30-86BE5508D7B1}"/>
    <cellStyle name="AggOrangeRBorder 2 3 2 2 7" xfId="4143" xr:uid="{02844CBF-4C34-4BC0-9CFA-F5B2311B92A5}"/>
    <cellStyle name="AggOrangeRBorder 2 3 2 2 8" xfId="4580" xr:uid="{CAF581EF-DD64-4BD7-A5BE-7C7E91A7ED02}"/>
    <cellStyle name="AggOrangeRBorder 2 3 2 2 9" xfId="2723" xr:uid="{8AC18927-44A6-449B-B4C1-C565B3ABBD30}"/>
    <cellStyle name="AggOrangeRBorder 2 3 2 20" xfId="9027" xr:uid="{5C887621-AAAE-4ADF-A16B-02FF6862A3BA}"/>
    <cellStyle name="AggOrangeRBorder 2 3 2 21" xfId="9056" xr:uid="{AAE42352-BC32-4B9D-A797-B7B3FB4E5D75}"/>
    <cellStyle name="AggOrangeRBorder 2 3 2 22" xfId="9950" xr:uid="{67A9E0C3-D33A-4B4B-9EBB-FF6B8C5D045C}"/>
    <cellStyle name="AggOrangeRBorder 2 3 2 23" xfId="11040" xr:uid="{5FC13ADF-C396-4FBA-99E2-9460C7E94CE2}"/>
    <cellStyle name="AggOrangeRBorder 2 3 2 24" xfId="11963" xr:uid="{F519BE7F-ECD8-4D5F-93C0-AE97FDB81D49}"/>
    <cellStyle name="AggOrangeRBorder 2 3 2 25" xfId="12436" xr:uid="{84C40EC5-B067-4C33-B356-77B646341134}"/>
    <cellStyle name="AggOrangeRBorder 2 3 2 26" xfId="12870" xr:uid="{63D0078E-C8A1-4FFC-B49B-5EB61D09F765}"/>
    <cellStyle name="AggOrangeRBorder 2 3 2 27" xfId="13307" xr:uid="{CAB1A8E1-DA1F-4C66-A1C8-486C8E6101CA}"/>
    <cellStyle name="AggOrangeRBorder 2 3 2 28" xfId="11751" xr:uid="{70B2651A-A6BA-4816-BF30-09B0205E4342}"/>
    <cellStyle name="AggOrangeRBorder 2 3 2 29" xfId="14392" xr:uid="{E69BA2FA-C6AD-4995-B4BC-C4A0D2C4EE79}"/>
    <cellStyle name="AggOrangeRBorder 2 3 2 3" xfId="1093" xr:uid="{E90E1843-5E83-4B25-AA2D-6E365AE1B8F0}"/>
    <cellStyle name="AggOrangeRBorder 2 3 2 30" xfId="14736" xr:uid="{76F1626B-8DBC-48F7-8029-005694D21B24}"/>
    <cellStyle name="AggOrangeRBorder 2 3 2 31" xfId="14101" xr:uid="{1DC094F8-CEF6-43ED-B1E2-54F8D7DF0F0C}"/>
    <cellStyle name="AggOrangeRBorder 2 3 2 32" xfId="15667" xr:uid="{9D525AD8-1369-4251-AFFA-26CF0D8CB509}"/>
    <cellStyle name="AggOrangeRBorder 2 3 2 33" xfId="14273" xr:uid="{35D275F0-A7DD-4DC1-A6C9-A34C6FB074E4}"/>
    <cellStyle name="AggOrangeRBorder 2 3 2 34" xfId="16655" xr:uid="{0149C2B8-93AA-4876-B1CE-E7E270086045}"/>
    <cellStyle name="AggOrangeRBorder 2 3 2 35" xfId="16740" xr:uid="{40C9C187-3BC1-4944-8793-926D85917BC0}"/>
    <cellStyle name="AggOrangeRBorder 2 3 2 36" xfId="16546" xr:uid="{5A76ADF0-A040-438D-9790-34F7AEBE109D}"/>
    <cellStyle name="AggOrangeRBorder 2 3 2 37" xfId="17641" xr:uid="{DAA24BD5-9EF9-4332-B851-66B3F62E5526}"/>
    <cellStyle name="AggOrangeRBorder 2 3 2 38" xfId="18473" xr:uid="{C6988DFA-1686-426F-AD6F-3C16D5FE2985}"/>
    <cellStyle name="AggOrangeRBorder 2 3 2 39" xfId="18852" xr:uid="{28D1F224-0E01-45FD-81CC-C7595CB7F7DC}"/>
    <cellStyle name="AggOrangeRBorder 2 3 2 4" xfId="1628" xr:uid="{3B81A163-CDFD-49E5-8CE1-6B207C5D60DF}"/>
    <cellStyle name="AggOrangeRBorder 2 3 2 40" xfId="19151" xr:uid="{D9FE5E88-6B2F-4124-AF81-E815E60E725C}"/>
    <cellStyle name="AggOrangeRBorder 2 3 2 41" xfId="19992" xr:uid="{386E9D63-EFE3-4DC6-A875-551C78B11AFA}"/>
    <cellStyle name="AggOrangeRBorder 2 3 2 42" xfId="19389" xr:uid="{2D18BCC8-623E-4F80-9E81-F35DFA9FC3D5}"/>
    <cellStyle name="AggOrangeRBorder 2 3 2 43" xfId="20531" xr:uid="{7ECDAFB4-CC13-4DF3-A9B4-E50B2DF0F3E1}"/>
    <cellStyle name="AggOrangeRBorder 2 3 2 44" xfId="19382" xr:uid="{1A46F13A-0153-466C-B15D-869190498BD9}"/>
    <cellStyle name="AggOrangeRBorder 2 3 2 45" xfId="19598" xr:uid="{798CD209-183E-4C14-84A4-50BEB577F4E8}"/>
    <cellStyle name="AggOrangeRBorder 2 3 2 46" xfId="21903" xr:uid="{FF3DE358-8FBC-4B51-941D-F3F507846E63}"/>
    <cellStyle name="AggOrangeRBorder 2 3 2 47" xfId="22596" xr:uid="{2584CEA5-2625-44F5-A4AA-435C26D1D554}"/>
    <cellStyle name="AggOrangeRBorder 2 3 2 48" xfId="23129" xr:uid="{9C4D8400-5CD6-47BC-9FD2-FD1A77FB8611}"/>
    <cellStyle name="AggOrangeRBorder 2 3 2 49" xfId="23075" xr:uid="{A881D18C-097F-488D-A86C-25E5195EAE14}"/>
    <cellStyle name="AggOrangeRBorder 2 3 2 5" xfId="2432" xr:uid="{7AD301C6-8237-4EB8-BED7-B8B22BA7BB9A}"/>
    <cellStyle name="AggOrangeRBorder 2 3 2 50" xfId="23801" xr:uid="{92E2EEC7-2155-4320-86A4-3B6FB52FC958}"/>
    <cellStyle name="AggOrangeRBorder 2 3 2 51" xfId="24700" xr:uid="{30C66DDE-479B-4EE0-87D5-321CF3CE0970}"/>
    <cellStyle name="AggOrangeRBorder 2 3 2 52" xfId="24123" xr:uid="{BA80C9A7-4EA8-4678-9749-BF5E11CB4146}"/>
    <cellStyle name="AggOrangeRBorder 2 3 2 53" xfId="25618" xr:uid="{D80AB61F-5CAA-46F8-8A65-0A44527B8713}"/>
    <cellStyle name="AggOrangeRBorder 2 3 2 54" xfId="25900" xr:uid="{6FFC25EC-0847-412F-A697-F3C6C1935A96}"/>
    <cellStyle name="AggOrangeRBorder 2 3 2 55" xfId="26570" xr:uid="{D3B1BDFE-4EC6-49E8-839A-311C7604803C}"/>
    <cellStyle name="AggOrangeRBorder 2 3 2 56" xfId="26908" xr:uid="{02545DC4-1FBC-45EE-971C-A8C56C4BDA01}"/>
    <cellStyle name="AggOrangeRBorder 2 3 2 57" xfId="27327" xr:uid="{CBC31624-895E-4763-B38E-C985D275937D}"/>
    <cellStyle name="AggOrangeRBorder 2 3 2 58" xfId="25426" xr:uid="{2533853B-EF07-40E3-B2D9-C7DAECAA48D4}"/>
    <cellStyle name="AggOrangeRBorder 2 3 2 59" xfId="28450" xr:uid="{112D8BC2-866F-4CCF-97E8-E48B272364BC}"/>
    <cellStyle name="AggOrangeRBorder 2 3 2 6" xfId="2753" xr:uid="{66404DD5-19F8-4BB5-8773-242B324B98C9}"/>
    <cellStyle name="AggOrangeRBorder 2 3 2 60" xfId="28918" xr:uid="{0B8CF59E-576C-491F-85A1-438CF35094B4}"/>
    <cellStyle name="AggOrangeRBorder 2 3 2 61" xfId="28733" xr:uid="{E4A179B7-95B4-4D5E-8D46-7CFCD379D52C}"/>
    <cellStyle name="AggOrangeRBorder 2 3 2 62" xfId="29708" xr:uid="{B36A3FD7-3E6E-4851-9BA0-0B6C2421F254}"/>
    <cellStyle name="AggOrangeRBorder 2 3 2 63" xfId="30116" xr:uid="{EC5FD7D8-7125-4F27-96E3-68E29535C106}"/>
    <cellStyle name="AggOrangeRBorder 2 3 2 64" xfId="30530" xr:uid="{ED07286B-8A17-48A0-B4AB-22F1730F2EB2}"/>
    <cellStyle name="AggOrangeRBorder 2 3 2 65" xfId="30873" xr:uid="{97670F82-F44D-43E9-9423-C66CBFD5BEDE}"/>
    <cellStyle name="AggOrangeRBorder 2 3 2 66" xfId="31154" xr:uid="{381A0B1B-08BF-41DE-9FD2-48AAD7509D99}"/>
    <cellStyle name="AggOrangeRBorder 2 3 2 7" xfId="2037" xr:uid="{E8851CF2-C588-44E4-BC03-9E12A720BA92}"/>
    <cellStyle name="AggOrangeRBorder 2 3 2 8" xfId="3928" xr:uid="{5C8A1EC1-AA53-4E49-A63F-E410C40F76CE}"/>
    <cellStyle name="AggOrangeRBorder 2 3 2 9" xfId="4366" xr:uid="{DA3BF0B6-4CB5-42A8-AACF-405D1B641156}"/>
    <cellStyle name="AggOrangeRBorder 2 3 20" xfId="8049" xr:uid="{79152F64-EA88-40B8-B638-F0A37BE88A67}"/>
    <cellStyle name="AggOrangeRBorder 2 3 21" xfId="8817" xr:uid="{E7EA5D4D-AC5B-4BAC-BE6A-1E3E84968DCE}"/>
    <cellStyle name="AggOrangeRBorder 2 3 22" xfId="9215" xr:uid="{4D37BE3A-B8F4-48A1-A325-0630E7569311}"/>
    <cellStyle name="AggOrangeRBorder 2 3 23" xfId="9286" xr:uid="{BD1B4A5C-7424-4C42-A04D-833C45C03CD5}"/>
    <cellStyle name="AggOrangeRBorder 2 3 24" xfId="9988" xr:uid="{0DB50E8A-A823-42B8-BA5A-4F7C28D132FD}"/>
    <cellStyle name="AggOrangeRBorder 2 3 25" xfId="10237" xr:uid="{405DC40A-E6AE-4342-9CAE-8816CD46FFB0}"/>
    <cellStyle name="AggOrangeRBorder 2 3 26" xfId="10934" xr:uid="{8CB3102E-786B-4B57-BE8B-C4F265C798BC}"/>
    <cellStyle name="AggOrangeRBorder 2 3 27" xfId="11627" xr:uid="{503516DA-E128-4827-A84C-6BA1C0A7ECAD}"/>
    <cellStyle name="AggOrangeRBorder 2 3 28" xfId="11765" xr:uid="{D4E856FE-01DC-4930-B67A-E515290C5371}"/>
    <cellStyle name="AggOrangeRBorder 2 3 29" xfId="11413" xr:uid="{1F9DA13B-BE44-4324-B882-39DE7D1DD403}"/>
    <cellStyle name="AggOrangeRBorder 2 3 3" xfId="586" xr:uid="{AA7D6A97-4B7B-43E4-97B3-470A0E1808FB}"/>
    <cellStyle name="AggOrangeRBorder 2 3 3 10" xfId="3509" xr:uid="{42B04F0C-8DE2-427C-97B2-CC14C153919B}"/>
    <cellStyle name="AggOrangeRBorder 2 3 3 11" xfId="5234" xr:uid="{F905E973-BFE8-4FBB-871E-1D06A4A69409}"/>
    <cellStyle name="AggOrangeRBorder 2 3 3 12" xfId="5676" xr:uid="{E00FFE55-BBBD-4AFC-8E73-D673BA69BB54}"/>
    <cellStyle name="AggOrangeRBorder 2 3 3 13" xfId="6117" xr:uid="{1F772296-3AD2-484A-8496-FE600927EC97}"/>
    <cellStyle name="AggOrangeRBorder 2 3 3 14" xfId="6557" xr:uid="{C12203ED-B51F-4D3C-9A5C-F2300C1A3475}"/>
    <cellStyle name="AggOrangeRBorder 2 3 3 15" xfId="7306" xr:uid="{CE9FB1EF-C46B-4328-A602-87DE6B319BB0}"/>
    <cellStyle name="AggOrangeRBorder 2 3 3 16" xfId="7822" xr:uid="{7835F1B9-EFD0-4962-AA92-1B01B0A717AC}"/>
    <cellStyle name="AggOrangeRBorder 2 3 3 17" xfId="8479" xr:uid="{241AF960-C73E-4F15-BD0E-9DDD9FB9363D}"/>
    <cellStyle name="AggOrangeRBorder 2 3 3 18" xfId="8617" xr:uid="{E12918CF-6BBD-45E6-8AA5-E2D98AEA61AB}"/>
    <cellStyle name="AggOrangeRBorder 2 3 3 19" xfId="9520" xr:uid="{17A71879-2950-4EB3-92F4-B8B5403F560E}"/>
    <cellStyle name="AggOrangeRBorder 2 3 3 2" xfId="801" xr:uid="{02FA6421-3F7D-4A39-9E89-BFAF14902B99}"/>
    <cellStyle name="AggOrangeRBorder 2 3 3 2 10" xfId="5449" xr:uid="{CD4A33E4-2875-42F9-91EF-F7E45FAF834C}"/>
    <cellStyle name="AggOrangeRBorder 2 3 3 2 11" xfId="3988" xr:uid="{3262CA44-2299-4163-BAF3-3161BC36F111}"/>
    <cellStyle name="AggOrangeRBorder 2 3 3 2 12" xfId="4818" xr:uid="{83D02F02-2CB5-4B17-AB24-368B7B486302}"/>
    <cellStyle name="AggOrangeRBorder 2 3 3 2 13" xfId="6412" xr:uid="{E46C3FF4-CC7A-4005-85E4-1D159A3126A5}"/>
    <cellStyle name="AggOrangeRBorder 2 3 3 2 14" xfId="7521" xr:uid="{D6E652E7-4D89-4099-AF6B-080EA30434E3}"/>
    <cellStyle name="AggOrangeRBorder 2 3 3 2 15" xfId="7055" xr:uid="{BE6E8A77-84E9-46AD-A2D1-5A3788A16110}"/>
    <cellStyle name="AggOrangeRBorder 2 3 3 2 16" xfId="8393" xr:uid="{60CD3380-A8BB-4054-974D-BE6514F09CCE}"/>
    <cellStyle name="AggOrangeRBorder 2 3 3 2 17" xfId="7803" xr:uid="{79D99FAA-05EF-41F9-99EF-C8E827A1A24D}"/>
    <cellStyle name="AggOrangeRBorder 2 3 3 2 18" xfId="9735" xr:uid="{2FD27A3A-60A5-4083-A4A5-B6313C18DD3A}"/>
    <cellStyle name="AggOrangeRBorder 2 3 3 2 19" xfId="9268" xr:uid="{0FEEB291-3BFE-409A-99D4-7422A629604A}"/>
    <cellStyle name="AggOrangeRBorder 2 3 3 2 2" xfId="1275" xr:uid="{41B5412D-4CA0-4856-A67C-F53547A12E8B}"/>
    <cellStyle name="AggOrangeRBorder 2 3 3 2 20" xfId="10214" xr:uid="{5D1C0E08-7FEA-442D-A581-7F21DF1D6300}"/>
    <cellStyle name="AggOrangeRBorder 2 3 3 2 21" xfId="9884" xr:uid="{B0F5EBA8-84FA-4A16-926B-DB26120DDA9A}"/>
    <cellStyle name="AggOrangeRBorder 2 3 3 2 22" xfId="9889" xr:uid="{01268E75-00D0-4898-B1D8-44676FCD0F12}"/>
    <cellStyle name="AggOrangeRBorder 2 3 3 2 23" xfId="12154" xr:uid="{5B9574B6-3194-4044-B7CD-D3459F988E79}"/>
    <cellStyle name="AggOrangeRBorder 2 3 3 2 24" xfId="12627" xr:uid="{DB0A2B95-E10A-425B-B41B-65E2F5EEF192}"/>
    <cellStyle name="AggOrangeRBorder 2 3 3 2 25" xfId="13061" xr:uid="{42897353-4D7F-403A-92C5-7DA87B1DE969}"/>
    <cellStyle name="AggOrangeRBorder 2 3 3 2 26" xfId="13498" xr:uid="{EB20B67A-1903-4F5E-B23D-144063BA5328}"/>
    <cellStyle name="AggOrangeRBorder 2 3 3 2 27" xfId="13904" xr:uid="{85335305-C8B9-4E67-B3EB-465595F436F6}"/>
    <cellStyle name="AggOrangeRBorder 2 3 3 2 28" xfId="13824" xr:uid="{9BD5C557-8501-4184-8766-314D60FF9E92}"/>
    <cellStyle name="AggOrangeRBorder 2 3 3 2 29" xfId="14408" xr:uid="{C67B9F80-02E6-4BA9-B0C0-2EF9D08CCEEB}"/>
    <cellStyle name="AggOrangeRBorder 2 3 3 2 3" xfId="1647" xr:uid="{D83F4F2C-2B93-4043-BC23-9D9C3B351CDE}"/>
    <cellStyle name="AggOrangeRBorder 2 3 3 2 30" xfId="14534" xr:uid="{FC8C3CF5-F5FF-4A14-AFF6-CA9C5060E9EC}"/>
    <cellStyle name="AggOrangeRBorder 2 3 3 2 31" xfId="14539" xr:uid="{4CEF9A3F-3FB1-4449-8387-0B4A62D52D13}"/>
    <cellStyle name="AggOrangeRBorder 2 3 3 2 32" xfId="14982" xr:uid="{53ACD454-F2F3-4BD4-A537-C26F36083E36}"/>
    <cellStyle name="AggOrangeRBorder 2 3 3 2 33" xfId="16846" xr:uid="{A6916C2C-E7CA-4558-B509-B5404C2CC428}"/>
    <cellStyle name="AggOrangeRBorder 2 3 3 2 34" xfId="16377" xr:uid="{B486065D-B5B6-4958-B4A5-3E16F4893BD6}"/>
    <cellStyle name="AggOrangeRBorder 2 3 3 2 35" xfId="17335" xr:uid="{3E17319A-C287-4384-A612-4DD9F7731E8F}"/>
    <cellStyle name="AggOrangeRBorder 2 3 3 2 36" xfId="17653" xr:uid="{884A36F8-3B11-40E0-9ED6-898A14C53704}"/>
    <cellStyle name="AggOrangeRBorder 2 3 3 2 37" xfId="18664" xr:uid="{2750CA7C-F0A5-46FB-AEE7-62836C0E317C}"/>
    <cellStyle name="AggOrangeRBorder 2 3 3 2 38" xfId="18348" xr:uid="{AB22CA1A-64E2-4854-86F2-630C25C5CB49}"/>
    <cellStyle name="AggOrangeRBorder 2 3 3 2 39" xfId="19291" xr:uid="{71451C96-5D41-4715-88D7-DC7F86EA5A3A}"/>
    <cellStyle name="AggOrangeRBorder 2 3 3 2 4" xfId="2623" xr:uid="{280B6DD0-FB1B-4FE0-B8C1-0BF1D810C752}"/>
    <cellStyle name="AggOrangeRBorder 2 3 3 2 40" xfId="20183" xr:uid="{6C4017ED-ADCF-4B47-A3D1-82126E2FEECC}"/>
    <cellStyle name="AggOrangeRBorder 2 3 3 2 41" xfId="19711" xr:uid="{89D72110-1B90-4A1A-BB09-AF4741272AB3}"/>
    <cellStyle name="AggOrangeRBorder 2 3 3 2 42" xfId="20558" xr:uid="{B74739B3-92A5-404F-A5D9-1CB284BE8A78}"/>
    <cellStyle name="AggOrangeRBorder 2 3 3 2 43" xfId="20292" xr:uid="{E03FA922-156A-4074-9144-4B370D0E7291}"/>
    <cellStyle name="AggOrangeRBorder 2 3 3 2 44" xfId="21506" xr:uid="{BEE5FEEF-AC4F-49C4-9CBE-FA5889CC87FA}"/>
    <cellStyle name="AggOrangeRBorder 2 3 3 2 45" xfId="21793" xr:uid="{45A30ACB-CB4C-4AFF-87AC-E6D81258A7D5}"/>
    <cellStyle name="AggOrangeRBorder 2 3 3 2 46" xfId="22884" xr:uid="{39F5AD5D-AD87-48D2-A188-52871AC37A51}"/>
    <cellStyle name="AggOrangeRBorder 2 3 3 2 47" xfId="22950" xr:uid="{40CBD9E2-0C13-4E2D-AE2E-A989A2BFC5B6}"/>
    <cellStyle name="AggOrangeRBorder 2 3 3 2 48" xfId="22893" xr:uid="{B8C8991D-8079-432A-9CA4-F692E85C6E67}"/>
    <cellStyle name="AggOrangeRBorder 2 3 3 2 49" xfId="23983" xr:uid="{9DB6BC3B-1319-4000-9252-C1BEE421A02A}"/>
    <cellStyle name="AggOrangeRBorder 2 3 3 2 5" xfId="3072" xr:uid="{1D7E5A46-3081-46EA-9008-ED98CA4481BB}"/>
    <cellStyle name="AggOrangeRBorder 2 3 3 2 50" xfId="24891" xr:uid="{DB026610-F48A-4F59-B1B9-DAFA309D5696}"/>
    <cellStyle name="AggOrangeRBorder 2 3 3 2 51" xfId="24562" xr:uid="{A95DA936-BF45-42D0-B6E4-857D2E08B302}"/>
    <cellStyle name="AggOrangeRBorder 2 3 3 2 52" xfId="25807" xr:uid="{4B7E3AE0-ED93-4AE4-998A-93D8E3436423}"/>
    <cellStyle name="AggOrangeRBorder 2 3 3 2 53" xfId="25072" xr:uid="{656DAE1C-A0E5-4F03-AA2E-60A38F8922EC}"/>
    <cellStyle name="AggOrangeRBorder 2 3 3 2 54" xfId="26008" xr:uid="{00D3AC07-746C-4695-A95D-BD038B9C8C22}"/>
    <cellStyle name="AggOrangeRBorder 2 3 3 2 55" xfId="27095" xr:uid="{FB382C9E-254B-4250-9054-1542CF7A2EA4}"/>
    <cellStyle name="AggOrangeRBorder 2 3 3 2 56" xfId="27514" xr:uid="{124A6DB2-7E06-4BC5-93F9-52F8D9E02E23}"/>
    <cellStyle name="AggOrangeRBorder 2 3 3 2 57" xfId="27822" xr:uid="{D9368EC5-75AA-4448-8A4A-C42225FD4619}"/>
    <cellStyle name="AggOrangeRBorder 2 3 3 2 58" xfId="28641" xr:uid="{B859AB07-10E1-451C-A96A-DDCF6B162513}"/>
    <cellStyle name="AggOrangeRBorder 2 3 3 2 59" xfId="29108" xr:uid="{3B2E3515-0A9D-453A-AB3C-41AE26683766}"/>
    <cellStyle name="AggOrangeRBorder 2 3 3 2 6" xfId="2829" xr:uid="{00670E13-F3B2-40EF-A7F3-534A2AA817CF}"/>
    <cellStyle name="AggOrangeRBorder 2 3 3 2 60" xfId="28791" xr:uid="{891F95A5-86BA-4D62-A86C-BB482C0B59A9}"/>
    <cellStyle name="AggOrangeRBorder 2 3 3 2 61" xfId="29897" xr:uid="{4BD440D8-311C-4B22-B588-E56297DEDED0}"/>
    <cellStyle name="AggOrangeRBorder 2 3 3 2 62" xfId="30303" xr:uid="{4D2C44C1-D543-48B8-A73C-514B27FAB364}"/>
    <cellStyle name="AggOrangeRBorder 2 3 3 2 63" xfId="30720" xr:uid="{490B31CA-4C59-482E-96E9-E3B9AE45CC48}"/>
    <cellStyle name="AggOrangeRBorder 2 3 3 2 64" xfId="28049" xr:uid="{3B442ABD-78A5-4E62-95A5-3387C5CFABAC}"/>
    <cellStyle name="AggOrangeRBorder 2 3 3 2 65" xfId="31336" xr:uid="{6D493D75-9F1D-4D56-ACB5-F7DF836B864F}"/>
    <cellStyle name="AggOrangeRBorder 2 3 3 2 7" xfId="4119" xr:uid="{CEBBE96F-AC54-4DDA-AC73-261111F19B9E}"/>
    <cellStyle name="AggOrangeRBorder 2 3 3 2 8" xfId="4556" xr:uid="{6B2AF672-E09C-486A-93ED-F6E67B3106B6}"/>
    <cellStyle name="AggOrangeRBorder 2 3 3 2 9" xfId="3316" xr:uid="{3DFC0CFE-6B48-4DED-8E91-B21F0DEF281D}"/>
    <cellStyle name="AggOrangeRBorder 2 3 3 20" xfId="10034" xr:uid="{B76DAC27-EFB2-409E-8C43-5BEE153ABB6C}"/>
    <cellStyle name="AggOrangeRBorder 2 3 3 21" xfId="10455" xr:uid="{9CFD6418-FC61-4FAE-9215-2FEF1515FA93}"/>
    <cellStyle name="AggOrangeRBorder 2 3 3 22" xfId="10019" xr:uid="{FA95809C-767F-4D20-BABF-14A8E86EEC03}"/>
    <cellStyle name="AggOrangeRBorder 2 3 3 23" xfId="11137" xr:uid="{F9C64A23-1467-49F4-9F20-258F1BC17A12}"/>
    <cellStyle name="AggOrangeRBorder 2 3 3 24" xfId="11939" xr:uid="{41D6020C-E67D-4D5C-BFF9-1C87302060AC}"/>
    <cellStyle name="AggOrangeRBorder 2 3 3 25" xfId="12412" xr:uid="{AAE77B98-79AA-4327-BE49-8F62CE30A7E7}"/>
    <cellStyle name="AggOrangeRBorder 2 3 3 26" xfId="12846" xr:uid="{3EC33F43-93A3-45B7-BF57-DF7B74CC72A5}"/>
    <cellStyle name="AggOrangeRBorder 2 3 3 27" xfId="13283" xr:uid="{1EDAB5AF-E20B-4649-955C-773926415726}"/>
    <cellStyle name="AggOrangeRBorder 2 3 3 28" xfId="13985" xr:uid="{7F1D998D-C7BB-4409-B2A2-66D450F3733A}"/>
    <cellStyle name="AggOrangeRBorder 2 3 3 29" xfId="11421" xr:uid="{B9667828-E33E-49EE-BF87-EA5383CA3B9C}"/>
    <cellStyle name="AggOrangeRBorder 2 3 3 3" xfId="1069" xr:uid="{A5EC4597-8DBA-4BEB-9DB5-27F694D3AF0B}"/>
    <cellStyle name="AggOrangeRBorder 2 3 3 30" xfId="14062" xr:uid="{4A16262E-ED27-4E59-9B1C-318C0DF78A9B}"/>
    <cellStyle name="AggOrangeRBorder 2 3 3 31" xfId="13872" xr:uid="{810D8A7E-F627-48B9-9F5F-404C8A56F09A}"/>
    <cellStyle name="AggOrangeRBorder 2 3 3 32" xfId="14628" xr:uid="{5CB425EA-F0D2-48A3-8B2F-16B8631C17E6}"/>
    <cellStyle name="AggOrangeRBorder 2 3 3 33" xfId="15869" xr:uid="{C56FCB7D-2056-4ED4-9C53-7B26BA87EA10}"/>
    <cellStyle name="AggOrangeRBorder 2 3 3 34" xfId="16631" xr:uid="{56473E57-035F-468B-9BB9-0C01036C3754}"/>
    <cellStyle name="AggOrangeRBorder 2 3 3 35" xfId="17152" xr:uid="{A4C65DF7-BD8C-4AC3-9E8D-14E344A07664}"/>
    <cellStyle name="AggOrangeRBorder 2 3 3 36" xfId="17597" xr:uid="{78D0318E-2D73-4397-8D67-3F4F5D0AD774}"/>
    <cellStyle name="AggOrangeRBorder 2 3 3 37" xfId="17475" xr:uid="{9EB6BA17-DD09-45E0-9B4B-FF281AAE02A4}"/>
    <cellStyle name="AggOrangeRBorder 2 3 3 38" xfId="18449" xr:uid="{2A0A0FEC-9488-4F31-9E83-3C4378DE43C8}"/>
    <cellStyle name="AggOrangeRBorder 2 3 3 39" xfId="18304" xr:uid="{70A65AFE-C09F-4901-9F5C-C6F133D6B181}"/>
    <cellStyle name="AggOrangeRBorder 2 3 3 4" xfId="1524" xr:uid="{AE372526-05F6-45D1-9CDA-610941FDAE9D}"/>
    <cellStyle name="AggOrangeRBorder 2 3 3 40" xfId="18334" xr:uid="{3F6C4488-4FB7-49F5-B510-70A8D376E802}"/>
    <cellStyle name="AggOrangeRBorder 2 3 3 41" xfId="19968" xr:uid="{84C5589E-AB04-4502-9FAB-CEC3C8B52C88}"/>
    <cellStyle name="AggOrangeRBorder 2 3 3 42" xfId="20504" xr:uid="{74A07791-F175-42F9-AFD5-5C539DCD1014}"/>
    <cellStyle name="AggOrangeRBorder 2 3 3 43" xfId="20958" xr:uid="{7B5D9048-C2FF-460B-A3F6-0AC99B51351E}"/>
    <cellStyle name="AggOrangeRBorder 2 3 3 44" xfId="19643" xr:uid="{477BB6CE-8744-46F7-94A4-6B68D8A3F276}"/>
    <cellStyle name="AggOrangeRBorder 2 3 3 45" xfId="21888" xr:uid="{B3103CA3-C7FC-4F5C-826C-F7B040D12F3A}"/>
    <cellStyle name="AggOrangeRBorder 2 3 3 46" xfId="22324" xr:uid="{FBC381A0-B4C4-4508-83FE-1E2BECDD2AA3}"/>
    <cellStyle name="AggOrangeRBorder 2 3 3 47" xfId="22957" xr:uid="{1248DA1A-38CD-4198-9ECB-A65614C6C497}"/>
    <cellStyle name="AggOrangeRBorder 2 3 3 48" xfId="22463" xr:uid="{0C89B57E-27F1-463F-A87F-0F1D92415B31}"/>
    <cellStyle name="AggOrangeRBorder 2 3 3 49" xfId="22243" xr:uid="{A7336CC2-D743-474B-B270-3B6B573BBDAE}"/>
    <cellStyle name="AggOrangeRBorder 2 3 3 5" xfId="2408" xr:uid="{2B0DF68A-6F06-406E-99E8-542FC5456FC3}"/>
    <cellStyle name="AggOrangeRBorder 2 3 3 50" xfId="23777" xr:uid="{BA040B9B-4040-4D63-995E-D0905E062E08}"/>
    <cellStyle name="AggOrangeRBorder 2 3 3 51" xfId="24676" xr:uid="{51CDE25E-F101-4CBE-9C96-CA50AFC26CA4}"/>
    <cellStyle name="AggOrangeRBorder 2 3 3 52" xfId="25213" xr:uid="{9D1B56BB-6DC4-422E-98CD-F91ECA4D02D3}"/>
    <cellStyle name="AggOrangeRBorder 2 3 3 53" xfId="25594" xr:uid="{2050A5B7-51B6-4C0C-9E23-B9C95427CA28}"/>
    <cellStyle name="AggOrangeRBorder 2 3 3 54" xfId="26264" xr:uid="{F6095605-2B38-4456-89EF-5D1E3B99D48B}"/>
    <cellStyle name="AggOrangeRBorder 2 3 3 55" xfId="26429" xr:uid="{8BE8342F-040B-44D7-A9F7-F8EC052A1BE0}"/>
    <cellStyle name="AggOrangeRBorder 2 3 3 56" xfId="26884" xr:uid="{586CD795-11C5-416D-80E4-E3815550A637}"/>
    <cellStyle name="AggOrangeRBorder 2 3 3 57" xfId="27303" xr:uid="{C914A492-651A-47A2-8340-CE9B43407BC0}"/>
    <cellStyle name="AggOrangeRBorder 2 3 3 58" xfId="27818" xr:uid="{AAB4DEB8-C4A5-4907-9FB2-EC4F0195FCC2}"/>
    <cellStyle name="AggOrangeRBorder 2 3 3 59" xfId="28426" xr:uid="{51B6B335-D209-43DB-BAEA-9AF94AD5DFE8}"/>
    <cellStyle name="AggOrangeRBorder 2 3 3 6" xfId="3156" xr:uid="{3A97DEBA-5466-4602-A0E7-FC3F878F0ABF}"/>
    <cellStyle name="AggOrangeRBorder 2 3 3 60" xfId="28894" xr:uid="{744AB883-A0A2-413C-8DBB-40DEC6D62AC0}"/>
    <cellStyle name="AggOrangeRBorder 2 3 3 61" xfId="29354" xr:uid="{71A5D964-0B40-4EA3-9E55-2AC697408F68}"/>
    <cellStyle name="AggOrangeRBorder 2 3 3 62" xfId="29684" xr:uid="{BC8587F6-4103-45F6-AA65-DDD9BDED2748}"/>
    <cellStyle name="AggOrangeRBorder 2 3 3 63" xfId="30092" xr:uid="{520386BC-1CA4-478D-B073-24B6594AF11C}"/>
    <cellStyle name="AggOrangeRBorder 2 3 3 64" xfId="30506" xr:uid="{1653FCFB-C8D7-41A3-A568-DA71FC251F64}"/>
    <cellStyle name="AggOrangeRBorder 2 3 3 65" xfId="30988" xr:uid="{7637BA96-B47D-43D6-998F-9FE7BAE8246F}"/>
    <cellStyle name="AggOrangeRBorder 2 3 3 66" xfId="31130" xr:uid="{900EDDE3-E49E-4262-B959-C8AA15043028}"/>
    <cellStyle name="AggOrangeRBorder 2 3 3 7" xfId="3387" xr:uid="{46C5503A-173A-4B26-AD99-E176B797A01F}"/>
    <cellStyle name="AggOrangeRBorder 2 3 3 8" xfId="3904" xr:uid="{8EDB3B6A-6067-44EC-A8AE-291D4F5055EC}"/>
    <cellStyle name="AggOrangeRBorder 2 3 3 9" xfId="4342" xr:uid="{7E1C9265-9232-45D1-89E2-613652FD6401}"/>
    <cellStyle name="AggOrangeRBorder 2 3 30" xfId="11491" xr:uid="{88FB614C-BFA4-4771-8ADD-C3B1F0C945A3}"/>
    <cellStyle name="AggOrangeRBorder 2 3 31" xfId="11534" xr:uid="{176F9285-3FC2-4107-BBB8-88EE68FF1DCA}"/>
    <cellStyle name="AggOrangeRBorder 2 3 32" xfId="13780" xr:uid="{3F5EC70F-0BD6-4FB2-9D11-B8E5F891268C}"/>
    <cellStyle name="AggOrangeRBorder 2 3 33" xfId="13711" xr:uid="{E15E3735-D86E-4BA5-AAB2-223D57575175}"/>
    <cellStyle name="AggOrangeRBorder 2 3 34" xfId="15024" xr:uid="{CB9EE8FF-2644-487A-ABB7-330D679CD207}"/>
    <cellStyle name="AggOrangeRBorder 2 3 35" xfId="15672" xr:uid="{FE55FE15-5746-40C0-AA70-A48452D5173A}"/>
    <cellStyle name="AggOrangeRBorder 2 3 36" xfId="14554" xr:uid="{DC3F6EEF-025A-44EF-844F-003982701AC7}"/>
    <cellStyle name="AggOrangeRBorder 2 3 37" xfId="16322" xr:uid="{554F83C7-705C-4DB1-A6A0-C2C1FD57DFE6}"/>
    <cellStyle name="AggOrangeRBorder 2 3 38" xfId="16244" xr:uid="{95D0B99D-EDB9-4161-8511-21D542F89450}"/>
    <cellStyle name="AggOrangeRBorder 2 3 39" xfId="17193" xr:uid="{B97CF873-8936-4FAD-ACC8-3D915D68B0C8}"/>
    <cellStyle name="AggOrangeRBorder 2 3 4" xfId="568" xr:uid="{5DD55455-57CE-41BF-893A-AA02779FD01B}"/>
    <cellStyle name="AggOrangeRBorder 2 3 4 10" xfId="4992" xr:uid="{1C86FB74-2CE2-46C2-92BA-2B30C6CCB519}"/>
    <cellStyle name="AggOrangeRBorder 2 3 4 11" xfId="5216" xr:uid="{91335EF5-3317-4860-9BBB-80C5B4B68785}"/>
    <cellStyle name="AggOrangeRBorder 2 3 4 12" xfId="2153" xr:uid="{D2A0DAEF-DC71-4E51-A9FB-9883DFD46D75}"/>
    <cellStyle name="AggOrangeRBorder 2 3 4 13" xfId="6103" xr:uid="{7D4FC985-F6B7-4C94-8F45-0846B6DF347F}"/>
    <cellStyle name="AggOrangeRBorder 2 3 4 14" xfId="6669" xr:uid="{43B4ED6C-0D93-4955-A2E9-7F06EA8A9D38}"/>
    <cellStyle name="AggOrangeRBorder 2 3 4 15" xfId="7288" xr:uid="{99E256E0-BE2D-4082-A785-82275A62329C}"/>
    <cellStyle name="AggOrangeRBorder 2 3 4 16" xfId="6738" xr:uid="{F7905A07-DF48-4B5A-9268-34D61E879A02}"/>
    <cellStyle name="AggOrangeRBorder 2 3 4 17" xfId="8612" xr:uid="{4A1E3273-B46C-4756-BFC0-B5A492192EB7}"/>
    <cellStyle name="AggOrangeRBorder 2 3 4 18" xfId="6918" xr:uid="{F9041674-4811-4542-A3B0-292C9B21975F}"/>
    <cellStyle name="AggOrangeRBorder 2 3 4 19" xfId="9502" xr:uid="{6FF07E6C-1C24-4B69-9451-C17BCC725C7A}"/>
    <cellStyle name="AggOrangeRBorder 2 3 4 2" xfId="783" xr:uid="{C75D32A1-1058-4BEB-9BF1-C4FB33BD1563}"/>
    <cellStyle name="AggOrangeRBorder 2 3 4 2 10" xfId="5431" xr:uid="{6322FC67-EDAB-4946-8FB7-B276A0532438}"/>
    <cellStyle name="AggOrangeRBorder 2 3 4 2 11" xfId="5769" xr:uid="{CC17DC76-4A7C-4DD8-8D6C-7AC6D10DB399}"/>
    <cellStyle name="AggOrangeRBorder 2 3 4 2 12" xfId="4722" xr:uid="{F0774C31-77B3-4BE4-A545-5B4E789EA03B}"/>
    <cellStyle name="AggOrangeRBorder 2 3 4 2 13" xfId="6633" xr:uid="{A13E886C-EC7E-4135-AB76-D9CBA6210F95}"/>
    <cellStyle name="AggOrangeRBorder 2 3 4 2 14" xfId="7503" xr:uid="{3A03E8DB-B3A9-44AA-8459-93A1DDE94E45}"/>
    <cellStyle name="AggOrangeRBorder 2 3 4 2 15" xfId="7090" xr:uid="{EEFEAC81-05A3-4DC2-9708-FBC553513E10}"/>
    <cellStyle name="AggOrangeRBorder 2 3 4 2 16" xfId="8178" xr:uid="{9BF651F7-8D77-46B2-946D-38F3C506AAA7}"/>
    <cellStyle name="AggOrangeRBorder 2 3 4 2 17" xfId="8783" xr:uid="{F1CA6FE3-A42B-4D9C-9170-73DE9F05CABE}"/>
    <cellStyle name="AggOrangeRBorder 2 3 4 2 18" xfId="9717" xr:uid="{651FF791-BC4E-4D59-BE25-4728AFBA3856}"/>
    <cellStyle name="AggOrangeRBorder 2 3 4 2 19" xfId="9077" xr:uid="{03BBBF40-168A-480A-8683-99E23912C2D0}"/>
    <cellStyle name="AggOrangeRBorder 2 3 4 2 2" xfId="1257" xr:uid="{1C81316B-1754-4CFD-AED1-6ACF3DDEA9DD}"/>
    <cellStyle name="AggOrangeRBorder 2 3 4 2 20" xfId="9049" xr:uid="{5784351F-DD45-4B78-9333-F5D047AD4625}"/>
    <cellStyle name="AggOrangeRBorder 2 3 4 2 21" xfId="8999" xr:uid="{E5364DD2-09CC-45B2-8F8D-6B8E3A9BCCDF}"/>
    <cellStyle name="AggOrangeRBorder 2 3 4 2 22" xfId="11119" xr:uid="{D6432D3C-3E53-4A91-9618-3EA8E28EF582}"/>
    <cellStyle name="AggOrangeRBorder 2 3 4 2 23" xfId="12136" xr:uid="{FA82B58C-31DA-4601-AC20-D8303044C8B0}"/>
    <cellStyle name="AggOrangeRBorder 2 3 4 2 24" xfId="12609" xr:uid="{53436C3C-A8C5-4FF5-A44F-FD18057D6E02}"/>
    <cellStyle name="AggOrangeRBorder 2 3 4 2 25" xfId="13043" xr:uid="{43FF470B-63A7-453B-A753-D4223F41ED6F}"/>
    <cellStyle name="AggOrangeRBorder 2 3 4 2 26" xfId="13480" xr:uid="{5C0B8765-231F-47FF-A993-11EC6DA2629F}"/>
    <cellStyle name="AggOrangeRBorder 2 3 4 2 27" xfId="11451" xr:uid="{DCDFEB47-8FC9-4211-AF27-7FCBCC6EB20F}"/>
    <cellStyle name="AggOrangeRBorder 2 3 4 2 28" xfId="14231" xr:uid="{0C98EA33-3824-4CC3-895D-8719ADA415B5}"/>
    <cellStyle name="AggOrangeRBorder 2 3 4 2 29" xfId="11550" xr:uid="{46A2CE7A-10DA-49B8-AB04-D5305791585B}"/>
    <cellStyle name="AggOrangeRBorder 2 3 4 2 3" xfId="1425" xr:uid="{CF8F88F8-D3B5-44A4-93A9-984CF13CB5FA}"/>
    <cellStyle name="AggOrangeRBorder 2 3 4 2 30" xfId="14318" xr:uid="{502E2C1C-C0F4-49A7-B289-61E492A21224}"/>
    <cellStyle name="AggOrangeRBorder 2 3 4 2 31" xfId="15288" xr:uid="{C152824B-CA58-4958-AE42-EC5A50BDABCF}"/>
    <cellStyle name="AggOrangeRBorder 2 3 4 2 32" xfId="14719" xr:uid="{03B159CF-32EA-4B2F-96B7-7B75511F0E05}"/>
    <cellStyle name="AggOrangeRBorder 2 3 4 2 33" xfId="16828" xr:uid="{11E81E6B-E91A-46AB-9B47-0FB72A7E4AC8}"/>
    <cellStyle name="AggOrangeRBorder 2 3 4 2 34" xfId="16412" xr:uid="{B955955A-86DB-4973-9C94-BB566BD6DAB3}"/>
    <cellStyle name="AggOrangeRBorder 2 3 4 2 35" xfId="16146" xr:uid="{BBD5530F-F79F-4524-80FF-29D8F76EF048}"/>
    <cellStyle name="AggOrangeRBorder 2 3 4 2 36" xfId="18089" xr:uid="{456E8CFE-5774-47DF-B0E3-5787F4A45B2B}"/>
    <cellStyle name="AggOrangeRBorder 2 3 4 2 37" xfId="18646" xr:uid="{74FB1912-4A4C-4226-943C-945662BFBCDC}"/>
    <cellStyle name="AggOrangeRBorder 2 3 4 2 38" xfId="18898" xr:uid="{53837658-E49C-4455-ABA0-2FABFEB91AB2}"/>
    <cellStyle name="AggOrangeRBorder 2 3 4 2 39" xfId="19146" xr:uid="{15E2CD25-7795-4011-9D74-9B7A300E3069}"/>
    <cellStyle name="AggOrangeRBorder 2 3 4 2 4" xfId="2605" xr:uid="{FE3AA365-2918-4608-A5F2-5099BF1D6667}"/>
    <cellStyle name="AggOrangeRBorder 2 3 4 2 40" xfId="20165" xr:uid="{172F9768-8902-4B09-86E3-EADD412FF0A1}"/>
    <cellStyle name="AggOrangeRBorder 2 3 4 2 41" xfId="19510" xr:uid="{DA7BA768-2C4B-40A3-B284-8D54583904B0}"/>
    <cellStyle name="AggOrangeRBorder 2 3 4 2 42" xfId="19417" xr:uid="{B1CEDECC-482D-43F2-AD8E-678E3FA51409}"/>
    <cellStyle name="AggOrangeRBorder 2 3 4 2 43" xfId="21148" xr:uid="{02FDDE39-8658-4105-A878-3256A05094F8}"/>
    <cellStyle name="AggOrangeRBorder 2 3 4 2 44" xfId="19777" xr:uid="{99E1620F-1A38-4AAE-A405-948D32EE0494}"/>
    <cellStyle name="AggOrangeRBorder 2 3 4 2 45" xfId="20800" xr:uid="{854F39F8-8006-488E-BD65-E780F4C48841}"/>
    <cellStyle name="AggOrangeRBorder 2 3 4 2 46" xfId="22587" xr:uid="{695E8D39-24DB-4E9C-ADCD-AF6AA023B2F8}"/>
    <cellStyle name="AggOrangeRBorder 2 3 4 2 47" xfId="23174" xr:uid="{9C9B24A3-043D-416C-B69E-5C012F00F8CF}"/>
    <cellStyle name="AggOrangeRBorder 2 3 4 2 48" xfId="22888" xr:uid="{1A712ED0-AF0A-4CD9-86DD-F3D5309B5D31}"/>
    <cellStyle name="AggOrangeRBorder 2 3 4 2 49" xfId="23965" xr:uid="{B6499BBF-F090-4A15-943E-E7BEC02F48E5}"/>
    <cellStyle name="AggOrangeRBorder 2 3 4 2 5" xfId="2743" xr:uid="{5214EFFD-1ED5-438D-AFFE-3ADB77A7C692}"/>
    <cellStyle name="AggOrangeRBorder 2 3 4 2 50" xfId="24873" xr:uid="{E1C1587B-B4A1-4ED3-A330-80385DE99F88}"/>
    <cellStyle name="AggOrangeRBorder 2 3 4 2 51" xfId="24505" xr:uid="{923B0A56-55D0-4360-ABB7-4350488EF18B}"/>
    <cellStyle name="AggOrangeRBorder 2 3 4 2 52" xfId="25789" xr:uid="{2DB04AF2-1BC6-4ABC-9620-7B7BCDA9EB7E}"/>
    <cellStyle name="AggOrangeRBorder 2 3 4 2 53" xfId="24249" xr:uid="{9C70FD2E-E7B0-404B-96FE-4755DE0516CF}"/>
    <cellStyle name="AggOrangeRBorder 2 3 4 2 54" xfId="26389" xr:uid="{B7B86E60-1672-4F8E-BFBC-6117903D3EA0}"/>
    <cellStyle name="AggOrangeRBorder 2 3 4 2 55" xfId="27077" xr:uid="{B9B24E9C-08CC-44A2-8412-C5172AF568B2}"/>
    <cellStyle name="AggOrangeRBorder 2 3 4 2 56" xfId="27496" xr:uid="{5AE3754F-75A4-4D82-9237-1F731B172C01}"/>
    <cellStyle name="AggOrangeRBorder 2 3 4 2 57" xfId="26656" xr:uid="{7C4CA6E6-A415-41F6-9E9D-E955269A910F}"/>
    <cellStyle name="AggOrangeRBorder 2 3 4 2 58" xfId="28623" xr:uid="{AD059A59-3FEE-4839-BFD3-7A19E1BACA1E}"/>
    <cellStyle name="AggOrangeRBorder 2 3 4 2 59" xfId="29090" xr:uid="{5B2B951D-8137-4A8E-B1B7-640FAF88E585}"/>
    <cellStyle name="AggOrangeRBorder 2 3 4 2 6" xfId="3520" xr:uid="{9A3A3B14-A565-4810-BA07-00EFD46FEA97}"/>
    <cellStyle name="AggOrangeRBorder 2 3 4 2 60" xfId="29007" xr:uid="{5DF00D8D-92FD-4587-9CF9-04FDD65E45E5}"/>
    <cellStyle name="AggOrangeRBorder 2 3 4 2 61" xfId="29879" xr:uid="{0AA52500-F284-41DB-92D6-4539346C1145}"/>
    <cellStyle name="AggOrangeRBorder 2 3 4 2 62" xfId="30285" xr:uid="{A98B7D19-98A9-40A9-9D19-BEBE9A7F27EF}"/>
    <cellStyle name="AggOrangeRBorder 2 3 4 2 63" xfId="30702" xr:uid="{3E2F9A8F-1D3F-4CC7-9667-5A79910F91FE}"/>
    <cellStyle name="AggOrangeRBorder 2 3 4 2 64" xfId="28768" xr:uid="{FE589772-3EAB-4D5B-98D4-DF873B9E99F6}"/>
    <cellStyle name="AggOrangeRBorder 2 3 4 2 65" xfId="31318" xr:uid="{E6D1E1BA-CC4F-44AC-A64C-399A6A20BFC6}"/>
    <cellStyle name="AggOrangeRBorder 2 3 4 2 7" xfId="4101" xr:uid="{FEC6C50C-08DF-4327-ADCE-D74395ED5521}"/>
    <cellStyle name="AggOrangeRBorder 2 3 4 2 8" xfId="4538" xr:uid="{4C878C00-4997-4057-A6B5-5DE6DAB08CB7}"/>
    <cellStyle name="AggOrangeRBorder 2 3 4 2 9" xfId="5016" xr:uid="{05071EA7-8888-468E-A046-55C64815ABB6}"/>
    <cellStyle name="AggOrangeRBorder 2 3 4 20" xfId="9040" xr:uid="{FF5DE4F7-4847-4574-8793-5FEB78BB2CFD}"/>
    <cellStyle name="AggOrangeRBorder 2 3 4 21" xfId="9891" xr:uid="{8F8B1DBF-4203-4556-B3F6-445523B8E8AD}"/>
    <cellStyle name="AggOrangeRBorder 2 3 4 22" xfId="10587" xr:uid="{15E9A605-BEAC-475E-84D7-6C425FB143C5}"/>
    <cellStyle name="AggOrangeRBorder 2 3 4 23" xfId="11286" xr:uid="{D3D03E63-2B54-4317-BFDD-E0E4F37DC7C6}"/>
    <cellStyle name="AggOrangeRBorder 2 3 4 24" xfId="11921" xr:uid="{6E30EA58-BAF0-4040-95B8-125EBD9A040C}"/>
    <cellStyle name="AggOrangeRBorder 2 3 4 25" xfId="12394" xr:uid="{E3B01629-7485-4E30-931D-95EDC2A73B7F}"/>
    <cellStyle name="AggOrangeRBorder 2 3 4 26" xfId="12828" xr:uid="{CF9A3C6A-2127-4510-824D-B5A5E19FF19E}"/>
    <cellStyle name="AggOrangeRBorder 2 3 4 27" xfId="13265" xr:uid="{7EDB1E5D-A917-4A08-A048-7CCD1ABB3EFD}"/>
    <cellStyle name="AggOrangeRBorder 2 3 4 28" xfId="12261" xr:uid="{68ED3E1A-DAD1-48C1-871F-117588902726}"/>
    <cellStyle name="AggOrangeRBorder 2 3 4 29" xfId="14207" xr:uid="{B6930019-07E1-4E11-9CB8-7EEDA4A881CD}"/>
    <cellStyle name="AggOrangeRBorder 2 3 4 3" xfId="1051" xr:uid="{36B0DA7D-2402-4B63-BF60-AD0FFD9FBFFB}"/>
    <cellStyle name="AggOrangeRBorder 2 3 4 30" xfId="13155" xr:uid="{437B8D6A-D851-4685-8CEF-9D15AF859573}"/>
    <cellStyle name="AggOrangeRBorder 2 3 4 31" xfId="15098" xr:uid="{4C9F2D9C-64B6-4F81-BE3E-AB72D2F50634}"/>
    <cellStyle name="AggOrangeRBorder 2 3 4 32" xfId="15051" xr:uid="{F0631E6B-8FF1-40A1-BE22-6737ABA1E5D4}"/>
    <cellStyle name="AggOrangeRBorder 2 3 4 33" xfId="15514" xr:uid="{1D0EB4C2-DE80-4006-BBAC-451DCDB47768}"/>
    <cellStyle name="AggOrangeRBorder 2 3 4 34" xfId="16613" xr:uid="{583D710F-A05C-42F7-A94E-6269C081FE8E}"/>
    <cellStyle name="AggOrangeRBorder 2 3 4 35" xfId="16046" xr:uid="{1799343D-9B1E-496D-B02C-F81C2D196DE9}"/>
    <cellStyle name="AggOrangeRBorder 2 3 4 36" xfId="16512" xr:uid="{A8825D63-1A82-419B-BEE3-5A89788AD1D7}"/>
    <cellStyle name="AggOrangeRBorder 2 3 4 37" xfId="17584" xr:uid="{B690D915-FC42-4BF2-A370-7CA188C179BD}"/>
    <cellStyle name="AggOrangeRBorder 2 3 4 38" xfId="18431" xr:uid="{38A8A6D6-DC54-48DD-96A9-C992A5BC34D9}"/>
    <cellStyle name="AggOrangeRBorder 2 3 4 39" xfId="17778" xr:uid="{4886D408-F63B-4AFD-A506-E2BBC05465EA}"/>
    <cellStyle name="AggOrangeRBorder 2 3 4 4" xfId="1716" xr:uid="{2A80F205-C02D-461B-9C8D-D6ECBE6B4026}"/>
    <cellStyle name="AggOrangeRBorder 2 3 4 40" xfId="17868" xr:uid="{D66BB7C4-7603-4EB6-ABA1-046DC5C3927B}"/>
    <cellStyle name="AggOrangeRBorder 2 3 4 41" xfId="19950" xr:uid="{4E5F111B-D5A6-4001-9812-F9056C028E08}"/>
    <cellStyle name="AggOrangeRBorder 2 3 4 42" xfId="19467" xr:uid="{B13FE072-9BBB-4CC0-B7B6-1904B2A667C5}"/>
    <cellStyle name="AggOrangeRBorder 2 3 4 43" xfId="20486" xr:uid="{BF9416FB-AFE9-40D3-8197-9A0EBB12158B}"/>
    <cellStyle name="AggOrangeRBorder 2 3 4 44" xfId="21034" xr:uid="{1D89F164-525F-48BD-A083-E3BFDA3725A8}"/>
    <cellStyle name="AggOrangeRBorder 2 3 4 45" xfId="19872" xr:uid="{4E7B19EA-6144-4704-984D-B32807F78594}"/>
    <cellStyle name="AggOrangeRBorder 2 3 4 46" xfId="20337" xr:uid="{650C3BD9-530D-4C1F-9123-876FA03E2AA6}"/>
    <cellStyle name="AggOrangeRBorder 2 3 4 47" xfId="21974" xr:uid="{B3BAF0D8-DE88-4E45-9A75-DDFB5BBE137D}"/>
    <cellStyle name="AggOrangeRBorder 2 3 4 48" xfId="21393" xr:uid="{46C57908-D5AF-438D-9450-0E37AFF308E7}"/>
    <cellStyle name="AggOrangeRBorder 2 3 4 49" xfId="22774" xr:uid="{BCF00A3F-9C5E-451D-A7EB-37E31A3F29A1}"/>
    <cellStyle name="AggOrangeRBorder 2 3 4 5" xfId="2390" xr:uid="{8CA8A9C7-20B2-43E1-85C4-455CE1D950BD}"/>
    <cellStyle name="AggOrangeRBorder 2 3 4 50" xfId="23759" xr:uid="{E4C57241-804A-457F-AC71-55B967A15A88}"/>
    <cellStyle name="AggOrangeRBorder 2 3 4 51" xfId="24658" xr:uid="{59714EC6-9473-4774-95B4-D5F4CB79AA4D}"/>
    <cellStyle name="AggOrangeRBorder 2 3 4 52" xfId="24474" xr:uid="{4C6A47FE-FC02-4F15-BFD4-B4287F1B496F}"/>
    <cellStyle name="AggOrangeRBorder 2 3 4 53" xfId="25576" xr:uid="{3DC689D1-B5BD-4DF2-AB73-02E3C3E2413E}"/>
    <cellStyle name="AggOrangeRBorder 2 3 4 54" xfId="25074" xr:uid="{94A7A781-B15A-4A36-ACF8-FF7A192F7FE3}"/>
    <cellStyle name="AggOrangeRBorder 2 3 4 55" xfId="24507" xr:uid="{91FB08F3-D7E6-442B-AAE4-DEB7E180729C}"/>
    <cellStyle name="AggOrangeRBorder 2 3 4 56" xfId="26866" xr:uid="{F3B8D7DD-57CC-42D3-B80F-1A08B7D3E1A8}"/>
    <cellStyle name="AggOrangeRBorder 2 3 4 57" xfId="27285" xr:uid="{53B462EB-C9C4-44C1-9428-BDE38D0CE10D}"/>
    <cellStyle name="AggOrangeRBorder 2 3 4 58" xfId="27792" xr:uid="{B05F2F44-296C-46AF-B55E-054F839E86E2}"/>
    <cellStyle name="AggOrangeRBorder 2 3 4 59" xfId="28408" xr:uid="{E85DCE91-7E5A-4AC7-A671-820946469B25}"/>
    <cellStyle name="AggOrangeRBorder 2 3 4 6" xfId="1835" xr:uid="{B0ADB99A-AE9E-4F52-924C-6F59CAFFC180}"/>
    <cellStyle name="AggOrangeRBorder 2 3 4 60" xfId="28876" xr:uid="{B6440DF0-9A94-4A5E-A10A-9CA0B0F45969}"/>
    <cellStyle name="AggOrangeRBorder 2 3 4 61" xfId="28107" xr:uid="{441EF42D-2146-413D-9406-25BF506800C8}"/>
    <cellStyle name="AggOrangeRBorder 2 3 4 62" xfId="29666" xr:uid="{E0A2FFDC-E676-44FF-9E35-C510B0AAE59A}"/>
    <cellStyle name="AggOrangeRBorder 2 3 4 63" xfId="30074" xr:uid="{CF348F1E-93E0-4103-95BB-D31A6047F31B}"/>
    <cellStyle name="AggOrangeRBorder 2 3 4 64" xfId="30488" xr:uid="{2B47FAF7-6531-4A09-A274-2F70BAC76557}"/>
    <cellStyle name="AggOrangeRBorder 2 3 4 65" xfId="30419" xr:uid="{F4405288-670A-4B4F-A8B8-56EFCED225C2}"/>
    <cellStyle name="AggOrangeRBorder 2 3 4 66" xfId="31112" xr:uid="{B94BD95D-05F1-47E7-BC13-C3E5C7982AA2}"/>
    <cellStyle name="AggOrangeRBorder 2 3 4 7" xfId="3706" xr:uid="{C178FFA4-581C-4888-9879-5A9BD971DAF6}"/>
    <cellStyle name="AggOrangeRBorder 2 3 4 8" xfId="3886" xr:uid="{8595D57C-32DF-4F11-A1C7-4159A83C2FD3}"/>
    <cellStyle name="AggOrangeRBorder 2 3 4 9" xfId="4324" xr:uid="{6304457A-EC4D-437D-9BB7-03DF07D3F18C}"/>
    <cellStyle name="AggOrangeRBorder 2 3 40" xfId="18083" xr:uid="{1B7EE885-4F7A-407B-BB8F-4A49A768AA84}"/>
    <cellStyle name="AggOrangeRBorder 2 3 41" xfId="18081" xr:uid="{1F7F4146-45B3-4B44-BA7F-7CF76B00C71F}"/>
    <cellStyle name="AggOrangeRBorder 2 3 42" xfId="18953" xr:uid="{B7CAC9B1-16B3-4786-93CC-802FE8D482DC}"/>
    <cellStyle name="AggOrangeRBorder 2 3 43" xfId="17463" xr:uid="{239EC60E-D768-4FAE-A615-ADEB60B99241}"/>
    <cellStyle name="AggOrangeRBorder 2 3 44" xfId="19655" xr:uid="{87001E7D-19A6-4415-9D91-EA9BE9B33489}"/>
    <cellStyle name="AggOrangeRBorder 2 3 45" xfId="19377" xr:uid="{37EF8A75-F011-4B6B-95D2-4D1624D5B623}"/>
    <cellStyle name="AggOrangeRBorder 2 3 46" xfId="20487" xr:uid="{C8B2839F-C5ED-4B96-899F-CA89AA2C1D7A}"/>
    <cellStyle name="AggOrangeRBorder 2 3 47" xfId="21376" xr:uid="{71775A8D-E2CC-49C7-B6E0-A9B4EBFC31D8}"/>
    <cellStyle name="AggOrangeRBorder 2 3 48" xfId="21513" xr:uid="{37081DDF-107D-4F21-BF41-F603A3B7C23D}"/>
    <cellStyle name="AggOrangeRBorder 2 3 49" xfId="21872" xr:uid="{8884C5A1-58AD-4394-8D7C-F66BACD70F48}"/>
    <cellStyle name="AggOrangeRBorder 2 3 5" xfId="696" xr:uid="{E8CAE640-33BD-468B-A4B1-1603DB2B7D26}"/>
    <cellStyle name="AggOrangeRBorder 2 3 5 2" xfId="5344" xr:uid="{13A002BD-5CF6-41DC-870C-0EB2B11145C9}"/>
    <cellStyle name="AggOrangeRBorder 2 3 5 3" xfId="18294" xr:uid="{1385D300-FD66-46F3-A9F0-7AAC5608FD3C}"/>
    <cellStyle name="AggOrangeRBorder 2 3 5 4" xfId="20078" xr:uid="{0D80BF45-2D4F-4625-AA06-0A89561F4A95}"/>
    <cellStyle name="AggOrangeRBorder 2 3 5 5" xfId="24786" xr:uid="{96793B27-055A-455B-8A49-571E4AFD0CBF}"/>
    <cellStyle name="AggOrangeRBorder 2 3 5 6" xfId="28536" xr:uid="{6F0AE973-70FA-40DB-A520-112B6DB3FCE6}"/>
    <cellStyle name="AggOrangeRBorder 2 3 50" xfId="22431" xr:uid="{EE8E5281-CB03-49C0-AD90-F6A661169964}"/>
    <cellStyle name="AggOrangeRBorder 2 3 51" xfId="23240" xr:uid="{9B78B5BC-F56B-42DD-9E6F-ECC18C1CEC5B}"/>
    <cellStyle name="AggOrangeRBorder 2 3 52" xfId="23105" xr:uid="{8D99FBB8-B184-4FBF-A913-71C315A1A8D4}"/>
    <cellStyle name="AggOrangeRBorder 2 3 53" xfId="23637" xr:uid="{ADCB4ABA-808D-4256-8038-630654311250}"/>
    <cellStyle name="AggOrangeRBorder 2 3 54" xfId="24375" xr:uid="{2AD532AF-6DA7-4147-A60C-FEF6DB0BA994}"/>
    <cellStyle name="AggOrangeRBorder 2 3 55" xfId="24297" xr:uid="{F63316A4-EF8D-4FE3-A37A-6CA6EBD51532}"/>
    <cellStyle name="AggOrangeRBorder 2 3 56" xfId="24587" xr:uid="{BCF9C0EE-B951-458F-9B03-41691CC293B7}"/>
    <cellStyle name="AggOrangeRBorder 2 3 57" xfId="24265" xr:uid="{649EF466-44A4-4E93-98DA-8F754B47D6BE}"/>
    <cellStyle name="AggOrangeRBorder 2 3 58" xfId="26137" xr:uid="{940550D8-3EA6-4E8F-9362-42BB1C5C9910}"/>
    <cellStyle name="AggOrangeRBorder 2 3 59" xfId="26620" xr:uid="{0797E405-AB0A-44CD-B54A-68D98EC7DAE5}"/>
    <cellStyle name="AggOrangeRBorder 2 3 6" xfId="948" xr:uid="{7BADE54F-E330-4B4C-A8BB-E9225737B494}"/>
    <cellStyle name="AggOrangeRBorder 2 3 60" xfId="26522" xr:uid="{C7EDE208-C9C9-454B-B634-A4B1627C4875}"/>
    <cellStyle name="AggOrangeRBorder 2 3 61" xfId="26592" xr:uid="{EBDB6700-50D8-4F72-9D2A-D4EC6BD6DBE9}"/>
    <cellStyle name="AggOrangeRBorder 2 3 62" xfId="28146" xr:uid="{40CEBC08-6C57-4735-8EC0-5DA7257B5830}"/>
    <cellStyle name="AggOrangeRBorder 2 3 63" xfId="27906" xr:uid="{81A7D0E4-82F9-4704-AD6B-B2DE809AA233}"/>
    <cellStyle name="AggOrangeRBorder 2 3 64" xfId="29002" xr:uid="{B159D253-D61D-4EAB-8DEC-A41201BB1737}"/>
    <cellStyle name="AggOrangeRBorder 2 3 65" xfId="29388" xr:uid="{7345C10D-82B4-4743-8501-F31931758979}"/>
    <cellStyle name="AggOrangeRBorder 2 3 66" xfId="29464" xr:uid="{57F478A2-AFC7-4584-8E93-528271A3640A}"/>
    <cellStyle name="AggOrangeRBorder 2 3 67" xfId="30015" xr:uid="{5205F66F-0713-4890-9691-122E37CD7C2E}"/>
    <cellStyle name="AggOrangeRBorder 2 3 68" xfId="29487" xr:uid="{585D4ED2-5FAC-4060-98B9-0FAABD454A1C}"/>
    <cellStyle name="AggOrangeRBorder 2 3 69" xfId="28063" xr:uid="{30D410BE-A474-4D28-BACC-72564C464459}"/>
    <cellStyle name="AggOrangeRBorder 2 3 7" xfId="1533" xr:uid="{82445B80-9B9F-42A7-9539-3899DB71715B}"/>
    <cellStyle name="AggOrangeRBorder 2 3 8" xfId="2095" xr:uid="{CD105BD7-C0CF-4CA7-AD5A-1A54B4841D95}"/>
    <cellStyle name="AggOrangeRBorder 2 3 9" xfId="1991" xr:uid="{B56C915A-A56B-422E-9CE0-DAE2854BB6B0}"/>
    <cellStyle name="AggOrangeRBorder 3" xfId="412" xr:uid="{7A3B9651-F864-47F4-8291-EBAB23A9AFA0}"/>
    <cellStyle name="AggOrangeRBorder 3 2" xfId="44" xr:uid="{A1680057-236D-4E78-848D-1C1262F54CA4}"/>
    <cellStyle name="AggOrangeRBorder 3 2 2" xfId="644" xr:uid="{231A8365-1988-4AC7-81F1-468B3D98B559}"/>
    <cellStyle name="AggOrangeRBorder 3 2 2 10" xfId="5292" xr:uid="{17918BCD-6360-4296-BF3A-624E84F33BAD}"/>
    <cellStyle name="AggOrangeRBorder 3 2 2 11" xfId="5603" xr:uid="{CDD21BBC-4845-4D75-B17F-A75119842C7D}"/>
    <cellStyle name="AggOrangeRBorder 3 2 2 12" xfId="2844" xr:uid="{A5730A97-B654-4840-9B0D-0BACCD9F3A7A}"/>
    <cellStyle name="AggOrangeRBorder 3 2 2 13" xfId="5111" xr:uid="{39B249EA-2FF4-405E-BFF6-5234882A4E8A}"/>
    <cellStyle name="AggOrangeRBorder 3 2 2 14" xfId="7364" xr:uid="{5E9D4AF1-4DA3-4401-A0D0-995923C7593A}"/>
    <cellStyle name="AggOrangeRBorder 3 2 2 15" xfId="8023" xr:uid="{E33C71FC-E48E-4C4B-A6A2-31087FF4255F}"/>
    <cellStyle name="AggOrangeRBorder 3 2 2 16" xfId="8380" xr:uid="{684921F4-1274-499F-BCB0-7CA8BB6076D4}"/>
    <cellStyle name="AggOrangeRBorder 3 2 2 17" xfId="8622" xr:uid="{80CA9A5C-22CA-4AFF-8F4B-D070C02FF59C}"/>
    <cellStyle name="AggOrangeRBorder 3 2 2 18" xfId="9578" xr:uid="{FB081A25-317A-4F98-82C0-714B44D7002C}"/>
    <cellStyle name="AggOrangeRBorder 3 2 2 19" xfId="10242" xr:uid="{E5B57503-649B-4F40-8204-ED1564F96F02}"/>
    <cellStyle name="AggOrangeRBorder 3 2 2 2" xfId="1127" xr:uid="{9A29F241-9999-4F78-93E3-BF59D426D4C4}"/>
    <cellStyle name="AggOrangeRBorder 3 2 2 20" xfId="10637" xr:uid="{E82AE3E3-687B-41B2-9AA3-753424B103AC}"/>
    <cellStyle name="AggOrangeRBorder 3 2 2 21" xfId="10120" xr:uid="{5EE63792-E364-46C3-B911-0E51858DE76E}"/>
    <cellStyle name="AggOrangeRBorder 3 2 2 22" xfId="10762" xr:uid="{732DF441-F05B-4DD9-8665-78F3F342F904}"/>
    <cellStyle name="AggOrangeRBorder 3 2 2 23" xfId="11997" xr:uid="{DAAE4135-4B2E-4FC4-9FA6-681B558B15B2}"/>
    <cellStyle name="AggOrangeRBorder 3 2 2 24" xfId="12470" xr:uid="{AE903D0C-3F4F-42AC-A04B-50A21A196CAF}"/>
    <cellStyle name="AggOrangeRBorder 3 2 2 25" xfId="12904" xr:uid="{7FF3B6E7-3CE6-4C3D-BC27-AB0A905503F3}"/>
    <cellStyle name="AggOrangeRBorder 3 2 2 26" xfId="13341" xr:uid="{D1E2692F-994A-4FED-8F05-A3B1549146FC}"/>
    <cellStyle name="AggOrangeRBorder 3 2 2 27" xfId="11840" xr:uid="{F30B21D9-0330-4080-84E9-B0E94DAA4D7B}"/>
    <cellStyle name="AggOrangeRBorder 3 2 2 28" xfId="14388" xr:uid="{3C172C49-F8FB-4C71-BAAD-D4DEEFD4E82B}"/>
    <cellStyle name="AggOrangeRBorder 3 2 2 29" xfId="13838" xr:uid="{5026431C-39BB-4532-A9DD-5D85F65C5205}"/>
    <cellStyle name="AggOrangeRBorder 3 2 2 3" xfId="1521" xr:uid="{682311E9-E511-4B52-B7B3-F992715A0F97}"/>
    <cellStyle name="AggOrangeRBorder 3 2 2 30" xfId="15132" xr:uid="{50DD4A23-F26E-4371-BC68-DE3245F18727}"/>
    <cellStyle name="AggOrangeRBorder 3 2 2 31" xfId="15526" xr:uid="{2FEB2D55-ED9B-4D45-8611-7F8B66A159EE}"/>
    <cellStyle name="AggOrangeRBorder 3 2 2 32" xfId="15983" xr:uid="{B1789DC7-690A-4291-BD88-5B820E51DEC9}"/>
    <cellStyle name="AggOrangeRBorder 3 2 2 33" xfId="16689" xr:uid="{EDBEFA7F-3ABC-4B53-8A96-71D81665949E}"/>
    <cellStyle name="AggOrangeRBorder 3 2 2 34" xfId="17363" xr:uid="{1FE224D2-F449-4A5E-892A-4FB3265185A1}"/>
    <cellStyle name="AggOrangeRBorder 3 2 2 35" xfId="17805" xr:uid="{6604A0C0-D707-4C1C-832E-EDAFB24B3F4A}"/>
    <cellStyle name="AggOrangeRBorder 3 2 2 36" xfId="17458" xr:uid="{01B57CCD-E8FC-4CA0-9E3B-8A32B222F68B}"/>
    <cellStyle name="AggOrangeRBorder 3 2 2 37" xfId="18507" xr:uid="{33AFDAFA-75D5-435D-A261-CC5A08F0FA37}"/>
    <cellStyle name="AggOrangeRBorder 3 2 2 38" xfId="17957" xr:uid="{8BA3416A-6DEA-460E-AB5E-FBF1D3BA0A93}"/>
    <cellStyle name="AggOrangeRBorder 3 2 2 39" xfId="18831" xr:uid="{CB87494A-B758-4E3C-BEC7-C8F6BEFFE693}"/>
    <cellStyle name="AggOrangeRBorder 3 2 2 4" xfId="2466" xr:uid="{6A6BDB36-E009-4050-95C3-AA535192C237}"/>
    <cellStyle name="AggOrangeRBorder 3 2 2 40" xfId="20026" xr:uid="{DC1569E3-C70A-46FC-AF34-D765DB4CEB5B}"/>
    <cellStyle name="AggOrangeRBorder 3 2 2 41" xfId="20713" xr:uid="{1AFB1B7B-EFB4-4221-8FA0-A14A2814E964}"/>
    <cellStyle name="AggOrangeRBorder 3 2 2 42" xfId="21171" xr:uid="{839DFC21-8F93-442C-9F65-AC30B720BAF6}"/>
    <cellStyle name="AggOrangeRBorder 3 2 2 43" xfId="20893" xr:uid="{D6434AA7-00E8-4C05-AE3E-4FF4BD42575B}"/>
    <cellStyle name="AggOrangeRBorder 3 2 2 44" xfId="22102" xr:uid="{9C5AAFA0-F952-4E6F-9553-1651E3918A20}"/>
    <cellStyle name="AggOrangeRBorder 3 2 2 45" xfId="22530" xr:uid="{427C59A7-393B-4D36-9D4D-B54A05B2BA80}"/>
    <cellStyle name="AggOrangeRBorder 3 2 2 46" xfId="19405" xr:uid="{4BC6EBEF-FD52-4A12-BD10-444A628D96D7}"/>
    <cellStyle name="AggOrangeRBorder 3 2 2 47" xfId="22085" xr:uid="{A68D55C4-BDB7-4F72-83FD-80C80A4E85A6}"/>
    <cellStyle name="AggOrangeRBorder 3 2 2 48" xfId="23053" xr:uid="{B59A5CEB-6DCB-479A-B461-7F5024774C61}"/>
    <cellStyle name="AggOrangeRBorder 3 2 2 49" xfId="23835" xr:uid="{94D4FD96-658D-40D7-AD66-F6FC5152EFF7}"/>
    <cellStyle name="AggOrangeRBorder 3 2 2 5" xfId="1818" xr:uid="{465F0A5D-F068-495E-B738-3A354AEFBDD8}"/>
    <cellStyle name="AggOrangeRBorder 3 2 2 50" xfId="24734" xr:uid="{FDDE1BA3-8FA3-4B40-9736-E3DA9974FC24}"/>
    <cellStyle name="AggOrangeRBorder 3 2 2 51" xfId="25417" xr:uid="{312C03A1-05FE-43F3-B643-93C4A40DF51E}"/>
    <cellStyle name="AggOrangeRBorder 3 2 2 52" xfId="25652" xr:uid="{33BF997C-66EC-4643-B90D-C7A197E219FD}"/>
    <cellStyle name="AggOrangeRBorder 3 2 2 53" xfId="25237" xr:uid="{C560C097-49B0-4BD5-A508-D47E37C6FA46}"/>
    <cellStyle name="AggOrangeRBorder 3 2 2 54" xfId="25946" xr:uid="{0EECBE09-FF9D-41F7-BAB4-7C7D16176484}"/>
    <cellStyle name="AggOrangeRBorder 3 2 2 55" xfId="26942" xr:uid="{E3C8A495-21D5-4EBB-8CAA-4719C8AE0D9A}"/>
    <cellStyle name="AggOrangeRBorder 3 2 2 56" xfId="27361" xr:uid="{3EB5E643-9B9F-4461-8BC8-3AC93CE13BF1}"/>
    <cellStyle name="AggOrangeRBorder 3 2 2 57" xfId="27821" xr:uid="{8DE12A31-3FE7-497B-8D8F-48D726222838}"/>
    <cellStyle name="AggOrangeRBorder 3 2 2 58" xfId="28484" xr:uid="{ECDE1CF4-9A81-4484-BC1A-C4223ADABAE4}"/>
    <cellStyle name="AggOrangeRBorder 3 2 2 59" xfId="28952" xr:uid="{E0E601A5-C8CF-48F9-87A4-F403EB487B3D}"/>
    <cellStyle name="AggOrangeRBorder 3 2 2 6" xfId="3507" xr:uid="{D3C7C36A-8028-4BFE-8646-8B0171787B9F}"/>
    <cellStyle name="AggOrangeRBorder 3 2 2 60" xfId="29531" xr:uid="{F4854036-2CC8-45D8-8E63-498EAC54D92A}"/>
    <cellStyle name="AggOrangeRBorder 3 2 2 61" xfId="29742" xr:uid="{17CD456E-DD43-4B7F-9B46-E0E86C4E5EC9}"/>
    <cellStyle name="AggOrangeRBorder 3 2 2 62" xfId="30150" xr:uid="{EEFF211A-CD0D-4CC4-AEE3-45B476BFF5A3}"/>
    <cellStyle name="AggOrangeRBorder 3 2 2 63" xfId="30564" xr:uid="{29C3CA96-02CA-41DE-9E8C-02CA39E3500D}"/>
    <cellStyle name="AggOrangeRBorder 3 2 2 64" xfId="29216" xr:uid="{A5751C6E-A989-45C9-AC3A-2A7D2E18EBF2}"/>
    <cellStyle name="AggOrangeRBorder 3 2 2 65" xfId="31188" xr:uid="{CCF2FDC0-EEE3-4391-9DA4-560F69B21028}"/>
    <cellStyle name="AggOrangeRBorder 3 2 2 7" xfId="3962" xr:uid="{CCE48FCD-060A-4EEA-B7F6-82564461819B}"/>
    <cellStyle name="AggOrangeRBorder 3 2 2 8" xfId="4400" xr:uid="{B92F6CAD-A63C-4C2F-AE6E-3A785F6FE728}"/>
    <cellStyle name="AggOrangeRBorder 3 2 2 9" xfId="4750" xr:uid="{308991D7-6B8A-499D-953E-F746897493C1}"/>
    <cellStyle name="AggOrangeRBorder 3 2 3" xfId="859" xr:uid="{1F3DBFD2-93D4-4634-9098-CBC40F4AD027}"/>
    <cellStyle name="AggOrangeRBorder 3 2 3 10" xfId="5507" xr:uid="{1A3CEDF7-3B22-4F88-989C-097E552312F8}"/>
    <cellStyle name="AggOrangeRBorder 3 2 3 11" xfId="5651" xr:uid="{01BDCC29-1E74-4ED0-815F-FBDF7F636AEE}"/>
    <cellStyle name="AggOrangeRBorder 3 2 3 12" xfId="4847" xr:uid="{4FB8AF8D-3920-4925-B1F9-D174039B05D5}"/>
    <cellStyle name="AggOrangeRBorder 3 2 3 13" xfId="6447" xr:uid="{4F5C3FF2-CF16-4C0F-BA4A-9F77E5E49870}"/>
    <cellStyle name="AggOrangeRBorder 3 2 3 14" xfId="7579" xr:uid="{EA3ED944-951E-441A-9564-76FF49792DBE}"/>
    <cellStyle name="AggOrangeRBorder 3 2 3 15" xfId="6983" xr:uid="{3844852D-3263-4CC7-B1C7-A120FAE425BE}"/>
    <cellStyle name="AggOrangeRBorder 3 2 3 16" xfId="8560" xr:uid="{DA83D7D4-894D-4EEA-9584-DF6A222F5E94}"/>
    <cellStyle name="AggOrangeRBorder 3 2 3 17" xfId="8790" xr:uid="{570FC702-346B-4B5D-887F-A3F0B83AAF58}"/>
    <cellStyle name="AggOrangeRBorder 3 2 3 18" xfId="9793" xr:uid="{A95388FD-9D2A-4617-AF09-A4A406402DFF}"/>
    <cellStyle name="AggOrangeRBorder 3 2 3 19" xfId="9324" xr:uid="{240E4978-3B05-42B5-9AEF-79CA4153046E}"/>
    <cellStyle name="AggOrangeRBorder 3 2 3 2" xfId="1333" xr:uid="{8E5CA5E2-FAE9-4999-8F90-F708DB245A2B}"/>
    <cellStyle name="AggOrangeRBorder 3 2 3 20" xfId="9881" xr:uid="{0BD32DA4-79E2-4F4C-A6A2-D0E1FB25C09E}"/>
    <cellStyle name="AggOrangeRBorder 3 2 3 21" xfId="10368" xr:uid="{F6AE7119-4836-4D2E-A8F4-FDD7044DD42A}"/>
    <cellStyle name="AggOrangeRBorder 3 2 3 22" xfId="10809" xr:uid="{9EB7275B-D9D3-4D14-AEAA-261712006832}"/>
    <cellStyle name="AggOrangeRBorder 3 2 3 23" xfId="12212" xr:uid="{FD1BB52F-8075-46A9-90CC-F8D8AADB863A}"/>
    <cellStyle name="AggOrangeRBorder 3 2 3 24" xfId="12685" xr:uid="{EF8FB831-17C5-419B-998B-CCC79A1D89C7}"/>
    <cellStyle name="AggOrangeRBorder 3 2 3 25" xfId="13119" xr:uid="{C66C8B32-D252-4EDD-9613-0B68219255BC}"/>
    <cellStyle name="AggOrangeRBorder 3 2 3 26" xfId="13556" xr:uid="{C6229E58-2237-4E54-AF1A-2CA1BC388D62}"/>
    <cellStyle name="AggOrangeRBorder 3 2 3 27" xfId="11596" xr:uid="{19097486-35C3-48D5-863B-F8B72FBDA451}"/>
    <cellStyle name="AggOrangeRBorder 3 2 3 28" xfId="14475" xr:uid="{CF3FDD8D-8FDD-427B-B1C1-B64ADA5E96B3}"/>
    <cellStyle name="AggOrangeRBorder 3 2 3 29" xfId="12246" xr:uid="{0E05C693-AD11-485B-9F1A-1BE096FEA019}"/>
    <cellStyle name="AggOrangeRBorder 3 2 3 3" xfId="1782" xr:uid="{D6271B2E-CCD2-434A-B363-EBA63D8CEC7A}"/>
    <cellStyle name="AggOrangeRBorder 3 2 3 30" xfId="13868" xr:uid="{DB2718C7-5B36-45B0-8B64-61FD191F8484}"/>
    <cellStyle name="AggOrangeRBorder 3 2 3 31" xfId="14986" xr:uid="{E2DDAF4A-04AC-42DE-860C-2A854B134E25}"/>
    <cellStyle name="AggOrangeRBorder 3 2 3 32" xfId="15058" xr:uid="{EBA91E51-00FF-4CB2-A1A0-8864C7AC9F01}"/>
    <cellStyle name="AggOrangeRBorder 3 2 3 33" xfId="16904" xr:uid="{4D08BD8D-3B79-4A5F-9343-00DB175720D9}"/>
    <cellStyle name="AggOrangeRBorder 3 2 3 34" xfId="16303" xr:uid="{A92AFED6-400C-48CF-BC16-5048CD57D860}"/>
    <cellStyle name="AggOrangeRBorder 3 2 3 35" xfId="17071" xr:uid="{AFF13DD5-5246-459A-9521-7264BCD90EC7}"/>
    <cellStyle name="AggOrangeRBorder 3 2 3 36" xfId="18040" xr:uid="{34FA7250-1569-46E0-893D-B30FB55BA2D1}"/>
    <cellStyle name="AggOrangeRBorder 3 2 3 37" xfId="18722" xr:uid="{503C7B73-01A4-4648-8BF4-0A111C59DCD7}"/>
    <cellStyle name="AggOrangeRBorder 3 2 3 38" xfId="18924" xr:uid="{7DFCDE87-2E4A-49C5-969F-2DC1EE0AF831}"/>
    <cellStyle name="AggOrangeRBorder 3 2 3 39" xfId="18987" xr:uid="{D3409BA3-FDCB-436A-B397-E92AED12BBFE}"/>
    <cellStyle name="AggOrangeRBorder 3 2 3 4" xfId="2681" xr:uid="{EDF80AE8-BD48-48AB-A898-F71E97243B1C}"/>
    <cellStyle name="AggOrangeRBorder 3 2 3 40" xfId="20241" xr:uid="{0786E6B5-59EE-4981-8EDD-D7FECFBD54F3}"/>
    <cellStyle name="AggOrangeRBorder 3 2 3 41" xfId="19633" xr:uid="{298669F7-299C-41B4-8E19-BC093040FB1A}"/>
    <cellStyle name="AggOrangeRBorder 3 2 3 42" xfId="19478" xr:uid="{1160EFA1-0D5A-4648-8227-D45B9E57FD8A}"/>
    <cellStyle name="AggOrangeRBorder 3 2 3 43" xfId="21526" xr:uid="{29B06A0E-BEF8-4872-8149-8C371DE94BD3}"/>
    <cellStyle name="AggOrangeRBorder 3 2 3 44" xfId="19824" xr:uid="{70AE2B1A-2610-4464-8B62-F0865B432239}"/>
    <cellStyle name="AggOrangeRBorder 3 2 3 45" xfId="19484" xr:uid="{A33443B4-5269-44EA-9E71-6D1DA158AD74}"/>
    <cellStyle name="AggOrangeRBorder 3 2 3 46" xfId="21408" xr:uid="{C87721C9-4D02-4C2D-A833-C19DF12CEE0A}"/>
    <cellStyle name="AggOrangeRBorder 3 2 3 47" xfId="23207" xr:uid="{B590B377-F8C9-4C47-9445-CF7EA8F1703A}"/>
    <cellStyle name="AggOrangeRBorder 3 2 3 48" xfId="23109" xr:uid="{DC651882-E8D3-488F-A83B-D964482A35CE}"/>
    <cellStyle name="AggOrangeRBorder 3 2 3 49" xfId="24041" xr:uid="{49165C6A-BBC7-4C44-8868-563200524CFD}"/>
    <cellStyle name="AggOrangeRBorder 3 2 3 5" xfId="1915" xr:uid="{A72F077E-E500-4FAB-BAB8-B217300B289F}"/>
    <cellStyle name="AggOrangeRBorder 3 2 3 50" xfId="24949" xr:uid="{8932E907-3D45-4DDC-87C0-446909AA867F}"/>
    <cellStyle name="AggOrangeRBorder 3 2 3 51" xfId="24104" xr:uid="{384812DF-BE8E-462F-B62B-7BD3043AE816}"/>
    <cellStyle name="AggOrangeRBorder 3 2 3 52" xfId="25865" xr:uid="{E1D9CD89-7A43-4887-8ADD-31BC3E85F7DF}"/>
    <cellStyle name="AggOrangeRBorder 3 2 3 53" xfId="24252" xr:uid="{251D98B3-C9A9-4B36-B3C5-FFC38FBA426C}"/>
    <cellStyle name="AggOrangeRBorder 3 2 3 54" xfId="26732" xr:uid="{7406E27D-A094-4B7B-B65D-C4561A130826}"/>
    <cellStyle name="AggOrangeRBorder 3 2 3 55" xfId="27153" xr:uid="{37E3A43F-BDA4-4D63-A8BD-01C928FA56D4}"/>
    <cellStyle name="AggOrangeRBorder 3 2 3 56" xfId="27572" xr:uid="{C4425737-8C15-4D87-BD3F-45427879D70F}"/>
    <cellStyle name="AggOrangeRBorder 3 2 3 57" xfId="25339" xr:uid="{22568B11-52DE-48C5-A640-10B19D8029B6}"/>
    <cellStyle name="AggOrangeRBorder 3 2 3 58" xfId="28699" xr:uid="{224672D9-5165-4FE9-BAB4-01A1F4DC7339}"/>
    <cellStyle name="AggOrangeRBorder 3 2 3 59" xfId="29166" xr:uid="{2F71A5F9-CE93-4A41-AB18-2C98F04FD1CE}"/>
    <cellStyle name="AggOrangeRBorder 3 2 3 6" xfId="3637" xr:uid="{C9AA98D2-D3C1-4E06-BD57-244B661BEFB3}"/>
    <cellStyle name="AggOrangeRBorder 3 2 3 60" xfId="28230" xr:uid="{4621A4B4-CC17-4989-93C5-A742A80EA040}"/>
    <cellStyle name="AggOrangeRBorder 3 2 3 61" xfId="29955" xr:uid="{6BE36704-AC2F-4DAE-805C-3D192689AFC5}"/>
    <cellStyle name="AggOrangeRBorder 3 2 3 62" xfId="30361" xr:uid="{7BA47A42-FC2B-4560-9AFB-CAC1C039C0D4}"/>
    <cellStyle name="AggOrangeRBorder 3 2 3 63" xfId="30778" xr:uid="{30A9C23F-F273-4CF5-81F2-EC86B4A36090}"/>
    <cellStyle name="AggOrangeRBorder 3 2 3 64" xfId="28769" xr:uid="{47F771CD-6E65-49DF-B193-6072524B1EC1}"/>
    <cellStyle name="AggOrangeRBorder 3 2 3 65" xfId="31394" xr:uid="{2A5D2288-EAFF-4D92-8252-368602DFB2DE}"/>
    <cellStyle name="AggOrangeRBorder 3 2 3 7" xfId="4177" xr:uid="{671A4D71-C04C-4526-8387-B72AFF6DA599}"/>
    <cellStyle name="AggOrangeRBorder 3 2 3 8" xfId="4614" xr:uid="{34B3CFC2-5885-45E4-9DCA-6A467803B058}"/>
    <cellStyle name="AggOrangeRBorder 3 2 3 9" xfId="5060" xr:uid="{4C5214B6-1321-440C-8115-AD66DA498A9F}"/>
    <cellStyle name="AggOrangeRBorder 4" xfId="270" xr:uid="{51C982D1-0C6B-4FDF-B4C3-28BE0C0805A8}"/>
    <cellStyle name="AggOrangeRBorder 4 10" xfId="2023" xr:uid="{1D4326A6-83AF-42FA-851F-609837029034}"/>
    <cellStyle name="AggOrangeRBorder 4 11" xfId="3788" xr:uid="{C0D74441-3335-49E9-A5B9-378315142458}"/>
    <cellStyle name="AggOrangeRBorder 4 12" xfId="3764" xr:uid="{87F3A14E-9A1C-4A8C-9B1D-A2C100A78F8E}"/>
    <cellStyle name="AggOrangeRBorder 4 13" xfId="3816" xr:uid="{5A29B342-6761-4EA0-98DD-7401C1D3DCAA}"/>
    <cellStyle name="AggOrangeRBorder 4 14" xfId="4911" xr:uid="{4B53C5F9-9EA2-4B07-BA9F-97B5D8259A0F}"/>
    <cellStyle name="AggOrangeRBorder 4 15" xfId="4875" xr:uid="{1E14922F-0E0C-4B11-8B57-BFA68D38FAF1}"/>
    <cellStyle name="AggOrangeRBorder 4 16" xfId="6318" xr:uid="{53918C0B-1FB3-487C-B21A-08C6C21C6579}"/>
    <cellStyle name="AggOrangeRBorder 4 17" xfId="6446" xr:uid="{D15EEEB1-42DB-4A0E-944D-ECC3E4F4672A}"/>
    <cellStyle name="AggOrangeRBorder 4 18" xfId="7000" xr:uid="{B64DBBB7-D25A-4E84-A078-8B4DE80BBCEA}"/>
    <cellStyle name="AggOrangeRBorder 4 19" xfId="7081" xr:uid="{B18DB28E-F1B2-41C1-81C3-EF74F69E5869}"/>
    <cellStyle name="AggOrangeRBorder 4 2" xfId="609" xr:uid="{6D1DE3B5-C4A0-4823-99CF-3B8E9324EBE4}"/>
    <cellStyle name="AggOrangeRBorder 4 2 10" xfId="4262" xr:uid="{6A9A3F15-EED5-4CBA-85C5-11C29450959A}"/>
    <cellStyle name="AggOrangeRBorder 4 2 11" xfId="5257" xr:uid="{3516C90D-B0BE-4153-B348-67B0C43681EF}"/>
    <cellStyle name="AggOrangeRBorder 4 2 12" xfId="5020" xr:uid="{8552649A-6B35-4DEF-A349-541812FE0AEA}"/>
    <cellStyle name="AggOrangeRBorder 4 2 13" xfId="6221" xr:uid="{2118FBDB-DE63-4604-A9DE-588FDB62DC53}"/>
    <cellStyle name="AggOrangeRBorder 4 2 14" xfId="6441" xr:uid="{B53019E6-E591-49BB-AF6E-376F75E47539}"/>
    <cellStyle name="AggOrangeRBorder 4 2 15" xfId="7329" xr:uid="{5E056D7F-0FC3-4B83-95BA-93A7AC882FD4}"/>
    <cellStyle name="AggOrangeRBorder 4 2 16" xfId="7787" xr:uid="{C9738A22-4784-4617-826C-547DB51FC2FE}"/>
    <cellStyle name="AggOrangeRBorder 4 2 17" xfId="8547" xr:uid="{2ECB952C-76BD-4DFA-B568-BCF9BF57170F}"/>
    <cellStyle name="AggOrangeRBorder 4 2 18" xfId="6858" xr:uid="{48DAE3A3-9604-4759-957F-EA491EEAF19C}"/>
    <cellStyle name="AggOrangeRBorder 4 2 19" xfId="9543" xr:uid="{1773B560-4999-483C-8C32-3C1494F04958}"/>
    <cellStyle name="AggOrangeRBorder 4 2 2" xfId="824" xr:uid="{EF216758-8A26-4C8E-AA9C-11E5FDC7EE57}"/>
    <cellStyle name="AggOrangeRBorder 4 2 2 10" xfId="5472" xr:uid="{B644418C-2DC3-433F-99CA-5EB5A58769D3}"/>
    <cellStyle name="AggOrangeRBorder 4 2 2 11" xfId="5748" xr:uid="{A7C205B3-9146-47F3-A0D7-BF4A5C5376A6}"/>
    <cellStyle name="AggOrangeRBorder 4 2 2 12" xfId="4688" xr:uid="{4AF77172-0D73-4D9D-BF68-B8948EFC103A}"/>
    <cellStyle name="AggOrangeRBorder 4 2 2 13" xfId="6311" xr:uid="{4BC4FDBF-7C9B-45EB-B002-D4FC870575FD}"/>
    <cellStyle name="AggOrangeRBorder 4 2 2 14" xfId="7544" xr:uid="{82436B48-D274-47F8-BDB7-79DBBC8F76DC}"/>
    <cellStyle name="AggOrangeRBorder 4 2 2 15" xfId="6981" xr:uid="{1150BDF3-67C2-4341-8C4F-6A7500D3B0DD}"/>
    <cellStyle name="AggOrangeRBorder 4 2 2 16" xfId="8233" xr:uid="{83AB37E1-A3FE-4E25-93A5-C8B2120169CF}"/>
    <cellStyle name="AggOrangeRBorder 4 2 2 17" xfId="7977" xr:uid="{617359BD-31B3-4EF2-AD8E-D11D841221A2}"/>
    <cellStyle name="AggOrangeRBorder 4 2 2 18" xfId="9758" xr:uid="{DA411EBD-750D-4933-8180-C6C870DE45CE}"/>
    <cellStyle name="AggOrangeRBorder 4 2 2 19" xfId="9322" xr:uid="{153BB73D-9704-4A83-98B0-2ADE57D8FF86}"/>
    <cellStyle name="AggOrangeRBorder 4 2 2 2" xfId="1298" xr:uid="{A2317E52-2F9D-4F43-97E2-1797598A7EAF}"/>
    <cellStyle name="AggOrangeRBorder 4 2 2 20" xfId="9638" xr:uid="{B6258ADF-2278-4A21-B12D-185A70F11B5E}"/>
    <cellStyle name="AggOrangeRBorder 4 2 2 21" xfId="10451" xr:uid="{32404442-B42A-4C0F-906B-DFC88250C5A8}"/>
    <cellStyle name="AggOrangeRBorder 4 2 2 22" xfId="11099" xr:uid="{5F501A28-A75D-461B-9610-5A1A95BAB1F9}"/>
    <cellStyle name="AggOrangeRBorder 4 2 2 23" xfId="12177" xr:uid="{8B95FCBD-E197-4094-B8C2-17143B924D12}"/>
    <cellStyle name="AggOrangeRBorder 4 2 2 24" xfId="12650" xr:uid="{422ABFCA-267C-4171-A524-598F4B856529}"/>
    <cellStyle name="AggOrangeRBorder 4 2 2 25" xfId="13084" xr:uid="{9F07F6B8-D7EE-40A4-A5D4-44290D3AAF87}"/>
    <cellStyle name="AggOrangeRBorder 4 2 2 26" xfId="13521" xr:uid="{5E43F7DF-14E2-4BA0-A521-B170794B27FE}"/>
    <cellStyle name="AggOrangeRBorder 4 2 2 27" xfId="11545" xr:uid="{B395CA4A-29B7-4CC4-ACA9-C6C792F44C59}"/>
    <cellStyle name="AggOrangeRBorder 4 2 2 28" xfId="11519" xr:uid="{3DEA4392-F834-4369-9AE1-3243C11638AA}"/>
    <cellStyle name="AggOrangeRBorder 4 2 2 29" xfId="13815" xr:uid="{F448F5F8-496A-4B67-9027-1912B26C4C9F}"/>
    <cellStyle name="AggOrangeRBorder 4 2 2 3" xfId="1556" xr:uid="{957D0897-6304-49BC-B114-75DE80644C86}"/>
    <cellStyle name="AggOrangeRBorder 4 2 2 30" xfId="15344" xr:uid="{62CC1EA7-E619-48B9-A5A8-525A6DAF5646}"/>
    <cellStyle name="AggOrangeRBorder 4 2 2 31" xfId="15443" xr:uid="{B3AA980A-93E0-43CF-9028-C8B972A6A320}"/>
    <cellStyle name="AggOrangeRBorder 4 2 2 32" xfId="15200" xr:uid="{29DDAC68-99B1-4B5C-9F93-A5C656E21E01}"/>
    <cellStyle name="AggOrangeRBorder 4 2 2 33" xfId="16869" xr:uid="{E407986A-306D-417B-BC6D-32D6D4AFDC2C}"/>
    <cellStyle name="AggOrangeRBorder 4 2 2 34" xfId="16301" xr:uid="{691E2539-D73B-40FE-A119-8E09C785E1D7}"/>
    <cellStyle name="AggOrangeRBorder 4 2 2 35" xfId="16502" xr:uid="{96230F4E-B18D-4290-89E2-7224CFDFD24F}"/>
    <cellStyle name="AggOrangeRBorder 4 2 2 36" xfId="18100" xr:uid="{9D3FEEDC-802A-46C5-8CEF-C423A6B7394D}"/>
    <cellStyle name="AggOrangeRBorder 4 2 2 37" xfId="18687" xr:uid="{D855267C-050C-4D28-A875-2BAE28B1614C}"/>
    <cellStyle name="AggOrangeRBorder 4 2 2 38" xfId="18020" xr:uid="{78C25EC4-0FFD-49F6-9CC9-AC827B520C50}"/>
    <cellStyle name="AggOrangeRBorder 4 2 2 39" xfId="17454" xr:uid="{8BCCCE7B-89E6-4105-A855-898C1C1C5808}"/>
    <cellStyle name="AggOrangeRBorder 4 2 2 4" xfId="2646" xr:uid="{A68B633D-EA98-4BD2-98C0-F897871CAD71}"/>
    <cellStyle name="AggOrangeRBorder 4 2 2 40" xfId="20206" xr:uid="{16A73556-55AF-4232-A45E-68E86E096D25}"/>
    <cellStyle name="AggOrangeRBorder 4 2 2 41" xfId="19783" xr:uid="{83ECF960-A1F8-4B59-BDBE-4526A5DEB08E}"/>
    <cellStyle name="AggOrangeRBorder 4 2 2 42" xfId="19386" xr:uid="{144161A1-C08F-4350-BA55-43B2854F47BD}"/>
    <cellStyle name="AggOrangeRBorder 4 2 2 43" xfId="21227" xr:uid="{5CBB9AF0-3E9E-4CC5-8A90-6BEF69A249C8}"/>
    <cellStyle name="AggOrangeRBorder 4 2 2 44" xfId="21384" xr:uid="{A3B33295-2494-419E-8550-F8E0557006F4}"/>
    <cellStyle name="AggOrangeRBorder 4 2 2 45" xfId="21303" xr:uid="{E5DF1B35-07B9-4EA6-963F-1184795EB617}"/>
    <cellStyle name="AggOrangeRBorder 4 2 2 46" xfId="22162" xr:uid="{6FB4C92A-9832-42B8-8A1F-CBBB42C29D3D}"/>
    <cellStyle name="AggOrangeRBorder 4 2 2 47" xfId="22631" xr:uid="{2F405831-523D-4A28-B856-D5A9376C0B0C}"/>
    <cellStyle name="AggOrangeRBorder 4 2 2 48" xfId="22951" xr:uid="{672CCCB5-0341-46A5-90CD-25A158E0C42D}"/>
    <cellStyle name="AggOrangeRBorder 4 2 2 49" xfId="24006" xr:uid="{312BADB9-B74A-402B-82C2-C3B269D63FD1}"/>
    <cellStyle name="AggOrangeRBorder 4 2 2 5" xfId="1829" xr:uid="{41E72E4F-A2AD-4218-8088-5D8CC205531A}"/>
    <cellStyle name="AggOrangeRBorder 4 2 2 50" xfId="24914" xr:uid="{E3878F4C-A92E-4DCB-8C56-7D8A07493D45}"/>
    <cellStyle name="AggOrangeRBorder 4 2 2 51" xfId="24189" xr:uid="{B65CDEAD-3171-4606-BE75-441227F12C70}"/>
    <cellStyle name="AggOrangeRBorder 4 2 2 52" xfId="25830" xr:uid="{77880E0E-EFA6-4AD2-AE37-B690D7EC5058}"/>
    <cellStyle name="AggOrangeRBorder 4 2 2 53" xfId="25251" xr:uid="{4F833A13-EE0E-42AD-8FDF-066408D368E4}"/>
    <cellStyle name="AggOrangeRBorder 4 2 2 54" xfId="26665" xr:uid="{CF9834A8-4490-406F-9269-FED4D6AC0FEA}"/>
    <cellStyle name="AggOrangeRBorder 4 2 2 55" xfId="27118" xr:uid="{4FC33A07-080A-4548-A5A4-E394B58F14BE}"/>
    <cellStyle name="AggOrangeRBorder 4 2 2 56" xfId="27537" xr:uid="{F0858CD2-9CC0-4873-859D-553D8CBB28AA}"/>
    <cellStyle name="AggOrangeRBorder 4 2 2 57" xfId="26765" xr:uid="{28EABD9C-C57F-4A77-A551-1A2393F69E9A}"/>
    <cellStyle name="AggOrangeRBorder 4 2 2 58" xfId="28664" xr:uid="{67E99B95-8BFE-4089-BE3B-7C126D97069B}"/>
    <cellStyle name="AggOrangeRBorder 4 2 2 59" xfId="29131" xr:uid="{8D276953-BCE6-4EA7-A4C0-3CE62FD6A944}"/>
    <cellStyle name="AggOrangeRBorder 4 2 2 6" xfId="2985" xr:uid="{7047C487-8663-426F-9D81-651EE550B0EE}"/>
    <cellStyle name="AggOrangeRBorder 4 2 2 60" xfId="27925" xr:uid="{EED29715-6479-4719-AB4C-5D53AE539626}"/>
    <cellStyle name="AggOrangeRBorder 4 2 2 61" xfId="29920" xr:uid="{A3259CA3-380C-4FF0-82BC-24AB9F0C100F}"/>
    <cellStyle name="AggOrangeRBorder 4 2 2 62" xfId="30326" xr:uid="{1F428D0C-65D7-4E2A-BDD4-A7407E3703E9}"/>
    <cellStyle name="AggOrangeRBorder 4 2 2 63" xfId="30743" xr:uid="{5DBAB869-7D0D-4D6B-9108-8355B4FA4C0B}"/>
    <cellStyle name="AggOrangeRBorder 4 2 2 64" xfId="30886" xr:uid="{D010AAC1-F8CE-4C00-8B83-E7FE48E65DE7}"/>
    <cellStyle name="AggOrangeRBorder 4 2 2 65" xfId="31359" xr:uid="{01BB20DF-C9F8-4442-8933-D5A003C8B092}"/>
    <cellStyle name="AggOrangeRBorder 4 2 2 7" xfId="4142" xr:uid="{A5F79F9C-702B-42CB-8267-882372A022EF}"/>
    <cellStyle name="AggOrangeRBorder 4 2 2 8" xfId="4579" xr:uid="{30F62323-0D84-4EF4-B9F5-B4E9769C202D}"/>
    <cellStyle name="AggOrangeRBorder 4 2 2 9" xfId="4715" xr:uid="{016BC0B9-4E78-4213-A5E5-D04B1C744AF5}"/>
    <cellStyle name="AggOrangeRBorder 4 2 20" xfId="10000" xr:uid="{3EE0992A-0958-4170-8FA2-EFAFA042DBC6}"/>
    <cellStyle name="AggOrangeRBorder 4 2 21" xfId="10425" xr:uid="{C05E5358-DF24-4286-9995-E55D8B454673}"/>
    <cellStyle name="AggOrangeRBorder 4 2 22" xfId="10571" xr:uid="{72C32AF8-9487-41D9-9DE1-91B9AF2DDAC9}"/>
    <cellStyle name="AggOrangeRBorder 4 2 23" xfId="10413" xr:uid="{0ACDD567-35BD-45CF-B471-0079624CCE0C}"/>
    <cellStyle name="AggOrangeRBorder 4 2 24" xfId="11962" xr:uid="{67286575-3F06-4CE1-92DA-1C38F7A1483D}"/>
    <cellStyle name="AggOrangeRBorder 4 2 25" xfId="12435" xr:uid="{4F469B70-198A-4222-AB01-E8FAE68498F9}"/>
    <cellStyle name="AggOrangeRBorder 4 2 26" xfId="12869" xr:uid="{4EBACD6C-B3B1-40E5-9546-60885D1B3A46}"/>
    <cellStyle name="AggOrangeRBorder 4 2 27" xfId="13306" xr:uid="{FEBCCD0B-3700-43CC-8BC9-7EB94B90BB4B}"/>
    <cellStyle name="AggOrangeRBorder 4 2 28" xfId="13681" xr:uid="{B16DEFAF-6990-40DF-8BD0-632B80141710}"/>
    <cellStyle name="AggOrangeRBorder 4 2 29" xfId="13948" xr:uid="{40DB2081-B9D3-4FBE-AB3D-DEF34EDC9CCF}"/>
    <cellStyle name="AggOrangeRBorder 4 2 3" xfId="1092" xr:uid="{5EF71910-E07C-474B-89FA-362FBAF0AC5E}"/>
    <cellStyle name="AggOrangeRBorder 4 2 30" xfId="13627" xr:uid="{F4FF7A49-0FF5-4DDA-94B1-28FD3891509B}"/>
    <cellStyle name="AggOrangeRBorder 4 2 31" xfId="15251" xr:uid="{F55A884D-227F-42F9-80B7-4B4587ADCEFA}"/>
    <cellStyle name="AggOrangeRBorder 4 2 32" xfId="14624" xr:uid="{0847B51D-8CF2-4C3A-B2A7-1EAE7EC34F3D}"/>
    <cellStyle name="AggOrangeRBorder 4 2 33" xfId="15855" xr:uid="{6DA451B5-D1EE-4650-9C35-70C8B93EA013}"/>
    <cellStyle name="AggOrangeRBorder 4 2 34" xfId="16654" xr:uid="{C83DACF9-6D47-45BA-B721-EE2D05EB80FD}"/>
    <cellStyle name="AggOrangeRBorder 4 2 35" xfId="17116" xr:uid="{CBCC07B3-E1D7-485D-946C-3915D68912F3}"/>
    <cellStyle name="AggOrangeRBorder 4 2 36" xfId="17563" xr:uid="{98F09453-60DC-45E1-AACE-9E1B51DF87C0}"/>
    <cellStyle name="AggOrangeRBorder 4 2 37" xfId="17971" xr:uid="{AC1FDC30-4F6E-4B4A-BC0F-D720309E7B4E}"/>
    <cellStyle name="AggOrangeRBorder 4 2 38" xfId="18472" xr:uid="{278CF7DB-5AFC-441F-9E10-25D28F7E98C8}"/>
    <cellStyle name="AggOrangeRBorder 4 2 39" xfId="17977" xr:uid="{A02B16D9-21F1-43C3-B4BD-7E0AADB5D7A0}"/>
    <cellStyle name="AggOrangeRBorder 4 2 4" xfId="1720" xr:uid="{EDE73353-5F9B-4D06-8A3C-B3E62FC0AB9A}"/>
    <cellStyle name="AggOrangeRBorder 4 2 40" xfId="17006" xr:uid="{17C4393F-646B-4F30-B782-BEA947D3E816}"/>
    <cellStyle name="AggOrangeRBorder 4 2 41" xfId="19991" xr:uid="{8CF8CF2E-BD98-4AEC-9185-90A718F10D29}"/>
    <cellStyle name="AggOrangeRBorder 4 2 42" xfId="20469" xr:uid="{25BCEB71-7F3E-4206-9C66-25F99E8FE1EC}"/>
    <cellStyle name="AggOrangeRBorder 4 2 43" xfId="20922" xr:uid="{E8B1699C-EAA4-4E72-AB41-F592E118D58F}"/>
    <cellStyle name="AggOrangeRBorder 4 2 44" xfId="21417" xr:uid="{86716B1E-0720-42CF-BAA9-AAF615E246F7}"/>
    <cellStyle name="AggOrangeRBorder 4 2 45" xfId="21851" xr:uid="{9480987D-B18B-40A3-BD68-1AD200BA02B5}"/>
    <cellStyle name="AggOrangeRBorder 4 2 46" xfId="22288" xr:uid="{2647E103-523C-421F-BA08-66E263123C1F}"/>
    <cellStyle name="AggOrangeRBorder 4 2 47" xfId="22680" xr:uid="{1C90C5F7-8F03-4A18-928F-DDA163383AD3}"/>
    <cellStyle name="AggOrangeRBorder 4 2 48" xfId="22584" xr:uid="{146CDAC1-6A81-4191-B349-D649E9E65298}"/>
    <cellStyle name="AggOrangeRBorder 4 2 49" xfId="23552" xr:uid="{9DDAF84C-F13C-422A-B1AC-E3F6D2540FF1}"/>
    <cellStyle name="AggOrangeRBorder 4 2 5" xfId="2431" xr:uid="{B4E1F5F6-AC80-4D92-9282-799F80D43711}"/>
    <cellStyle name="AggOrangeRBorder 4 2 50" xfId="23800" xr:uid="{7944CF90-980B-443E-9527-AB1A86205B17}"/>
    <cellStyle name="AggOrangeRBorder 4 2 51" xfId="24699" xr:uid="{DA6BC08C-84E7-41D5-B7B9-5FB2FD96D420}"/>
    <cellStyle name="AggOrangeRBorder 4 2 52" xfId="25177" xr:uid="{3B208B68-38E7-47DD-AA89-DBD75B1BE515}"/>
    <cellStyle name="AggOrangeRBorder 4 2 53" xfId="25617" xr:uid="{6818A104-3D47-40D6-A8B8-BD9EA074A1E0}"/>
    <cellStyle name="AggOrangeRBorder 4 2 54" xfId="25984" xr:uid="{A49DBE74-026D-4AB3-A26E-F8B7A8F72657}"/>
    <cellStyle name="AggOrangeRBorder 4 2 55" xfId="25493" xr:uid="{E1451902-4C38-4209-B197-D4617FDA6AB6}"/>
    <cellStyle name="AggOrangeRBorder 4 2 56" xfId="26907" xr:uid="{78012918-E2F4-4296-893E-BCC13007AF01}"/>
    <cellStyle name="AggOrangeRBorder 4 2 57" xfId="27326" xr:uid="{12ACA8A1-B0F4-4F64-9415-4A5430D6CE15}"/>
    <cellStyle name="AggOrangeRBorder 4 2 58" xfId="26514" xr:uid="{432BEB8E-7AEC-4B07-8667-78E101A6B02A}"/>
    <cellStyle name="AggOrangeRBorder 4 2 59" xfId="28449" xr:uid="{A0FD7F60-8D1D-45F6-9182-8280D787906A}"/>
    <cellStyle name="AggOrangeRBorder 4 2 6" xfId="2846" xr:uid="{F0A8A16F-D1B6-4499-A5CD-04E63C69C6DB}"/>
    <cellStyle name="AggOrangeRBorder 4 2 60" xfId="28917" xr:uid="{18568E70-5ABB-48C6-9D81-CEFC30FC7736}"/>
    <cellStyle name="AggOrangeRBorder 4 2 61" xfId="29324" xr:uid="{0B71D88B-D272-42BD-B5EC-FD2810243C71}"/>
    <cellStyle name="AggOrangeRBorder 4 2 62" xfId="29707" xr:uid="{F61C11A5-4F60-4AA1-BB7C-AEF99BBE0606}"/>
    <cellStyle name="AggOrangeRBorder 4 2 63" xfId="30115" xr:uid="{3C01FC58-48F2-4556-994D-78FBDFC51F52}"/>
    <cellStyle name="AggOrangeRBorder 4 2 64" xfId="30529" xr:uid="{7722BD1B-4852-4E3B-BE36-B8E21171841B}"/>
    <cellStyle name="AggOrangeRBorder 4 2 65" xfId="30986" xr:uid="{2B86D00A-2BFF-4B71-BC9C-B490D75C97F2}"/>
    <cellStyle name="AggOrangeRBorder 4 2 66" xfId="31153" xr:uid="{1C3B8971-3CB5-49E5-A2D1-C7758B04AB66}"/>
    <cellStyle name="AggOrangeRBorder 4 2 7" xfId="2872" xr:uid="{1DD27257-9FEC-459D-A501-96E97172498C}"/>
    <cellStyle name="AggOrangeRBorder 4 2 8" xfId="3927" xr:uid="{69FA96D2-AE81-47A5-AE1F-F6A11C16444D}"/>
    <cellStyle name="AggOrangeRBorder 4 2 9" xfId="4365" xr:uid="{C6467DC5-B5D2-42EA-92D2-6355F19633C8}"/>
    <cellStyle name="AggOrangeRBorder 4 20" xfId="8203" xr:uid="{3E191B4B-A107-450E-9B10-CE1A836981D0}"/>
    <cellStyle name="AggOrangeRBorder 4 21" xfId="8894" xr:uid="{378C52EB-97C4-45F7-BCEE-C0AAF079D8E0}"/>
    <cellStyle name="AggOrangeRBorder 4 22" xfId="9214" xr:uid="{7A47A513-DDAF-4FC3-8C29-6C7DD0A3E93A}"/>
    <cellStyle name="AggOrangeRBorder 4 23" xfId="9058" xr:uid="{3DECD84D-9D78-494E-B6B4-A95F951B1789}"/>
    <cellStyle name="AggOrangeRBorder 4 24" xfId="9132" xr:uid="{51A15711-9990-45A5-BC30-4EA07DE9AE38}"/>
    <cellStyle name="AggOrangeRBorder 4 25" xfId="10333" xr:uid="{E85DAF39-10CC-40C4-9B78-3A052D438E9D}"/>
    <cellStyle name="AggOrangeRBorder 4 26" xfId="10880" xr:uid="{859F433E-D031-4D14-8F94-5719A4B81B75}"/>
    <cellStyle name="AggOrangeRBorder 4 27" xfId="11626" xr:uid="{B285DB69-402F-4AF1-98BC-92C69618D656}"/>
    <cellStyle name="AggOrangeRBorder 4 28" xfId="11388" xr:uid="{168D8C30-84ED-40F0-8773-143515C44EF6}"/>
    <cellStyle name="AggOrangeRBorder 4 29" xfId="12052" xr:uid="{70F42CC0-8588-45C0-9532-F8DB965F9C00}"/>
    <cellStyle name="AggOrangeRBorder 4 3" xfId="642" xr:uid="{979957BC-1731-4B60-B2BD-8479884C19B4}"/>
    <cellStyle name="AggOrangeRBorder 4 3 10" xfId="4253" xr:uid="{30D7DEBB-9AAC-44FF-AD9E-47E78E8E7595}"/>
    <cellStyle name="AggOrangeRBorder 4 3 11" xfId="5290" xr:uid="{C97194BB-5BEA-4DAA-9EAC-E88F4A5940B5}"/>
    <cellStyle name="AggOrangeRBorder 4 3 12" xfId="4681" xr:uid="{9BD9B39A-0659-4EFD-BFB9-CFE88DBD22A1}"/>
    <cellStyle name="AggOrangeRBorder 4 3 13" xfId="5813" xr:uid="{10A66891-85F7-4EC5-8F1B-3AF47C01A50D}"/>
    <cellStyle name="AggOrangeRBorder 4 3 14" xfId="5849" xr:uid="{65BD8DF1-35C1-4746-9A61-0D9780E89C09}"/>
    <cellStyle name="AggOrangeRBorder 4 3 15" xfId="7362" xr:uid="{D7C5A570-6526-408A-B046-D61DC7FE9988}"/>
    <cellStyle name="AggOrangeRBorder 4 3 16" xfId="6813" xr:uid="{685F81FD-F2F8-4E38-87B3-73B8393792AE}"/>
    <cellStyle name="AggOrangeRBorder 4 3 17" xfId="7068" xr:uid="{24C261BF-7EF0-432F-9E36-D3C86BD9D862}"/>
    <cellStyle name="AggOrangeRBorder 4 3 18" xfId="7179" xr:uid="{60020C14-10D5-43FA-BA2F-0299B4334F6D}"/>
    <cellStyle name="AggOrangeRBorder 4 3 19" xfId="9576" xr:uid="{B869CC79-D9B0-4DCC-9819-B53072088FDC}"/>
    <cellStyle name="AggOrangeRBorder 4 3 2" xfId="857" xr:uid="{25BC6962-E630-4A00-BBDE-664B29EAEE56}"/>
    <cellStyle name="AggOrangeRBorder 4 3 2 10" xfId="5505" xr:uid="{C0EE4281-A5FA-452A-9A48-22ED718D610E}"/>
    <cellStyle name="AggOrangeRBorder 4 3 2 11" xfId="5962" xr:uid="{DE84AC66-6740-46E1-87BC-056F027A061C}"/>
    <cellStyle name="AggOrangeRBorder 4 3 2 12" xfId="3130" xr:uid="{777FF6CF-70BD-4C8F-9868-D7393A9D9E12}"/>
    <cellStyle name="AggOrangeRBorder 4 3 2 13" xfId="3353" xr:uid="{0450411C-AC7F-4EC5-87D3-24AA05A62CB3}"/>
    <cellStyle name="AggOrangeRBorder 4 3 2 14" xfId="7577" xr:uid="{AA271ED5-4F4E-487F-8CB9-9104B233896D}"/>
    <cellStyle name="AggOrangeRBorder 4 3 2 15" xfId="7110" xr:uid="{B6F57F0A-1B88-4939-A857-67749E495645}"/>
    <cellStyle name="AggOrangeRBorder 4 3 2 16" xfId="7047" xr:uid="{F54E032E-7143-43E0-9FF1-8302D2C39E45}"/>
    <cellStyle name="AggOrangeRBorder 4 3 2 17" xfId="8253" xr:uid="{3E311E34-BF46-4B1E-95E9-825E80F8EE81}"/>
    <cellStyle name="AggOrangeRBorder 4 3 2 18" xfId="9791" xr:uid="{42CA9443-F0FC-4D3E-92EE-1C43E22558F4}"/>
    <cellStyle name="AggOrangeRBorder 4 3 2 19" xfId="9196" xr:uid="{AA1F2676-CB50-48EE-AFA9-C7F70E72F291}"/>
    <cellStyle name="AggOrangeRBorder 4 3 2 2" xfId="1331" xr:uid="{4179E7FA-33EF-4AD8-926E-5159876FE55C}"/>
    <cellStyle name="AggOrangeRBorder 4 3 2 20" xfId="9958" xr:uid="{4E24DB6B-10D7-4BCA-945B-C7117AF5E16A}"/>
    <cellStyle name="AggOrangeRBorder 4 3 2 21" xfId="9158" xr:uid="{2043CA1E-AB4E-41A4-BB8F-F7488A812BF8}"/>
    <cellStyle name="AggOrangeRBorder 4 3 2 22" xfId="11090" xr:uid="{24A30A32-F88B-47D3-8EC8-045A540FF9CC}"/>
    <cellStyle name="AggOrangeRBorder 4 3 2 23" xfId="12210" xr:uid="{23A83442-E587-46A1-ABA6-281930E4D133}"/>
    <cellStyle name="AggOrangeRBorder 4 3 2 24" xfId="12683" xr:uid="{AC3E4125-522E-4CF3-A80A-7F3BD4F5B59D}"/>
    <cellStyle name="AggOrangeRBorder 4 3 2 25" xfId="13117" xr:uid="{C8C3C6D7-8EC8-4734-8896-58BA64AB1E1D}"/>
    <cellStyle name="AggOrangeRBorder 4 3 2 26" xfId="13554" xr:uid="{C86448F3-9A9F-4072-9AC8-5CCC6A21609F}"/>
    <cellStyle name="AggOrangeRBorder 4 3 2 27" xfId="11760" xr:uid="{D5A89E19-72B5-45D3-9276-8FE69ED81CE6}"/>
    <cellStyle name="AggOrangeRBorder 4 3 2 28" xfId="14473" xr:uid="{0C5AF9DA-9607-4EEE-A132-89A43AAAAB79}"/>
    <cellStyle name="AggOrangeRBorder 4 3 2 29" xfId="13199" xr:uid="{1BBB3756-2BA9-44EE-8C3D-19A70A24F945}"/>
    <cellStyle name="AggOrangeRBorder 4 3 2 3" xfId="1780" xr:uid="{81430185-BBAF-4114-890E-566473F2FE9B}"/>
    <cellStyle name="AggOrangeRBorder 4 3 2 30" xfId="14990" xr:uid="{D25C3508-EE58-42F3-AFD4-BF56B1623CEB}"/>
    <cellStyle name="AggOrangeRBorder 4 3 2 31" xfId="15201" xr:uid="{CB82BCAB-C7EC-4CAD-B99C-874BEAF2042F}"/>
    <cellStyle name="AggOrangeRBorder 4 3 2 32" xfId="15141" xr:uid="{075A79AB-5DA0-4096-A662-704F5A706434}"/>
    <cellStyle name="AggOrangeRBorder 4 3 2 33" xfId="16902" xr:uid="{2B8DF6A9-A125-4F71-B897-5CB0F94085A9}"/>
    <cellStyle name="AggOrangeRBorder 4 3 2 34" xfId="16432" xr:uid="{9837B42A-7FBE-45CC-B61A-969C788A6343}"/>
    <cellStyle name="AggOrangeRBorder 4 3 2 35" xfId="16974" xr:uid="{4376BEA1-FD17-4978-B4D1-EDCA6CB6AB95}"/>
    <cellStyle name="AggOrangeRBorder 4 3 2 36" xfId="17676" xr:uid="{F70219C4-77F7-4BA5-A720-6BADD592FE73}"/>
    <cellStyle name="AggOrangeRBorder 4 3 2 37" xfId="18720" xr:uid="{E8E4EC1C-82AC-44C7-B10F-490A9861B9DE}"/>
    <cellStyle name="AggOrangeRBorder 4 3 2 38" xfId="17207" xr:uid="{C89BA667-BD09-4191-825F-9D05186242ED}"/>
    <cellStyle name="AggOrangeRBorder 4 3 2 39" xfId="19093" xr:uid="{646E5A7F-B94C-430B-8F46-7A1ED8D0ADAD}"/>
    <cellStyle name="AggOrangeRBorder 4 3 2 4" xfId="2679" xr:uid="{B7800A64-2D1C-4D0F-BAD0-B85E9EBC0447}"/>
    <cellStyle name="AggOrangeRBorder 4 3 2 40" xfId="20239" xr:uid="{185DDEDF-CDB3-4D24-BDDD-E04D0A000068}"/>
    <cellStyle name="AggOrangeRBorder 4 3 2 41" xfId="19764" xr:uid="{EC0AE230-11F2-4763-AE15-235EE97BF206}"/>
    <cellStyle name="AggOrangeRBorder 4 3 2 42" xfId="19838" xr:uid="{7E3B7B39-CEDD-4101-A7FC-5C351CBF47B0}"/>
    <cellStyle name="AggOrangeRBorder 4 3 2 43" xfId="20779" xr:uid="{33743030-D2A8-4E41-A637-1ED331C514C5}"/>
    <cellStyle name="AggOrangeRBorder 4 3 2 44" xfId="20948" xr:uid="{68DD87B9-0D4F-4B06-A200-5073154D557F}"/>
    <cellStyle name="AggOrangeRBorder 4 3 2 45" xfId="21720" xr:uid="{9D79B307-187F-40BF-83A1-BC0331C0F717}"/>
    <cellStyle name="AggOrangeRBorder 4 3 2 46" xfId="21322" xr:uid="{6FB347A3-6147-4432-9BA9-E770024AE4C6}"/>
    <cellStyle name="AggOrangeRBorder 4 3 2 47" xfId="22918" xr:uid="{70B74F50-D351-486F-902F-C146BEE91CDB}"/>
    <cellStyle name="AggOrangeRBorder 4 3 2 48" xfId="22914" xr:uid="{11602937-54C9-4E6B-B479-EBCD687168D3}"/>
    <cellStyle name="AggOrangeRBorder 4 3 2 49" xfId="24039" xr:uid="{2C853ED9-EE32-4702-9E56-94DF17EF8E03}"/>
    <cellStyle name="AggOrangeRBorder 4 3 2 5" xfId="2522" xr:uid="{F01AC936-9282-4B37-9E7F-C8B369FCF5E1}"/>
    <cellStyle name="AggOrangeRBorder 4 3 2 50" xfId="24947" xr:uid="{2B0422EB-5636-4F37-AA79-C9F0D9C082BB}"/>
    <cellStyle name="AggOrangeRBorder 4 3 2 51" xfId="24309" xr:uid="{7C26CB68-D58B-4423-8279-3D521DA90A4C}"/>
    <cellStyle name="AggOrangeRBorder 4 3 2 52" xfId="25863" xr:uid="{A832B81A-F895-436A-BB36-8421889886CC}"/>
    <cellStyle name="AggOrangeRBorder 4 3 2 53" xfId="24457" xr:uid="{E37D549B-6795-49BD-BBE2-AB1BB05683D2}"/>
    <cellStyle name="AggOrangeRBorder 4 3 2 54" xfId="26730" xr:uid="{DD3E1E07-B242-4A04-8BDB-BE119E802FC4}"/>
    <cellStyle name="AggOrangeRBorder 4 3 2 55" xfId="27151" xr:uid="{99B66DAC-AEF5-4C42-AA58-E9C38EDB43A8}"/>
    <cellStyle name="AggOrangeRBorder 4 3 2 56" xfId="27570" xr:uid="{CFF76C40-A809-4D6D-A99E-A0400E28E10A}"/>
    <cellStyle name="AggOrangeRBorder 4 3 2 57" xfId="27214" xr:uid="{CD4D2C36-0DAB-4B56-A14B-C2FD569C2F6C}"/>
    <cellStyle name="AggOrangeRBorder 4 3 2 58" xfId="28697" xr:uid="{3094B9DE-C792-4082-AEA5-AB4E785572FA}"/>
    <cellStyle name="AggOrangeRBorder 4 3 2 59" xfId="29164" xr:uid="{DE6CB85D-F9C6-4B2A-869E-2A9500A239DA}"/>
    <cellStyle name="AggOrangeRBorder 4 3 2 6" xfId="3683" xr:uid="{B74FC670-EC67-4741-BB94-AFF987A4CC9B}"/>
    <cellStyle name="AggOrangeRBorder 4 3 2 60" xfId="28196" xr:uid="{4F6BB041-A908-482A-B8EF-A662477401BC}"/>
    <cellStyle name="AggOrangeRBorder 4 3 2 61" xfId="29953" xr:uid="{BED58673-95B9-4763-803A-E2C0CEB46ABC}"/>
    <cellStyle name="AggOrangeRBorder 4 3 2 62" xfId="30359" xr:uid="{98A31E20-D8F9-4B19-830F-85846217E384}"/>
    <cellStyle name="AggOrangeRBorder 4 3 2 63" xfId="30776" xr:uid="{E6D6388F-5680-4A1E-8A78-B52FB1473471}"/>
    <cellStyle name="AggOrangeRBorder 4 3 2 64" xfId="29999" xr:uid="{0DCA2A58-CCA3-485F-BFDB-16E0B00DF8CD}"/>
    <cellStyle name="AggOrangeRBorder 4 3 2 65" xfId="31392" xr:uid="{41381E54-D595-4370-9B42-A83BC5F33A82}"/>
    <cellStyle name="AggOrangeRBorder 4 3 2 7" xfId="4175" xr:uid="{E04D7C48-1AD2-4CF2-B340-D4D927F92F5E}"/>
    <cellStyle name="AggOrangeRBorder 4 3 2 8" xfId="4612" xr:uid="{05E5F0FC-A9B7-46E5-973F-4B4A8B8CE6B5}"/>
    <cellStyle name="AggOrangeRBorder 4 3 2 9" xfId="5058" xr:uid="{9BBAB094-BE23-474B-AEEA-6E88C3DA62AD}"/>
    <cellStyle name="AggOrangeRBorder 4 3 20" xfId="8971" xr:uid="{4BF2B75E-0440-4A90-83BC-1829208FF30F}"/>
    <cellStyle name="AggOrangeRBorder 4 3 21" xfId="10030" xr:uid="{24D03A7A-3BA1-41F3-9AB0-2DC8992E0AA7}"/>
    <cellStyle name="AggOrangeRBorder 4 3 22" xfId="10442" xr:uid="{5816EF87-25A1-425B-811C-0A6C55D03D81}"/>
    <cellStyle name="AggOrangeRBorder 4 3 23" xfId="10342" xr:uid="{78F94851-D428-49FF-A085-22589CE2CCC1}"/>
    <cellStyle name="AggOrangeRBorder 4 3 24" xfId="11995" xr:uid="{A8DCBD3E-1E39-4BC5-8EAC-0A2DD2F03F5A}"/>
    <cellStyle name="AggOrangeRBorder 4 3 25" xfId="12468" xr:uid="{07982F85-0F16-4135-A86E-20D34EA0EDE7}"/>
    <cellStyle name="AggOrangeRBorder 4 3 26" xfId="12902" xr:uid="{8BF664B4-5C7E-4777-9581-2907E2BE3696}"/>
    <cellStyle name="AggOrangeRBorder 4 3 27" xfId="13339" xr:uid="{C252EFA1-A357-471F-90FE-4A74D448194B}"/>
    <cellStyle name="AggOrangeRBorder 4 3 28" xfId="12757" xr:uid="{A7969E2C-0E1B-4724-AD76-2D0F66A884DD}"/>
    <cellStyle name="AggOrangeRBorder 4 3 29" xfId="14363" xr:uid="{C42F1EFE-17F7-4413-AA21-AE59B289027E}"/>
    <cellStyle name="AggOrangeRBorder 4 3 3" xfId="1125" xr:uid="{ADC6DC5C-E347-46C1-8108-94B28ADC53E2}"/>
    <cellStyle name="AggOrangeRBorder 4 3 30" xfId="14889" xr:uid="{AE54A5FB-1A5C-4003-A41F-C265624A111B}"/>
    <cellStyle name="AggOrangeRBorder 4 3 31" xfId="14463" xr:uid="{A9F60255-60C9-4716-B747-3E343F930CBB}"/>
    <cellStyle name="AggOrangeRBorder 4 3 32" xfId="15294" xr:uid="{65CCAFFE-7F93-4EB9-A62B-12560335C11E}"/>
    <cellStyle name="AggOrangeRBorder 4 3 33" xfId="15681" xr:uid="{521F8BD6-DB66-46EA-B1F1-0B1028DBFF15}"/>
    <cellStyle name="AggOrangeRBorder 4 3 34" xfId="16687" xr:uid="{F0C6D59E-D404-424C-B483-901D0F2AC3C4}"/>
    <cellStyle name="AggOrangeRBorder 4 3 35" xfId="16124" xr:uid="{497E6668-C72E-400B-8839-74087EDCA269}"/>
    <cellStyle name="AggOrangeRBorder 4 3 36" xfId="16400" xr:uid="{48980599-01BF-444D-B8E3-9F11D5BE6303}"/>
    <cellStyle name="AggOrangeRBorder 4 3 37" xfId="18016" xr:uid="{D48A7C63-5E0F-4BF8-A72A-40195EF39FF0}"/>
    <cellStyle name="AggOrangeRBorder 4 3 38" xfId="18505" xr:uid="{32B82E1A-F88F-46A5-8C84-DAAE6949B251}"/>
    <cellStyle name="AggOrangeRBorder 4 3 39" xfId="17238" xr:uid="{DF7C068E-DBF4-4FE4-85D2-B6F6F8D98E7F}"/>
    <cellStyle name="AggOrangeRBorder 4 3 4" xfId="1726" xr:uid="{DF88758E-E7D7-466A-8746-4C384F1A6788}"/>
    <cellStyle name="AggOrangeRBorder 4 3 40" xfId="18878" xr:uid="{7469858E-3FB1-4A4D-B806-59C551F44763}"/>
    <cellStyle name="AggOrangeRBorder 4 3 41" xfId="20024" xr:uid="{B684F962-4D55-4555-81CC-3E5ABAE2DAFE}"/>
    <cellStyle name="AggOrangeRBorder 4 3 42" xfId="19503" xr:uid="{E3F1EE2A-82A4-48A8-BF71-B8E0B2A5D70D}"/>
    <cellStyle name="AggOrangeRBorder 4 3 43" xfId="20652" xr:uid="{3648961E-7D1D-47DC-B8BB-9B65462B84AA}"/>
    <cellStyle name="AggOrangeRBorder 4 3 44" xfId="20817" xr:uid="{753FE35F-C935-4459-964B-5282D4176E37}"/>
    <cellStyle name="AggOrangeRBorder 4 3 45" xfId="21517" xr:uid="{72D94818-13AB-47C3-92F6-31A037A1A20D}"/>
    <cellStyle name="AggOrangeRBorder 4 3 46" xfId="20981" xr:uid="{C3BDB763-7B2E-47A6-820C-3ABAEE8D476D}"/>
    <cellStyle name="AggOrangeRBorder 4 3 47" xfId="21394" xr:uid="{2B1C20F4-FB1F-4F12-83E6-3E8CCA5EE114}"/>
    <cellStyle name="AggOrangeRBorder 4 3 48" xfId="22673" xr:uid="{1D48DEDD-F204-474F-B3BD-EB5AA23A0E92}"/>
    <cellStyle name="AggOrangeRBorder 4 3 49" xfId="23130" xr:uid="{B7B1AD9D-210A-4285-BA85-54EDF5BEB62A}"/>
    <cellStyle name="AggOrangeRBorder 4 3 5" xfId="2464" xr:uid="{EBDC2F90-A06A-4C9E-80A4-6DE15113E68A}"/>
    <cellStyle name="AggOrangeRBorder 4 3 50" xfId="23833" xr:uid="{03FA691E-55E5-433D-99E1-316D5F0F0F92}"/>
    <cellStyle name="AggOrangeRBorder 4 3 51" xfId="24732" xr:uid="{CE1FBE36-94C2-4390-9B0B-75B252040E9C}"/>
    <cellStyle name="AggOrangeRBorder 4 3 52" xfId="24125" xr:uid="{D6A8ED34-A520-415A-97D2-14F030C351C8}"/>
    <cellStyle name="AggOrangeRBorder 4 3 53" xfId="25650" xr:uid="{1A0D65B2-81E8-4027-8C40-C7A51DD676DA}"/>
    <cellStyle name="AggOrangeRBorder 4 3 54" xfId="25899" xr:uid="{277E49D2-AC4E-4083-8690-6AF4939EFD6C}"/>
    <cellStyle name="AggOrangeRBorder 4 3 55" xfId="26696" xr:uid="{D1FD335F-3221-44B1-93C0-410747F08CAF}"/>
    <cellStyle name="AggOrangeRBorder 4 3 56" xfId="26940" xr:uid="{FDD60DC3-6969-43B6-B469-1AF6C04FBE6C}"/>
    <cellStyle name="AggOrangeRBorder 4 3 57" xfId="27359" xr:uid="{9702B5FA-9E56-497D-A444-7A4DA11A0406}"/>
    <cellStyle name="AggOrangeRBorder 4 3 58" xfId="27656" xr:uid="{731BC0F8-6208-4CF8-AF4E-F203EBE6202C}"/>
    <cellStyle name="AggOrangeRBorder 4 3 59" xfId="28482" xr:uid="{D6DD0C08-B1C2-420E-BBC5-949536C0AD70}"/>
    <cellStyle name="AggOrangeRBorder 4 3 6" xfId="2174" xr:uid="{A61313D1-B337-42CA-8061-519B4BBCD929}"/>
    <cellStyle name="AggOrangeRBorder 4 3 60" xfId="28950" xr:uid="{372533AD-A2C7-4450-9225-31ED935CBD07}"/>
    <cellStyle name="AggOrangeRBorder 4 3 61" xfId="28816" xr:uid="{23B15456-1AD3-4247-951A-7B89033BB280}"/>
    <cellStyle name="AggOrangeRBorder 4 3 62" xfId="29740" xr:uid="{E39C5112-7C7A-4F55-9895-B3DC2404BA6A}"/>
    <cellStyle name="AggOrangeRBorder 4 3 63" xfId="30148" xr:uid="{5CA802C1-48BD-483D-B755-962DE123B8F8}"/>
    <cellStyle name="AggOrangeRBorder 4 3 64" xfId="30562" xr:uid="{5D10FFBA-62B8-424D-8EA6-4DBC2EA9378B}"/>
    <cellStyle name="AggOrangeRBorder 4 3 65" xfId="28298" xr:uid="{C329C3D6-49D7-45AE-8BA9-1AA0EFD27D33}"/>
    <cellStyle name="AggOrangeRBorder 4 3 66" xfId="31186" xr:uid="{1811CE64-EE26-4A80-A505-25A97CA4C439}"/>
    <cellStyle name="AggOrangeRBorder 4 3 7" xfId="3111" xr:uid="{8F44FADA-919C-424D-B638-FF2795E4DD07}"/>
    <cellStyle name="AggOrangeRBorder 4 3 8" xfId="3960" xr:uid="{5ED2B127-7C47-4125-A82B-24C0A11F71E1}"/>
    <cellStyle name="AggOrangeRBorder 4 3 9" xfId="4398" xr:uid="{7C7C5CD8-404E-4260-8B1E-1611245A88E4}"/>
    <cellStyle name="AggOrangeRBorder 4 30" xfId="11473" xr:uid="{93FEBCB9-26BA-413E-BA36-085ED093ED10}"/>
    <cellStyle name="AggOrangeRBorder 4 31" xfId="11606" xr:uid="{04613BD0-2A44-417C-8A67-FBD5E266A7A6}"/>
    <cellStyle name="AggOrangeRBorder 4 32" xfId="13955" xr:uid="{BBA86742-985D-4441-A50C-9295DD6F2548}"/>
    <cellStyle name="AggOrangeRBorder 4 33" xfId="14378" xr:uid="{745048CC-2219-4461-99E1-A429AF7C2D98}"/>
    <cellStyle name="AggOrangeRBorder 4 34" xfId="15229" xr:uid="{6C5AB705-927A-4A68-8313-8F732B95682A}"/>
    <cellStyle name="AggOrangeRBorder 4 35" xfId="15481" xr:uid="{D9F4290E-40C1-41A2-86E5-2CF89F7DABB0}"/>
    <cellStyle name="AggOrangeRBorder 4 36" xfId="15620" xr:uid="{D1D19E2F-232B-4908-9866-CB790C2FD572}"/>
    <cellStyle name="AggOrangeRBorder 4 37" xfId="16321" xr:uid="{54CF7F91-DDF1-4EB5-9809-FD0F8EF91EAC}"/>
    <cellStyle name="AggOrangeRBorder 4 38" xfId="16402" xr:uid="{670746AA-6A8B-4149-BF70-A7567B57A9C4}"/>
    <cellStyle name="AggOrangeRBorder 4 39" xfId="16206" xr:uid="{8CB40752-7ABF-4D38-8C6B-B10652E4A317}"/>
    <cellStyle name="AggOrangeRBorder 4 4" xfId="663" xr:uid="{809B3B98-1CF3-4DC7-AD39-B70D30A7BBAC}"/>
    <cellStyle name="AggOrangeRBorder 4 4 10" xfId="4712" xr:uid="{D14DCA0B-E01D-4D63-8FB9-0E3891C6FF78}"/>
    <cellStyle name="AggOrangeRBorder 4 4 11" xfId="5311" xr:uid="{162E50A4-E8CD-4B25-82B6-375CB36125AC}"/>
    <cellStyle name="AggOrangeRBorder 4 4 12" xfId="4852" xr:uid="{6012C380-5F58-4344-841A-9F91D0C0B207}"/>
    <cellStyle name="AggOrangeRBorder 4 4 13" xfId="5928" xr:uid="{BE8EEDA2-3A28-4B36-A2F7-9BBBD611E0A6}"/>
    <cellStyle name="AggOrangeRBorder 4 4 14" xfId="4721" xr:uid="{AD7E68AD-7E01-4FA4-A61D-BF11952E30CE}"/>
    <cellStyle name="AggOrangeRBorder 4 4 15" xfId="7383" xr:uid="{B58DEB93-BC09-475F-BC6B-2BD90D66446D}"/>
    <cellStyle name="AggOrangeRBorder 4 4 16" xfId="6857" xr:uid="{8DBAEF00-5D30-4006-829A-05E4A978ACCB}"/>
    <cellStyle name="AggOrangeRBorder 4 4 17" xfId="8232" xr:uid="{36F9D7BC-C041-4A6A-B360-F99161F32117}"/>
    <cellStyle name="AggOrangeRBorder 4 4 18" xfId="8192" xr:uid="{01816E52-2382-4B2A-8C38-B8B28E681ADE}"/>
    <cellStyle name="AggOrangeRBorder 4 4 19" xfId="9597" xr:uid="{1DF054E5-4F34-4BC6-997F-62FD9130C140}"/>
    <cellStyle name="AggOrangeRBorder 4 4 2" xfId="878" xr:uid="{90D615DA-B824-4F28-8E60-4E4BAE5D7F1E}"/>
    <cellStyle name="AggOrangeRBorder 4 4 2 10" xfId="5526" xr:uid="{36A4B0A8-D19E-4E98-8500-2F3B651A98F4}"/>
    <cellStyle name="AggOrangeRBorder 4 4 2 11" xfId="6020" xr:uid="{52C41391-A181-46BF-81DE-387769D390CA}"/>
    <cellStyle name="AggOrangeRBorder 4 4 2 12" xfId="6379" xr:uid="{F288A37B-DD80-4EF7-99FE-5E29FF934E17}"/>
    <cellStyle name="AggOrangeRBorder 4 4 2 13" xfId="6717" xr:uid="{A747039E-2DF2-4BAF-942B-6D957E76EECC}"/>
    <cellStyle name="AggOrangeRBorder 4 4 2 14" xfId="7598" xr:uid="{5C3C0A73-1CE4-4596-B9FF-198B92B06B4B}"/>
    <cellStyle name="AggOrangeRBorder 4 4 2 15" xfId="8062" xr:uid="{10350F7E-8761-4553-8676-A4B1FADA36FB}"/>
    <cellStyle name="AggOrangeRBorder 4 4 2 16" xfId="8671" xr:uid="{4EF56541-88DC-401E-9B64-F068B7D06620}"/>
    <cellStyle name="AggOrangeRBorder 4 4 2 17" xfId="8930" xr:uid="{0F00AA9B-BC7F-4685-9ED5-6F5525959EA9}"/>
    <cellStyle name="AggOrangeRBorder 4 4 2 18" xfId="9812" xr:uid="{C8FAF95D-C06A-431C-8803-C54E61EDD6BF}"/>
    <cellStyle name="AggOrangeRBorder 4 4 2 19" xfId="10281" xr:uid="{F520897E-2D22-4D90-9FCF-88300592E307}"/>
    <cellStyle name="AggOrangeRBorder 4 4 2 2" xfId="1352" xr:uid="{6615327B-7702-4071-B8C9-A63A2767A4B7}"/>
    <cellStyle name="AggOrangeRBorder 4 4 2 20" xfId="10675" xr:uid="{DA60FEEF-BC19-4D19-BE2A-65537D31EC4B}"/>
    <cellStyle name="AggOrangeRBorder 4 4 2 21" xfId="11024" xr:uid="{C0F0219D-79BF-46B2-92A0-904CA8067884}"/>
    <cellStyle name="AggOrangeRBorder 4 4 2 22" xfId="11334" xr:uid="{4767F9EC-1B05-4F16-939E-2F478539E4B1}"/>
    <cellStyle name="AggOrangeRBorder 4 4 2 23" xfId="12231" xr:uid="{9644186B-E87E-4F73-8CAC-4ECA4BB3A672}"/>
    <cellStyle name="AggOrangeRBorder 4 4 2 24" xfId="12704" xr:uid="{1176DD23-B5A7-40C6-A9AC-75A3DBB0B8D3}"/>
    <cellStyle name="AggOrangeRBorder 4 4 2 25" xfId="13138" xr:uid="{EA0374B1-BE60-430D-B1BD-F6A243920609}"/>
    <cellStyle name="AggOrangeRBorder 4 4 2 26" xfId="13575" xr:uid="{70F8D6E0-299F-42BF-9CB4-522DF307AF94}"/>
    <cellStyle name="AggOrangeRBorder 4 4 2 27" xfId="14047" xr:uid="{D3301ADD-95ED-4D3B-9A26-1C90692EC5B5}"/>
    <cellStyle name="AggOrangeRBorder 4 4 2 28" xfId="14494" xr:uid="{247A628D-C6A6-4BE4-81DD-5D2B2854B513}"/>
    <cellStyle name="AggOrangeRBorder 4 4 2 29" xfId="14928" xr:uid="{D33660D0-D2F8-4CA7-A062-6EA67F0907B0}"/>
    <cellStyle name="AggOrangeRBorder 4 4 2 3" xfId="1801" xr:uid="{85479EEE-8B5A-4EFA-B4BA-E0404B21662A}"/>
    <cellStyle name="AggOrangeRBorder 4 4 2 30" xfId="15398" xr:uid="{4DE89CB0-15E2-4F23-8993-06AEAE6C7DAE}"/>
    <cellStyle name="AggOrangeRBorder 4 4 2 31" xfId="15788" xr:uid="{33564512-04D5-4652-B6A8-F4B24B9EB9E3}"/>
    <cellStyle name="AggOrangeRBorder 4 4 2 32" xfId="16010" xr:uid="{8F56C6DA-F392-4076-AEFF-81EF47801D55}"/>
    <cellStyle name="AggOrangeRBorder 4 4 2 33" xfId="16923" xr:uid="{87BA2564-BA73-40D8-84B7-DDB4B1DC258B}"/>
    <cellStyle name="AggOrangeRBorder 4 4 2 34" xfId="17404" xr:uid="{3CBF73CF-5757-4006-93C8-BDB6CFAD544F}"/>
    <cellStyle name="AggOrangeRBorder 4 4 2 35" xfId="17845" xr:uid="{E01581B2-2310-497A-8340-5D9CF3CCB0DF}"/>
    <cellStyle name="AggOrangeRBorder 4 4 2 36" xfId="18320" xr:uid="{38C8260B-7AFC-4EED-8008-840495E19C2A}"/>
    <cellStyle name="AggOrangeRBorder 4 4 2 37" xfId="18741" xr:uid="{EDB7E7A4-27F3-4209-AF7F-EB56110EE511}"/>
    <cellStyle name="AggOrangeRBorder 4 4 2 38" xfId="19128" xr:uid="{E4851F5F-0FBA-4E49-AEA7-8BA4D1A642A9}"/>
    <cellStyle name="AggOrangeRBorder 4 4 2 39" xfId="19358" xr:uid="{B2DA815F-8FB8-4501-8868-98A82C41C7A4}"/>
    <cellStyle name="AggOrangeRBorder 4 4 2 4" xfId="2700" xr:uid="{9393471C-A00A-435E-A278-EFAC656518C3}"/>
    <cellStyle name="AggOrangeRBorder 4 4 2 40" xfId="20260" xr:uid="{91535E05-44EB-4A76-8D5A-4A2C3CFC88A0}"/>
    <cellStyle name="AggOrangeRBorder 4 4 2 41" xfId="20753" xr:uid="{5F8D8661-2643-4C89-B7D1-320485193FF6}"/>
    <cellStyle name="AggOrangeRBorder 4 4 2 42" xfId="21212" xr:uid="{479F251D-340A-4A5E-93B0-6357DFF33843}"/>
    <cellStyle name="AggOrangeRBorder 4 4 2 43" xfId="21704" xr:uid="{06A8CB12-6F1E-431E-9106-D52DA76A848A}"/>
    <cellStyle name="AggOrangeRBorder 4 4 2 44" xfId="22143" xr:uid="{C6FA5203-E803-4678-8C40-11423F39FC35}"/>
    <cellStyle name="AggOrangeRBorder 4 4 2 45" xfId="22570" xr:uid="{9F036641-E70B-4841-904B-DA56D2D3DCE3}"/>
    <cellStyle name="AggOrangeRBorder 4 4 2 46" xfId="23015" xr:uid="{0329D2F6-DA17-4267-948D-D4A82B19D86F}"/>
    <cellStyle name="AggOrangeRBorder 4 4 2 47" xfId="23417" xr:uid="{600668F1-A778-4C69-A729-237436245960}"/>
    <cellStyle name="AggOrangeRBorder 4 4 2 48" xfId="23680" xr:uid="{2BC2179B-40BD-4677-A7A6-B76EFCC5EEB4}"/>
    <cellStyle name="AggOrangeRBorder 4 4 2 49" xfId="24060" xr:uid="{B7E5E445-612D-407D-A0F0-031A6E63B87C}"/>
    <cellStyle name="AggOrangeRBorder 4 4 2 5" xfId="3220" xr:uid="{5B776C2C-67C4-4E48-8A6E-FB4108159F5B}"/>
    <cellStyle name="AggOrangeRBorder 4 4 2 50" xfId="24968" xr:uid="{5A8FFAA1-3E79-446D-94FD-E8F1DB9D6DFC}"/>
    <cellStyle name="AggOrangeRBorder 4 4 2 51" xfId="25456" xr:uid="{40AA1066-077C-4CF5-8E34-6BD335D02C1E}"/>
    <cellStyle name="AggOrangeRBorder 4 4 2 52" xfId="25884" xr:uid="{5B44F8B6-D540-417F-9719-C2A5BE177767}"/>
    <cellStyle name="AggOrangeRBorder 4 4 2 53" xfId="26322" xr:uid="{55AE4BC5-C24D-4EA7-B8D3-06704857FF7A}"/>
    <cellStyle name="AggOrangeRBorder 4 4 2 54" xfId="26751" xr:uid="{A262FB96-7786-4965-B052-5B47A4FB9351}"/>
    <cellStyle name="AggOrangeRBorder 4 4 2 55" xfId="27172" xr:uid="{55F32754-EC9B-4CB6-9ADE-060665478394}"/>
    <cellStyle name="AggOrangeRBorder 4 4 2 56" xfId="27591" xr:uid="{6C099926-17E8-4481-984F-2E82C9FD3389}"/>
    <cellStyle name="AggOrangeRBorder 4 4 2 57" xfId="27829" xr:uid="{74B305B1-3025-45E8-884F-10C822123F52}"/>
    <cellStyle name="AggOrangeRBorder 4 4 2 58" xfId="28718" xr:uid="{B025D16D-8C68-4E53-B45E-E829EF2C93B5}"/>
    <cellStyle name="AggOrangeRBorder 4 4 2 59" xfId="29185" xr:uid="{8D392EE8-8028-4A02-B913-5CA6E6B56332}"/>
    <cellStyle name="AggOrangeRBorder 4 4 2 6" xfId="3775" xr:uid="{44092B9A-B298-446A-AD38-32F32BCAB1E1}"/>
    <cellStyle name="AggOrangeRBorder 4 4 2 60" xfId="29567" xr:uid="{3CF7D1D9-E0F0-4E96-94B3-B2773D457B48}"/>
    <cellStyle name="AggOrangeRBorder 4 4 2 61" xfId="29974" xr:uid="{F9CE5C03-84E6-4D69-BAA3-73CA9AAB1FA2}"/>
    <cellStyle name="AggOrangeRBorder 4 4 2 62" xfId="30380" xr:uid="{A044AAAC-21D1-42B1-B976-5ED46BFEF017}"/>
    <cellStyle name="AggOrangeRBorder 4 4 2 63" xfId="30797" xr:uid="{06F585A1-5263-49F1-A097-3983F1033F12}"/>
    <cellStyle name="AggOrangeRBorder 4 4 2 64" xfId="31042" xr:uid="{B100FB32-F097-4DCA-B345-72EA19823A0E}"/>
    <cellStyle name="AggOrangeRBorder 4 4 2 65" xfId="31413" xr:uid="{03F37371-C1D4-4433-A5B4-5F73A52FDB5C}"/>
    <cellStyle name="AggOrangeRBorder 4 4 2 7" xfId="4196" xr:uid="{6E1CD525-9E8A-4149-8FFF-DDBC51C0B9D3}"/>
    <cellStyle name="AggOrangeRBorder 4 4 2 8" xfId="4633" xr:uid="{4516CA61-F97D-45A9-AA0E-E78A7CE14F11}"/>
    <cellStyle name="AggOrangeRBorder 4 4 2 9" xfId="5079" xr:uid="{10E65FC3-8D6B-4FEA-8DA4-1803496A8F54}"/>
    <cellStyle name="AggOrangeRBorder 4 4 20" xfId="9072" xr:uid="{B6222CB6-6B2B-4913-9B0B-4B4120A24EBF}"/>
    <cellStyle name="AggOrangeRBorder 4 4 21" xfId="9995" xr:uid="{8C4E12B2-1874-4AF7-9FF5-64633B18F3C1}"/>
    <cellStyle name="AggOrangeRBorder 4 4 22" xfId="9878" xr:uid="{68BD1368-F0A1-460B-A532-A040152AFEAA}"/>
    <cellStyle name="AggOrangeRBorder 4 4 23" xfId="10193" xr:uid="{1F33758B-1E1F-4947-8057-66AD1184B048}"/>
    <cellStyle name="AggOrangeRBorder 4 4 24" xfId="12016" xr:uid="{0FC22084-C107-498B-A850-B47971824E8F}"/>
    <cellStyle name="AggOrangeRBorder 4 4 25" xfId="12489" xr:uid="{C802498D-6616-4F22-A50F-CFDEDCAEC815}"/>
    <cellStyle name="AggOrangeRBorder 4 4 26" xfId="12923" xr:uid="{E2D04693-E0C3-4622-BDB6-489050BF7E1F}"/>
    <cellStyle name="AggOrangeRBorder 4 4 27" xfId="13360" xr:uid="{2FFD9B6D-0485-4C9C-B561-EB0C34EEC687}"/>
    <cellStyle name="AggOrangeRBorder 4 4 28" xfId="13390" xr:uid="{979D2C34-3D6B-475E-B5AD-50CB7DD61A98}"/>
    <cellStyle name="AggOrangeRBorder 4 4 29" xfId="13826" xr:uid="{03DA8F91-269B-4DEC-A979-7BB60A6691F6}"/>
    <cellStyle name="AggOrangeRBorder 4 4 3" xfId="1146" xr:uid="{BF742FB2-D468-4C29-A924-8E6D7757AEDE}"/>
    <cellStyle name="AggOrangeRBorder 4 4 30" xfId="13651" xr:uid="{7307A804-8A74-4ABD-80FF-9362D119C795}"/>
    <cellStyle name="AggOrangeRBorder 4 4 31" xfId="14512" xr:uid="{3B55F530-04A4-47CC-9097-FB405D36261A}"/>
    <cellStyle name="AggOrangeRBorder 4 4 32" xfId="15656" xr:uid="{FB91B440-8C69-4694-B6AB-B91783FAAEBF}"/>
    <cellStyle name="AggOrangeRBorder 4 4 33" xfId="15548" xr:uid="{5CC088BE-6CF6-4D66-9F36-98EC000ACDBE}"/>
    <cellStyle name="AggOrangeRBorder 4 4 34" xfId="16708" xr:uid="{E9E7AE71-FA7B-4D09-A99A-FF16CC8551BB}"/>
    <cellStyle name="AggOrangeRBorder 4 4 35" xfId="16173" xr:uid="{4FCC68EC-BB09-4A68-BCFD-0B3F2043B263}"/>
    <cellStyle name="AggOrangeRBorder 4 4 36" xfId="16506" xr:uid="{410C561B-083D-450E-8434-70A07AFB3D56}"/>
    <cellStyle name="AggOrangeRBorder 4 4 37" xfId="17901" xr:uid="{9C38FABE-96DB-4F53-B92F-4FE0E1C00A7E}"/>
    <cellStyle name="AggOrangeRBorder 4 4 38" xfId="18526" xr:uid="{0416C172-90B9-4A56-A6BE-3E2AD32346AF}"/>
    <cellStyle name="AggOrangeRBorder 4 4 39" xfId="18099" xr:uid="{B6D07557-B8D0-4638-97BB-E9A13C6AECA5}"/>
    <cellStyle name="AggOrangeRBorder 4 4 4" xfId="1737" xr:uid="{B14770A8-0048-4B44-90E0-F92665C49F37}"/>
    <cellStyle name="AggOrangeRBorder 4 4 40" xfId="18990" xr:uid="{32C33ABD-8749-463B-9DD9-277A1827FA44}"/>
    <cellStyle name="AggOrangeRBorder 4 4 41" xfId="20045" xr:uid="{6E3BEFDE-47CD-4E03-B006-413918F767E0}"/>
    <cellStyle name="AggOrangeRBorder 4 4 42" xfId="19412" xr:uid="{F294488A-007B-48A8-8154-FD019499EC73}"/>
    <cellStyle name="AggOrangeRBorder 4 4 43" xfId="20708" xr:uid="{5407A429-F3A4-48F4-9252-43F57FE33A17}"/>
    <cellStyle name="AggOrangeRBorder 4 4 44" xfId="20307" xr:uid="{E22B5C45-D90F-4D63-9914-FCE322C7480A}"/>
    <cellStyle name="AggOrangeRBorder 4 4 45" xfId="20367" xr:uid="{070ADB19-BC76-4345-B1AB-DE92EA32BA50}"/>
    <cellStyle name="AggOrangeRBorder 4 4 46" xfId="21534" xr:uid="{0AB5B375-D952-4F07-9C07-6BD5F0E09682}"/>
    <cellStyle name="AggOrangeRBorder 4 4 47" xfId="22306" xr:uid="{77A61942-FCCF-483E-9C25-E865D65CF2B1}"/>
    <cellStyle name="AggOrangeRBorder 4 4 48" xfId="22501" xr:uid="{67800928-BB86-41E8-BE24-B161D0A54EF7}"/>
    <cellStyle name="AggOrangeRBorder 4 4 49" xfId="23210" xr:uid="{6F276DCC-2D45-4EFD-A785-DA29B5DFA773}"/>
    <cellStyle name="AggOrangeRBorder 4 4 5" xfId="2485" xr:uid="{64B5E149-31F0-43C8-9B65-6A0272CA317A}"/>
    <cellStyle name="AggOrangeRBorder 4 4 50" xfId="23854" xr:uid="{BCC8F039-2973-4093-91A5-0E911EF20575}"/>
    <cellStyle name="AggOrangeRBorder 4 4 51" xfId="24753" xr:uid="{F06E94FD-1967-4740-939E-6A6C70B3F39A}"/>
    <cellStyle name="AggOrangeRBorder 4 4 52" xfId="24784" xr:uid="{7B3455EB-DF02-4B41-831E-514533570880}"/>
    <cellStyle name="AggOrangeRBorder 4 4 53" xfId="25671" xr:uid="{57EEE39C-3D96-48EE-B173-77F390472EBE}"/>
    <cellStyle name="AggOrangeRBorder 4 4 54" xfId="25898" xr:uid="{C1190D86-4510-4A52-B994-DA5B363D2D1B}"/>
    <cellStyle name="AggOrangeRBorder 4 4 55" xfId="26706" xr:uid="{7E5FF6DE-C0DF-4D8F-AA3D-76EE3618D0F4}"/>
    <cellStyle name="AggOrangeRBorder 4 4 56" xfId="26961" xr:uid="{F8DA2DEB-20A0-4273-A641-A4AF126E078E}"/>
    <cellStyle name="AggOrangeRBorder 4 4 57" xfId="27380" xr:uid="{6394C505-5467-4EED-97A8-24CD7767831B}"/>
    <cellStyle name="AggOrangeRBorder 4 4 58" xfId="26033" xr:uid="{F441596B-1CAC-499A-A809-54D0AC00DB21}"/>
    <cellStyle name="AggOrangeRBorder 4 4 59" xfId="28503" xr:uid="{EE76EE6E-95C5-4E4B-A69F-B0AA627462D0}"/>
    <cellStyle name="AggOrangeRBorder 4 4 6" xfId="2018" xr:uid="{DA38FC4D-2D05-466A-B74A-6092EA3ECFA3}"/>
    <cellStyle name="AggOrangeRBorder 4 4 60" xfId="28971" xr:uid="{DE6A3E4A-26E0-4A32-B88A-D6A7A4B413F5}"/>
    <cellStyle name="AggOrangeRBorder 4 4 61" xfId="28734" xr:uid="{BEE21BB4-B93E-42B5-91AD-74BA474CBB8C}"/>
    <cellStyle name="AggOrangeRBorder 4 4 62" xfId="29761" xr:uid="{26F4EC3C-9FA2-475B-9E37-E266E505E6A8}"/>
    <cellStyle name="AggOrangeRBorder 4 4 63" xfId="30169" xr:uid="{31409C8D-AB5A-491C-9A43-CA94AA0893E2}"/>
    <cellStyle name="AggOrangeRBorder 4 4 64" xfId="30583" xr:uid="{19F38E4A-7B43-4A68-A212-3028AB0403FE}"/>
    <cellStyle name="AggOrangeRBorder 4 4 65" xfId="30822" xr:uid="{1381A8B7-AC0F-4FE7-8F33-7E783B51635F}"/>
    <cellStyle name="AggOrangeRBorder 4 4 66" xfId="31207" xr:uid="{341F9D8E-FFF4-46F4-A575-140B20EE4AAF}"/>
    <cellStyle name="AggOrangeRBorder 4 4 7" xfId="3640" xr:uid="{C3162A7D-3222-4B6D-9074-240F6B938393}"/>
    <cellStyle name="AggOrangeRBorder 4 4 8" xfId="3981" xr:uid="{BC1FDB8C-221B-4D08-AA17-8AAE3C6AB99E}"/>
    <cellStyle name="AggOrangeRBorder 4 4 9" xfId="4419" xr:uid="{B72962C8-8E11-4D01-BDA7-A3FBD6201471}"/>
    <cellStyle name="AggOrangeRBorder 4 40" xfId="18265" xr:uid="{6B610149-74C1-46B0-B09D-B679BD77D2BD}"/>
    <cellStyle name="AggOrangeRBorder 4 41" xfId="16938" xr:uid="{0A0B2342-FBD0-4C59-BF98-74F3992640FA}"/>
    <cellStyle name="AggOrangeRBorder 4 42" xfId="19089" xr:uid="{DCD66D75-83D3-4E71-80E1-F4417CD202B8}"/>
    <cellStyle name="AggOrangeRBorder 4 43" xfId="19032" xr:uid="{2703F689-BFE2-4F68-AE70-BB0FB0E2A68B}"/>
    <cellStyle name="AggOrangeRBorder 4 44" xfId="19654" xr:uid="{EE75C6E1-DFD2-4EF0-A899-3938C6B54454}"/>
    <cellStyle name="AggOrangeRBorder 4 45" xfId="19735" xr:uid="{83EA5392-AA59-45E2-87FA-73E97E3DA0DE}"/>
    <cellStyle name="AggOrangeRBorder 4 46" xfId="19874" xr:uid="{4FAB1DCA-DB0D-4242-B5AF-E9F971CEBB3C}"/>
    <cellStyle name="AggOrangeRBorder 4 47" xfId="21313" xr:uid="{DC0A2B32-32D6-46C5-BE71-5EA1D18EE878}"/>
    <cellStyle name="AggOrangeRBorder 4 48" xfId="20793" xr:uid="{7CCCFF36-EAF1-4C13-BEAE-45912E8923C2}"/>
    <cellStyle name="AggOrangeRBorder 4 49" xfId="21930" xr:uid="{6B5EE098-CB1F-4861-8C99-F6B9F1E06210}"/>
    <cellStyle name="AggOrangeRBorder 4 5" xfId="695" xr:uid="{A9E9C9AB-E421-422C-A318-3BB6C3E2D3E7}"/>
    <cellStyle name="AggOrangeRBorder 4 5 2" xfId="5343" xr:uid="{1ED32A10-5DB8-4CD1-B47A-D24709AE26F8}"/>
    <cellStyle name="AggOrangeRBorder 4 5 3" xfId="16142" xr:uid="{810FF818-C692-4E66-9EB0-A979F70A0A6D}"/>
    <cellStyle name="AggOrangeRBorder 4 5 4" xfId="20077" xr:uid="{28D4D294-96EE-44DD-8133-D02C6CE48BE3}"/>
    <cellStyle name="AggOrangeRBorder 4 5 5" xfId="24785" xr:uid="{2194ECEE-5733-47C0-B496-374F617EBB8B}"/>
    <cellStyle name="AggOrangeRBorder 4 5 6" xfId="28535" xr:uid="{46F5266C-97A4-44FC-80CD-5A5BEED7F091}"/>
    <cellStyle name="AggOrangeRBorder 4 50" xfId="21755" xr:uid="{A3074D0D-C1D5-4633-AC1C-31340F76A654}"/>
    <cellStyle name="AggOrangeRBorder 4 51" xfId="23366" xr:uid="{F15F9EB8-E555-4D72-A8B0-8573818B0027}"/>
    <cellStyle name="AggOrangeRBorder 4 52" xfId="22746" xr:uid="{5A16FE3D-8D9C-437C-990A-D636304A51A4}"/>
    <cellStyle name="AggOrangeRBorder 4 53" xfId="23693" xr:uid="{6DCAD699-12FE-4C2F-8E32-75E297BF6C80}"/>
    <cellStyle name="AggOrangeRBorder 4 54" xfId="24374" xr:uid="{53BE3146-3C6D-4F0E-B8D0-6C2B5D4F9FE1}"/>
    <cellStyle name="AggOrangeRBorder 4 55" xfId="24452" xr:uid="{32B9971C-6CE2-4106-AE62-6C8AE4465C8E}"/>
    <cellStyle name="AggOrangeRBorder 4 56" xfId="24212" xr:uid="{051B019B-E1A7-4C35-840B-C8712A685422}"/>
    <cellStyle name="AggOrangeRBorder 4 57" xfId="25056" xr:uid="{5F73D3FF-F247-4BB4-B45A-A37CEBAC72A0}"/>
    <cellStyle name="AggOrangeRBorder 4 58" xfId="24441" xr:uid="{C64DF99C-6593-4923-BCF0-E3CF09FDADB7}"/>
    <cellStyle name="AggOrangeRBorder 4 59" xfId="25082" xr:uid="{0F1F0AC0-45FD-413A-85E5-046918EB81B3}"/>
    <cellStyle name="AggOrangeRBorder 4 6" xfId="947" xr:uid="{7A9F5FC9-E7B9-4AFB-84D6-D31D48131408}"/>
    <cellStyle name="AggOrangeRBorder 4 60" xfId="26453" xr:uid="{B2F97541-8786-4E6D-8DD5-192C1A5F7C64}"/>
    <cellStyle name="AggOrangeRBorder 4 61" xfId="24481" xr:uid="{4C799E54-961D-43E4-B422-43662CFDB6A7}"/>
    <cellStyle name="AggOrangeRBorder 4 62" xfId="28145" xr:uid="{DC85FA1C-52B4-47BA-94C6-FFD9C1E72547}"/>
    <cellStyle name="AggOrangeRBorder 4 63" xfId="28014" xr:uid="{78ECD94A-E700-44CE-AF71-29865955C7FC}"/>
    <cellStyle name="AggOrangeRBorder 4 64" xfId="28183" xr:uid="{38D69826-96FE-4FB5-951A-20FB84BF7C05}"/>
    <cellStyle name="AggOrangeRBorder 4 65" xfId="29580" xr:uid="{1A8B3686-6A4B-455B-B89C-4AC9005E9862}"/>
    <cellStyle name="AggOrangeRBorder 4 66" xfId="29308" xr:uid="{57245E1A-079F-4350-9339-B627573D6A70}"/>
    <cellStyle name="AggOrangeRBorder 4 67" xfId="30393" xr:uid="{EFBF4F6B-B14B-47E0-B5FB-EB9CF941DF2D}"/>
    <cellStyle name="AggOrangeRBorder 4 68" xfId="28028" xr:uid="{4568F29B-A418-435E-8BEB-ADD4E273A263}"/>
    <cellStyle name="AggOrangeRBorder 4 69" xfId="30898" xr:uid="{6B3B2B76-4DBD-406B-81D8-194F1E92B81D}"/>
    <cellStyle name="AggOrangeRBorder 4 7" xfId="1536" xr:uid="{FBE32567-8DBD-49BC-90AD-F8BDFE3F3B98}"/>
    <cellStyle name="AggOrangeRBorder 4 8" xfId="2094" xr:uid="{5E0F4AFF-A650-4F89-9041-C091AB35ADED}"/>
    <cellStyle name="AggOrangeRBorder 4 9" xfId="2077" xr:uid="{117D5EA5-EC49-45FE-B50A-BE27447A7193}"/>
    <cellStyle name="AggOrangeRBorder 5" xfId="72" xr:uid="{E0400562-60F0-462A-9153-06E1DFB13C71}"/>
    <cellStyle name="AggOrangeRBorder 5 2" xfId="3492" xr:uid="{E9797111-3C27-4719-98DD-38EF0224A0AF}"/>
    <cellStyle name="AggOrangeRBorder 5 3" xfId="18836" xr:uid="{A84F4D47-7FC8-432B-8FDF-7CB5ED9ED9F0}"/>
    <cellStyle name="AggOrangeRBorder 5 4" xfId="19457" xr:uid="{3B699A1C-6CC1-4216-87A2-F905BFADCCB4}"/>
    <cellStyle name="AggOrangeRBorder 5 5" xfId="24178" xr:uid="{F5E5E461-ACE8-4268-9CB0-F79B1DF4C181}"/>
    <cellStyle name="AggOrangeRBorder 5 6" xfId="27971" xr:uid="{80E18685-4BA8-4467-9280-9D685810C379}"/>
    <cellStyle name="AggOrangeRBorder_CRFReport-template" xfId="31" xr:uid="{7246229D-01EB-43F1-BFF9-67B629EA7A03}"/>
    <cellStyle name="Akzent1" xfId="120" xr:uid="{0B6436DA-ABCA-452F-9338-B7814F038FB3}"/>
    <cellStyle name="Akzent2" xfId="121" xr:uid="{A08D2637-ED01-4954-8FBF-1979A9D12057}"/>
    <cellStyle name="Akzent3" xfId="122" xr:uid="{13547CCD-F782-48F7-B0C7-699B4669C41A}"/>
    <cellStyle name="Akzent4" xfId="123" xr:uid="{4F86FB4E-1301-4DC7-8F99-52106329833F}"/>
    <cellStyle name="Akzent5" xfId="124" xr:uid="{24797455-DDAB-482B-83B9-B8C552DDD983}"/>
    <cellStyle name="Akzent6" xfId="125" xr:uid="{D75E5EC8-DCB2-4232-A3C1-24C03A58B27B}"/>
    <cellStyle name="Ausgabe" xfId="45" hidden="1" xr:uid="{D12EBC69-D98C-408F-A7A0-296736AEE175}"/>
    <cellStyle name="Ausgabe" xfId="892" hidden="1" xr:uid="{506C80CC-5E15-4C17-8C22-5823B624E1FC}"/>
    <cellStyle name="Ausgabe" xfId="982" hidden="1" xr:uid="{1471E15B-AC21-41A1-BCB1-6E3F52DC6C0E}"/>
    <cellStyle name="Ausgabe" xfId="1386" hidden="1" xr:uid="{EE2ACA60-C54C-4DE5-A960-976B85832586}"/>
    <cellStyle name="Ausgabe" xfId="1415" hidden="1" xr:uid="{FE4EAA2B-65C9-44ED-9814-7CDE5A9244F7}"/>
    <cellStyle name="Ausgabe" xfId="1865" hidden="1" xr:uid="{15276360-B1E6-4B8F-9F40-4471E6DC0DB0}"/>
    <cellStyle name="Ausgabe" xfId="2170" hidden="1" xr:uid="{BDFE51A1-CB1D-4770-BAC9-01B1827C0234}"/>
    <cellStyle name="Ausgabe" xfId="3162" hidden="1" xr:uid="{E35E26A6-67C5-4386-B044-E2B0F989A980}"/>
    <cellStyle name="Ausgabe" xfId="2237" hidden="1" xr:uid="{32D1AD9C-50F7-4638-8F2D-C1AAFDA2B959}"/>
    <cellStyle name="Ausgabe" xfId="1868" hidden="1" xr:uid="{250A69BB-C19E-4A6E-9DD0-76E82B936F29}"/>
    <cellStyle name="Ausgabe" xfId="3638" hidden="1" xr:uid="{537BD786-EFB1-42DC-8CCE-7D40F00D6C5A}"/>
    <cellStyle name="Ausgabe" xfId="3521" hidden="1" xr:uid="{897734D5-7431-4EBF-8F38-35620320E23D}"/>
    <cellStyle name="Ausgabe" xfId="3694" hidden="1" xr:uid="{C50B6F3E-2E43-4F6E-A3DC-7A721DDF83F3}"/>
    <cellStyle name="Ausgabe" xfId="3629" hidden="1" xr:uid="{783A5EC6-F034-4F6A-A606-7C35FCB71F2A}"/>
    <cellStyle name="Ausgabe" xfId="3340" hidden="1" xr:uid="{E82379B2-5A7C-4D6F-A19C-AF3E00CC7F4F}"/>
    <cellStyle name="Ausgabe" xfId="2132" hidden="1" xr:uid="{EE1C7EED-F0EC-4C26-A016-855C8C7F15E6}"/>
    <cellStyle name="Ausgabe" xfId="2233" hidden="1" xr:uid="{000B7211-E8D6-4137-9F74-AD30E8AC21EE}"/>
    <cellStyle name="Ausgabe" xfId="2979" hidden="1" xr:uid="{FB1AAEC0-E23C-4C35-9A2C-0207BCDFC60F}"/>
    <cellStyle name="Ausgabe" xfId="2878" hidden="1" xr:uid="{D1790A48-1706-45D7-A36D-954FD2E7892D}"/>
    <cellStyle name="Ausgabe" xfId="3332" hidden="1" xr:uid="{B126C77F-9671-4CDD-A56D-8C8B048A3CAD}"/>
    <cellStyle name="Ausgabe" xfId="4656" hidden="1" xr:uid="{B58EB8D4-EFAF-4FF7-AC97-789804C965A9}"/>
    <cellStyle name="Ausgabe" xfId="5135" hidden="1" xr:uid="{780FEA76-2984-4895-9E09-09457C8F2291}"/>
    <cellStyle name="Ausgabe" xfId="4708" hidden="1" xr:uid="{698F6670-0EDE-4C9F-A7B2-3FE495E053B0}"/>
    <cellStyle name="Ausgabe" xfId="4659" hidden="1" xr:uid="{5B688A43-62AC-4BC9-A51A-32670D9D6AF3}"/>
    <cellStyle name="Ausgabe" xfId="5623" hidden="1" xr:uid="{965C575F-4A39-4D9E-97FD-1E65EBE1D1DA}"/>
    <cellStyle name="Ausgabe" xfId="5572" hidden="1" xr:uid="{D1775950-852E-41B9-9682-E0BAB4F3A904}"/>
    <cellStyle name="Ausgabe" xfId="2843" hidden="1" xr:uid="{E723574D-522E-4DDC-BE44-CFCD5F7F973C}"/>
    <cellStyle name="Ausgabe" xfId="6005" hidden="1" xr:uid="{FA9DF0FD-5174-40F3-BCDD-EB321A96E6FB}"/>
    <cellStyle name="Ausgabe" xfId="5751" hidden="1" xr:uid="{FA5F738C-D10B-4A40-AEDB-DB3A04C9775D}"/>
    <cellStyle name="Ausgabe" xfId="6244" hidden="1" xr:uid="{2669B157-459F-4A80-9F7F-1A3C1980FC7E}"/>
    <cellStyle name="Ausgabe" xfId="6190" hidden="1" xr:uid="{221883C3-79E5-434D-83CE-23F310DF1936}"/>
    <cellStyle name="Ausgabe" xfId="6347" hidden="1" xr:uid="{C2DAB6D0-B3DB-4D44-BF16-58A615A2D5F5}"/>
    <cellStyle name="Ausgabe" xfId="5113" hidden="1" xr:uid="{2DC41D7F-4BBF-4844-8457-7696D52277D7}"/>
    <cellStyle name="Ausgabe" xfId="5588" hidden="1" xr:uid="{6FCD2C6B-D0AC-43FE-891B-5F5C5F128D04}"/>
    <cellStyle name="Ausgabe" xfId="5916" hidden="1" xr:uid="{6F3855AC-84CC-4338-8405-6E98933722B1}"/>
    <cellStyle name="Ausgabe" xfId="6395" hidden="1" xr:uid="{243AE522-4504-4C37-9F8A-EE0BB0E22D61}"/>
    <cellStyle name="Ausgabe" xfId="6477" hidden="1" xr:uid="{677FC958-F96C-45CA-B1CF-A707E0AF5B46}"/>
    <cellStyle name="Ausgabe" xfId="6779" hidden="1" xr:uid="{B1DB8710-F640-46BA-844B-C0B1E72D8A45}"/>
    <cellStyle name="Ausgabe" xfId="7154" hidden="1" xr:uid="{4B1F4482-A5A8-4EF7-80B8-E974931C35F6}"/>
    <cellStyle name="Ausgabe" xfId="8028" hidden="1" xr:uid="{401DBA5C-76E2-490F-B0B2-706590D00DFF}"/>
    <cellStyle name="Ausgabe" xfId="7908" hidden="1" xr:uid="{F143C11A-60F2-4157-9623-A7812164DA17}"/>
    <cellStyle name="Ausgabe" xfId="8400" hidden="1" xr:uid="{43FCF87C-52BF-4C38-921A-32B3C8F4CE52}"/>
    <cellStyle name="Ausgabe" xfId="7861" hidden="1" xr:uid="{EA3EA032-0D89-4624-87E6-A63355284BD5}"/>
    <cellStyle name="Ausgabe" xfId="8149" hidden="1" xr:uid="{F37760ED-E39D-4FE3-A2FB-535284473D56}"/>
    <cellStyle name="Ausgabe" xfId="8152" hidden="1" xr:uid="{5F8D2B43-2522-446E-AFA4-E6B18ACBD8BC}"/>
    <cellStyle name="Ausgabe" xfId="8166" hidden="1" xr:uid="{7739B677-F2F2-4C17-BEB8-217FD8BCE5AE}"/>
    <cellStyle name="Ausgabe" xfId="6753" hidden="1" xr:uid="{1A277C71-00BC-47A9-93AD-C45FD011981A}"/>
    <cellStyle name="Ausgabe" xfId="7800" hidden="1" xr:uid="{F844F6EB-9920-41D5-8B8B-9271A63BC447}"/>
    <cellStyle name="Ausgabe" xfId="8130" hidden="1" xr:uid="{4984D761-3411-43AD-9827-77C094ED05EE}"/>
    <cellStyle name="Ausgabe" xfId="8175" hidden="1" xr:uid="{8D3A8AE7-3FB1-4E7D-BF29-63AB62A64F58}"/>
    <cellStyle name="Ausgabe" xfId="8314" hidden="1" xr:uid="{DF52E2D8-87B5-4715-8AF4-4B2AF9439CB7}"/>
    <cellStyle name="Ausgabe" xfId="7617" hidden="1" xr:uid="{011CFE0F-E74F-428C-98AF-9CAF9FAE4768}"/>
    <cellStyle name="Ausgabe" xfId="8369" hidden="1" xr:uid="{406C33A1-5A33-43D5-94E5-7DE787EFA99E}"/>
    <cellStyle name="Ausgabe" xfId="7173" hidden="1" xr:uid="{29A2E93F-5EB9-4232-9250-336CECD7AEA5}"/>
    <cellStyle name="Ausgabe" xfId="7782" hidden="1" xr:uid="{254D13BE-103A-499B-B04E-7D3D6B058B25}"/>
    <cellStyle name="Ausgabe" xfId="7772" hidden="1" xr:uid="{0BF8EC09-7A17-472F-9308-AB8198C2A2B9}"/>
    <cellStyle name="Ausgabe" xfId="8890" hidden="1" xr:uid="{4ACB0F09-3BDB-44E2-B93E-62DF62E5DC61}"/>
    <cellStyle name="Ausgabe" xfId="8902" hidden="1" xr:uid="{F386BEF7-610D-4F53-9DBB-C94710517194}"/>
    <cellStyle name="Ausgabe" xfId="8347" hidden="1" xr:uid="{60F687DE-E436-4408-A07E-450FFEBD39F6}"/>
    <cellStyle name="Ausgabe" xfId="8187" hidden="1" xr:uid="{2E970F2D-953F-4B7F-9005-5938266B0F0B}"/>
    <cellStyle name="Ausgabe" xfId="8991" hidden="1" xr:uid="{1EC5DEE2-D173-4895-A9B5-65C42282C6FC}"/>
    <cellStyle name="Ausgabe" xfId="9369" hidden="1" xr:uid="{2BE28610-B7CA-4692-8E63-0E908E9CF5B9}"/>
    <cellStyle name="Ausgabe" xfId="10248" hidden="1" xr:uid="{26BD5DB0-BB88-4CE6-9BF8-0C2AC77457DF}"/>
    <cellStyle name="Ausgabe" xfId="10121" hidden="1" xr:uid="{945F1EBE-5BE3-4277-8FC7-C67FDBCFA013}"/>
    <cellStyle name="Ausgabe" xfId="10642" hidden="1" xr:uid="{D7AC2650-D796-4B74-91D5-B3896382C058}"/>
    <cellStyle name="Ausgabe" xfId="9055" hidden="1" xr:uid="{1E257225-98E6-4860-83F9-B63F177C85B0}"/>
    <cellStyle name="Ausgabe" xfId="10311" hidden="1" xr:uid="{15E26790-A880-4A6A-A99E-E51900EA0F1B}"/>
    <cellStyle name="Ausgabe" xfId="10997" hidden="1" xr:uid="{EA0C4FE9-66DA-4E1B-977E-A283F1272910}"/>
    <cellStyle name="Ausgabe" xfId="10112" hidden="1" xr:uid="{9651A9D5-2382-414E-A6AE-6FE89816F5CC}"/>
    <cellStyle name="Ausgabe" xfId="10327" hidden="1" xr:uid="{F358E395-E26B-4FC6-941C-CADD03B95FAD}"/>
    <cellStyle name="Ausgabe" xfId="10899" hidden="1" xr:uid="{23EA8766-79F1-49E3-8EAA-6D0B8EE621E4}"/>
    <cellStyle name="Ausgabe" xfId="11121" hidden="1" xr:uid="{4274EA21-2466-451A-8824-FC417975D5E2}"/>
    <cellStyle name="Ausgabe" xfId="11230" hidden="1" xr:uid="{826B6C82-D87E-4318-988F-DC783C159FD8}"/>
    <cellStyle name="Ausgabe" xfId="9112" hidden="1" xr:uid="{792C0270-65D0-445C-93EB-9EEE3283A0DC}"/>
    <cellStyle name="Ausgabe" xfId="10014" hidden="1" xr:uid="{8E20A016-9240-4EA7-B5F7-620350B54F50}"/>
    <cellStyle name="Ausgabe" xfId="11397" hidden="1" xr:uid="{6577A0B1-8345-43B8-922B-5C48BB4E4ED7}"/>
    <cellStyle name="Ausgabe" xfId="11782" hidden="1" xr:uid="{506EDF96-6895-43FD-957D-FFD0695C4995}"/>
    <cellStyle name="Ausgabe" xfId="12259" hidden="1" xr:uid="{FE2C417B-F06D-41A4-B44F-5BCF86FD6BAF}"/>
    <cellStyle name="Ausgabe" xfId="11365" hidden="1" xr:uid="{2C5B2EFD-F07B-4082-83B1-48B2A6120803}"/>
    <cellStyle name="Ausgabe" xfId="11353" hidden="1" xr:uid="{F0485CB2-0BB8-446C-A975-DB051E0BC884}"/>
    <cellStyle name="Ausgabe" xfId="13991" hidden="1" xr:uid="{9FDED3EE-BFCC-49F9-991E-1E51C8544659}"/>
    <cellStyle name="Ausgabe" xfId="11789" hidden="1" xr:uid="{06F7DF13-BA35-47A3-93BB-B6826E9FFA80}"/>
    <cellStyle name="Ausgabe" xfId="11709" hidden="1" xr:uid="{5199F416-9AB9-4D17-82FB-4E3C0EF7040F}"/>
    <cellStyle name="Ausgabe" xfId="14428" hidden="1" xr:uid="{3F2EF696-C674-40DA-8814-D3DD6FC22ED4}"/>
    <cellStyle name="Ausgabe" xfId="12284" hidden="1" xr:uid="{3494BC2A-4686-42E4-BB6C-D394EC2E80C9}"/>
    <cellStyle name="Ausgabe" xfId="13940" hidden="1" xr:uid="{384E2BB7-60B4-4DC8-B9C4-713FA335FFFB}"/>
    <cellStyle name="Ausgabe" xfId="14192" hidden="1" xr:uid="{D403F317-EA5E-405D-BE31-F0FC5D9C5B1A}"/>
    <cellStyle name="Ausgabe" xfId="14700" hidden="1" xr:uid="{1E712C2C-5575-47BD-BD1A-71A88D66F1E5}"/>
    <cellStyle name="Ausgabe" xfId="14884" hidden="1" xr:uid="{9DD01250-593B-4477-8B7F-2863C1FBC951}"/>
    <cellStyle name="Ausgabe" xfId="15308" hidden="1" xr:uid="{B923B511-F71D-4763-A25F-CAC655B44672}"/>
    <cellStyle name="Ausgabe" xfId="14989" hidden="1" xr:uid="{37A7B105-DD8F-4AE9-BF22-BF0048EC1C7F}"/>
    <cellStyle name="Ausgabe" xfId="15237" hidden="1" xr:uid="{8791FDA9-28DB-4F4C-BCF0-BC2DFBCEBAC9}"/>
    <cellStyle name="Ausgabe" xfId="14612" hidden="1" xr:uid="{AE209349-CFFD-4EDE-9D70-EA793E10DC60}"/>
    <cellStyle name="Ausgabe" xfId="15383" hidden="1" xr:uid="{C46DD41C-D9AC-4999-A915-65107BCEC94E}"/>
    <cellStyle name="Ausgabe" xfId="14942" hidden="1" xr:uid="{CDBBA867-1984-42A4-9980-A5153DD0CBD6}"/>
    <cellStyle name="Ausgabe" xfId="15031" hidden="1" xr:uid="{87783B52-9AA2-405E-B414-D4212B6DF876}"/>
    <cellStyle name="Ausgabe" xfId="15553" hidden="1" xr:uid="{82DDD11E-1FAC-4019-A39F-A69A73F3D7D7}"/>
    <cellStyle name="Ausgabe" xfId="13825" hidden="1" xr:uid="{C724F93D-B264-49E1-8309-F367636AC9F9}"/>
    <cellStyle name="Ausgabe" xfId="11392" hidden="1" xr:uid="{FA15BC9C-44BE-4144-A36C-D6C1AB21A961}"/>
    <cellStyle name="Ausgabe" xfId="15804" hidden="1" xr:uid="{93EBBC20-9765-40D9-85DE-F4801AC2C940}"/>
    <cellStyle name="Ausgabe" xfId="16088" hidden="1" xr:uid="{5DEA9E4A-93F4-4F64-9EA4-54FCC3F05CD1}"/>
    <cellStyle name="Ausgabe" xfId="16475" hidden="1" xr:uid="{E54E4663-1AF8-4363-A9F5-F2B4C674DF76}"/>
    <cellStyle name="Ausgabe" xfId="17369" hidden="1" xr:uid="{39DBC1FE-02B4-4013-9BAA-39AF486D5553}"/>
    <cellStyle name="Ausgabe" xfId="17240" hidden="1" xr:uid="{D96ED8D9-407A-47BA-A64D-B1D9296B7323}"/>
    <cellStyle name="Ausgabe" xfId="17811" hidden="1" xr:uid="{1E031CE6-834E-43D8-920D-227814D527AF}"/>
    <cellStyle name="Ausgabe" xfId="16211" hidden="1" xr:uid="{92727F93-033D-4F82-B5B0-8E7AC318616E}"/>
    <cellStyle name="Ausgabe" xfId="18228" hidden="1" xr:uid="{816A5201-6F76-451C-8851-4668A51ACDB6}"/>
    <cellStyle name="Ausgabe" xfId="17438" hidden="1" xr:uid="{560AC677-FC54-4636-A75A-E395C5AEA255}"/>
    <cellStyle name="Ausgabe" xfId="17577" hidden="1" xr:uid="{D17E74C7-294E-4B1C-9E66-1933E5340DEA}"/>
    <cellStyle name="Ausgabe" xfId="17067" hidden="1" xr:uid="{30C69006-471E-4181-A13D-C1DDFB09EAFF}"/>
    <cellStyle name="Ausgabe" xfId="17683" hidden="1" xr:uid="{742369B8-373E-41EF-8BEB-F74D90926FB5}"/>
    <cellStyle name="Ausgabe" xfId="17958" hidden="1" xr:uid="{3029B77E-6621-4715-B75D-FF1A1354688E}"/>
    <cellStyle name="Ausgabe" xfId="19072" hidden="1" xr:uid="{4B527AEC-0E9B-4DC9-A14A-9BB63896B2A9}"/>
    <cellStyle name="Ausgabe" xfId="18073" hidden="1" xr:uid="{0BCCC114-BF76-4436-A43E-12552181F705}"/>
    <cellStyle name="Ausgabe" xfId="17135" hidden="1" xr:uid="{B76DF6C3-2DC1-4D52-9D86-E438A17646D4}"/>
    <cellStyle name="Ausgabe" xfId="19103" hidden="1" xr:uid="{7805E5A4-0473-4B82-BEE5-2478619174BA}"/>
    <cellStyle name="Ausgabe" xfId="19325" hidden="1" xr:uid="{FCB8D4F1-4ACE-4596-BC32-76E40918F445}"/>
    <cellStyle name="Ausgabe" xfId="19337" hidden="1" xr:uid="{90B292EF-AFEF-4D0E-8741-8A4A4FF474F6}"/>
    <cellStyle name="Ausgabe" xfId="19421" hidden="1" xr:uid="{5B54350F-E7AD-445B-A95D-58E4A9A89A7A}"/>
    <cellStyle name="Ausgabe" xfId="19811" hidden="1" xr:uid="{2F52B5D2-465B-4F8F-BF5B-CBD35B7C53CD}"/>
    <cellStyle name="Ausgabe" xfId="20719" hidden="1" xr:uid="{A68E7A46-BEF5-4891-8160-2D599A9A35F2}"/>
    <cellStyle name="Ausgabe" xfId="19404" hidden="1" xr:uid="{088E5E19-5A49-4046-97E3-48302DBF7839}"/>
    <cellStyle name="Ausgabe" xfId="21177" hidden="1" xr:uid="{5AD8DC18-5C86-428D-9A50-0958DAA7E88D}"/>
    <cellStyle name="Ausgabe" xfId="19499" hidden="1" xr:uid="{3E63F8F2-B059-4DA2-8D74-BD41B0C5D1CB}"/>
    <cellStyle name="Ausgabe" xfId="21480" hidden="1" xr:uid="{0164AC2D-51A5-432F-BB61-610CE39EFFAC}"/>
    <cellStyle name="Ausgabe" xfId="21647" hidden="1" xr:uid="{906DC9E7-6A0E-4FE0-9EAE-28B07CA58037}"/>
    <cellStyle name="Ausgabe" xfId="19636" hidden="1" xr:uid="{3EA50953-39E0-46C0-8E5C-63FE1B0D72BA}"/>
    <cellStyle name="Ausgabe" xfId="19631" hidden="1" xr:uid="{F3FFD11C-6E23-4B84-8324-7D55CF5850D1}"/>
    <cellStyle name="Ausgabe" xfId="22108" hidden="1" xr:uid="{7A1E4DCF-18EB-400E-9F9B-B8E4248E2ED2}"/>
    <cellStyle name="Ausgabe" xfId="20348" hidden="1" xr:uid="{5DDB738B-186D-4576-8828-2DAD5C7C620D}"/>
    <cellStyle name="Ausgabe" xfId="22536" hidden="1" xr:uid="{B01331A0-46E2-47C0-AE67-C91E15951FF0}"/>
    <cellStyle name="Ausgabe" xfId="22177" hidden="1" xr:uid="{F83C0DC0-C042-41DA-B186-9085BADA5F1F}"/>
    <cellStyle name="Ausgabe" xfId="22962" hidden="1" xr:uid="{78BB9ADE-C515-4C38-9C13-CD17EA8254AB}"/>
    <cellStyle name="Ausgabe" xfId="21808" hidden="1" xr:uid="{752EABF6-D20B-49B4-B812-B847CEC07A91}"/>
    <cellStyle name="Ausgabe" xfId="22861" hidden="1" xr:uid="{9BAE58B1-13F6-4BB2-AA35-4C6E8FF12255}"/>
    <cellStyle name="Ausgabe" xfId="23349" hidden="1" xr:uid="{E90FC4A7-0562-4861-A13D-304221B3DD8F}"/>
    <cellStyle name="Ausgabe" xfId="22846" hidden="1" xr:uid="{37D25C85-EB32-40C8-9CC2-4FB64C92ABF5}"/>
    <cellStyle name="Ausgabe" xfId="22197" hidden="1" xr:uid="{1B163399-7015-4086-ADD4-12BEA619A385}"/>
    <cellStyle name="Ausgabe" xfId="22498" hidden="1" xr:uid="{1D056F00-93E9-4388-B435-72F6EE7BCCB9}"/>
    <cellStyle name="Ausgabe" xfId="23566" hidden="1" xr:uid="{623DD278-FB98-441D-8D8E-86448889908C}"/>
    <cellStyle name="Ausgabe" xfId="23658" hidden="1" xr:uid="{92669B41-F770-45E4-9AB7-D9022778A8BE}"/>
    <cellStyle name="Ausgabe" xfId="22689" hidden="1" xr:uid="{507CAF08-36A4-46E8-942D-AC2C8AEF6211}"/>
    <cellStyle name="Ausgabe" xfId="23586" hidden="1" xr:uid="{42880AAA-279A-4A55-9FE5-EE273B9E9EC8}"/>
    <cellStyle name="Ausgabe" xfId="24097" hidden="1" xr:uid="{88804F1C-DCCD-4282-A521-B85DD4D6F496}"/>
    <cellStyle name="Ausgabe" xfId="23450" hidden="1" xr:uid="{3E18F465-0294-473D-A6DD-513E036D71E0}"/>
    <cellStyle name="Ausgabe" xfId="24145" hidden="1" xr:uid="{84865B54-8521-4E51-BDBE-D3C5A69678E3}"/>
    <cellStyle name="Ausgabe" xfId="24593" hidden="1" xr:uid="{32C43FE0-EFF7-45F5-B5A9-77972378B27E}"/>
    <cellStyle name="Ausgabe" xfId="25015" hidden="1" xr:uid="{8DC04658-98E8-40B8-BC0B-5D615CA7BED4}"/>
    <cellStyle name="Ausgabe" xfId="24340" hidden="1" xr:uid="{9FF377BB-48B9-441B-86D0-BA0BB8806330}"/>
    <cellStyle name="Ausgabe" xfId="25442" hidden="1" xr:uid="{4442BED7-D231-4690-A418-2A102811837D}"/>
    <cellStyle name="Ausgabe" xfId="25427" hidden="1" xr:uid="{14D0BE76-B7FE-4C38-BDAA-EA4EDD8480B2}"/>
    <cellStyle name="Ausgabe" xfId="24491" hidden="1" xr:uid="{93F283A9-074D-4E83-BDBA-C9E1914313B8}"/>
    <cellStyle name="Ausgabe" xfId="24101" hidden="1" xr:uid="{93854966-289B-4C9C-A02A-D4DBA890440A}"/>
    <cellStyle name="Ausgabe" xfId="26192" hidden="1" xr:uid="{0433E425-EA84-4426-9FD4-CAE1CDCAA38F}"/>
    <cellStyle name="Ausgabe" xfId="26692" hidden="1" xr:uid="{D3B2191F-D5F2-47FC-A732-3418A44E3091}"/>
    <cellStyle name="Ausgabe" xfId="25018" hidden="1" xr:uid="{BB906843-1346-4169-BDF8-A15E3D4114FE}"/>
    <cellStyle name="Ausgabe" xfId="26703" hidden="1" xr:uid="{16829B3D-2F3F-4C92-90EA-81A319311CE0}"/>
    <cellStyle name="Ausgabe" xfId="26627" hidden="1" xr:uid="{E1A116B5-21FD-4B32-B750-C1A0D55BCD00}"/>
    <cellStyle name="Ausgabe" xfId="26794" hidden="1" xr:uid="{CC0E0187-E097-4DC3-981D-A37FF235BB6A}"/>
    <cellStyle name="Ausgabe" xfId="27810" hidden="1" xr:uid="{105441A3-C721-4EF2-BCA6-9696397F70EE}"/>
    <cellStyle name="Ausgabe" xfId="27825" hidden="1" xr:uid="{F5F16424-9FDF-4752-A026-B35B5D23A5AE}"/>
    <cellStyle name="Ausgabe" xfId="27888" hidden="1" xr:uid="{F31827AF-C7F1-4F36-9970-9417E13B6EEB}"/>
    <cellStyle name="Ausgabe" xfId="27648" hidden="1" xr:uid="{A52CCD81-AB76-4E7D-BE15-FD9F49AD1C3C}"/>
    <cellStyle name="Ausgabe" xfId="27636" hidden="1" xr:uid="{BB897076-877F-4AE6-B58B-40F24F26B273}"/>
    <cellStyle name="Ausgabe" xfId="26637" hidden="1" xr:uid="{41BA2C60-5F8F-4FB1-9057-97BF340153D9}"/>
    <cellStyle name="Ausgabe" xfId="27935" hidden="1" xr:uid="{A1AC1B03-9805-42B1-8D03-4AE0DA58DA1A}"/>
    <cellStyle name="Ausgabe" xfId="28284" hidden="1" xr:uid="{487E7CBE-F54B-4589-AE0D-732E52ABA43D}"/>
    <cellStyle name="Ausgabe" xfId="28746" hidden="1" xr:uid="{8B9D2DAE-56CD-4B26-8DF1-FA1CE91735D5}"/>
    <cellStyle name="Ausgabe" xfId="29536" hidden="1" xr:uid="{E06A099D-D5E2-4D1C-95FE-9FC6078EED51}"/>
    <cellStyle name="Ausgabe" xfId="27943" hidden="1" xr:uid="{92F9A33A-EAB8-46E2-A65F-9632BA4A2841}"/>
    <cellStyle name="Ausgabe" xfId="27921" hidden="1" xr:uid="{A4033E64-C9E4-4E32-B59E-880518D16CE2}"/>
    <cellStyle name="Ausgabe" xfId="28026" hidden="1" xr:uid="{9A311BFA-B7E3-41AB-972D-8A7688C84348}"/>
    <cellStyle name="Ausgabe" xfId="28756" hidden="1" xr:uid="{D4A07903-9892-4978-A57D-C3EB7C641CF3}"/>
    <cellStyle name="Ausgabe" xfId="27987" hidden="1" xr:uid="{A09A369D-7D97-4555-8DAE-E9D9E06F1E42}"/>
    <cellStyle name="Ausgabe" xfId="30820" hidden="1" xr:uid="{A00ED415-9E38-4D6D-BE3A-900686691A9F}"/>
    <cellStyle name="Ausgabe 2" xfId="391" xr:uid="{DD8F03EF-71E3-4A75-9E7B-C490152F5AF6}"/>
    <cellStyle name="Ausgabe 2 10" xfId="4950" xr:uid="{788D23B8-0177-498C-8560-B63685C75186}"/>
    <cellStyle name="Ausgabe 2 11" xfId="2304" xr:uid="{07188E62-2592-4CB3-B186-98E7AFB2CC91}"/>
    <cellStyle name="Ausgabe 2 12" xfId="7118" xr:uid="{9A7AFE4E-DC6F-46C6-9CFD-86912E53A7E1}"/>
    <cellStyle name="Ausgabe 2 13" xfId="6959" xr:uid="{C5C7E86B-C7C8-45DE-85EA-6890B1B2C41F}"/>
    <cellStyle name="Ausgabe 2 14" xfId="8082" xr:uid="{A3ECFF6F-9087-49C2-A0EF-2878DC5AD3A2}"/>
    <cellStyle name="Ausgabe 2 15" xfId="9331" xr:uid="{32541002-88C2-4B01-9A0D-E1573C3BED59}"/>
    <cellStyle name="Ausgabe 2 16" xfId="9172" xr:uid="{3307EBB0-7951-427E-87D3-563BF35BA934}"/>
    <cellStyle name="Ausgabe 2 17" xfId="11745" xr:uid="{B9C3DB97-85C5-4EF0-8D72-215D4BEF09C4}"/>
    <cellStyle name="Ausgabe 2 18" xfId="11581" xr:uid="{1AF9732D-D387-4602-8BDC-695A4AD1BBBC}"/>
    <cellStyle name="Ausgabe 2 19" xfId="11548" xr:uid="{26A3A750-C6D0-4745-9AA6-ADB159273045}"/>
    <cellStyle name="Ausgabe 2 2" xfId="647" xr:uid="{E5EB5D54-6502-4711-AA70-54A709766EC8}"/>
    <cellStyle name="Ausgabe 2 2 10" xfId="4986" xr:uid="{D2758E4F-D4AE-444F-AD19-2F83F848451D}"/>
    <cellStyle name="Ausgabe 2 2 11" xfId="5295" xr:uid="{B90F7FD7-C32B-4847-908E-FE2DE2C24E8A}"/>
    <cellStyle name="Ausgabe 2 2 12" xfId="5653" xr:uid="{64E27DDD-A516-4098-BFAF-0A75FE7404FD}"/>
    <cellStyle name="Ausgabe 2 2 13" xfId="6162" xr:uid="{A76FB5FD-5A83-4A1D-B3D2-2521AE5589FC}"/>
    <cellStyle name="Ausgabe 2 2 14" xfId="6605" xr:uid="{C91DD8CA-80F9-4566-82A3-E21F7383403E}"/>
    <cellStyle name="Ausgabe 2 2 15" xfId="7367" xr:uid="{A234E0C4-F1D2-4318-B78E-F73DF81E380A}"/>
    <cellStyle name="Ausgabe 2 2 16" xfId="7054" xr:uid="{87788412-9DE2-4203-9CB8-03C9EEC9D6F4}"/>
    <cellStyle name="Ausgabe 2 2 17" xfId="8408" xr:uid="{38E16D82-5CA9-46DC-A8F2-94A1E5F4B14F}"/>
    <cellStyle name="Ausgabe 2 2 18" xfId="8738" xr:uid="{FDECBDBF-71A5-4EC9-BA7B-0019F2EF1DF6}"/>
    <cellStyle name="Ausgabe 2 2 19" xfId="9581" xr:uid="{A9FE5510-A277-4A83-B073-BD89BC02A511}"/>
    <cellStyle name="Ausgabe 2 2 2" xfId="862" xr:uid="{AE9939C0-08FD-45FC-BF16-AEC0E90FDDEC}"/>
    <cellStyle name="Ausgabe 2 2 2 10" xfId="5510" xr:uid="{69E71DA7-6686-481A-81C1-DDE61B9521ED}"/>
    <cellStyle name="Ausgabe 2 2 2 11" xfId="5932" xr:uid="{DFC4AB9E-79DF-45FB-99DB-364C7517CF86}"/>
    <cellStyle name="Ausgabe 2 2 2 12" xfId="5976" xr:uid="{25028DA2-C05F-4526-80BB-7C6EF37F28D4}"/>
    <cellStyle name="Ausgabe 2 2 2 13" xfId="6650" xr:uid="{6A74C8DE-5C87-4A24-8031-27E92C7D93CB}"/>
    <cellStyle name="Ausgabe 2 2 2 14" xfId="7582" xr:uid="{B9B8F956-72FB-4F8E-BE14-B80783861ED0}"/>
    <cellStyle name="Ausgabe 2 2 2 15" xfId="6746" xr:uid="{BA8909C4-F95B-4AFC-9C97-44E57CFDEE5C}"/>
    <cellStyle name="Ausgabe 2 2 2 16" xfId="6776" xr:uid="{B23DA034-0AEE-404E-AD4C-860FF4C6E756}"/>
    <cellStyle name="Ausgabe 2 2 2 17" xfId="8037" xr:uid="{35CB1670-830C-493F-BDE3-6C4653154E1E}"/>
    <cellStyle name="Ausgabe 2 2 2 18" xfId="9796" xr:uid="{3B1C12FE-200B-443C-A4FB-DC7896AFFB82}"/>
    <cellStyle name="Ausgabe 2 2 2 19" xfId="9356" xr:uid="{7D4DF7CC-8CFD-47F0-BEA7-A691DCC8ABE0}"/>
    <cellStyle name="Ausgabe 2 2 2 2" xfId="1336" xr:uid="{29997C74-988F-41AC-BAFF-5904DE074E96}"/>
    <cellStyle name="Ausgabe 2 2 2 20" xfId="10126" xr:uid="{8FEF8530-9A4B-424E-A6F8-182F0F7C51A5}"/>
    <cellStyle name="Ausgabe 2 2 2 21" xfId="10345" xr:uid="{C4A4BA3E-4D59-486C-B648-C2376F698C16}"/>
    <cellStyle name="Ausgabe 2 2 2 22" xfId="10786" xr:uid="{AA6896E2-C227-41D1-8EDD-5464F2561886}"/>
    <cellStyle name="Ausgabe 2 2 2 23" xfId="12215" xr:uid="{FFDAC45A-91B7-4A59-8731-60962894FEA8}"/>
    <cellStyle name="Ausgabe 2 2 2 24" xfId="12688" xr:uid="{20A77488-F9FC-4B89-A486-4850F0722313}"/>
    <cellStyle name="Ausgabe 2 2 2 25" xfId="13122" xr:uid="{8E10A56D-5575-4E6D-AD88-48E916025C6A}"/>
    <cellStyle name="Ausgabe 2 2 2 26" xfId="13559" xr:uid="{6E0496A8-0B09-4465-9E71-4F9CACC43C6D}"/>
    <cellStyle name="Ausgabe 2 2 2 27" xfId="13599" xr:uid="{C7162720-E2AE-4411-B9A5-E450B232F045}"/>
    <cellStyle name="Ausgabe 2 2 2 28" xfId="14478" xr:uid="{A9EC9BA2-F8F5-409B-88A7-418314BECEBC}"/>
    <cellStyle name="Ausgabe 2 2 2 29" xfId="13640" xr:uid="{FB207DD7-3B5F-401C-9784-AA0537A32B2D}"/>
    <cellStyle name="Ausgabe 2 2 2 3" xfId="1785" xr:uid="{9E024BA3-F386-48AF-A4F8-0B46D1C9408A}"/>
    <cellStyle name="Ausgabe 2 2 2 30" xfId="15091" xr:uid="{2FDA2523-23CA-495D-BA93-7A2CCAEF4020}"/>
    <cellStyle name="Ausgabe 2 2 2 31" xfId="11733" xr:uid="{CEBD8B89-1247-410E-A57E-17DE8F1D43B2}"/>
    <cellStyle name="Ausgabe 2 2 2 32" xfId="15451" xr:uid="{807243DC-AD50-4645-BF06-E55F43F21889}"/>
    <cellStyle name="Ausgabe 2 2 2 33" xfId="16907" xr:uid="{F35F5B7D-19E4-47D5-8DA5-BF271653F623}"/>
    <cellStyle name="Ausgabe 2 2 2 34" xfId="16055" xr:uid="{0C23902A-2121-4406-A973-EE977451CA71}"/>
    <cellStyle name="Ausgabe 2 2 2 35" xfId="17245" xr:uid="{ACAFC3B1-5774-4337-B5C2-7D10B668C784}"/>
    <cellStyle name="Ausgabe 2 2 2 36" xfId="16498" xr:uid="{CA8EF809-9530-4145-94EA-5A13B09FF69E}"/>
    <cellStyle name="Ausgabe 2 2 2 37" xfId="18725" xr:uid="{F7E55EC1-04E4-4C79-BBBB-ED1E4D2FCE14}"/>
    <cellStyle name="Ausgabe 2 2 2 38" xfId="19040" xr:uid="{27B18693-4349-457D-86CD-6ED732510D40}"/>
    <cellStyle name="Ausgabe 2 2 2 39" xfId="19162" xr:uid="{E03AC0F9-96AA-4400-8743-779FD1530F5E}"/>
    <cellStyle name="Ausgabe 2 2 2 4" xfId="2684" xr:uid="{5201C5A0-C413-4921-9DCD-5E5805427CD8}"/>
    <cellStyle name="Ausgabe 2 2 2 40" xfId="20244" xr:uid="{06793814-0F9F-4E5B-B751-2A246CC2DAD6}"/>
    <cellStyle name="Ausgabe 2 2 2 41" xfId="19890" xr:uid="{7982CCF8-E7ED-4846-953A-EAAD74186663}"/>
    <cellStyle name="Ausgabe 2 2 2 42" xfId="19812" xr:uid="{EBE3B168-B8AB-4BF3-8AD5-C706C8F70412}"/>
    <cellStyle name="Ausgabe 2 2 2 43" xfId="21491" xr:uid="{088A82CF-7A64-4828-BF3E-6E575B84176A}"/>
    <cellStyle name="Ausgabe 2 2 2 44" xfId="20815" xr:uid="{42160415-4816-4229-B4CB-6620C12DB751}"/>
    <cellStyle name="Ausgabe 2 2 2 45" xfId="22046" xr:uid="{BCC3D39D-1961-4BD3-902E-8C49391246CB}"/>
    <cellStyle name="Ausgabe 2 2 2 46" xfId="22608" xr:uid="{1D5683EE-BE79-4B2F-AE35-B6ADC0F71BF3}"/>
    <cellStyle name="Ausgabe 2 2 2 47" xfId="23317" xr:uid="{C85025A0-2B8C-44A7-B8B6-5BD65B63B9F6}"/>
    <cellStyle name="Ausgabe 2 2 2 48" xfId="23262" xr:uid="{6B515C33-6AC7-427A-9315-918ADCB0F898}"/>
    <cellStyle name="Ausgabe 2 2 2 49" xfId="24044" xr:uid="{1D53F36B-F140-4E86-82DF-5113ABE805FB}"/>
    <cellStyle name="Ausgabe 2 2 2 5" xfId="2765" xr:uid="{2B19EA6E-CD0A-4291-9BE3-212674D14B38}"/>
    <cellStyle name="Ausgabe 2 2 2 50" xfId="24952" xr:uid="{2D8529FB-BA43-4486-8F2D-F8F739DDA856}"/>
    <cellStyle name="Ausgabe 2 2 2 51" xfId="24330" xr:uid="{64FAE01F-14FF-4273-BE10-03D2A1137366}"/>
    <cellStyle name="Ausgabe 2 2 2 52" xfId="25868" xr:uid="{5EA1D378-E02D-40D9-9AFF-9E1A0F143AC0}"/>
    <cellStyle name="Ausgabe 2 2 2 53" xfId="25444" xr:uid="{2894210C-E8DE-4BD6-A04F-EE50D9A8EE67}"/>
    <cellStyle name="Ausgabe 2 2 2 54" xfId="26735" xr:uid="{60D2F4E6-41B6-4C5D-B088-2274D3DF703E}"/>
    <cellStyle name="Ausgabe 2 2 2 55" xfId="27156" xr:uid="{2474758C-75F1-4E8C-A64D-1A842B350DDA}"/>
    <cellStyle name="Ausgabe 2 2 2 56" xfId="27575" xr:uid="{02F61E1D-C030-48EF-8BF5-899C4150DE67}"/>
    <cellStyle name="Ausgabe 2 2 2 57" xfId="26500" xr:uid="{9927B4DB-434E-4495-90D6-9BB33D82E923}"/>
    <cellStyle name="Ausgabe 2 2 2 58" xfId="28702" xr:uid="{F1E9DE2E-115C-4273-8B6E-1EEA62CBDEF4}"/>
    <cellStyle name="Ausgabe 2 2 2 59" xfId="29169" xr:uid="{1A9B85FC-F011-4156-98DF-08590E4177A8}"/>
    <cellStyle name="Ausgabe 2 2 2 6" xfId="3575" xr:uid="{67B48994-4E50-4274-AA8A-FA157B5F68AD}"/>
    <cellStyle name="Ausgabe 2 2 2 60" xfId="27992" xr:uid="{7270CC2C-A2FA-45DD-B3F0-12CC796E2CEA}"/>
    <cellStyle name="Ausgabe 2 2 2 61" xfId="29958" xr:uid="{58F3B626-EAA3-4C1A-8906-2A0B776D1EB4}"/>
    <cellStyle name="Ausgabe 2 2 2 62" xfId="30364" xr:uid="{0EAB8E7C-259E-4F5A-AD0A-D501266BB093}"/>
    <cellStyle name="Ausgabe 2 2 2 63" xfId="30781" xr:uid="{73A26D48-D940-4979-BF61-C7A32F6504B8}"/>
    <cellStyle name="Ausgabe 2 2 2 64" xfId="31026" xr:uid="{537A6214-FE61-4CBC-A185-664609A5F41E}"/>
    <cellStyle name="Ausgabe 2 2 2 65" xfId="31397" xr:uid="{8DA2A690-648A-449C-88C8-AD0E9F0916B5}"/>
    <cellStyle name="Ausgabe 2 2 2 7" xfId="4180" xr:uid="{49531435-FF9F-457A-8D25-8A30B639A66E}"/>
    <cellStyle name="Ausgabe 2 2 2 8" xfId="4617" xr:uid="{27B2FE97-11CC-4758-9B31-9EC083784B56}"/>
    <cellStyle name="Ausgabe 2 2 2 9" xfId="5063" xr:uid="{B4ACFA53-02B6-4B29-A341-EB551522FA74}"/>
    <cellStyle name="Ausgabe 2 2 20" xfId="9267" xr:uid="{4B21103C-CA9F-4E9F-8535-28D4FB12C68C}"/>
    <cellStyle name="Ausgabe 2 2 21" xfId="10048" xr:uid="{1264EC31-80AA-4346-8898-7F96BA6D5091}"/>
    <cellStyle name="Ausgabe 2 2 22" xfId="10800" xr:uid="{67F6346C-EEB3-4B6D-BAF1-FDA318B48A90}"/>
    <cellStyle name="Ausgabe 2 2 23" xfId="11105" xr:uid="{4C0E0D29-496E-4BEE-9D6C-40D78554C2FB}"/>
    <cellStyle name="Ausgabe 2 2 24" xfId="12000" xr:uid="{C94B5A08-C0E1-4ECE-AFE8-876C9FF4AF68}"/>
    <cellStyle name="Ausgabe 2 2 25" xfId="12473" xr:uid="{A2DDF696-6A01-4CF1-A2F6-CC9368817A48}"/>
    <cellStyle name="Ausgabe 2 2 26" xfId="12907" xr:uid="{6843A32B-069E-47CF-90C6-73B4E4727434}"/>
    <cellStyle name="Ausgabe 2 2 27" xfId="13344" xr:uid="{3545BBFA-7A48-40DD-8723-D85F4932535F}"/>
    <cellStyle name="Ausgabe 2 2 28" xfId="13757" xr:uid="{433DA52A-ABAC-428C-90DC-6C0E9CA4BC59}"/>
    <cellStyle name="Ausgabe 2 2 29" xfId="14201" xr:uid="{CBD8D953-1474-45BB-908F-2B93EA6BE22B}"/>
    <cellStyle name="Ausgabe 2 2 3" xfId="1130" xr:uid="{BBBD9DEE-CB1C-4212-B6A1-AFE8D21438E3}"/>
    <cellStyle name="Ausgabe 2 2 30" xfId="14381" xr:uid="{1C8E7C8C-0182-4BF6-B833-5787D05D43A3}"/>
    <cellStyle name="Ausgabe 2 2 31" xfId="14759" xr:uid="{A81BE383-86AE-4C60-8BFB-5E6C616E97C6}"/>
    <cellStyle name="Ausgabe 2 2 32" xfId="15042" xr:uid="{FA6E3CB1-A54E-47A3-8EF3-94661AD2E6BC}"/>
    <cellStyle name="Ausgabe 2 2 33" xfId="15776" xr:uid="{9946DD04-EDA9-4E07-ACA8-5C1208133CC1}"/>
    <cellStyle name="Ausgabe 2 2 34" xfId="16692" xr:uid="{A5BC8E8B-C490-4C1D-A1BC-6C5726327DCC}"/>
    <cellStyle name="Ausgabe 2 2 35" xfId="16376" xr:uid="{4013D57C-5825-44F8-BEC5-3370DD875043}"/>
    <cellStyle name="Ausgabe 2 2 36" xfId="17166" xr:uid="{B8CE8E3D-3046-4D2A-9547-922CC39F58C2}"/>
    <cellStyle name="Ausgabe 2 2 37" xfId="17538" xr:uid="{6625F7B4-9198-4BDA-82D1-81586B5360EF}"/>
    <cellStyle name="Ausgabe 2 2 38" xfId="18510" xr:uid="{3012A273-BE31-4DEA-B959-036551D3C0B0}"/>
    <cellStyle name="Ausgabe 2 2 39" xfId="18864" xr:uid="{481C670D-269C-42D4-8E4E-9919C2E07668}"/>
    <cellStyle name="Ausgabe 2 2 4" xfId="1602" xr:uid="{3A54F84A-A738-4D6D-8DD0-E29E1DE34995}"/>
    <cellStyle name="Ausgabe 2 2 40" xfId="19233" xr:uid="{A683F820-86AF-4086-BA04-1737F27C877F}"/>
    <cellStyle name="Ausgabe 2 2 41" xfId="20029" xr:uid="{3E214B86-A92D-47B0-998C-9D24127936A1}"/>
    <cellStyle name="Ausgabe 2 2 42" xfId="19710" xr:uid="{F0871D1C-C877-45D6-86FA-7116E09693FD}"/>
    <cellStyle name="Ausgabe 2 2 43" xfId="20537" xr:uid="{DF8BEAAA-D9E7-41EE-B64E-E4187454BA99}"/>
    <cellStyle name="Ausgabe 2 2 44" xfId="21175" xr:uid="{46A6B714-759C-49B9-B7F8-735855B8DB6A}"/>
    <cellStyle name="Ausgabe 2 2 45" xfId="20286" xr:uid="{9059E590-1DEE-455B-9F44-10A1BA4AD01F}"/>
    <cellStyle name="Ausgabe 2 2 46" xfId="21770" xr:uid="{7A69248A-5699-48EC-B28B-76827704534F}"/>
    <cellStyle name="Ausgabe 2 2 47" xfId="22752" xr:uid="{7E750AC2-2CB9-4F50-A154-87B81DF7C91A}"/>
    <cellStyle name="Ausgabe 2 2 48" xfId="23139" xr:uid="{A918665B-4485-4AE1-8DD5-2BF2CB6038A0}"/>
    <cellStyle name="Ausgabe 2 2 49" xfId="22652" xr:uid="{D2E8BF83-3417-4F4F-9114-6EC9F0B7E3F1}"/>
    <cellStyle name="Ausgabe 2 2 5" xfId="2469" xr:uid="{C5113F57-F30C-454B-B15B-4C26312CD60D}"/>
    <cellStyle name="Ausgabe 2 2 50" xfId="23838" xr:uid="{9ED8D5AD-9263-4876-AC61-A7B9A396D175}"/>
    <cellStyle name="Ausgabe 2 2 51" xfId="24737" xr:uid="{0E52175C-CF7C-469B-B9FC-F4851F98FBF0}"/>
    <cellStyle name="Ausgabe 2 2 52" xfId="24407" xr:uid="{7891C114-5941-4452-A954-5E9B41AE90F4}"/>
    <cellStyle name="Ausgabe 2 2 53" xfId="25655" xr:uid="{08136089-870D-44AC-B1D9-45AB00637BFB}"/>
    <cellStyle name="Ausgabe 2 2 54" xfId="26168" xr:uid="{75DF7378-D71E-4CBA-BEEB-11A3910F6B40}"/>
    <cellStyle name="Ausgabe 2 2 55" xfId="26012" xr:uid="{A152A752-8B0F-4C78-9890-953253B4A452}"/>
    <cellStyle name="Ausgabe 2 2 56" xfId="26945" xr:uid="{88A85E83-D72B-48D2-914A-20152BB46361}"/>
    <cellStyle name="Ausgabe 2 2 57" xfId="27364" xr:uid="{AED09B51-1803-4139-9B00-B6BCE3CCC736}"/>
    <cellStyle name="Ausgabe 2 2 58" xfId="27688" xr:uid="{93AAF157-F9A2-44C0-9F56-093EC7375A34}"/>
    <cellStyle name="Ausgabe 2 2 59" xfId="28487" xr:uid="{E00B0553-8145-496A-B4AC-F5CC13EAE811}"/>
    <cellStyle name="Ausgabe 2 2 6" xfId="2923" xr:uid="{D6D14993-CB34-4579-957A-A8D34FEF3002}"/>
    <cellStyle name="Ausgabe 2 2 60" xfId="28955" xr:uid="{0299CD5B-992A-4CDA-BB59-03A4234583EC}"/>
    <cellStyle name="Ausgabe 2 2 61" xfId="27998" xr:uid="{ED341B6E-52B2-48FF-B091-AFACAF138CC3}"/>
    <cellStyle name="Ausgabe 2 2 62" xfId="29745" xr:uid="{0610C3AE-BBAC-4D66-B80B-330DA6C0AD23}"/>
    <cellStyle name="Ausgabe 2 2 63" xfId="30153" xr:uid="{52840BFB-76ED-490E-8E5C-62B079C456EC}"/>
    <cellStyle name="Ausgabe 2 2 64" xfId="30567" xr:uid="{1EC95D07-44BE-4D59-A76D-26AE3E56C940}"/>
    <cellStyle name="Ausgabe 2 2 65" xfId="30428" xr:uid="{84B0EC5A-7BB7-4884-9EF0-3510AF59A0D3}"/>
    <cellStyle name="Ausgabe 2 2 66" xfId="31191" xr:uid="{60A7E369-040B-4A31-A054-4BF57A3667CC}"/>
    <cellStyle name="Ausgabe 2 2 7" xfId="2207" xr:uid="{6E51F793-DDCD-4139-BB5F-6A51CF6E4501}"/>
    <cellStyle name="Ausgabe 2 2 8" xfId="3965" xr:uid="{3D46072E-8ECF-43A8-B29B-91C794AC1181}"/>
    <cellStyle name="Ausgabe 2 2 9" xfId="4403" xr:uid="{36E17A01-D891-4972-BE67-70E182801B19}"/>
    <cellStyle name="Ausgabe 2 20" xfId="16440" xr:uid="{07B05404-21D0-488B-8E08-94385A4C0960}"/>
    <cellStyle name="Ausgabe 2 21" xfId="16278" xr:uid="{FF184F3B-4709-4642-AD9F-F8030C943D27}"/>
    <cellStyle name="Ausgabe 2 22" xfId="16993" xr:uid="{9DEBA111-BB34-475C-9654-D3A3A8C66ED8}"/>
    <cellStyle name="Ausgabe 2 23" xfId="18360" xr:uid="{EAC4552B-3953-48BF-876D-2D4A46012378}"/>
    <cellStyle name="Ausgabe 2 24" xfId="19774" xr:uid="{48D7336E-5F61-4CF1-AFFD-C5E91B03F211}"/>
    <cellStyle name="Ausgabe 2 25" xfId="21325" xr:uid="{31D6E061-993F-422D-97B1-3CDCC392F720}"/>
    <cellStyle name="Ausgabe 2 26" xfId="23562" xr:uid="{C865BB9F-27CB-467A-A758-22E612ADA4E7}"/>
    <cellStyle name="Ausgabe 2 27" xfId="24485" xr:uid="{B686E72D-5EC9-44B1-BA9F-6588324A2798}"/>
    <cellStyle name="Ausgabe 2 28" xfId="24220" xr:uid="{149F0FB2-554F-488A-A338-0A3976C15364}"/>
    <cellStyle name="Ausgabe 2 29" xfId="25475" xr:uid="{A03A1BFB-3881-4B52-8258-FCA62F5664CC}"/>
    <cellStyle name="Ausgabe 2 3" xfId="532" xr:uid="{C9C478EB-BEF8-49BE-ADAC-009395D2FEAD}"/>
    <cellStyle name="Ausgabe 2 3 10" xfId="5028" xr:uid="{A6A41E25-E0B0-4F90-90E1-A5E29EFB1600}"/>
    <cellStyle name="Ausgabe 2 3 11" xfId="5180" xr:uid="{AEFB59F9-B3BA-45DA-B505-CF614B260517}"/>
    <cellStyle name="Ausgabe 2 3 12" xfId="5807" xr:uid="{77A383E3-91F0-4157-A7CD-0E9A597FF84C}"/>
    <cellStyle name="Ausgabe 2 3 13" xfId="5788" xr:uid="{273AC3EA-B12C-40B0-8082-13BA931C6A05}"/>
    <cellStyle name="Ausgabe 2 3 14" xfId="6652" xr:uid="{D64204C0-31BF-4833-BB39-7A72F27E3AF1}"/>
    <cellStyle name="Ausgabe 2 3 15" xfId="7252" xr:uid="{5D8C6068-517E-4FBC-9ACD-54041A065AFA}"/>
    <cellStyle name="Ausgabe 2 3 16" xfId="7727" xr:uid="{E8601BCC-6417-46AD-BAB4-CF94512EEDC2}"/>
    <cellStyle name="Ausgabe 2 3 17" xfId="8229" xr:uid="{F6A5F0E8-EFDF-405D-914C-66EF8A241571}"/>
    <cellStyle name="Ausgabe 2 3 18" xfId="6744" xr:uid="{0E3511BC-4156-463F-B203-127965F9B3E7}"/>
    <cellStyle name="Ausgabe 2 3 19" xfId="9466" xr:uid="{C16F6302-0284-4AD5-9260-4032C39EE2D2}"/>
    <cellStyle name="Ausgabe 2 3 2" xfId="747" xr:uid="{B2B66AD7-0476-4AF7-87D1-860AEBD36918}"/>
    <cellStyle name="Ausgabe 2 3 2 10" xfId="5395" xr:uid="{95A121F0-5343-4220-9E2D-CD39A6C823F5}"/>
    <cellStyle name="Ausgabe 2 3 2 11" xfId="3383" xr:uid="{FB787DB8-E2CB-47E5-9E6A-37BD940DB536}"/>
    <cellStyle name="Ausgabe 2 3 2 12" xfId="5671" xr:uid="{C898244B-9BAE-4F90-AAF6-E2976297CB42}"/>
    <cellStyle name="Ausgabe 2 3 2 13" xfId="6629" xr:uid="{699FD631-35F9-4072-BD89-1BB993EED188}"/>
    <cellStyle name="Ausgabe 2 3 2 14" xfId="7467" xr:uid="{E34EAA35-30D2-4E2C-B814-C92D163D2C45}"/>
    <cellStyle name="Ausgabe 2 3 2 15" xfId="7185" xr:uid="{DCA27590-7B58-431B-BD66-760ABAB701E4}"/>
    <cellStyle name="Ausgabe 2 3 2 16" xfId="7675" xr:uid="{8191F3B3-56DB-49B6-8A7D-AE49303BFBBE}"/>
    <cellStyle name="Ausgabe 2 3 2 17" xfId="6839" xr:uid="{3844AEF4-EBA2-4A75-BAB4-4CC4A272FE5D}"/>
    <cellStyle name="Ausgabe 2 3 2 18" xfId="9681" xr:uid="{FB834420-1350-42D6-912B-F18FF3AAA4DD}"/>
    <cellStyle name="Ausgabe 2 3 2 19" xfId="9398" xr:uid="{94CDD206-EF3D-413D-9217-1DA4E8A1293B}"/>
    <cellStyle name="Ausgabe 2 3 2 2" xfId="1221" xr:uid="{6651222E-D46D-4D59-851D-CBFACF5137D3}"/>
    <cellStyle name="Ausgabe 2 3 2 20" xfId="9909" xr:uid="{77DF7DC5-406B-4234-99AB-878BF28DEA51}"/>
    <cellStyle name="Ausgabe 2 3 2 21" xfId="9903" xr:uid="{3300622C-B4AC-45F7-927A-A317AAA6921F}"/>
    <cellStyle name="Ausgabe 2 3 2 22" xfId="9422" xr:uid="{A2A4B64F-1793-4B0B-B5BD-D37E78BC5E14}"/>
    <cellStyle name="Ausgabe 2 3 2 23" xfId="12100" xr:uid="{D9218027-17ED-471B-BD91-CC4E750AF3AB}"/>
    <cellStyle name="Ausgabe 2 3 2 24" xfId="12573" xr:uid="{B97C384D-8848-4893-AD20-B8891D955406}"/>
    <cellStyle name="Ausgabe 2 3 2 25" xfId="13007" xr:uid="{DC102946-4854-4C35-A19E-86EC78279DC1}"/>
    <cellStyle name="Ausgabe 2 3 2 26" xfId="13444" xr:uid="{9A895518-C152-4EC3-ADC4-D2747307DEA1}"/>
    <cellStyle name="Ausgabe 2 3 2 27" xfId="11657" xr:uid="{C6E942A8-A788-41FB-A46F-556D0A7E15C3}"/>
    <cellStyle name="Ausgabe 2 3 2 28" xfId="11391" xr:uid="{086227EB-2194-4EBA-A23B-2D845264236D}"/>
    <cellStyle name="Ausgabe 2 3 2 29" xfId="13828" xr:uid="{B539BFBB-4A04-4656-A336-F32FB988AE1E}"/>
    <cellStyle name="Ausgabe 2 3 2 3" xfId="1568" xr:uid="{49775AD2-65A0-4A8F-AB50-5A9BE2D8DB31}"/>
    <cellStyle name="Ausgabe 2 3 2 30" xfId="15205" xr:uid="{AF31980F-146C-4572-BFCC-21133371A2F9}"/>
    <cellStyle name="Ausgabe 2 3 2 31" xfId="15093" xr:uid="{09C1FE44-6461-4B44-960F-BBF9E12E9BF7}"/>
    <cellStyle name="Ausgabe 2 3 2 32" xfId="15485" xr:uid="{C6C067CC-9425-4A8E-8533-5A8B43616BCA}"/>
    <cellStyle name="Ausgabe 2 3 2 33" xfId="16792" xr:uid="{8E4CD01F-1488-4AC5-BDCB-3FAEFEE1AFDA}"/>
    <cellStyle name="Ausgabe 2 3 2 34" xfId="16507" xr:uid="{AAF127FB-2172-4ACA-A8CF-B4533DAA3545}"/>
    <cellStyle name="Ausgabe 2 3 2 35" xfId="17021" xr:uid="{1FD6E4ED-2531-4A61-A6A1-A86BFA8FF17E}"/>
    <cellStyle name="Ausgabe 2 3 2 36" xfId="17897" xr:uid="{B994B7A9-4929-493B-A41B-FAE8D03A688D}"/>
    <cellStyle name="Ausgabe 2 3 2 37" xfId="18610" xr:uid="{4BB3FB59-0CFA-4E14-9713-37B1C0906E65}"/>
    <cellStyle name="Ausgabe 2 3 2 38" xfId="17459" xr:uid="{B296EFA4-7F0D-4834-80AD-BBF0A2207DFA}"/>
    <cellStyle name="Ausgabe 2 3 2 39" xfId="18965" xr:uid="{41422115-D6D8-4F46-8817-12EF8BA379C5}"/>
    <cellStyle name="Ausgabe 2 3 2 4" xfId="2569" xr:uid="{8E04666A-E383-41CB-984D-BD1BC1774D71}"/>
    <cellStyle name="Ausgabe 2 3 2 40" xfId="20129" xr:uid="{74C4F188-9C35-46D0-B91D-F520C65F309E}"/>
    <cellStyle name="Ausgabe 2 3 2 41" xfId="19843" xr:uid="{D7EFB780-E0DE-4BAD-8E7D-D52C7CADC573}"/>
    <cellStyle name="Ausgabe 2 3 2 42" xfId="20725" xr:uid="{558968F8-025D-4457-BE9B-43E185E152A9}"/>
    <cellStyle name="Ausgabe 2 3 2 43" xfId="21243" xr:uid="{85536A01-6F69-41A9-A351-5D72873D1CB8}"/>
    <cellStyle name="Ausgabe 2 3 2 44" xfId="21509" xr:uid="{71586317-0354-48F2-84B8-C9C8056F6E45}"/>
    <cellStyle name="Ausgabe 2 3 2 45" xfId="21979" xr:uid="{8875C97A-0A42-4745-95A3-22D3757FA0FE}"/>
    <cellStyle name="Ausgabe 2 3 2 46" xfId="22314" xr:uid="{30D75B16-8CB9-4E47-927E-1F37124D981F}"/>
    <cellStyle name="Ausgabe 2 3 2 47" xfId="22985" xr:uid="{D6926552-9446-4063-B2EE-321D6274369B}"/>
    <cellStyle name="Ausgabe 2 3 2 48" xfId="23391" xr:uid="{E3CC8807-DDB5-4F2D-A8F6-DE871A440E2A}"/>
    <cellStyle name="Ausgabe 2 3 2 49" xfId="23929" xr:uid="{62E44032-45F3-4D70-B7E2-66A6CC8B0231}"/>
    <cellStyle name="Ausgabe 2 3 2 5" xfId="1972" xr:uid="{876FFC4A-7EAC-435E-8B72-5A5D8ED5B7A5}"/>
    <cellStyle name="Ausgabe 2 3 2 50" xfId="24837" xr:uid="{4287615B-FACD-4AFD-8C8C-C1C33CE952E8}"/>
    <cellStyle name="Ausgabe 2 3 2 51" xfId="24406" xr:uid="{741C235C-B0A2-4947-A1D1-8652351EAE09}"/>
    <cellStyle name="Ausgabe 2 3 2 52" xfId="25753" xr:uid="{6BB5EC5C-13BC-4C84-A5B3-E60144B3CA0D}"/>
    <cellStyle name="Ausgabe 2 3 2 53" xfId="24475" xr:uid="{524B22BB-C715-4B3D-9862-1A4C81C7B4B4}"/>
    <cellStyle name="Ausgabe 2 3 2 54" xfId="26552" xr:uid="{1E6967B3-1691-4157-9E0F-117A4A573D2C}"/>
    <cellStyle name="Ausgabe 2 3 2 55" xfId="27041" xr:uid="{E71F5A9E-795F-49AF-A0A6-DA1E9EDA94D4}"/>
    <cellStyle name="Ausgabe 2 3 2 56" xfId="27460" xr:uid="{37F282B2-50AA-40DB-8329-47870AFED086}"/>
    <cellStyle name="Ausgabe 2 3 2 57" xfId="26775" xr:uid="{E76F165D-E264-45AA-B00A-7A0E6CC56E0A}"/>
    <cellStyle name="Ausgabe 2 3 2 58" xfId="28587" xr:uid="{BD47F222-C5AB-4025-A7FB-A9113B7E27F2}"/>
    <cellStyle name="Ausgabe 2 3 2 59" xfId="29054" xr:uid="{F47FCB37-C860-4D1D-8BB0-E1E23B682EA7}"/>
    <cellStyle name="Ausgabe 2 3 2 6" xfId="3578" xr:uid="{88491C11-8791-4638-80BC-C60A8FCE50A9}"/>
    <cellStyle name="Ausgabe 2 3 2 60" xfId="28099" xr:uid="{B87A2FC7-13D5-4BB7-BA89-C9175287878A}"/>
    <cellStyle name="Ausgabe 2 3 2 61" xfId="29843" xr:uid="{D2F34C53-9083-4142-9BB8-DFEBBE73185F}"/>
    <cellStyle name="Ausgabe 2 3 2 62" xfId="30249" xr:uid="{C45A8121-2CAC-4C0E-8B1B-43318F04E874}"/>
    <cellStyle name="Ausgabe 2 3 2 63" xfId="30666" xr:uid="{6446FBA0-B62F-408C-8DD9-66AAAFA7A3DE}"/>
    <cellStyle name="Ausgabe 2 3 2 64" xfId="27901" xr:uid="{1683C10B-DF75-461E-A4B7-A74C3E760196}"/>
    <cellStyle name="Ausgabe 2 3 2 65" xfId="31282" xr:uid="{CF955AAB-822C-4456-9F05-3958CC9BD374}"/>
    <cellStyle name="Ausgabe 2 3 2 7" xfId="4065" xr:uid="{119A4943-56A8-413E-B49B-6C48943F65A2}"/>
    <cellStyle name="Ausgabe 2 3 2 8" xfId="4502" xr:uid="{D5D08BAC-449D-426D-AAA2-D407D7D80761}"/>
    <cellStyle name="Ausgabe 2 3 2 9" xfId="3647" xr:uid="{C6A313B7-0E56-4530-AF67-330957E491DC}"/>
    <cellStyle name="Ausgabe 2 3 20" xfId="9941" xr:uid="{9139BB7B-9148-4FC1-992E-DFCD5A4748F2}"/>
    <cellStyle name="Ausgabe 2 3 21" xfId="10372" xr:uid="{FDD99E55-B653-406B-85DA-9E89998E7E52}"/>
    <cellStyle name="Ausgabe 2 3 22" xfId="9015" xr:uid="{F3D59881-70E7-4A1B-BED5-13BB72E009C1}"/>
    <cellStyle name="Ausgabe 2 3 23" xfId="8987" xr:uid="{02373EDF-FED7-458E-A1F0-F605B57EF64A}"/>
    <cellStyle name="Ausgabe 2 3 24" xfId="11885" xr:uid="{9776D3E2-27A7-467B-92C5-F09E08CC3AEA}"/>
    <cellStyle name="Ausgabe 2 3 25" xfId="12358" xr:uid="{76BCA559-1C9D-4F9E-A755-27CD7C072A63}"/>
    <cellStyle name="Ausgabe 2 3 26" xfId="12792" xr:uid="{A0C02CA0-CE84-4F77-BA49-C5AE78B4534F}"/>
    <cellStyle name="Ausgabe 2 3 27" xfId="13229" xr:uid="{55B709C2-EE87-42BD-BEF8-4462B92AA248}"/>
    <cellStyle name="Ausgabe 2 3 28" xfId="13858" xr:uid="{C23CD973-3FE9-4C1B-B634-299907996AE7}"/>
    <cellStyle name="Ausgabe 2 3 29" xfId="14242" xr:uid="{6DC98ED9-B563-4F77-8A41-C5C3DE9F9BF5}"/>
    <cellStyle name="Ausgabe 2 3 3" xfId="1015" xr:uid="{3871F90F-F38C-4090-AA90-906209F593AA}"/>
    <cellStyle name="Ausgabe 2 3 30" xfId="14809" xr:uid="{53B206E7-2D52-4D30-9175-A99E3D7C176E}"/>
    <cellStyle name="Ausgabe 2 3 31" xfId="15274" xr:uid="{A7C3F5DC-E2F6-4CC0-B6FF-73E60DD745D3}"/>
    <cellStyle name="Ausgabe 2 3 32" xfId="15266" xr:uid="{0F7FB221-0C7F-494F-97DA-E855D461FA8F}"/>
    <cellStyle name="Ausgabe 2 3 33" xfId="15822" xr:uid="{3221D6E6-1D37-4B2A-B839-F5C5E733E7D4}"/>
    <cellStyle name="Ausgabe 2 3 34" xfId="16577" xr:uid="{C7217D7D-144D-4A9F-950F-D18D29F12B03}"/>
    <cellStyle name="Ausgabe 2 3 35" xfId="17055" xr:uid="{A075DDDD-31D7-43D8-A78E-ED467FD8F713}"/>
    <cellStyle name="Ausgabe 2 3 36" xfId="17502" xr:uid="{35BB8C45-B081-451F-8C62-559B0F54138B}"/>
    <cellStyle name="Ausgabe 2 3 37" xfId="18164" xr:uid="{86DED7C3-2A0A-4D9D-ACFD-B28CE64494FE}"/>
    <cellStyle name="Ausgabe 2 3 38" xfId="18395" xr:uid="{FC02E4A6-5CA9-432B-AB85-9B8B57790A42}"/>
    <cellStyle name="Ausgabe 2 3 39" xfId="19009" xr:uid="{A0DAE8FC-CBCB-4498-87E3-BA5ACE4FBAEF}"/>
    <cellStyle name="Ausgabe 2 3 4" xfId="1609" xr:uid="{442DD798-DE30-4238-A42B-E0B3AA0B1A15}"/>
    <cellStyle name="Ausgabe 2 3 40" xfId="19241" xr:uid="{2189D1BB-2984-4419-B754-B4C02062FDE9}"/>
    <cellStyle name="Ausgabe 2 3 41" xfId="19914" xr:uid="{18DB7CE8-BE00-4DCB-B61B-6A7B59A592AD}"/>
    <cellStyle name="Ausgabe 2 3 42" xfId="20407" xr:uid="{E82546C5-15D1-43FB-A604-368001A9ACFC}"/>
    <cellStyle name="Ausgabe 2 3 43" xfId="20860" xr:uid="{08AF3057-7843-49D3-8761-B7A17727BA96}"/>
    <cellStyle name="Ausgabe 2 3 44" xfId="20937" xr:uid="{3719E677-6778-46DF-A88A-8287D0B0EAED}"/>
    <cellStyle name="Ausgabe 2 3 45" xfId="21792" xr:uid="{794A7458-AF12-4576-A934-3AD458A50D91}"/>
    <cellStyle name="Ausgabe 2 3 46" xfId="22229" xr:uid="{72CADF42-925A-423B-9DAE-E6D57896D41D}"/>
    <cellStyle name="Ausgabe 2 3 47" xfId="22842" xr:uid="{4123BC49-B003-4AC4-943D-1148EE614D8E}"/>
    <cellStyle name="Ausgabe 2 3 48" xfId="23290" xr:uid="{004DB86E-1134-4E56-974C-1D0ED3FCEB3E}"/>
    <cellStyle name="Ausgabe 2 3 49" xfId="23071" xr:uid="{82D1D871-3C6B-4C88-987F-0606C5F76C00}"/>
    <cellStyle name="Ausgabe 2 3 5" xfId="2354" xr:uid="{A663B139-C371-430F-8802-F6C27A6394E8}"/>
    <cellStyle name="Ausgabe 2 3 50" xfId="23723" xr:uid="{0D528A06-03E7-42F9-A05A-390EA2660DC9}"/>
    <cellStyle name="Ausgabe 2 3 51" xfId="24622" xr:uid="{281691EC-390B-4477-A972-099B18A155A1}"/>
    <cellStyle name="Ausgabe 2 3 52" xfId="25115" xr:uid="{937B5C99-7444-449C-B794-69313573B4F2}"/>
    <cellStyle name="Ausgabe 2 3 53" xfId="25540" xr:uid="{D6B45416-AEE2-4D53-93CD-3D84BD54F277}"/>
    <cellStyle name="Ausgabe 2 3 54" xfId="26146" xr:uid="{C5082933-52E3-41EE-B1B8-12AFD575028F}"/>
    <cellStyle name="Ausgabe 2 3 55" xfId="26053" xr:uid="{9AAD4DD3-A74A-4900-8886-83EFF0AEE4A3}"/>
    <cellStyle name="Ausgabe 2 3 56" xfId="26830" xr:uid="{9DB38751-3C1A-4A8C-861E-D8E896C6ACFF}"/>
    <cellStyle name="Ausgabe 2 3 57" xfId="27249" xr:uid="{82164906-9D7E-4BE5-9850-04729BA89481}"/>
    <cellStyle name="Ausgabe 2 3 58" xfId="27191" xr:uid="{8C25680B-5784-4B9A-89A4-61000158F9DC}"/>
    <cellStyle name="Ausgabe 2 3 59" xfId="28372" xr:uid="{66CF7121-3A0D-4DBB-A309-37A67047AD91}"/>
    <cellStyle name="Ausgabe 2 3 6" xfId="3024" xr:uid="{04D257A6-9695-45A0-AFFE-8F0EA2182D5A}"/>
    <cellStyle name="Ausgabe 2 3 60" xfId="28840" xr:uid="{A1519913-0358-4900-A57A-8DCA53DDC5C4}"/>
    <cellStyle name="Ausgabe 2 3 61" xfId="29270" xr:uid="{90E87FDD-8660-4E1C-9903-E240621FBA12}"/>
    <cellStyle name="Ausgabe 2 3 62" xfId="29630" xr:uid="{8125B2F8-64E7-45FE-AE2E-1537A81FA814}"/>
    <cellStyle name="Ausgabe 2 3 63" xfId="30038" xr:uid="{862A32DB-3EC9-428B-8CD3-8EFD67D8AE7C}"/>
    <cellStyle name="Ausgabe 2 3 64" xfId="30452" xr:uid="{92B22E69-D829-4633-9068-8D9971F87D24}"/>
    <cellStyle name="Ausgabe 2 3 65" xfId="29993" xr:uid="{756F06CC-C01E-48BB-9131-4BF4EDDCFC6B}"/>
    <cellStyle name="Ausgabe 2 3 66" xfId="31076" xr:uid="{5CF84C6C-5C4D-41EB-8638-A1F046CF20D3}"/>
    <cellStyle name="Ausgabe 2 3 7" xfId="3422" xr:uid="{7A723930-5ABA-4304-9A5C-D72C0909ACE4}"/>
    <cellStyle name="Ausgabe 2 3 8" xfId="3850" xr:uid="{62CF8530-CF58-43CE-A0C3-EEC7105EE1EC}"/>
    <cellStyle name="Ausgabe 2 3 9" xfId="4288" xr:uid="{579B5987-DD15-4E2A-AF1A-8FCAD830CF30}"/>
    <cellStyle name="Ausgabe 2 30" xfId="26647" xr:uid="{D9433FF0-32A1-4F61-B392-33BEF7211D68}"/>
    <cellStyle name="Ausgabe 2 31" xfId="28248" xr:uid="{80A4E43E-E6EB-44E7-B9C7-3716D481A93F}"/>
    <cellStyle name="Ausgabe 2 32" xfId="28322" xr:uid="{4512026D-1460-45F8-9AEC-B6778AD6C943}"/>
    <cellStyle name="Ausgabe 2 33" xfId="30883" xr:uid="{859D8266-86E0-478F-ADDB-2AB5A230F536}"/>
    <cellStyle name="Ausgabe 2 4" xfId="705" xr:uid="{CFDAE0CC-BF24-4652-A4FF-D85581D6B117}"/>
    <cellStyle name="Ausgabe 2 4 10" xfId="5353" xr:uid="{0AB37FE7-B6F3-4EC1-8695-462E19B55DA5}"/>
    <cellStyle name="Ausgabe 2 4 11" xfId="3472" xr:uid="{C3F09092-37EA-48F2-9376-AFBEC0C1CBFA}"/>
    <cellStyle name="Ausgabe 2 4 12" xfId="5764" xr:uid="{3699C7C1-72CB-4C7A-9638-5C3DD36FE0F6}"/>
    <cellStyle name="Ausgabe 2 4 13" xfId="6118" xr:uid="{9172AA2B-A348-4A91-8AEE-06D9D8AC1D44}"/>
    <cellStyle name="Ausgabe 2 4 14" xfId="7425" xr:uid="{6A37424F-06DD-4FAB-8839-078A6583B9FD}"/>
    <cellStyle name="Ausgabe 2 4 15" xfId="7123" xr:uid="{E8172936-40F7-44C1-9094-67AA8DC24DB3}"/>
    <cellStyle name="Ausgabe 2 4 16" xfId="7882" xr:uid="{D122380B-B34A-47E3-AE40-212F906924AA}"/>
    <cellStyle name="Ausgabe 2 4 17" xfId="8705" xr:uid="{E86C7902-9EF2-44C8-9EB3-9A21D208DCBC}"/>
    <cellStyle name="Ausgabe 2 4 18" xfId="9639" xr:uid="{F9529077-05EC-47F2-AFCE-CAF78E244B43}"/>
    <cellStyle name="Ausgabe 2 4 19" xfId="9336" xr:uid="{B2D63F36-5178-4412-88FA-51FA5F6BC294}"/>
    <cellStyle name="Ausgabe 2 4 2" xfId="1179" xr:uid="{FBC9FA43-3FA6-49E8-A2BD-950FD84CB227}"/>
    <cellStyle name="Ausgabe 2 4 20" xfId="9890" xr:uid="{7E94CA59-E3EE-492F-9976-E53CF4217B8F}"/>
    <cellStyle name="Ausgabe 2 4 21" xfId="9292" xr:uid="{D7250D0C-0968-46F8-84CA-D01914F7D15A}"/>
    <cellStyle name="Ausgabe 2 4 22" xfId="11266" xr:uid="{69F09AC7-7CCC-4919-BBAA-65A310EA2316}"/>
    <cellStyle name="Ausgabe 2 4 23" xfId="12058" xr:uid="{8C39E2E3-BAC9-4BE0-9E02-966A4AEF58F2}"/>
    <cellStyle name="Ausgabe 2 4 24" xfId="12531" xr:uid="{F080CD46-0220-4E83-9D74-182B0852CD3C}"/>
    <cellStyle name="Ausgabe 2 4 25" xfId="12965" xr:uid="{5861C48D-CD45-450A-9AC4-DAD42D79B2E8}"/>
    <cellStyle name="Ausgabe 2 4 26" xfId="13402" xr:uid="{D4AC0AE7-18DC-4449-AF28-C871EDBE8BF5}"/>
    <cellStyle name="Ausgabe 2 4 27" xfId="12282" xr:uid="{934BA73F-792C-43CD-8F52-399BDA15777F}"/>
    <cellStyle name="Ausgabe 2 4 28" xfId="14458" xr:uid="{08B67FD6-724D-44EF-A965-91EB6A5F37D1}"/>
    <cellStyle name="Ausgabe 2 4 29" xfId="13857" xr:uid="{9BABAE16-F9B5-432D-B951-F7F9DA978091}"/>
    <cellStyle name="Ausgabe 2 4 3" xfId="1450" xr:uid="{F574F49F-8219-47DC-99C2-0639387CD8C6}"/>
    <cellStyle name="Ausgabe 2 4 30" xfId="15272" xr:uid="{CCFF851F-C642-4E2E-892D-CC0DB948D2E5}"/>
    <cellStyle name="Ausgabe 2 4 31" xfId="15558" xr:uid="{1F5B4216-1F39-4904-BA89-EDC8CEC1E71F}"/>
    <cellStyle name="Ausgabe 2 4 32" xfId="15338" xr:uid="{EC812FCF-2C4E-4697-8F8E-17D47F51DE42}"/>
    <cellStyle name="Ausgabe 2 4 33" xfId="16750" xr:uid="{43BF910A-A24F-4055-A20C-2FB4E370283C}"/>
    <cellStyle name="Ausgabe 2 4 34" xfId="16445" xr:uid="{694A7B1C-729B-458C-8A03-D720FAD78F06}"/>
    <cellStyle name="Ausgabe 2 4 35" xfId="17004" xr:uid="{823415B5-E8C9-492F-BC6B-D37A8BE9E82D}"/>
    <cellStyle name="Ausgabe 2 4 36" xfId="18156" xr:uid="{C69B14AA-846E-4368-82CD-EB1DBDC19C7A}"/>
    <cellStyle name="Ausgabe 2 4 37" xfId="18568" xr:uid="{E124E7C4-DF4A-4807-935F-F056B2C71A30}"/>
    <cellStyle name="Ausgabe 2 4 38" xfId="18784" xr:uid="{0B269AEA-867F-4827-99F5-50292A346B63}"/>
    <cellStyle name="Ausgabe 2 4 39" xfId="18889" xr:uid="{B0E7596C-B3E4-4721-BFFE-3382D97898D1}"/>
    <cellStyle name="Ausgabe 2 4 4" xfId="2527" xr:uid="{C79FFD8A-378A-452B-B169-BD661A9C46C6}"/>
    <cellStyle name="Ausgabe 2 4 40" xfId="20087" xr:uid="{DB076AD6-0CE5-4326-9675-B032C33C7701}"/>
    <cellStyle name="Ausgabe 2 4 41" xfId="19779" xr:uid="{85F6A50B-A069-4AF0-B3A5-F43B87D75E16}"/>
    <cellStyle name="Ausgabe 2 4 42" xfId="19483" xr:uid="{6D56CFC3-EA6F-4492-8A68-2BED19A386EB}"/>
    <cellStyle name="Ausgabe 2 4 43" xfId="19641" xr:uid="{7717C56F-851E-4A9B-9201-0BF2F63CF2B1}"/>
    <cellStyle name="Ausgabe 2 4 44" xfId="21553" xr:uid="{ACD62E10-74EF-44E6-8DF7-EECD74D94F18}"/>
    <cellStyle name="Ausgabe 2 4 45" xfId="21740" xr:uid="{7BF6FC1B-8AA0-4142-B2C4-E3DB7A2D1431}"/>
    <cellStyle name="Ausgabe 2 4 46" xfId="22402" xr:uid="{362745EC-C027-40FC-B877-C3416783B06D}"/>
    <cellStyle name="Ausgabe 2 4 47" xfId="23056" xr:uid="{DD2B92D5-013A-48E7-801A-977FD7DB8E2A}"/>
    <cellStyle name="Ausgabe 2 4 48" xfId="23057" xr:uid="{40DF4832-5682-438B-B659-547F83FEC44D}"/>
    <cellStyle name="Ausgabe 2 4 49" xfId="23887" xr:uid="{8DFD0E02-DE89-4DFA-AEC0-28B5306E6AB2}"/>
    <cellStyle name="Ausgabe 2 4 5" xfId="2059" xr:uid="{6C430690-5B58-4358-A152-3BC5076878AE}"/>
    <cellStyle name="Ausgabe 2 4 50" xfId="24795" xr:uid="{94B96AB4-6BE0-4A98-849E-99E6498CF5B2}"/>
    <cellStyle name="Ausgabe 2 4 51" xfId="24490" xr:uid="{8C8FCFA5-B8C8-4F66-B52A-15D1C8502603}"/>
    <cellStyle name="Ausgabe 2 4 52" xfId="25711" xr:uid="{2D25AC10-FBB1-44E0-8144-17ADA2DF0B33}"/>
    <cellStyle name="Ausgabe 2 4 53" xfId="25358" xr:uid="{AE28F672-56E1-4651-B81F-47D8EAD250E8}"/>
    <cellStyle name="Ausgabe 2 4 54" xfId="25212" xr:uid="{1FA9E0A9-1ECA-427C-8E69-F6C314731B92}"/>
    <cellStyle name="Ausgabe 2 4 55" xfId="26999" xr:uid="{730FCCD8-8461-40BD-B2ED-4B233D654B31}"/>
    <cellStyle name="Ausgabe 2 4 56" xfId="27418" xr:uid="{ECE07C53-416E-415A-8584-F451CDF46DFB}"/>
    <cellStyle name="Ausgabe 2 4 57" xfId="27780" xr:uid="{0E76321B-9035-44BE-A6B2-17948429C417}"/>
    <cellStyle name="Ausgabe 2 4 58" xfId="28545" xr:uid="{BFD91686-D594-4394-9F59-0FB16350BBA5}"/>
    <cellStyle name="Ausgabe 2 4 59" xfId="29012" xr:uid="{0A15BC74-6136-43AB-9150-8A00A69D1AAD}"/>
    <cellStyle name="Ausgabe 2 4 6" xfId="3597" xr:uid="{436F1CE0-F264-4333-83DF-1BDAE6306F08}"/>
    <cellStyle name="Ausgabe 2 4 60" xfId="28256" xr:uid="{BDA42DC7-D444-4691-8601-C051CBA52721}"/>
    <cellStyle name="Ausgabe 2 4 61" xfId="29801" xr:uid="{DCF41421-848C-4EE8-A1F9-9D5F4B1B58F5}"/>
    <cellStyle name="Ausgabe 2 4 62" xfId="30207" xr:uid="{300336F8-E46C-44CB-91AA-4A350BF00776}"/>
    <cellStyle name="Ausgabe 2 4 63" xfId="30624" xr:uid="{05FAF536-BAAE-4E83-B656-9B278EDE5166}"/>
    <cellStyle name="Ausgabe 2 4 64" xfId="30977" xr:uid="{8A3FAD05-392F-4C4B-8819-E6CCDD5ADC8C}"/>
    <cellStyle name="Ausgabe 2 4 65" xfId="31240" xr:uid="{4E02ACCB-FC86-4ADD-B8A1-D9AE36A99ECC}"/>
    <cellStyle name="Ausgabe 2 4 7" xfId="4023" xr:uid="{5E81376C-1786-4551-A439-07DAB958DAFD}"/>
    <cellStyle name="Ausgabe 2 4 8" xfId="4460" xr:uid="{86B45679-0FF2-4655-997E-8D59AA3725CB}"/>
    <cellStyle name="Ausgabe 2 4 9" xfId="3523" xr:uid="{00F71EE1-4562-4164-8CC9-D5C42530D3B7}"/>
    <cellStyle name="Ausgabe 2 5" xfId="977" xr:uid="{133F5395-6782-4CA8-B568-2313F7D3DBD8}"/>
    <cellStyle name="Ausgabe 2 6" xfId="2214" xr:uid="{513A204E-20DB-4D6F-BCB6-9800BDADD646}"/>
    <cellStyle name="Ausgabe 2 7" xfId="1928" xr:uid="{5AEFEE65-7B7D-4BF3-8FCB-28149B86D2F5}"/>
    <cellStyle name="Ausgabe 2 8" xfId="2828" xr:uid="{86749601-3C9E-4901-92D1-44452D7AC576}"/>
    <cellStyle name="Ausgabe 2 9" xfId="3599" xr:uid="{480C56CF-4315-4DEF-AEDF-5BB34F13DB1A}"/>
    <cellStyle name="Ausgabe 3" xfId="282" xr:uid="{13D55367-2784-494E-BDE6-101C40E485E6}"/>
    <cellStyle name="Ausgabe 3 10" xfId="4211" xr:uid="{EE3ECBD9-608A-49BA-9237-1EB936B90A16}"/>
    <cellStyle name="Ausgabe 3 11" xfId="4861" xr:uid="{59F35099-BC1D-4590-BE4E-A1C725FDD074}"/>
    <cellStyle name="Ausgabe 3 12" xfId="7012" xr:uid="{06E19AAD-38F4-4C35-91BB-2B1A21E8D482}"/>
    <cellStyle name="Ausgabe 3 13" xfId="7634" xr:uid="{C5508C5D-17EC-4B67-AF1D-D5553995C987}"/>
    <cellStyle name="Ausgabe 3 14" xfId="8525" xr:uid="{83B6A098-B287-46AD-9FDE-69A480224BAE}"/>
    <cellStyle name="Ausgabe 3 15" xfId="9225" xr:uid="{898E03ED-7C24-42F8-A20D-9FA6BCA4F94A}"/>
    <cellStyle name="Ausgabe 3 16" xfId="9844" xr:uid="{4CBF8DE1-7801-4B51-B8F8-5DECB20CF9AA}"/>
    <cellStyle name="Ausgabe 3 17" xfId="11638" xr:uid="{365F9A58-5C15-4874-AB13-6B0D506A24E8}"/>
    <cellStyle name="Ausgabe 3 18" xfId="11652" xr:uid="{C41F598E-C34C-4BCB-8264-89EDF4EA1F29}"/>
    <cellStyle name="Ausgabe 3 19" xfId="13784" xr:uid="{9A041FC2-5A4D-40EE-A765-DD46FE90CF68}"/>
    <cellStyle name="Ausgabe 3 2" xfId="619" xr:uid="{17DBB19A-A745-4446-9045-6224AD599911}"/>
    <cellStyle name="Ausgabe 3 2 10" xfId="4980" xr:uid="{60AE35B9-18B2-4FD5-AFB0-9741EDCB1F55}"/>
    <cellStyle name="Ausgabe 3 2 11" xfId="5267" xr:uid="{79154A66-5DF5-4912-87D0-CC519577C5D0}"/>
    <cellStyle name="Ausgabe 3 2 12" xfId="5961" xr:uid="{114F2166-7408-4E8C-A5AB-CF34B337A5E1}"/>
    <cellStyle name="Ausgabe 3 2 13" xfId="6232" xr:uid="{2423BDCC-9ED9-430E-B1E2-B5712A25EA3A}"/>
    <cellStyle name="Ausgabe 3 2 14" xfId="3702" xr:uid="{BDD39071-39D8-4301-9C32-4459512402CE}"/>
    <cellStyle name="Ausgabe 3 2 15" xfId="7339" xr:uid="{241BEF41-E5FC-4219-81F2-9C241E8C1AEA}"/>
    <cellStyle name="Ausgabe 3 2 16" xfId="6770" xr:uid="{3F8C7876-F3DB-4198-A210-7BCCAF7D3BFC}"/>
    <cellStyle name="Ausgabe 3 2 17" xfId="8199" xr:uid="{9ED38B01-1CFB-49BB-9383-88922B82805D}"/>
    <cellStyle name="Ausgabe 3 2 18" xfId="8418" xr:uid="{D85E75FC-566C-4C5C-93A1-BAA0AA1781D2}"/>
    <cellStyle name="Ausgabe 3 2 19" xfId="9553" xr:uid="{4B813A58-3907-46F7-B17D-3C090421F74F}"/>
    <cellStyle name="Ausgabe 3 2 2" xfId="834" xr:uid="{9E64FEE7-35FE-4C8C-8605-C006673F3B75}"/>
    <cellStyle name="Ausgabe 3 2 2 10" xfId="5482" xr:uid="{5D2A425D-0885-49B6-ABC7-31082659196C}"/>
    <cellStyle name="Ausgabe 3 2 2 11" xfId="4213" xr:uid="{8BAABCD7-86F6-49C1-BBF4-F36FD5BD74F0}"/>
    <cellStyle name="Ausgabe 3 2 2 12" xfId="6191" xr:uid="{29EC9C1A-3A48-4842-893A-87DEC9D9E9FF}"/>
    <cellStyle name="Ausgabe 3 2 2 13" xfId="6324" xr:uid="{5A188E9F-F89E-4A3F-90A2-33C970873D69}"/>
    <cellStyle name="Ausgabe 3 2 2 14" xfId="7554" xr:uid="{34C4CBC6-2F82-4973-834D-3A176FA10696}"/>
    <cellStyle name="Ausgabe 3 2 2 15" xfId="7813" xr:uid="{50338C84-63AB-45C4-ACAD-8E4FF5A8B0B7}"/>
    <cellStyle name="Ausgabe 3 2 2 16" xfId="6939" xr:uid="{382D720B-2317-4D2C-B76E-0935DE5138BA}"/>
    <cellStyle name="Ausgabe 3 2 2 17" xfId="8769" xr:uid="{E6C598CE-0B2E-4E19-8E1A-507C38B9450C}"/>
    <cellStyle name="Ausgabe 3 2 2 18" xfId="9768" xr:uid="{4ACAE39D-E509-45AB-AC49-6AED0CE77D87}"/>
    <cellStyle name="Ausgabe 3 2 2 19" xfId="10026" xr:uid="{4796313B-E2CA-4284-A164-AC548B2A5CB9}"/>
    <cellStyle name="Ausgabe 3 2 2 2" xfId="1308" xr:uid="{BCE54FB9-D31F-43A4-A7F4-F1EB2D6086D4}"/>
    <cellStyle name="Ausgabe 3 2 2 20" xfId="10446" xr:uid="{D748D8DB-EAE5-4ADD-BEB6-6A7247930781}"/>
    <cellStyle name="Ausgabe 3 2 2 21" xfId="10824" xr:uid="{2AA2CBE5-CB47-4B8E-A66F-1238F341E05F}"/>
    <cellStyle name="Ausgabe 3 2 2 22" xfId="10808" xr:uid="{B366F1DC-D9C3-443C-876B-BDD6FAEB2224}"/>
    <cellStyle name="Ausgabe 3 2 2 23" xfId="12187" xr:uid="{51B4A84B-D0DF-4B2C-A584-AD9BC75989B6}"/>
    <cellStyle name="Ausgabe 3 2 2 24" xfId="12660" xr:uid="{C75925BB-703B-4C89-A5A6-F6E38128D36B}"/>
    <cellStyle name="Ausgabe 3 2 2 25" xfId="13094" xr:uid="{38A6212B-19CF-4526-BCAC-5B139E794ED3}"/>
    <cellStyle name="Ausgabe 3 2 2 26" xfId="13531" xr:uid="{844A2E05-84F5-4405-8317-95755DCABA76}"/>
    <cellStyle name="Ausgabe 3 2 2 27" xfId="12746" xr:uid="{DF7AC2F0-1D7D-4D34-80D1-61470542321C}"/>
    <cellStyle name="Ausgabe 3 2 2 28" xfId="13764" xr:uid="{4CF75AF9-3A38-47A3-8F56-0D09D7B52E25}"/>
    <cellStyle name="Ausgabe 3 2 2 29" xfId="14680" xr:uid="{8C8C64F2-653A-4806-BAE1-DD9473B8C883}"/>
    <cellStyle name="Ausgabe 3 2 2 3" xfId="1551" xr:uid="{CE50FCBB-B2D8-4EA9-9E62-6C32065EE706}"/>
    <cellStyle name="Ausgabe 3 2 2 30" xfId="15012" xr:uid="{33582A3C-919A-40AC-AD5E-E66BAC69320F}"/>
    <cellStyle name="Ausgabe 3 2 2 31" xfId="15197" xr:uid="{ED348ACF-2B00-4FA2-AA23-188F56160407}"/>
    <cellStyle name="Ausgabe 3 2 2 32" xfId="15864" xr:uid="{3CF905B4-5370-4FE8-88B6-48103375337C}"/>
    <cellStyle name="Ausgabe 3 2 2 33" xfId="16879" xr:uid="{6A1254F3-EBE7-4B2F-8F7E-B5751E38B1A2}"/>
    <cellStyle name="Ausgabe 3 2 2 34" xfId="17143" xr:uid="{9419D815-74F4-4AEB-B599-8641E94DA17E}"/>
    <cellStyle name="Ausgabe 3 2 2 35" xfId="17590" xr:uid="{80E76088-F2BD-46AC-B09B-D576779650F5}"/>
    <cellStyle name="Ausgabe 3 2 2 36" xfId="17935" xr:uid="{1F41C718-6BA6-4DCF-937C-F79DE088FB23}"/>
    <cellStyle name="Ausgabe 3 2 2 37" xfId="18697" xr:uid="{D8472EEB-D261-4E50-9492-277C0782C308}"/>
    <cellStyle name="Ausgabe 3 2 2 38" xfId="18820" xr:uid="{571978AE-886D-4437-A214-38C12D275266}"/>
    <cellStyle name="Ausgabe 3 2 2 39" xfId="19243" xr:uid="{4699DDC5-E5FA-4486-A528-5A19454B303D}"/>
    <cellStyle name="Ausgabe 3 2 2 4" xfId="2656" xr:uid="{C7E44C16-D269-4D98-9141-919FAE75F0D1}"/>
    <cellStyle name="Ausgabe 3 2 2 40" xfId="20216" xr:uid="{AB01DAAF-2C12-43CE-96D0-78E978CBEFCD}"/>
    <cellStyle name="Ausgabe 3 2 2 41" xfId="20495" xr:uid="{531F8FB4-0872-4BE1-A372-6E5175F8074E}"/>
    <cellStyle name="Ausgabe 3 2 2 42" xfId="20950" xr:uid="{D0DF2DE0-DF8B-443C-BB8D-53B8ADA2AF76}"/>
    <cellStyle name="Ausgabe 3 2 2 43" xfId="21542" xr:uid="{8D94E1D4-D58F-4444-B8D8-3DA75E521E0A}"/>
    <cellStyle name="Ausgabe 3 2 2 44" xfId="21879" xr:uid="{88C83693-C6C2-459F-AECD-183EA4D299D2}"/>
    <cellStyle name="Ausgabe 3 2 2 45" xfId="22315" xr:uid="{E157890B-2F92-40B9-BF2E-F7E10299FFE8}"/>
    <cellStyle name="Ausgabe 3 2 2 46" xfId="21615" xr:uid="{F2C2751F-C806-4F15-BC7E-8EC1A36A5199}"/>
    <cellStyle name="Ausgabe 3 2 2 47" xfId="23092" xr:uid="{7E930A5B-DD0C-4BBC-9453-6FFC5EE55C9C}"/>
    <cellStyle name="Ausgabe 3 2 2 48" xfId="23624" xr:uid="{F04E0881-BF3B-44AE-90F1-5258004BDCF3}"/>
    <cellStyle name="Ausgabe 3 2 2 49" xfId="24016" xr:uid="{67D2DBC8-E866-4870-AF57-53A18CDA3620}"/>
    <cellStyle name="Ausgabe 3 2 2 5" xfId="2196" xr:uid="{84F140D1-B64A-4094-8259-F846FEEFB89E}"/>
    <cellStyle name="Ausgabe 3 2 2 50" xfId="24924" xr:uid="{BB353A26-8C23-4BA7-8D01-1E291B269D4C}"/>
    <cellStyle name="Ausgabe 3 2 2 51" xfId="25204" xr:uid="{3EF3C112-2B4F-4CC9-B3C1-B34589554770}"/>
    <cellStyle name="Ausgabe 3 2 2 52" xfId="25840" xr:uid="{F55A3553-CFAB-46B4-AFBA-03ADA2EC43BE}"/>
    <cellStyle name="Ausgabe 3 2 2 53" xfId="25353" xr:uid="{75DFD2CA-BA97-4E95-BB68-A4EAD44076C0}"/>
    <cellStyle name="Ausgabe 3 2 2 54" xfId="26518" xr:uid="{7D6801B3-28DE-49B5-81A9-16B8349D98DD}"/>
    <cellStyle name="Ausgabe 3 2 2 55" xfId="27128" xr:uid="{3B03B52D-872D-4415-B839-C80045EFAA8C}"/>
    <cellStyle name="Ausgabe 3 2 2 56" xfId="27547" xr:uid="{923739D5-5FAC-4F30-8C63-8C3144C5CF26}"/>
    <cellStyle name="Ausgabe 3 2 2 57" xfId="25504" xr:uid="{528BF6BF-A9F7-452F-9DD5-EA9AE3AA5186}"/>
    <cellStyle name="Ausgabe 3 2 2 58" xfId="28674" xr:uid="{ECF158A1-1CE5-436B-9EF7-A4173F990697}"/>
    <cellStyle name="Ausgabe 3 2 2 59" xfId="29141" xr:uid="{4075CB1C-9B50-4026-AAF7-81F95DEA715B}"/>
    <cellStyle name="Ausgabe 3 2 2 6" xfId="3531" xr:uid="{FD900EF8-E5D7-4659-BA3D-DA6DAA9A9EA7}"/>
    <cellStyle name="Ausgabe 3 2 2 60" xfId="29346" xr:uid="{C51484FE-A27F-40B8-BF3F-F9C512A56D7E}"/>
    <cellStyle name="Ausgabe 3 2 2 61" xfId="29930" xr:uid="{575ED761-98A1-4599-8CB2-17C308A145D8}"/>
    <cellStyle name="Ausgabe 3 2 2 62" xfId="30336" xr:uid="{95CCABB3-C79B-495E-A488-C9CB6710EFF3}"/>
    <cellStyle name="Ausgabe 3 2 2 63" xfId="30753" xr:uid="{29D3BEAD-215F-486B-B404-52726FE0DFE5}"/>
    <cellStyle name="Ausgabe 3 2 2 64" xfId="29296" xr:uid="{9431330E-D147-4816-8ABA-A72ECAB21215}"/>
    <cellStyle name="Ausgabe 3 2 2 65" xfId="31369" xr:uid="{8F3EDE67-CCAA-4273-85FE-918A8CD61D22}"/>
    <cellStyle name="Ausgabe 3 2 2 7" xfId="4152" xr:uid="{D040C83F-7885-485D-A2DC-2D8F8A37688D}"/>
    <cellStyle name="Ausgabe 3 2 2 8" xfId="4589" xr:uid="{5BEA17C1-B4F2-4C23-A3CA-AAB606D6E783}"/>
    <cellStyle name="Ausgabe 3 2 2 9" xfId="2167" xr:uid="{92B0EC10-8C3C-4B26-BC3B-A6A06932C74D}"/>
    <cellStyle name="Ausgabe 3 2 20" xfId="9629" xr:uid="{9192C89F-6A4D-4D58-BA59-1EE6249BFE52}"/>
    <cellStyle name="Ausgabe 3 2 21" xfId="9436" xr:uid="{E99F5414-09E5-44A5-9EB5-E7765844FB1B}"/>
    <cellStyle name="Ausgabe 3 2 22" xfId="10320" xr:uid="{22270372-F126-43B0-8FDE-12786CC1B245}"/>
    <cellStyle name="Ausgabe 3 2 23" xfId="11221" xr:uid="{BED39571-DD35-434A-A2BA-0A5EAF58B80B}"/>
    <cellStyle name="Ausgabe 3 2 24" xfId="11972" xr:uid="{DE0FEF07-9628-40F7-B12D-97C2E83FCC1E}"/>
    <cellStyle name="Ausgabe 3 2 25" xfId="12445" xr:uid="{1FE398C1-31DF-4009-941B-9A209408C60E}"/>
    <cellStyle name="Ausgabe 3 2 26" xfId="12879" xr:uid="{4195E69A-BFEE-4BB1-ADB9-126680837F17}"/>
    <cellStyle name="Ausgabe 3 2 27" xfId="13316" xr:uid="{1EDB6655-BEE2-45C8-BE66-31F0078A7E83}"/>
    <cellStyle name="Ausgabe 3 2 28" xfId="11359" xr:uid="{1840FEEB-8C85-46AE-8871-0C2D58683E6B}"/>
    <cellStyle name="Ausgabe 3 2 29" xfId="14195" xr:uid="{A7011452-A280-4F55-99C2-8EFDF94EB012}"/>
    <cellStyle name="Ausgabe 3 2 3" xfId="1102" xr:uid="{2510FD39-AF9D-4AED-AFB0-6893AC8CFA22}"/>
    <cellStyle name="Ausgabe 3 2 30" xfId="14159" xr:uid="{DF5A561B-EAF0-415E-9F8A-820243783276}"/>
    <cellStyle name="Ausgabe 3 2 31" xfId="15003" xr:uid="{EEB8A527-6590-4B1C-9375-DB1E200114C9}"/>
    <cellStyle name="Ausgabe 3 2 32" xfId="15475" xr:uid="{AC1D3CAC-2D5D-4EDF-9317-64C6D45DEC38}"/>
    <cellStyle name="Ausgabe 3 2 33" xfId="15582" xr:uid="{DA7D0EA7-33F2-43E2-BB84-3D6C9BF3A422}"/>
    <cellStyle name="Ausgabe 3 2 34" xfId="16664" xr:uid="{278AB694-9883-4AE7-BAD4-43F5CC7C45FC}"/>
    <cellStyle name="Ausgabe 3 2 35" xfId="16079" xr:uid="{3F2688F7-2070-4F27-9FB7-A2DB8FF03C75}"/>
    <cellStyle name="Ausgabe 3 2 36" xfId="17357" xr:uid="{45913F90-B707-4FD0-B08B-24CD206C58D1}"/>
    <cellStyle name="Ausgabe 3 2 37" xfId="18116" xr:uid="{380B69C2-C308-48A8-8A9D-851EBE7F0501}"/>
    <cellStyle name="Ausgabe 3 2 38" xfId="18482" xr:uid="{DFC50EB9-0BE1-46D5-8CD8-028A777DFC33}"/>
    <cellStyle name="Ausgabe 3 2 39" xfId="19041" xr:uid="{BBD62C65-01B0-42F1-9185-371D3A600195}"/>
    <cellStyle name="Ausgabe 3 2 4" xfId="1687" xr:uid="{ED686D21-CDE4-45C7-B807-24D2F2691CF3}"/>
    <cellStyle name="Ausgabe 3 2 40" xfId="19152" xr:uid="{33434A3C-F6FA-4D01-9454-BCB353B3E69A}"/>
    <cellStyle name="Ausgabe 3 2 41" xfId="20001" xr:uid="{1B83EB94-87B2-42FA-A9D4-581BA6AE5498}"/>
    <cellStyle name="Ausgabe 3 2 42" xfId="19462" xr:uid="{C4CECCFC-1C9D-4B9A-877B-0ED02C58B44A}"/>
    <cellStyle name="Ausgabe 3 2 43" xfId="20334" xr:uid="{F6248BF0-0B9F-44B8-AE80-6623CEACE77D}"/>
    <cellStyle name="Ausgabe 3 2 44" xfId="20989" xr:uid="{419D35BA-AD0F-4459-8115-9927E1807184}"/>
    <cellStyle name="Ausgabe 3 2 45" xfId="19673" xr:uid="{0F2661FC-585B-4B2F-A220-EA4C735E5BB8}"/>
    <cellStyle name="Ausgabe 3 2 46" xfId="21612" xr:uid="{31022351-7206-459D-956D-F5CEBB0EB3BF}"/>
    <cellStyle name="Ausgabe 3 2 47" xfId="22597" xr:uid="{E1E2B1D4-DF21-47B6-A3FF-4935DE45962B}"/>
    <cellStyle name="Ausgabe 3 2 48" xfId="23318" xr:uid="{1E22CC34-90DA-459B-B49C-516004B6A037}"/>
    <cellStyle name="Ausgabe 3 2 49" xfId="23217" xr:uid="{3E315CCE-E337-4888-B8EC-90BC87B34620}"/>
    <cellStyle name="Ausgabe 3 2 5" xfId="2441" xr:uid="{B27EAF82-BDDE-48B2-96BD-C8DB301E5809}"/>
    <cellStyle name="Ausgabe 3 2 50" xfId="23810" xr:uid="{CC62EBD3-A910-471F-8D2F-FC219F66B291}"/>
    <cellStyle name="Ausgabe 3 2 51" xfId="24709" xr:uid="{DC01F2D4-4A0B-4F2D-BBE1-EB951E604718}"/>
    <cellStyle name="Ausgabe 3 2 52" xfId="24501" xr:uid="{2E288049-E756-4817-9842-CA49DD989C0D}"/>
    <cellStyle name="Ausgabe 3 2 53" xfId="25627" xr:uid="{29CAD130-4778-4BD1-9807-D1CE0AFF40E4}"/>
    <cellStyle name="Ausgabe 3 2 54" xfId="24253" xr:uid="{F8EFD9A1-171C-4734-81DC-3E60602545DA}"/>
    <cellStyle name="Ausgabe 3 2 55" xfId="25489" xr:uid="{C201B418-AEB1-4B8A-A172-F7749C6C1372}"/>
    <cellStyle name="Ausgabe 3 2 56" xfId="26917" xr:uid="{13F488CC-5F51-43B0-ABDF-90DD52564AB0}"/>
    <cellStyle name="Ausgabe 3 2 57" xfId="27336" xr:uid="{A2CBD42B-5EC7-4DA2-8B35-B05F9B421ED1}"/>
    <cellStyle name="Ausgabe 3 2 58" xfId="26792" xr:uid="{26418C5B-8715-4758-93B3-B061D80E88FD}"/>
    <cellStyle name="Ausgabe 3 2 59" xfId="28459" xr:uid="{B46672FE-5ED3-4570-927C-1ACB3543096A}"/>
    <cellStyle name="Ausgabe 3 2 6" xfId="2754" xr:uid="{8D682D19-D8A9-42DE-A38E-444E0A1BE56E}"/>
    <cellStyle name="Ausgabe 3 2 60" xfId="28927" xr:uid="{1E9E8C8F-2E64-467C-95DE-C9FE7DC1A122}"/>
    <cellStyle name="Ausgabe 3 2 61" xfId="28293" xr:uid="{EEA6CC9B-D167-4B30-BA78-CCF6E1D47103}"/>
    <cellStyle name="Ausgabe 3 2 62" xfId="29717" xr:uid="{7BE01E81-1328-4190-BDD0-75E517E106AC}"/>
    <cellStyle name="Ausgabe 3 2 63" xfId="30125" xr:uid="{965C6569-470D-47FC-AA7F-103A68413754}"/>
    <cellStyle name="Ausgabe 3 2 64" xfId="30539" xr:uid="{8D1BADA2-4FD9-41A3-81BD-732DB1154FDF}"/>
    <cellStyle name="Ausgabe 3 2 65" xfId="30959" xr:uid="{8FB1E654-69FD-481D-885F-FDB64B02D7AF}"/>
    <cellStyle name="Ausgabe 3 2 66" xfId="31163" xr:uid="{369A2211-0AD0-4343-9ABA-DF48DFC801FD}"/>
    <cellStyle name="Ausgabe 3 2 7" xfId="1971" xr:uid="{29152AA4-F277-4A94-8524-21CC91681DB9}"/>
    <cellStyle name="Ausgabe 3 2 8" xfId="3937" xr:uid="{06AC9C4C-5CA6-4A41-9EAD-A6C91FBB0A3E}"/>
    <cellStyle name="Ausgabe 3 2 9" xfId="4375" xr:uid="{FC306F33-AA9C-4DB6-AB71-1644E73B661F}"/>
    <cellStyle name="Ausgabe 3 20" xfId="16333" xr:uid="{7509B238-99FF-4469-9C40-F9C2DF2BB446}"/>
    <cellStyle name="Ausgabe 3 21" xfId="16960" xr:uid="{FE6A0151-D848-46AC-8F03-308B5393A8E9}"/>
    <cellStyle name="Ausgabe 3 22" xfId="17623" xr:uid="{42A97A4C-F184-4C93-9DC2-70BF6B152ADE}"/>
    <cellStyle name="Ausgabe 3 23" xfId="17909" xr:uid="{00153E39-6B5B-4B13-9917-2E24A061CA2B}"/>
    <cellStyle name="Ausgabe 3 24" xfId="19666" xr:uid="{9B5155F6-ED83-4EB6-BA30-10DBE7134159}"/>
    <cellStyle name="Ausgabe 3 25" xfId="22031" xr:uid="{383108C3-C5A1-4594-ACFB-FD8754FDDF9B}"/>
    <cellStyle name="Ausgabe 3 26" xfId="22604" xr:uid="{5B70E299-7D05-4739-87E4-A63BA5EA59E4}"/>
    <cellStyle name="Ausgabe 3 27" xfId="24386" xr:uid="{82F11DA9-31EE-4C22-942A-9AE0BF32F00E}"/>
    <cellStyle name="Ausgabe 3 28" xfId="24137" xr:uid="{186A12BA-CE58-4BF5-84B5-0C03D3747E16}"/>
    <cellStyle name="Ausgabe 3 29" xfId="26378" xr:uid="{877E7BE7-9DFB-4543-AC88-C26B2C51AC27}"/>
    <cellStyle name="Ausgabe 3 3" xfId="538" xr:uid="{0FF6753F-C23D-47F6-9905-B313FA0F33AA}"/>
    <cellStyle name="Ausgabe 3 3 10" xfId="4855" xr:uid="{91E731C4-3924-4BB6-8C7D-85BB48F8069F}"/>
    <cellStyle name="Ausgabe 3 3 11" xfId="5186" xr:uid="{1AEEB41C-A0DF-4215-B181-37DF378B14A9}"/>
    <cellStyle name="Ausgabe 3 3 12" xfId="5937" xr:uid="{7E3942A4-59AE-43C9-92F1-E3B3FA476A79}"/>
    <cellStyle name="Ausgabe 3 3 13" xfId="5982" xr:uid="{8D4EFA4F-40FB-4C58-82DB-21D4F1248964}"/>
    <cellStyle name="Ausgabe 3 3 14" xfId="6417" xr:uid="{FB2CE04B-283B-4FEB-B362-8BCCEC8922FC}"/>
    <cellStyle name="Ausgabe 3 3 15" xfId="7258" xr:uid="{5D99A220-8851-434E-8979-6F9241E62C6E}"/>
    <cellStyle name="Ausgabe 3 3 16" xfId="7993" xr:uid="{93FC93B9-E7E3-4587-BC3C-92AA40C3B244}"/>
    <cellStyle name="Ausgabe 3 3 17" xfId="8118" xr:uid="{6501EEA9-F1D1-4B32-ADF9-828205D70466}"/>
    <cellStyle name="Ausgabe 3 3 18" xfId="8394" xr:uid="{5D34F1CD-5397-4A4F-9E27-F1F5663FCECF}"/>
    <cellStyle name="Ausgabe 3 3 19" xfId="9472" xr:uid="{27F934CE-091D-4B15-9163-7885E554C2A7}"/>
    <cellStyle name="Ausgabe 3 3 2" xfId="753" xr:uid="{4218C6B3-B5F9-4F38-991F-D28585FFFC4A}"/>
    <cellStyle name="Ausgabe 3 3 2 10" xfId="5401" xr:uid="{095EF33A-40D8-459E-BCFC-E12D294E9DEF}"/>
    <cellStyle name="Ausgabe 3 3 2 11" xfId="5740" xr:uid="{9720DD89-E435-43AF-AF04-D8B5FECC764E}"/>
    <cellStyle name="Ausgabe 3 3 2 12" xfId="6039" xr:uid="{F6BC4798-818B-43E1-8DE8-69A929219579}"/>
    <cellStyle name="Ausgabe 3 3 2 13" xfId="6491" xr:uid="{E00C8EB5-0F89-4BB6-944D-B726C2C9DEC8}"/>
    <cellStyle name="Ausgabe 3 3 2 14" xfId="7473" xr:uid="{644AF8EB-F4B2-4376-90BC-7379222EC44F}"/>
    <cellStyle name="Ausgabe 3 3 2 15" xfId="6875" xr:uid="{D4491B9E-89EF-4D87-A008-E94ED26B56F8}"/>
    <cellStyle name="Ausgabe 3 3 2 16" xfId="8556" xr:uid="{C1FCE58C-4734-4139-83E4-1E472D47DBC8}"/>
    <cellStyle name="Ausgabe 3 3 2 17" xfId="8336" xr:uid="{8A4102A0-96B3-43CA-92BA-4CA8106F5EB4}"/>
    <cellStyle name="Ausgabe 3 3 2 18" xfId="9687" xr:uid="{7B8EB16B-4257-4FD8-8820-50BF2DF30C8D}"/>
    <cellStyle name="Ausgabe 3 3 2 19" xfId="9088" xr:uid="{E932FE8B-BFB8-4FE9-946E-A3F9DF296536}"/>
    <cellStyle name="Ausgabe 3 3 2 2" xfId="1227" xr:uid="{3B7EE23F-4BB7-4EC7-9C77-B69429BF9525}"/>
    <cellStyle name="Ausgabe 3 3 2 20" xfId="10058" xr:uid="{97FA6B46-DB87-40D2-9F63-D9144F9E2644}"/>
    <cellStyle name="Ausgabe 3 3 2 21" xfId="10690" xr:uid="{DDE56E58-9A22-40C2-A37B-5DDC9BE2BBB4}"/>
    <cellStyle name="Ausgabe 3 3 2 22" xfId="11234" xr:uid="{CBF2C181-AF53-4DB0-8CFF-134BD64BB128}"/>
    <cellStyle name="Ausgabe 3 3 2 23" xfId="12106" xr:uid="{B42B14AF-B2C8-4582-8705-12356643AC91}"/>
    <cellStyle name="Ausgabe 3 3 2 24" xfId="12579" xr:uid="{8F32700C-0121-42EE-9896-F0AEC978D1BB}"/>
    <cellStyle name="Ausgabe 3 3 2 25" xfId="13013" xr:uid="{38FD90E8-4D09-4A12-9B01-CD603D5BD0F6}"/>
    <cellStyle name="Ausgabe 3 3 2 26" xfId="13450" xr:uid="{485A0B71-53D2-4213-8626-81CF44E216E9}"/>
    <cellStyle name="Ausgabe 3 3 2 27" xfId="13608" xr:uid="{7FE3B868-91B3-493F-9959-5FE04932E55A}"/>
    <cellStyle name="Ausgabe 3 3 2 28" xfId="13734" xr:uid="{3494CBAC-1074-49CE-8932-788EC9966E6D}"/>
    <cellStyle name="Ausgabe 3 3 2 29" xfId="13789" xr:uid="{632A2FD4-6304-442A-9E15-4AB0E0267211}"/>
    <cellStyle name="Ausgabe 3 3 2 3" xfId="1565" xr:uid="{BB42E12C-4804-4214-88EC-5C729319237D}"/>
    <cellStyle name="Ausgabe 3 3 2 30" xfId="15298" xr:uid="{9697647B-E95A-4835-ABB2-CACB7B46C66C}"/>
    <cellStyle name="Ausgabe 3 3 2 31" xfId="15140" xr:uid="{EFC31769-0E74-4427-835D-6B4BB50ABD7F}"/>
    <cellStyle name="Ausgabe 3 3 2 32" xfId="15436" xr:uid="{1C7DA457-035F-4AA9-9F45-A598224453AD}"/>
    <cellStyle name="Ausgabe 3 3 2 33" xfId="16798" xr:uid="{18B666C4-C5D6-40DC-8566-7CB0A3DD38C2}"/>
    <cellStyle name="Ausgabe 3 3 2 34" xfId="16191" xr:uid="{FA397F03-5621-4FCA-BDA3-BBE0A85025E2}"/>
    <cellStyle name="Ausgabe 3 3 2 35" xfId="17176" xr:uid="{E7FBE8E0-C625-4CC9-B859-C5D4B31DBF46}"/>
    <cellStyle name="Ausgabe 3 3 2 36" xfId="18087" xr:uid="{4F4489F2-03DC-4EAF-89E0-6B0FA02F399E}"/>
    <cellStyle name="Ausgabe 3 3 2 37" xfId="18616" xr:uid="{491EFC1E-7B20-48C5-B7B3-79EDCBD84553}"/>
    <cellStyle name="Ausgabe 3 3 2 38" xfId="18919" xr:uid="{DF8A27A8-A475-4B7F-8C56-2D96CA0A9B20}"/>
    <cellStyle name="Ausgabe 3 3 2 39" xfId="19164" xr:uid="{C5B2642F-C11B-4EB7-842E-88ABDDBCF7BC}"/>
    <cellStyle name="Ausgabe 3 3 2 4" xfId="2575" xr:uid="{932A9F5A-379C-4CA4-A1DD-A4604C75CD8D}"/>
    <cellStyle name="Ausgabe 3 3 2 40" xfId="20135" xr:uid="{119EC6AB-A10E-4FF8-8316-496B65D4858C}"/>
    <cellStyle name="Ausgabe 3 3 2 41" xfId="19523" xr:uid="{F7038E56-3131-41F8-BE26-7A6524A0266C}"/>
    <cellStyle name="Ausgabe 3 3 2 42" xfId="20510" xr:uid="{B235642C-890E-4AFE-BC7E-22C1E6554CEF}"/>
    <cellStyle name="Ausgabe 3 3 2 43" xfId="21453" xr:uid="{51B79DAE-8C27-425F-9E27-4B6B9B59C99D}"/>
    <cellStyle name="Ausgabe 3 3 2 44" xfId="20867" xr:uid="{E705A622-319F-4269-A11A-170D42BB0362}"/>
    <cellStyle name="Ausgabe 3 3 2 45" xfId="20654" xr:uid="{6F390206-1C9A-4A2D-818D-0542D1059B4C}"/>
    <cellStyle name="Ausgabe 3 3 2 46" xfId="22617" xr:uid="{0A1B18D3-B17D-4909-ABE3-637DAC9DB051}"/>
    <cellStyle name="Ausgabe 3 3 2 47" xfId="23201" xr:uid="{23AFF001-D695-4D97-AA80-1C8BBBEF34B2}"/>
    <cellStyle name="Ausgabe 3 3 2 48" xfId="23434" xr:uid="{9502E868-1529-417B-AEFE-55A29871B62C}"/>
    <cellStyle name="Ausgabe 3 3 2 49" xfId="23935" xr:uid="{FEB358BD-149B-4381-8BA9-CD081611DB29}"/>
    <cellStyle name="Ausgabe 3 3 2 5" xfId="2775" xr:uid="{2E200637-31EA-4CD7-81FD-25E32C718747}"/>
    <cellStyle name="Ausgabe 3 3 2 50" xfId="24843" xr:uid="{4722E323-97B5-481F-A86A-67F07E6F3B1C}"/>
    <cellStyle name="Ausgabe 3 3 2 51" xfId="24331" xr:uid="{B4E06C22-DA47-46A2-B3A6-5EA5201BD901}"/>
    <cellStyle name="Ausgabe 3 3 2 52" xfId="25759" xr:uid="{B7465950-BA95-49EC-AC78-87A11027FC4C}"/>
    <cellStyle name="Ausgabe 3 3 2 53" xfId="25921" xr:uid="{1FE2DE91-3191-43DE-BDA4-ED5F127080E0}"/>
    <cellStyle name="Ausgabe 3 3 2 54" xfId="25396" xr:uid="{31181120-599D-4375-86F8-9122EFC096D7}"/>
    <cellStyle name="Ausgabe 3 3 2 55" xfId="27047" xr:uid="{8953CCF7-6546-42DF-8947-D02684D85CC6}"/>
    <cellStyle name="Ausgabe 3 3 2 56" xfId="27466" xr:uid="{45D46FD1-C6DE-4DD3-83C1-165DE9D5567E}"/>
    <cellStyle name="Ausgabe 3 3 2 57" xfId="26408" xr:uid="{E93F9CC0-30B0-4BFE-A02A-2173038DF719}"/>
    <cellStyle name="Ausgabe 3 3 2 58" xfId="28593" xr:uid="{97F97927-7AC6-4F9B-A39F-91CD9AF69923}"/>
    <cellStyle name="Ausgabe 3 3 2 59" xfId="29060" xr:uid="{0955264E-4FF6-444A-8151-C2C4AA19A209}"/>
    <cellStyle name="Ausgabe 3 3 2 6" xfId="3204" xr:uid="{6562020A-1F05-4386-978F-9836C58CD2CC}"/>
    <cellStyle name="Ausgabe 3 3 2 60" xfId="28303" xr:uid="{5C9DC392-7051-4F5D-9FFF-79A0100B15EE}"/>
    <cellStyle name="Ausgabe 3 3 2 61" xfId="29849" xr:uid="{B4DC14E3-9AF0-4D46-B3B6-96B63E659434}"/>
    <cellStyle name="Ausgabe 3 3 2 62" xfId="30255" xr:uid="{DAE21EC9-DA36-4787-8A4F-3DF22D34A641}"/>
    <cellStyle name="Ausgabe 3 3 2 63" xfId="30672" xr:uid="{CF1D892F-3FCD-4B73-8760-287A3C0AE117}"/>
    <cellStyle name="Ausgabe 3 3 2 64" xfId="28780" xr:uid="{F4CA9FA8-2F91-4B5B-AEE9-B74662D9C21F}"/>
    <cellStyle name="Ausgabe 3 3 2 65" xfId="31288" xr:uid="{A1B0BB87-39D7-4623-82AE-3AB467CC4A0B}"/>
    <cellStyle name="Ausgabe 3 3 2 7" xfId="4071" xr:uid="{1EFC659F-578B-450D-8108-33145382EFAD}"/>
    <cellStyle name="Ausgabe 3 3 2 8" xfId="4508" xr:uid="{A40EF371-0711-4240-BC00-2D660CD8AD5B}"/>
    <cellStyle name="Ausgabe 3 3 2 9" xfId="3815" xr:uid="{2F357140-7A21-4447-A66E-F43AD614BEEA}"/>
    <cellStyle name="Ausgabe 3 3 20" xfId="10209" xr:uid="{EF7E5608-C226-470B-BCB7-4EECE2F1A806}"/>
    <cellStyle name="Ausgabe 3 3 21" xfId="10613" xr:uid="{16237D68-919C-4554-9840-46876362D99A}"/>
    <cellStyle name="Ausgabe 3 3 22" xfId="10739" xr:uid="{5810D5A9-1188-4176-8531-5841468053FF}"/>
    <cellStyle name="Ausgabe 3 3 23" xfId="11059" xr:uid="{04DBBB9B-FAA9-4DD3-97BA-9C3F071A3E12}"/>
    <cellStyle name="Ausgabe 3 3 24" xfId="11891" xr:uid="{F3916647-3571-48BA-8C7E-20C89E064527}"/>
    <cellStyle name="Ausgabe 3 3 25" xfId="12364" xr:uid="{F279DE17-78CA-4004-ADA2-F2DB659FD603}"/>
    <cellStyle name="Ausgabe 3 3 26" xfId="12798" xr:uid="{81C4C42D-40B9-469C-B35F-340603C0CE15}"/>
    <cellStyle name="Ausgabe 3 3 27" xfId="13235" xr:uid="{53510C6B-49EF-4448-88E4-52CA3DFDFE3D}"/>
    <cellStyle name="Ausgabe 3 3 28" xfId="11770" xr:uid="{2C786069-5760-4F39-BC58-0A3AF93B5AD2}"/>
    <cellStyle name="Ausgabe 3 3 29" xfId="14455" xr:uid="{89002A8D-4ABB-41C8-8F24-35081E07B793}"/>
    <cellStyle name="Ausgabe 3 3 3" xfId="1021" xr:uid="{588323ED-CE9B-46C9-BC0E-D56ACB28754D}"/>
    <cellStyle name="Ausgabe 3 3 30" xfId="14260" xr:uid="{6D2E2077-BD0A-44AC-9D66-AB097B4919E2}"/>
    <cellStyle name="Ausgabe 3 3 31" xfId="14665" xr:uid="{D336A61A-F3B8-4D00-B752-0597F1DA438D}"/>
    <cellStyle name="Ausgabe 3 3 32" xfId="15567" xr:uid="{CF7632B1-FBBE-4C41-A5A4-33A654234239}"/>
    <cellStyle name="Ausgabe 3 3 33" xfId="15972" xr:uid="{DA23EC1C-8374-436E-967F-76C1763A1CEF}"/>
    <cellStyle name="Ausgabe 3 3 34" xfId="16583" xr:uid="{C4C0E5E9-84C9-400C-AD35-FC310CF6D918}"/>
    <cellStyle name="Ausgabe 3 3 35" xfId="17330" xr:uid="{A06273B1-D883-40DB-9559-12A72B76D527}"/>
    <cellStyle name="Ausgabe 3 3 36" xfId="17773" xr:uid="{C70E5B54-8C95-4DDE-AE7B-957810770C9A}"/>
    <cellStyle name="Ausgabe 3 3 37" xfId="17028" xr:uid="{3684F679-2201-429C-8E9F-3E59B2F680B9}"/>
    <cellStyle name="Ausgabe 3 3 38" xfId="18401" xr:uid="{45FEFF26-A05B-4D8E-B4C5-444A15EEF40C}"/>
    <cellStyle name="Ausgabe 3 3 39" xfId="17788" xr:uid="{B296E306-AD75-43DD-803B-0B54267EF9C8}"/>
    <cellStyle name="Ausgabe 3 3 4" xfId="1529" xr:uid="{7D790019-C1EF-43F8-9779-AC6D6EA64A95}"/>
    <cellStyle name="Ausgabe 3 3 40" xfId="19322" xr:uid="{DC297DA2-817F-4F44-BB72-12A18C966FAF}"/>
    <cellStyle name="Ausgabe 3 3 41" xfId="19920" xr:uid="{1E787791-6447-49A9-BCE8-71B7CE3F4F99}"/>
    <cellStyle name="Ausgabe 3 3 42" xfId="20681" xr:uid="{4866C018-142D-42E4-80E2-86667A3DD4C5}"/>
    <cellStyle name="Ausgabe 3 3 43" xfId="21137" xr:uid="{D95BE756-C206-4C33-90F6-389EEBED9AC4}"/>
    <cellStyle name="Ausgabe 3 3 44" xfId="20955" xr:uid="{9CCFEA86-4A5F-4809-91BC-918462947BDF}"/>
    <cellStyle name="Ausgabe 3 3 45" xfId="22069" xr:uid="{FE97C665-3931-4858-8671-883A65B723BD}"/>
    <cellStyle name="Ausgabe 3 3 46" xfId="22497" xr:uid="{D99E8811-8F1E-4D3A-AE54-89A491094405}"/>
    <cellStyle name="Ausgabe 3 3 47" xfId="22307" xr:uid="{84A23A3E-A6B4-4F38-8A06-FEDB3B0F540D}"/>
    <cellStyle name="Ausgabe 3 3 48" xfId="22849" xr:uid="{57F632B6-F648-425A-898F-6EE06E7E40D7}"/>
    <cellStyle name="Ausgabe 3 3 49" xfId="23641" xr:uid="{1031FEF5-B5E3-4B1A-93F7-26EA55150EA1}"/>
    <cellStyle name="Ausgabe 3 3 5" xfId="2360" xr:uid="{2C8604FB-1FE5-4D2A-B0DB-B23959D764F8}"/>
    <cellStyle name="Ausgabe 3 3 50" xfId="23729" xr:uid="{E63B33FB-B5BA-4985-81EE-DC13D47ADB64}"/>
    <cellStyle name="Ausgabe 3 3 51" xfId="24628" xr:uid="{02344470-59EF-40F7-92F9-9EE9309729AE}"/>
    <cellStyle name="Ausgabe 3 3 52" xfId="25384" xr:uid="{A6CE59BF-CF44-49AF-BBD2-F625B25F6428}"/>
    <cellStyle name="Ausgabe 3 3 53" xfId="25546" xr:uid="{12DD9C19-C14A-4701-B1AF-F1A2F53907DE}"/>
    <cellStyle name="Ausgabe 3 3 54" xfId="24110" xr:uid="{FE81A867-7D44-4A23-A1F9-FFA4A48EE8E5}"/>
    <cellStyle name="Ausgabe 3 3 55" xfId="26280" xr:uid="{DA023404-DD0B-4D77-8DFF-7548E5915D02}"/>
    <cellStyle name="Ausgabe 3 3 56" xfId="26836" xr:uid="{343B51BD-B050-4942-994C-D697086A70E4}"/>
    <cellStyle name="Ausgabe 3 3 57" xfId="27255" xr:uid="{23AB576E-12CB-473E-A862-DAD9A6FB9D7F}"/>
    <cellStyle name="Ausgabe 3 3 58" xfId="27692" xr:uid="{133F6472-958F-48B9-9370-BF474CB2CD7A}"/>
    <cellStyle name="Ausgabe 3 3 59" xfId="28378" xr:uid="{EAD64453-7529-4971-8C7F-5FCB37626BCB}"/>
    <cellStyle name="Ausgabe 3 3 6" xfId="2222" xr:uid="{7930732B-3C54-42C5-ABDE-C8B45F0060C8}"/>
    <cellStyle name="Ausgabe 3 3 60" xfId="28846" xr:uid="{C2100A26-215E-4D25-B5AA-FB947670305F}"/>
    <cellStyle name="Ausgabe 3 3 61" xfId="29506" xr:uid="{B4238F1F-C98D-4826-8264-F6B0B644EE21}"/>
    <cellStyle name="Ausgabe 3 3 62" xfId="29636" xr:uid="{374AD260-3121-4F39-8637-FDA03DC41408}"/>
    <cellStyle name="Ausgabe 3 3 63" xfId="30044" xr:uid="{D02591AA-FA50-4DBF-844F-CA416E6DF22E}"/>
    <cellStyle name="Ausgabe 3 3 64" xfId="30458" xr:uid="{A1458B17-5969-4B3D-9EF1-A1BB986D1EAF}"/>
    <cellStyle name="Ausgabe 3 3 65" xfId="31010" xr:uid="{330DD9A5-270B-420A-89F3-557AE63ED549}"/>
    <cellStyle name="Ausgabe 3 3 66" xfId="31082" xr:uid="{94603E46-D1A1-4661-8D61-EE63ED651413}"/>
    <cellStyle name="Ausgabe 3 3 7" xfId="3237" xr:uid="{26339C0C-F948-46B0-9758-89DCEA0DB589}"/>
    <cellStyle name="Ausgabe 3 3 8" xfId="3856" xr:uid="{2B1AB6F9-7EE3-4E14-9952-B7A18AE658FB}"/>
    <cellStyle name="Ausgabe 3 3 9" xfId="4294" xr:uid="{1B24E26E-5314-434D-9FA5-F812DA9A7382}"/>
    <cellStyle name="Ausgabe 3 30" xfId="26697" xr:uid="{0AB1340B-DAB2-4010-9149-A2145CAA7894}"/>
    <cellStyle name="Ausgabe 3 31" xfId="28157" xr:uid="{B837DD5E-9DE1-412D-989F-ABEDF4715CDE}"/>
    <cellStyle name="Ausgabe 3 32" xfId="29310" xr:uid="{037470D4-6F0E-4026-8A6F-0FA7031DE8A8}"/>
    <cellStyle name="Ausgabe 3 33" xfId="30614" xr:uid="{C891A5F1-7D5C-430B-81F3-8CC7E4F93FEF}"/>
    <cellStyle name="Ausgabe 3 4" xfId="702" xr:uid="{AB9EF1A2-E152-4D94-A902-E9A5BD70B045}"/>
    <cellStyle name="Ausgabe 3 4 10" xfId="5350" xr:uid="{B93137BB-9DCF-4987-AE3B-2D0566104027}"/>
    <cellStyle name="Ausgabe 3 4 11" xfId="5943" xr:uid="{5399F8CE-3BE8-47CD-934D-74A2B452B248}"/>
    <cellStyle name="Ausgabe 3 4 12" xfId="5842" xr:uid="{884FA6AF-734F-4607-9359-599BF2AD396C}"/>
    <cellStyle name="Ausgabe 3 4 13" xfId="6054" xr:uid="{2AE5E3A3-3D49-44B4-95E6-4C45C1AB4A9D}"/>
    <cellStyle name="Ausgabe 3 4 14" xfId="7422" xr:uid="{CFFB5F58-45CC-4211-9B3D-97464BB9A3E8}"/>
    <cellStyle name="Ausgabe 3 4 15" xfId="7778" xr:uid="{BDE51A18-AE40-42F0-A00B-B44BBC73F1B4}"/>
    <cellStyle name="Ausgabe 3 4 16" xfId="8095" xr:uid="{C6DA4020-AF86-4CD3-929D-AE8E49938ADC}"/>
    <cellStyle name="Ausgabe 3 4 17" xfId="8899" xr:uid="{3E92489C-1D96-4C1A-9402-6EDE39FEBFA9}"/>
    <cellStyle name="Ausgabe 3 4 18" xfId="9636" xr:uid="{88FB521B-4D52-48E3-85E8-2C85CD58EA56}"/>
    <cellStyle name="Ausgabe 3 4 19" xfId="9991" xr:uid="{FAF3BC2B-6B7B-4D35-A6C5-CCBC87E0CFD5}"/>
    <cellStyle name="Ausgabe 3 4 2" xfId="1177" xr:uid="{1DC266F3-410A-44FA-ACF3-395E8074CC76}"/>
    <cellStyle name="Ausgabe 3 4 20" xfId="10416" xr:uid="{3DF5205B-E6AC-4135-AAFD-1EF139D8C6F0}"/>
    <cellStyle name="Ausgabe 3 4 21" xfId="10482" xr:uid="{578F766B-B9EF-4580-8C05-F0306672E0A1}"/>
    <cellStyle name="Ausgabe 3 4 22" xfId="11125" xr:uid="{4337876C-2622-41FA-9F1B-A6D5DD32843D}"/>
    <cellStyle name="Ausgabe 3 4 23" xfId="12055" xr:uid="{020A2B59-344D-40B5-9F2F-B86805C877E2}"/>
    <cellStyle name="Ausgabe 3 4 24" xfId="12528" xr:uid="{9D08F7ED-A717-422F-B16F-8EF9560FC8F9}"/>
    <cellStyle name="Ausgabe 3 4 25" xfId="12962" xr:uid="{F17D7151-4033-4206-8C0B-6F88F196CDC2}"/>
    <cellStyle name="Ausgabe 3 4 26" xfId="13399" xr:uid="{3CB5A0C3-D79C-4A8C-810A-3AA4E18A95E2}"/>
    <cellStyle name="Ausgabe 3 4 27" xfId="13658" xr:uid="{14A404A2-6135-42F6-A376-703FA7ED6E34}"/>
    <cellStyle name="Ausgabe 3 4 28" xfId="14328" xr:uid="{184199AF-0354-4BA7-B832-740D42B5C12B}"/>
    <cellStyle name="Ausgabe 3 4 29" xfId="14645" xr:uid="{4C02632E-1004-43D8-9036-386107358CFC}"/>
    <cellStyle name="Ausgabe 3 4 3" xfId="1366" xr:uid="{0F7FDD95-8394-4D27-A119-297F3067A016}"/>
    <cellStyle name="Ausgabe 3 4 30" xfId="15297" xr:uid="{B27F334C-31BB-492C-A8E3-CA99C3CC03CB}"/>
    <cellStyle name="Ausgabe 3 4 31" xfId="14560" xr:uid="{0583D93D-5C91-404B-973A-787E8E30B376}"/>
    <cellStyle name="Ausgabe 3 4 32" xfId="15847" xr:uid="{FE7D15DB-D619-49BC-8980-DC44CB6921C8}"/>
    <cellStyle name="Ausgabe 3 4 33" xfId="16747" xr:uid="{015E8E38-54B2-400C-9120-431F6EDA12AB}"/>
    <cellStyle name="Ausgabe 3 4 34" xfId="17107" xr:uid="{04A322E1-820D-452E-8399-CC89F468244A}"/>
    <cellStyle name="Ausgabe 3 4 35" xfId="17554" xr:uid="{040E5BA1-C078-4930-9CBA-0886EF5C5E1D}"/>
    <cellStyle name="Ausgabe 3 4 36" xfId="16252" xr:uid="{579BB4EB-F627-4BDC-871A-BFE835C4DB23}"/>
    <cellStyle name="Ausgabe 3 4 37" xfId="18565" xr:uid="{1192FF7F-81C8-4BCA-A5E6-136F790ED14E}"/>
    <cellStyle name="Ausgabe 3 4 38" xfId="18341" xr:uid="{30940BFE-DD55-4F24-9091-DEBA0E2166F2}"/>
    <cellStyle name="Ausgabe 3 4 39" xfId="19106" xr:uid="{11FE77E2-A4A4-4ADB-9D9C-85CEFF9050D8}"/>
    <cellStyle name="Ausgabe 3 4 4" xfId="2524" xr:uid="{12C411E1-7C00-4011-8EC9-0735C0A58375}"/>
    <cellStyle name="Ausgabe 3 4 40" xfId="20084" xr:uid="{0F6B9064-871D-429B-9464-BB402A586C17}"/>
    <cellStyle name="Ausgabe 3 4 41" xfId="20460" xr:uid="{4F2B40C2-853A-4A3F-908B-D2C3AAFF9541}"/>
    <cellStyle name="Ausgabe 3 4 42" xfId="20913" xr:uid="{8613C90D-AF7E-49C0-8278-ED13863FE14B}"/>
    <cellStyle name="Ausgabe 3 4 43" xfId="21416" xr:uid="{DE294266-CB0B-4C81-9DBB-D966EE4C42D1}"/>
    <cellStyle name="Ausgabe 3 4 44" xfId="21842" xr:uid="{0D51346A-B5B1-4BC6-8243-BD9D071355B4}"/>
    <cellStyle name="Ausgabe 3 4 45" xfId="22279" xr:uid="{B3C40B36-0DF0-49E1-BB6D-CDFDA217765F}"/>
    <cellStyle name="Ausgabe 3 4 46" xfId="22661" xr:uid="{C90B2C94-6285-4636-ACF6-8D151313A912}"/>
    <cellStyle name="Ausgabe 3 4 47" xfId="23005" xr:uid="{10A3D513-F99E-48A6-B67B-64D28641368E}"/>
    <cellStyle name="Ausgabe 3 4 48" xfId="23551" xr:uid="{E547EF28-5F9E-4187-8C3F-A2C963230E70}"/>
    <cellStyle name="Ausgabe 3 4 49" xfId="23885" xr:uid="{0E6FD4B1-2BBC-4562-BB5B-7EE239BCEC95}"/>
    <cellStyle name="Ausgabe 3 4 5" xfId="2824" xr:uid="{F15602F6-C4D3-439F-ABB4-E1D831C4FF5A}"/>
    <cellStyle name="Ausgabe 3 4 50" xfId="24792" xr:uid="{F1C7619C-BF02-4265-A61E-D3D2A85DDE2C}"/>
    <cellStyle name="Ausgabe 3 4 51" xfId="25168" xr:uid="{4A77853F-6A2F-4FBD-A9DA-D1FB875D5AB3}"/>
    <cellStyle name="Ausgabe 3 4 52" xfId="25708" xr:uid="{BED834F8-ABA0-471B-A057-49C1B56F56E5}"/>
    <cellStyle name="Ausgabe 3 4 53" xfId="25964" xr:uid="{9EAFD07E-ACC7-4288-B38F-E8675E6F446A}"/>
    <cellStyle name="Ausgabe 3 4 54" xfId="26296" xr:uid="{3E088D52-3BE2-4229-B15F-74CBD3DA0532}"/>
    <cellStyle name="Ausgabe 3 4 55" xfId="26996" xr:uid="{474AA66B-B194-463A-B0BB-D06839C3CA61}"/>
    <cellStyle name="Ausgabe 3 4 56" xfId="27415" xr:uid="{258B79FB-BBDB-4425-AE4E-F30B3A12B91A}"/>
    <cellStyle name="Ausgabe 3 4 57" xfId="27675" xr:uid="{04305081-0A76-4713-92A4-570FEE03516D}"/>
    <cellStyle name="Ausgabe 3 4 58" xfId="28542" xr:uid="{2DDEED14-AEFC-4FC8-9E8C-6C1170E11063}"/>
    <cellStyle name="Ausgabe 3 4 59" xfId="29009" xr:uid="{81C1175C-0C1E-4924-B6F3-AFB824C2D1CA}"/>
    <cellStyle name="Ausgabe 3 4 6" xfId="3026" xr:uid="{BC558930-0150-43FB-8793-33C5D39D7D40}"/>
    <cellStyle name="Ausgabe 3 4 60" xfId="29315" xr:uid="{A1FB059F-AEEB-4E46-8A93-D7E59C8F1004}"/>
    <cellStyle name="Ausgabe 3 4 61" xfId="29799" xr:uid="{FF0CFD9B-8A95-4C64-BDA3-F7828B134984}"/>
    <cellStyle name="Ausgabe 3 4 62" xfId="30205" xr:uid="{35797489-ADE1-4A06-92B9-FF436B859E5A}"/>
    <cellStyle name="Ausgabe 3 4 63" xfId="30621" xr:uid="{EF70BFA5-76AF-45CB-BB04-D870618DE1EB}"/>
    <cellStyle name="Ausgabe 3 4 64" xfId="30882" xr:uid="{0B0457F0-8C5C-41E0-B4D7-57FDDA16B648}"/>
    <cellStyle name="Ausgabe 3 4 65" xfId="31238" xr:uid="{5337D6AB-FF57-4718-A710-5A55E8967375}"/>
    <cellStyle name="Ausgabe 3 4 7" xfId="4020" xr:uid="{9A3AD752-5151-4D64-956B-D271DDBF43A7}"/>
    <cellStyle name="Ausgabe 3 4 8" xfId="4457" xr:uid="{63C451AC-43CE-4452-9B14-4C36723AEA80}"/>
    <cellStyle name="Ausgabe 3 4 9" xfId="4886" xr:uid="{F5694821-C13B-4E5F-B9D4-9AC4D6783181}"/>
    <cellStyle name="Ausgabe 3 5" xfId="957" xr:uid="{43695D05-0ECB-4FF6-95FA-F30D403D53EA}"/>
    <cellStyle name="Ausgabe 3 6" xfId="2106" xr:uid="{F833F242-7F1D-4A5F-97B6-710DAB5E7F53}"/>
    <cellStyle name="Ausgabe 3 7" xfId="2951" xr:uid="{1B359591-B0B2-41F7-8FF3-4B586E29D3A1}"/>
    <cellStyle name="Ausgabe 3 8" xfId="1931" xr:uid="{4D27FEE0-E532-4BBD-89A6-02F0764AD9EB}"/>
    <cellStyle name="Ausgabe 3 9" xfId="3406" xr:uid="{248C9BE4-5861-400A-9139-E05681314160}"/>
    <cellStyle name="Ausgabe 4" xfId="543" xr:uid="{E62A1933-D046-4FB4-AFC9-5D7954E4636B}"/>
    <cellStyle name="Ausgabe 4 10" xfId="4879" xr:uid="{B67DAED9-7E19-4A8C-AB11-72E5D467A08D}"/>
    <cellStyle name="Ausgabe 4 11" xfId="5191" xr:uid="{60B1D90C-5AF0-49E3-B661-C9E7B784274F}"/>
    <cellStyle name="Ausgabe 4 12" xfId="5711" xr:uid="{78AA1795-9193-49F1-983A-EE60763617E2}"/>
    <cellStyle name="Ausgabe 4 13" xfId="6126" xr:uid="{D63B2D92-C45B-4D29-A072-2197BE036EEB}"/>
    <cellStyle name="Ausgabe 4 14" xfId="6582" xr:uid="{184A1BA4-987A-4129-A339-01DEB3A856B3}"/>
    <cellStyle name="Ausgabe 4 15" xfId="7263" xr:uid="{AFD0B7BF-70CE-4019-82FE-7FFC8C2AA864}"/>
    <cellStyle name="Ausgabe 4 16" xfId="7750" xr:uid="{6A3B1AE8-89D4-4D13-A262-9F5C8A6817EA}"/>
    <cellStyle name="Ausgabe 4 17" xfId="8580" xr:uid="{1ED82B86-4B02-463D-8201-DBAE34DB874F}"/>
    <cellStyle name="Ausgabe 4 18" xfId="8751" xr:uid="{7FCE9047-B1AF-4078-B9DF-09CB9A70D728}"/>
    <cellStyle name="Ausgabe 4 19" xfId="9477" xr:uid="{C5777C0F-BD65-4EBC-853C-4C3C83738DC2}"/>
    <cellStyle name="Ausgabe 4 2" xfId="758" xr:uid="{0CB58EB2-2250-4817-AB36-177B219E3AFD}"/>
    <cellStyle name="Ausgabe 4 2 10" xfId="5406" xr:uid="{BD566FE0-4F51-494E-8C71-D4C165B5070B}"/>
    <cellStyle name="Ausgabe 4 2 11" xfId="2841" xr:uid="{928A7BD8-E6E4-40C8-90E6-9D97597E79C4}"/>
    <cellStyle name="Ausgabe 4 2 12" xfId="4707" xr:uid="{48AB0A7E-6D09-4CA3-BCAF-6F4D1A7D0924}"/>
    <cellStyle name="Ausgabe 4 2 13" xfId="6396" xr:uid="{5A6FE049-8D2F-460C-9791-3D2F4E1579E6}"/>
    <cellStyle name="Ausgabe 4 2 14" xfId="7478" xr:uid="{8B145B02-B694-4569-BD32-7A0307FECAD8}"/>
    <cellStyle name="Ausgabe 4 2 15" xfId="6986" xr:uid="{5B0B7DCE-8074-4F72-9356-58134862237A}"/>
    <cellStyle name="Ausgabe 4 2 16" xfId="8115" xr:uid="{7489DAF6-4CE1-4657-BB52-73E5275A5C4F}"/>
    <cellStyle name="Ausgabe 4 2 17" xfId="6934" xr:uid="{E0227A6C-944E-4466-9628-1B33377A13F0}"/>
    <cellStyle name="Ausgabe 4 2 18" xfId="9692" xr:uid="{F4914008-B27F-4FE2-81AC-F6C52ED8D13E}"/>
    <cellStyle name="Ausgabe 4 2 19" xfId="9327" xr:uid="{52E0AB6B-9050-4BBA-8D42-F7DEF2B011C1}"/>
    <cellStyle name="Ausgabe 4 2 2" xfId="1232" xr:uid="{F38B7453-28B5-446E-AE98-28DE58721883}"/>
    <cellStyle name="Ausgabe 4 2 20" xfId="9330" xr:uid="{47639CE4-838F-4ECD-B8CF-CAB966E7AE7D}"/>
    <cellStyle name="Ausgabe 4 2 21" xfId="10153" xr:uid="{0A5AA2CE-297D-4059-8FF6-59CEB45145B0}"/>
    <cellStyle name="Ausgabe 4 2 22" xfId="10792" xr:uid="{7CDAC425-10E3-4983-BE4A-B9BE76BBEA4E}"/>
    <cellStyle name="Ausgabe 4 2 23" xfId="12111" xr:uid="{A3E70F01-B5BC-4CF3-841C-5D2F37BBD9CA}"/>
    <cellStyle name="Ausgabe 4 2 24" xfId="12584" xr:uid="{8C141B5D-1128-4A7A-9FFF-8F8C8EB3B685}"/>
    <cellStyle name="Ausgabe 4 2 25" xfId="13018" xr:uid="{4E6881B9-05FD-4B83-A1D8-14EAF887B647}"/>
    <cellStyle name="Ausgabe 4 2 26" xfId="13455" xr:uid="{7A9F2547-EEA1-456A-B8D8-77C559DB4DA4}"/>
    <cellStyle name="Ausgabe 4 2 27" xfId="11385" xr:uid="{599C1A70-FF21-496F-A24F-DF6AA1200A23}"/>
    <cellStyle name="Ausgabe 4 2 28" xfId="13691" xr:uid="{36FB21C5-D82D-4426-A9E8-BA4E0C5C9417}"/>
    <cellStyle name="Ausgabe 4 2 29" xfId="14076" xr:uid="{C842C140-AB37-4E85-8201-EC78973A4548}"/>
    <cellStyle name="Ausgabe 4 2 3" xfId="1471" xr:uid="{414140AC-26B7-491D-BD15-FABD305DEAE1}"/>
    <cellStyle name="Ausgabe 4 2 30" xfId="15178" xr:uid="{80AE05B6-49E0-4D66-8699-60417377F82E}"/>
    <cellStyle name="Ausgabe 4 2 31" xfId="14885" xr:uid="{E06DF1B4-24CB-46CA-B40A-C1E79678F4E8}"/>
    <cellStyle name="Ausgabe 4 2 32" xfId="14373" xr:uid="{F64E34C3-109D-4DE9-BC66-6580A2615951}"/>
    <cellStyle name="Ausgabe 4 2 33" xfId="16803" xr:uid="{CFD43733-018E-426B-971E-FC71174124CE}"/>
    <cellStyle name="Ausgabe 4 2 34" xfId="16306" xr:uid="{592EAEA2-AEE2-4BF5-90C8-46A38AF058BA}"/>
    <cellStyle name="Ausgabe 4 2 35" xfId="16990" xr:uid="{F5A1F404-B833-44F9-B3F2-EE9EFF16C295}"/>
    <cellStyle name="Ausgabe 4 2 36" xfId="17878" xr:uid="{2720F3E9-DB4E-4CEA-B431-08D4AA5D771B}"/>
    <cellStyle name="Ausgabe 4 2 37" xfId="18621" xr:uid="{9E896FF7-2C91-4B14-AF68-1D16322539E2}"/>
    <cellStyle name="Ausgabe 4 2 38" xfId="18373" xr:uid="{49674CCE-96E0-4C4D-8BBB-35C5EA2756B5}"/>
    <cellStyle name="Ausgabe 4 2 39" xfId="18759" xr:uid="{96DCFE24-BDBF-4432-A3BA-1E923F68085B}"/>
    <cellStyle name="Ausgabe 4 2 4" xfId="2580" xr:uid="{59AF8D22-2AAE-4E98-93EF-4010A4E27131}"/>
    <cellStyle name="Ausgabe 4 2 40" xfId="20140" xr:uid="{BD376B3C-F165-40D7-B5ED-95BFC70915AE}"/>
    <cellStyle name="Ausgabe 4 2 41" xfId="19784" xr:uid="{350EC6F1-B284-4F0B-8276-D9EF400386EB}"/>
    <cellStyle name="Ausgabe 4 2 42" xfId="19487" xr:uid="{D4A460EA-F8E1-4987-AD2A-A51C2805DE8E}"/>
    <cellStyle name="Ausgabe 4 2 43" xfId="20822" xr:uid="{BF0CEEC1-C7DB-47B4-BFD5-8FDA2EA04B6B}"/>
    <cellStyle name="Ausgabe 4 2 44" xfId="21443" xr:uid="{D1A6DECF-4886-4784-9119-21E7E976D8FC}"/>
    <cellStyle name="Ausgabe 4 2 45" xfId="21673" xr:uid="{727C4154-8C92-456B-8333-84244220302C}"/>
    <cellStyle name="Ausgabe 4 2 46" xfId="22176" xr:uid="{A447D13D-6CBA-4096-AEE2-DE3F3B2C8FEA}"/>
    <cellStyle name="Ausgabe 4 2 47" xfId="22840" xr:uid="{9D9286C6-5D14-4CCF-832C-65E196D6A2A2}"/>
    <cellStyle name="Ausgabe 4 2 48" xfId="22812" xr:uid="{841309E3-29D1-4AE9-B673-493520E35103}"/>
    <cellStyle name="Ausgabe 4 2 49" xfId="23940" xr:uid="{10165E29-8CEA-4513-B913-008DDE227CA1}"/>
    <cellStyle name="Ausgabe 4 2 5" xfId="2065" xr:uid="{1E308235-0F51-40EF-97B4-43B165BBA182}"/>
    <cellStyle name="Ausgabe 4 2 50" xfId="24848" xr:uid="{9E2543E3-BF6E-48E9-81D2-1FBB17812227}"/>
    <cellStyle name="Ausgabe 4 2 51" xfId="24197" xr:uid="{0F2491D5-1DBA-441E-8680-10291A7C50CB}"/>
    <cellStyle name="Ausgabe 4 2 52" xfId="25764" xr:uid="{A9D2172F-D689-4721-ACE5-F9012F1E86A9}"/>
    <cellStyle name="Ausgabe 4 2 53" xfId="25293" xr:uid="{60A77C6A-174B-47D8-A4DC-08507E16E740}"/>
    <cellStyle name="Ausgabe 4 2 54" xfId="26650" xr:uid="{4201B68F-2A44-4EEC-A5D4-AD1FF3F8942C}"/>
    <cellStyle name="Ausgabe 4 2 55" xfId="27052" xr:uid="{C1DE8A4F-CECC-4A6A-B441-C99FFC3F26E6}"/>
    <cellStyle name="Ausgabe 4 2 56" xfId="27471" xr:uid="{034F4133-16E5-40FF-889C-3EBDD1AC8060}"/>
    <cellStyle name="Ausgabe 4 2 57" xfId="24195" xr:uid="{4607BC47-F750-4A38-A8BE-F83EDF02131E}"/>
    <cellStyle name="Ausgabe 4 2 58" xfId="28598" xr:uid="{CB6F34FD-50AF-481C-AA89-1CFD1884FEC9}"/>
    <cellStyle name="Ausgabe 4 2 59" xfId="29065" xr:uid="{5063F546-EF77-4208-B804-E93807B93D95}"/>
    <cellStyle name="Ausgabe 4 2 6" xfId="3545" xr:uid="{AF793221-8A8D-4C01-98CB-2E269A2F1081}"/>
    <cellStyle name="Ausgabe 4 2 60" xfId="28165" xr:uid="{F7FE4D04-3A5C-4DF7-90CE-11EB9CFD819F}"/>
    <cellStyle name="Ausgabe 4 2 61" xfId="29854" xr:uid="{CC3C1DD7-1B2D-428D-87EC-A2D42FDD173D}"/>
    <cellStyle name="Ausgabe 4 2 62" xfId="30260" xr:uid="{911B11CD-D05C-442E-987F-80D0CC2A8846}"/>
    <cellStyle name="Ausgabe 4 2 63" xfId="30677" xr:uid="{5A875583-4CA3-4DC4-9382-21EC9323D9DB}"/>
    <cellStyle name="Ausgabe 4 2 64" xfId="29597" xr:uid="{A3484F23-23D4-4A81-A407-50FF136E0B1A}"/>
    <cellStyle name="Ausgabe 4 2 65" xfId="31293" xr:uid="{8066A950-4BFD-4094-A456-9DE9C529E3A2}"/>
    <cellStyle name="Ausgabe 4 2 7" xfId="4076" xr:uid="{A621A6DC-D60C-439F-A77D-6C9A0AD22B08}"/>
    <cellStyle name="Ausgabe 4 2 8" xfId="4513" xr:uid="{CBB67C7C-8927-4682-95BE-D215BC9143EC}"/>
    <cellStyle name="Ausgabe 4 2 9" xfId="2116" xr:uid="{1CA05AD2-5302-4CBC-97A6-C61EA9FFD38A}"/>
    <cellStyle name="Ausgabe 4 20" xfId="9964" xr:uid="{0ABAA406-7E13-442E-BBA7-A06C0760A656}"/>
    <cellStyle name="Ausgabe 4 21" xfId="10392" xr:uid="{4F5FB523-8FC4-4C1F-9D5F-D42A274D1FAF}"/>
    <cellStyle name="Ausgabe 4 22" xfId="10468" xr:uid="{B9094E3F-F7FB-49C7-A94B-B89414862363}"/>
    <cellStyle name="Ausgabe 4 23" xfId="10659" xr:uid="{300BFB63-47F1-4D1C-B8B8-4367804202F9}"/>
    <cellStyle name="Ausgabe 4 24" xfId="11896" xr:uid="{86926618-BFB5-4A56-83B4-AA40B9374033}"/>
    <cellStyle name="Ausgabe 4 25" xfId="12369" xr:uid="{680C18F2-1038-45E6-82BE-D1EBE6F3B3BC}"/>
    <cellStyle name="Ausgabe 4 26" xfId="12803" xr:uid="{D6A0F0C0-F2C2-463F-8444-0F9EAFDCDE4F}"/>
    <cellStyle name="Ausgabe 4 27" xfId="13240" xr:uid="{C423FE56-FDB0-4F6A-BE23-2373B45BAD58}"/>
    <cellStyle name="Ausgabe 4 28" xfId="11781" xr:uid="{6513170D-332B-4A82-8304-01D6581121A3}"/>
    <cellStyle name="Ausgabe 4 29" xfId="14337" xr:uid="{04774C0E-F195-4B75-93BF-5B5E45729CE0}"/>
    <cellStyle name="Ausgabe 4 3" xfId="1026" xr:uid="{F7424BFD-7F0C-429C-A2B1-B5802F2E3337}"/>
    <cellStyle name="Ausgabe 4 30" xfId="14563" xr:uid="{50C0F4E3-D3D0-473D-8877-BFBD99D04C6A}"/>
    <cellStyle name="Ausgabe 4 31" xfId="15041" xr:uid="{020BD062-DD66-43CD-9BE3-54BAC86E1DDF}"/>
    <cellStyle name="Ausgabe 4 32" xfId="14545" xr:uid="{09BC62E4-8059-46A0-87A9-803CC57733EB}"/>
    <cellStyle name="Ausgabe 4 33" xfId="15834" xr:uid="{3096F0AF-A15C-49BB-BC97-970FE9282F08}"/>
    <cellStyle name="Ausgabe 4 34" xfId="16588" xr:uid="{A04361CF-9ED9-4633-A2FE-4C928217B882}"/>
    <cellStyle name="Ausgabe 4 35" xfId="17079" xr:uid="{9F630D8F-BC28-4AB7-9454-2946F8BF5032}"/>
    <cellStyle name="Ausgabe 4 36" xfId="17526" xr:uid="{A081F38B-5969-4C19-A7FB-BB3583DAAD1A}"/>
    <cellStyle name="Ausgabe 4 37" xfId="18237" xr:uid="{31F0A267-071D-47FF-93C6-1E649CBC154C}"/>
    <cellStyle name="Ausgabe 4 38" xfId="18406" xr:uid="{EBD44400-23BE-488D-A32A-01B34B3E2C2E}"/>
    <cellStyle name="Ausgabe 4 39" xfId="18849" xr:uid="{4A1FDCEF-350B-4E2A-B4A8-BF0B5E54EFDE}"/>
    <cellStyle name="Ausgabe 4 4" xfId="1655" xr:uid="{7D5FAF7A-F043-446C-8248-6B5D14403C25}"/>
    <cellStyle name="Ausgabe 4 40" xfId="19118" xr:uid="{A9AD91E1-4A83-4E58-A8C1-0056CE17487B}"/>
    <cellStyle name="Ausgabe 4 41" xfId="19925" xr:uid="{38AAF8EC-02B2-4384-AAED-BCFB1AE2C2E7}"/>
    <cellStyle name="Ausgabe 4 42" xfId="20432" xr:uid="{05A7C5B8-0155-43F9-83B8-CC0F3DB1453A}"/>
    <cellStyle name="Ausgabe 4 43" xfId="20884" xr:uid="{F6C62526-8AAE-455E-A40E-8A4C67EA11E8}"/>
    <cellStyle name="Ausgabe 4 44" xfId="21552" xr:uid="{FA48DD0D-8107-4E44-B0BA-9821C124EF3C}"/>
    <cellStyle name="Ausgabe 4 45" xfId="21816" xr:uid="{CDA5FA90-8667-451E-A664-99ADE9045E69}"/>
    <cellStyle name="Ausgabe 4 46" xfId="22250" xr:uid="{F7477013-8E99-488A-9CB5-6BF1D1898805}"/>
    <cellStyle name="Ausgabe 4 47" xfId="21846" xr:uid="{1F506E92-47A1-43CC-A06C-980C7D4881B6}"/>
    <cellStyle name="Ausgabe 4 48" xfId="23125" xr:uid="{69AACF2D-9011-4630-9650-EE6BEDED037C}"/>
    <cellStyle name="Ausgabe 4 49" xfId="23392" xr:uid="{5C513B7A-6510-447D-BC6E-7C88A2D194BB}"/>
    <cellStyle name="Ausgabe 4 5" xfId="2365" xr:uid="{B8A5E1D8-6B35-4814-BC95-060CD8CA6106}"/>
    <cellStyle name="Ausgabe 4 50" xfId="23734" xr:uid="{19C8D605-30D2-4110-893C-E548D335D63C}"/>
    <cellStyle name="Ausgabe 4 51" xfId="24633" xr:uid="{3744AA99-368D-4E00-A9F2-E417CFE517D2}"/>
    <cellStyle name="Ausgabe 4 52" xfId="25139" xr:uid="{28F454AC-30DB-4F28-82D4-E98B0B5249C9}"/>
    <cellStyle name="Ausgabe 4 53" xfId="25551" xr:uid="{CE825238-B686-49A4-B02A-D4A4C26C4A20}"/>
    <cellStyle name="Ausgabe 4 54" xfId="25195" xr:uid="{030D1F45-3D36-43C1-BEBD-ACB00919D36B}"/>
    <cellStyle name="Ausgabe 4 55" xfId="24275" xr:uid="{78055E89-2CA8-49F6-BC47-C22B6192F369}"/>
    <cellStyle name="Ausgabe 4 56" xfId="26841" xr:uid="{B362C731-D966-4EE8-A840-A923F22CC3E6}"/>
    <cellStyle name="Ausgabe 4 57" xfId="27260" xr:uid="{9325848F-C01C-40A4-9AF7-F260B2791FE6}"/>
    <cellStyle name="Ausgabe 4 58" xfId="27637" xr:uid="{7597C637-CEB5-4F7F-AFD2-7924B3704731}"/>
    <cellStyle name="Ausgabe 4 59" xfId="28383" xr:uid="{BB59A458-0092-4035-BB1B-B90B83C30B18}"/>
    <cellStyle name="Ausgabe 4 6" xfId="2282" xr:uid="{0B76BEC0-3DF0-4745-951C-BE7D55FF5E20}"/>
    <cellStyle name="Ausgabe 4 60" xfId="28851" xr:uid="{033B3D9F-89DB-425E-8932-AC23C17D1E7E}"/>
    <cellStyle name="Ausgabe 4 61" xfId="29291" xr:uid="{50906CAC-F5E7-417C-B6FA-81FC582432E7}"/>
    <cellStyle name="Ausgabe 4 62" xfId="29641" xr:uid="{4D5F7FA2-CC2C-44C2-8F01-C5F8FB57CEA8}"/>
    <cellStyle name="Ausgabe 4 63" xfId="30049" xr:uid="{06504880-C3B8-4DEF-84DF-D7B45DF6D94B}"/>
    <cellStyle name="Ausgabe 4 64" xfId="30463" xr:uid="{13CBBD06-FE61-4BEF-A9B9-6CAA64D21767}"/>
    <cellStyle name="Ausgabe 4 65" xfId="29011" xr:uid="{69A76D6B-20FF-4B6A-8672-D43EF0672652}"/>
    <cellStyle name="Ausgabe 4 66" xfId="31087" xr:uid="{CFCEC94D-4E58-4E47-A510-F6BA9E46A22C}"/>
    <cellStyle name="Ausgabe 4 7" xfId="2955" xr:uid="{51D5341E-8BD5-415D-B952-DD8895145A79}"/>
    <cellStyle name="Ausgabe 4 8" xfId="3861" xr:uid="{279919B5-98AA-4EB0-A1BA-F661F82C30F0}"/>
    <cellStyle name="Ausgabe 4 9" xfId="4299" xr:uid="{ECFAB046-FA36-493C-86BF-2F1D3BF9EAEF}"/>
    <cellStyle name="Ausgabe 5" xfId="662" xr:uid="{D12FAF26-20F4-4038-8544-F5116A0CF33C}"/>
    <cellStyle name="Ausgabe 5 10" xfId="4915" xr:uid="{90B18884-E152-4867-BA49-08F6912D71FC}"/>
    <cellStyle name="Ausgabe 5 11" xfId="5310" xr:uid="{38C0C900-9B34-49BF-B134-3F00935F2731}"/>
    <cellStyle name="Ausgabe 5 12" xfId="4869" xr:uid="{D6ABBB0D-7E57-4C07-8191-CDAD164188DE}"/>
    <cellStyle name="Ausgabe 5 13" xfId="6115" xr:uid="{49EF77E1-DE80-4062-A157-CE0922F2441F}"/>
    <cellStyle name="Ausgabe 5 14" xfId="6453" xr:uid="{A75BB2F9-7EF4-4C2B-90B0-5D4CF2261894}"/>
    <cellStyle name="Ausgabe 5 15" xfId="7382" xr:uid="{ABFDDDA0-948B-49D1-87F0-AEE4B0DBAB19}"/>
    <cellStyle name="Ausgabe 5 16" xfId="7783" xr:uid="{0E0D0BB8-8829-4B37-A9A5-241385181F5C}"/>
    <cellStyle name="Ausgabe 5 17" xfId="8499" xr:uid="{7A11B35C-0FF1-48F3-802C-8C8CA3306E22}"/>
    <cellStyle name="Ausgabe 5 18" xfId="8739" xr:uid="{BF56C97F-8100-4943-B816-05A3107B2274}"/>
    <cellStyle name="Ausgabe 5 19" xfId="9596" xr:uid="{E860EF54-6747-464B-A00E-D2F9B51F0567}"/>
    <cellStyle name="Ausgabe 5 2" xfId="877" xr:uid="{07A57343-F369-48A6-B15A-A7988BEFFF07}"/>
    <cellStyle name="Ausgabe 5 2 10" xfId="5525" xr:uid="{2AB5F647-4FDB-47F2-8BCC-91A093FB313F}"/>
    <cellStyle name="Ausgabe 5 2 11" xfId="6019" xr:uid="{F39D4475-1B47-4DC8-AEAA-535B7E428BA6}"/>
    <cellStyle name="Ausgabe 5 2 12" xfId="6378" xr:uid="{5EB4B2EA-E960-4C27-84F5-26B8C75FCE2C}"/>
    <cellStyle name="Ausgabe 5 2 13" xfId="6716" xr:uid="{16DF99D6-7893-42ED-A601-09291350FD5C}"/>
    <cellStyle name="Ausgabe 5 2 14" xfId="7597" xr:uid="{1B6F06DD-A173-49A7-B279-F1287F066BE6}"/>
    <cellStyle name="Ausgabe 5 2 15" xfId="8061" xr:uid="{2E830411-B4DE-45C3-9147-1603C6EAB1F7}"/>
    <cellStyle name="Ausgabe 5 2 16" xfId="8670" xr:uid="{DA8A2B3D-96AA-42CA-A2F0-0DCA6990251F}"/>
    <cellStyle name="Ausgabe 5 2 17" xfId="8929" xr:uid="{25A1A942-D47D-49D9-A918-FAE237E81406}"/>
    <cellStyle name="Ausgabe 5 2 18" xfId="9811" xr:uid="{D25E87F3-C711-4138-AEFD-CD54D454C09E}"/>
    <cellStyle name="Ausgabe 5 2 19" xfId="10280" xr:uid="{A5F7068E-4510-4CD1-B9D9-0A5D1EB27972}"/>
    <cellStyle name="Ausgabe 5 2 2" xfId="1351" xr:uid="{96641EB0-FA0D-4371-B82A-507110893D99}"/>
    <cellStyle name="Ausgabe 5 2 20" xfId="10674" xr:uid="{89D1E755-80FE-419D-95DC-1EF4237888C2}"/>
    <cellStyle name="Ausgabe 5 2 21" xfId="11023" xr:uid="{84B31813-CFA5-44CE-B20F-8CAC737253F8}"/>
    <cellStyle name="Ausgabe 5 2 22" xfId="11333" xr:uid="{91403CDF-64EF-4C80-901A-484BAF68FFEA}"/>
    <cellStyle name="Ausgabe 5 2 23" xfId="12230" xr:uid="{FA3F9DD1-2ACE-4B43-8787-123D1E57372E}"/>
    <cellStyle name="Ausgabe 5 2 24" xfId="12703" xr:uid="{1953E4B3-7705-492C-A721-078B22FCFFDD}"/>
    <cellStyle name="Ausgabe 5 2 25" xfId="13137" xr:uid="{FD11D385-6482-4C60-B242-31B796DDC245}"/>
    <cellStyle name="Ausgabe 5 2 26" xfId="13574" xr:uid="{71E34DD9-EF22-41F7-AB39-4AFEED1C4C2C}"/>
    <cellStyle name="Ausgabe 5 2 27" xfId="14046" xr:uid="{40936F49-3A32-4F2F-92FF-2F0C8E7D7E1A}"/>
    <cellStyle name="Ausgabe 5 2 28" xfId="14493" xr:uid="{2BDCCF1C-5C39-41CD-9977-6463AA82C58B}"/>
    <cellStyle name="Ausgabe 5 2 29" xfId="14927" xr:uid="{0C255E66-8E9E-451D-81D9-CAE00A3E4DE0}"/>
    <cellStyle name="Ausgabe 5 2 3" xfId="1800" xr:uid="{A708605B-6813-4C9D-B8C8-8A9061933EEE}"/>
    <cellStyle name="Ausgabe 5 2 30" xfId="15397" xr:uid="{6F056063-A656-4A2F-91D8-31379057AE65}"/>
    <cellStyle name="Ausgabe 5 2 31" xfId="15787" xr:uid="{A5925178-C47C-4FD7-BB90-A88D23B8D1AC}"/>
    <cellStyle name="Ausgabe 5 2 32" xfId="16009" xr:uid="{CC0AF1E4-EC9C-4972-AA0D-A6540FCCCF6F}"/>
    <cellStyle name="Ausgabe 5 2 33" xfId="16922" xr:uid="{A58ABC03-C970-43F4-A9D5-25D64FED60AE}"/>
    <cellStyle name="Ausgabe 5 2 34" xfId="17403" xr:uid="{C7873092-954D-4C76-B154-C06F1C9CA2FD}"/>
    <cellStyle name="Ausgabe 5 2 35" xfId="17844" xr:uid="{5E5CA810-F1ED-4E3F-BFAF-2E6FC13D2CE0}"/>
    <cellStyle name="Ausgabe 5 2 36" xfId="18319" xr:uid="{11789421-8558-4ACB-B614-8519428B8255}"/>
    <cellStyle name="Ausgabe 5 2 37" xfId="18740" xr:uid="{CC9A760B-719E-4EFC-81ED-6F97800FFEB5}"/>
    <cellStyle name="Ausgabe 5 2 38" xfId="19127" xr:uid="{A35DCCB0-C846-4A04-A090-270B5593D734}"/>
    <cellStyle name="Ausgabe 5 2 39" xfId="19357" xr:uid="{85FE04D5-096E-475D-9474-F64AD3960C90}"/>
    <cellStyle name="Ausgabe 5 2 4" xfId="2699" xr:uid="{D15324AC-7E5C-4FD2-B8C3-C000795ACC34}"/>
    <cellStyle name="Ausgabe 5 2 40" xfId="20259" xr:uid="{3E551529-FCD0-4CDF-8ABD-7B0978E60898}"/>
    <cellStyle name="Ausgabe 5 2 41" xfId="20752" xr:uid="{DF099DF0-ACA4-4915-B1D4-C4C77193AE3E}"/>
    <cellStyle name="Ausgabe 5 2 42" xfId="21211" xr:uid="{646119BB-AE54-4877-916C-FAC7F5A27985}"/>
    <cellStyle name="Ausgabe 5 2 43" xfId="21703" xr:uid="{2775DB91-8D71-4F9C-B315-F23A34691F9E}"/>
    <cellStyle name="Ausgabe 5 2 44" xfId="22142" xr:uid="{D1EBBC12-A7A9-49F5-B7E8-1E74385356FE}"/>
    <cellStyle name="Ausgabe 5 2 45" xfId="22569" xr:uid="{F8A738B9-1B0A-4EB0-B9E0-A8D5E434A66D}"/>
    <cellStyle name="Ausgabe 5 2 46" xfId="23014" xr:uid="{AA29DF6D-9792-4B15-BCE3-5CCB02704400}"/>
    <cellStyle name="Ausgabe 5 2 47" xfId="23416" xr:uid="{CED7B965-AED0-4F85-8501-152DEF8B0CD8}"/>
    <cellStyle name="Ausgabe 5 2 48" xfId="23679" xr:uid="{0FBBF4F0-F7E2-4762-9E02-2C823E48A68F}"/>
    <cellStyle name="Ausgabe 5 2 49" xfId="24059" xr:uid="{7D027C66-918D-4281-9521-EC7E9A3BA334}"/>
    <cellStyle name="Ausgabe 5 2 5" xfId="3219" xr:uid="{F0C18DFB-4EF0-49F2-93B5-067DBCA33B89}"/>
    <cellStyle name="Ausgabe 5 2 50" xfId="24967" xr:uid="{20F40023-725D-4354-B302-AD798BAD5B84}"/>
    <cellStyle name="Ausgabe 5 2 51" xfId="25455" xr:uid="{5658734B-F6D8-4663-AA3C-9753862086A7}"/>
    <cellStyle name="Ausgabe 5 2 52" xfId="25883" xr:uid="{2FE65F44-67CD-4720-A011-562E9980162B}"/>
    <cellStyle name="Ausgabe 5 2 53" xfId="26321" xr:uid="{E6BD1B2E-CA1F-4C0F-85A6-A279076CCFE0}"/>
    <cellStyle name="Ausgabe 5 2 54" xfId="26750" xr:uid="{D8721392-16B9-4053-AB5E-9CF7C93EA527}"/>
    <cellStyle name="Ausgabe 5 2 55" xfId="27171" xr:uid="{C2638677-D9FC-4427-8E2C-B64790043ED1}"/>
    <cellStyle name="Ausgabe 5 2 56" xfId="27590" xr:uid="{19049F6B-B23E-487E-8AA3-78A101EB5108}"/>
    <cellStyle name="Ausgabe 5 2 57" xfId="27828" xr:uid="{E5A810FD-AD8F-4D14-9658-1B132D95B85C}"/>
    <cellStyle name="Ausgabe 5 2 58" xfId="28717" xr:uid="{C68AD107-E726-4721-98A6-9E44A050B6E9}"/>
    <cellStyle name="Ausgabe 5 2 59" xfId="29184" xr:uid="{5586229C-63D3-4D1F-90F2-F82D29141FFD}"/>
    <cellStyle name="Ausgabe 5 2 6" xfId="3774" xr:uid="{344C9357-6294-48E1-BAC9-4A21C9D0343F}"/>
    <cellStyle name="Ausgabe 5 2 60" xfId="29566" xr:uid="{18BA2571-C19E-4835-834D-BC15D5AA5662}"/>
    <cellStyle name="Ausgabe 5 2 61" xfId="29973" xr:uid="{EB85217C-323D-4EDD-9B65-E056FC2C9B79}"/>
    <cellStyle name="Ausgabe 5 2 62" xfId="30379" xr:uid="{F8F0D90E-BA71-40D0-8656-76EE4F2B90C6}"/>
    <cellStyle name="Ausgabe 5 2 63" xfId="30796" xr:uid="{91068579-69ED-4C32-B346-4FF94D7DD4BA}"/>
    <cellStyle name="Ausgabe 5 2 64" xfId="31041" xr:uid="{1AC02FF1-0DA5-4FC2-8E16-E4057F91037F}"/>
    <cellStyle name="Ausgabe 5 2 65" xfId="31412" xr:uid="{910417C2-3F17-4DA7-B9C5-28B74A7FD4FB}"/>
    <cellStyle name="Ausgabe 5 2 7" xfId="4195" xr:uid="{CF273494-2435-4B24-A8AB-909D1AB20CED}"/>
    <cellStyle name="Ausgabe 5 2 8" xfId="4632" xr:uid="{7374ACA2-E087-4733-920F-12935DEE34FA}"/>
    <cellStyle name="Ausgabe 5 2 9" xfId="5078" xr:uid="{5306BA00-B49C-4EB2-9D09-2F7463D08895}"/>
    <cellStyle name="Ausgabe 5 20" xfId="9996" xr:uid="{0B42642E-C1EC-481B-9BDE-5B10BB2EB54F}"/>
    <cellStyle name="Ausgabe 5 21" xfId="10421" xr:uid="{611B16DF-3388-4161-869F-B118C81B392A}"/>
    <cellStyle name="Ausgabe 5 22" xfId="10751" xr:uid="{5DD93A8A-F2D6-408C-95BD-1236C0048827}"/>
    <cellStyle name="Ausgabe 5 23" xfId="11205" xr:uid="{AA41EC81-4153-488E-B5E2-7656CE5F15F7}"/>
    <cellStyle name="Ausgabe 5 24" xfId="12015" xr:uid="{39A0D9EF-B9FA-46BA-A0BD-A6BE577DE9C7}"/>
    <cellStyle name="Ausgabe 5 25" xfId="12488" xr:uid="{AE60FBFA-6C74-4B1F-B2DA-47CFE57C9AAE}"/>
    <cellStyle name="Ausgabe 5 26" xfId="12922" xr:uid="{AD7EA286-F228-4523-8275-4294BC2A0C28}"/>
    <cellStyle name="Ausgabe 5 27" xfId="13359" xr:uid="{B491EA1A-D8E3-4E91-8776-730D20BE09B5}"/>
    <cellStyle name="Ausgabe 5 28" xfId="13823" xr:uid="{1C935FBA-6A4D-4DBF-A770-F891E5952675}"/>
    <cellStyle name="Ausgabe 5 29" xfId="14130" xr:uid="{9E75E649-2182-4C13-9C54-B65E34A5ED4D}"/>
    <cellStyle name="Ausgabe 5 3" xfId="1145" xr:uid="{15FFED2D-2C45-4C20-9AEB-AB0E3DB13F0B}"/>
    <cellStyle name="Ausgabe 5 30" xfId="14650" xr:uid="{AF5CE735-39CA-4C85-978C-27879554CC9B}"/>
    <cellStyle name="Ausgabe 5 31" xfId="14810" xr:uid="{BC4A1C3B-5B32-400B-B337-A663335ADDC3}"/>
    <cellStyle name="Ausgabe 5 32" xfId="15503" xr:uid="{DE225B42-BDE8-42C2-970E-236EA059EC26}"/>
    <cellStyle name="Ausgabe 5 33" xfId="15851" xr:uid="{27C9A6E4-2130-497D-88C5-49EA63BC3899}"/>
    <cellStyle name="Ausgabe 5 34" xfId="16707" xr:uid="{34EBAC76-69FB-470A-8106-B39255A96B54}"/>
    <cellStyle name="Ausgabe 5 35" xfId="17112" xr:uid="{CBE95D53-7BDB-4EE9-A093-EAA549834C6B}"/>
    <cellStyle name="Ausgabe 5 36" xfId="17559" xr:uid="{1E52B86B-DC6B-41BB-9642-C3B62B8C7BDA}"/>
    <cellStyle name="Ausgabe 5 37" xfId="17803" xr:uid="{3A80B21C-59D5-4449-9B91-5BAE2EB573AC}"/>
    <cellStyle name="Ausgabe 5 38" xfId="18525" xr:uid="{D5C13203-DFD0-4DD0-A875-5752FB4815FA}"/>
    <cellStyle name="Ausgabe 5 39" xfId="19056" xr:uid="{B78240EE-7B10-4F35-84F6-71637D694628}"/>
    <cellStyle name="Ausgabe 5 4" xfId="1574" xr:uid="{7239B96F-FAAF-47A3-A9AC-936B20884404}"/>
    <cellStyle name="Ausgabe 5 40" xfId="19194" xr:uid="{07055788-BF65-4764-8940-21B4D83C8AE3}"/>
    <cellStyle name="Ausgabe 5 41" xfId="20044" xr:uid="{0299D8C7-6342-4559-B260-4531BD80E206}"/>
    <cellStyle name="Ausgabe 5 42" xfId="20465" xr:uid="{3C04083F-0DB3-4195-BB7F-966CA69C82FC}"/>
    <cellStyle name="Ausgabe 5 43" xfId="20918" xr:uid="{6825BC91-E964-4B1B-B168-8EE32C3CA231}"/>
    <cellStyle name="Ausgabe 5 44" xfId="21359" xr:uid="{A775AA06-6B89-4D92-ABA5-0F60DE05DF11}"/>
    <cellStyle name="Ausgabe 5 45" xfId="21847" xr:uid="{0C3E3A4E-D234-4779-B99A-D3283325253A}"/>
    <cellStyle name="Ausgabe 5 46" xfId="22284" xr:uid="{67167694-1222-44A7-8CCD-5258A3E3AF70}"/>
    <cellStyle name="Ausgabe 5 47" xfId="22811" xr:uid="{1C75226E-351E-4038-A9C2-AE51B11ED103}"/>
    <cellStyle name="Ausgabe 5 48" xfId="23333" xr:uid="{CD719864-747C-4F5C-9C30-5329CD52BD29}"/>
    <cellStyle name="Ausgabe 5 49" xfId="23625" xr:uid="{C77D4B56-9D82-4629-9F0C-DFDBFE1397A4}"/>
    <cellStyle name="Ausgabe 5 5" xfId="2484" xr:uid="{0CCA0AC7-F537-41D1-A7D6-BA4B4E034FF8}"/>
    <cellStyle name="Ausgabe 5 50" xfId="23853" xr:uid="{241B048D-E526-401D-873D-20D31DC23F28}"/>
    <cellStyle name="Ausgabe 5 51" xfId="24752" xr:uid="{792E0092-A5F6-47DF-A425-051211238306}"/>
    <cellStyle name="Ausgabe 5 52" xfId="25173" xr:uid="{94629B45-948E-4322-91B8-16046FA49601}"/>
    <cellStyle name="Ausgabe 5 53" xfId="25670" xr:uid="{3F5BAE58-FEB9-4B46-8005-F99B4AA39D2D}"/>
    <cellStyle name="Ausgabe 5 54" xfId="26113" xr:uid="{7DD5A208-EE5F-4EDB-96C3-3E2247DF2B9D}"/>
    <cellStyle name="Ausgabe 5 55" xfId="25096" xr:uid="{B3E025CD-107D-40C0-A930-64D6DE478092}"/>
    <cellStyle name="Ausgabe 5 56" xfId="26960" xr:uid="{C811E8EC-A19E-45B4-A495-69A0A0306DAC}"/>
    <cellStyle name="Ausgabe 5 57" xfId="27379" xr:uid="{96C8B477-EB37-4E4D-A6D6-8BC670260B68}"/>
    <cellStyle name="Ausgabe 5 58" xfId="26043" xr:uid="{C985611B-3FD7-47C1-B274-06FCD0728A6E}"/>
    <cellStyle name="Ausgabe 5 59" xfId="28502" xr:uid="{4093A3B7-967F-4240-8AC8-523BE7FDD685}"/>
    <cellStyle name="Ausgabe 5 6" xfId="2989" xr:uid="{1ABE19FC-8ABA-4E9D-A172-2D5DC731249C}"/>
    <cellStyle name="Ausgabe 5 60" xfId="28970" xr:uid="{859B402D-82CB-4D5D-BFF7-D325801F387D}"/>
    <cellStyle name="Ausgabe 5 61" xfId="29320" xr:uid="{AC02AC78-DDDF-4E5B-9A00-656781131BD5}"/>
    <cellStyle name="Ausgabe 5 62" xfId="29760" xr:uid="{8B03A6A9-FA05-40A2-ADAD-CE1812F92452}"/>
    <cellStyle name="Ausgabe 5 63" xfId="30168" xr:uid="{138F8C3A-57D5-429D-A608-D88A987648E0}"/>
    <cellStyle name="Ausgabe 5 64" xfId="30582" xr:uid="{72EBDC1E-0710-4C2D-91F1-4672CAA2B3BB}"/>
    <cellStyle name="Ausgabe 5 65" xfId="30937" xr:uid="{25B23578-7A62-4060-9F01-3BE865055827}"/>
    <cellStyle name="Ausgabe 5 66" xfId="31206" xr:uid="{C9CCF884-962C-4194-8F78-885717551E7B}"/>
    <cellStyle name="Ausgabe 5 7" xfId="2267" xr:uid="{33F2998C-9B7A-4F71-BAB6-FA2D921C1843}"/>
    <cellStyle name="Ausgabe 5 8" xfId="3980" xr:uid="{9518E388-3A2E-4F16-AB26-A808F0BF43B4}"/>
    <cellStyle name="Ausgabe 5 9" xfId="4418" xr:uid="{BC05966B-B070-4515-895C-A2E4048CDCD7}"/>
    <cellStyle name="Ausgabe 6" xfId="678" xr:uid="{0881752B-D25E-4D20-9591-AD9BC776CDAB}"/>
    <cellStyle name="Ausgabe 6 10" xfId="5326" xr:uid="{5E0CEC75-7774-4994-A0F4-7F0904527F3D}"/>
    <cellStyle name="Ausgabe 6 11" xfId="5649" xr:uid="{71D74FB0-0AC9-4819-BE08-FE846E1EE8BC}"/>
    <cellStyle name="Ausgabe 6 12" xfId="6313" xr:uid="{BE13F99E-967E-4094-8B0E-D5D6AD294E79}"/>
    <cellStyle name="Ausgabe 6 13" xfId="6170" xr:uid="{FEAC7603-ED7C-4391-9083-6B1B466161E3}"/>
    <cellStyle name="Ausgabe 6 14" xfId="7398" xr:uid="{8601ABEE-9ED2-430A-8704-4874C34DE8D9}"/>
    <cellStyle name="Ausgabe 6 15" xfId="7104" xr:uid="{9710A66B-E824-4FAE-BB4D-F0056BBC00A9}"/>
    <cellStyle name="Ausgabe 6 16" xfId="8328" xr:uid="{D89795D1-86F6-4632-A22E-A243122D690E}"/>
    <cellStyle name="Ausgabe 6 17" xfId="8135" xr:uid="{F039564C-047C-4517-809C-343F1E125039}"/>
    <cellStyle name="Ausgabe 6 18" xfId="9612" xr:uid="{20316378-09A7-4403-A5A2-9ED2062FB821}"/>
    <cellStyle name="Ausgabe 6 19" xfId="9190" xr:uid="{536BD9F8-9EA9-409D-A6E6-EDBDA7CBB124}"/>
    <cellStyle name="Ausgabe 6 2" xfId="1160" xr:uid="{1947C82B-924E-4939-AF30-F50387D1B7CE}"/>
    <cellStyle name="Ausgabe 6 20" xfId="9982" xr:uid="{F4D264D7-0E5C-4B39-9AF6-DE55550B36B7}"/>
    <cellStyle name="Ausgabe 6 21" xfId="10381" xr:uid="{4626D096-38C5-4E95-8653-E74B03473837}"/>
    <cellStyle name="Ausgabe 6 22" xfId="10491" xr:uid="{2A63789F-F508-4D7E-A412-51C4A42BC603}"/>
    <cellStyle name="Ausgabe 6 23" xfId="12031" xr:uid="{A5299ABA-620E-4402-8FB7-AC6F03F9A487}"/>
    <cellStyle name="Ausgabe 6 24" xfId="12504" xr:uid="{3A86B798-29AC-474D-BC4F-E9D2BCDDB6DE}"/>
    <cellStyle name="Ausgabe 6 25" xfId="12938" xr:uid="{E72F8972-5CF5-432E-BACE-94AB1DCB459A}"/>
    <cellStyle name="Ausgabe 6 26" xfId="13375" xr:uid="{1ECC5EAF-C483-4289-9FCB-DAF9DC16EF6E}"/>
    <cellStyle name="Ausgabe 6 27" xfId="13880" xr:uid="{8D2B145D-FA89-4A79-BDE5-651B9DAA918A}"/>
    <cellStyle name="Ausgabe 6 28" xfId="14426" xr:uid="{0F86B7EC-2619-4FCF-85B4-F31D248E85CC}"/>
    <cellStyle name="Ausgabe 6 29" xfId="11695" xr:uid="{735275F3-4C6D-4454-81D4-1353889D1616}"/>
    <cellStyle name="Ausgabe 6 3" xfId="1738" xr:uid="{6C86E101-090A-40D9-8E68-A37B2FD61718}"/>
    <cellStyle name="Ausgabe 6 30" xfId="15222" xr:uid="{6742C3C0-E703-48C8-9502-F71555E1AE3A}"/>
    <cellStyle name="Ausgabe 6 31" xfId="13629" xr:uid="{EAC961FE-F98C-40A6-8975-94B703F79849}"/>
    <cellStyle name="Ausgabe 6 32" xfId="15763" xr:uid="{BF1F1AA2-A722-42B2-946D-BE1803B0CA7E}"/>
    <cellStyle name="Ausgabe 6 33" xfId="16723" xr:uid="{10D083CB-914E-4711-9AF6-6AA38E79055C}"/>
    <cellStyle name="Ausgabe 6 34" xfId="16426" xr:uid="{682E7946-1EEF-4B04-9924-C0CE8E9939D1}"/>
    <cellStyle name="Ausgabe 6 35" xfId="16158" xr:uid="{0DDE4F7C-519A-4F0A-B10C-D13CD0403BEF}"/>
    <cellStyle name="Ausgabe 6 36" xfId="16531" xr:uid="{86307DAB-8185-4535-B063-8F482CA43990}"/>
    <cellStyle name="Ausgabe 6 37" xfId="18541" xr:uid="{07DCD1FF-B079-4F43-9CF7-D2F43017CF1A}"/>
    <cellStyle name="Ausgabe 6 38" xfId="17884" xr:uid="{D8FFBFCB-3E41-4686-AB17-72395C6959ED}"/>
    <cellStyle name="Ausgabe 6 39" xfId="19230" xr:uid="{A5135F69-76F1-4F65-B3EB-89720F8B74F7}"/>
    <cellStyle name="Ausgabe 6 4" xfId="2500" xr:uid="{88B3A2F1-0A3E-4C2D-94E3-3C0F286576BD}"/>
    <cellStyle name="Ausgabe 6 40" xfId="20060" xr:uid="{CB3D04AA-F0A7-458A-AD05-DFB39B83E2E6}"/>
    <cellStyle name="Ausgabe 6 41" xfId="19758" xr:uid="{DBD9841C-9A1A-46AC-8D63-739B8B7FEE05}"/>
    <cellStyle name="Ausgabe 6 42" xfId="19610" xr:uid="{6C6890EA-CE4A-4C36-8CD7-CA5E61F813C9}"/>
    <cellStyle name="Ausgabe 6 43" xfId="21011" xr:uid="{1FF9FB7F-61B3-4E10-B4D8-8E694971FA7F}"/>
    <cellStyle name="Ausgabe 6 44" xfId="21611" xr:uid="{D5EF6CEE-9F26-405F-A3FB-95169062BDDD}"/>
    <cellStyle name="Ausgabe 6 45" xfId="21741" xr:uid="{0FD85A71-1B30-4829-9472-80360BDCCCCF}"/>
    <cellStyle name="Ausgabe 6 46" xfId="22862" xr:uid="{4FADDBC4-880A-4BCE-BBFB-3DD0FB5894FF}"/>
    <cellStyle name="Ausgabe 6 47" xfId="22648" xr:uid="{82BEEE97-73C0-4D19-AEF2-1B66BA8A38C1}"/>
    <cellStyle name="Ausgabe 6 48" xfId="23558" xr:uid="{A653B929-2A99-4188-8A63-DA0082069CDE}"/>
    <cellStyle name="Ausgabe 6 49" xfId="23868" xr:uid="{F1ECDEE8-5194-4B06-93CD-2D0AE9312E16}"/>
    <cellStyle name="Ausgabe 6 5" xfId="3048" xr:uid="{C1EEE96C-03CF-485C-A073-B683803E2551}"/>
    <cellStyle name="Ausgabe 6 50" xfId="24768" xr:uid="{B9EEB87F-3677-407A-8AA8-514E49AC59EA}"/>
    <cellStyle name="Ausgabe 6 51" xfId="24986" xr:uid="{60318A71-9BEE-46FF-8424-76A8449C9F16}"/>
    <cellStyle name="Ausgabe 6 52" xfId="25686" xr:uid="{80292B43-F96F-40D8-B9CD-17473FA635DC}"/>
    <cellStyle name="Ausgabe 6 53" xfId="26166" xr:uid="{94832F37-2471-4258-B2F1-E45D2C9CD13A}"/>
    <cellStyle name="Ausgabe 6 54" xfId="26097" xr:uid="{CA640AA1-29FF-4AAB-9073-04E1B87CFC76}"/>
    <cellStyle name="Ausgabe 6 55" xfId="26976" xr:uid="{AACCFBCA-E24A-450A-9FD5-B046F2A2C088}"/>
    <cellStyle name="Ausgabe 6 56" xfId="27395" xr:uid="{494AA28B-ED4C-4918-963D-14A951BAF8FC}"/>
    <cellStyle name="Ausgabe 6 57" xfId="27735" xr:uid="{0F2448D4-C770-445E-AA6E-E2836DB22E62}"/>
    <cellStyle name="Ausgabe 6 58" xfId="28518" xr:uid="{2DDA6F40-226F-4EBB-B57B-1C0B642136D8}"/>
    <cellStyle name="Ausgabe 6 59" xfId="28986" xr:uid="{E39D9A77-F000-49D4-9D73-4B4623DCB65E}"/>
    <cellStyle name="Ausgabe 6 6" xfId="2050" xr:uid="{BD93266A-9ED0-45EA-B526-9555097F3B0D}"/>
    <cellStyle name="Ausgabe 6 60" xfId="28198" xr:uid="{C308FB0D-4EA7-4364-871E-CD9EDF78D43B}"/>
    <cellStyle name="Ausgabe 6 61" xfId="29776" xr:uid="{C758D6BE-DAC8-4B08-A039-0345C0C24738}"/>
    <cellStyle name="Ausgabe 6 62" xfId="30183" xr:uid="{CBBF2CA7-6859-4270-937A-0689DD98750C}"/>
    <cellStyle name="Ausgabe 6 63" xfId="30598" xr:uid="{616DB909-C7A0-4FD7-8BA1-65220875C458}"/>
    <cellStyle name="Ausgabe 6 64" xfId="30979" xr:uid="{9488C6A6-717B-4746-80A7-57B5A7703E5F}"/>
    <cellStyle name="Ausgabe 6 65" xfId="31221" xr:uid="{785EE318-C9C6-46C3-AA19-43199302E6D3}"/>
    <cellStyle name="Ausgabe 6 7" xfId="3996" xr:uid="{E91ABED4-BF34-4D2E-A70B-DDFBA7469DC2}"/>
    <cellStyle name="Ausgabe 6 8" xfId="4434" xr:uid="{5386A7A0-5A20-4AAD-926D-6F1AF482F2BE}"/>
    <cellStyle name="Ausgabe 6 9" xfId="3488" xr:uid="{679A3F3E-A16E-44A2-9CF5-E9EE54B344B7}"/>
    <cellStyle name="Bad 2" xfId="126" xr:uid="{E795ACEF-84E8-4B12-8182-40F007156AD7}"/>
    <cellStyle name="Bad 3" xfId="223" xr:uid="{8F49BADF-D1CC-4865-B61B-9E2F452073DC}"/>
    <cellStyle name="Bad 4" xfId="363" xr:uid="{8EA983CD-CCA2-4DFA-AF61-A9E1D4E2E737}"/>
    <cellStyle name="Berechnung" xfId="46" hidden="1" xr:uid="{61F364C9-48AE-426A-A8B9-42EF1AC38363}"/>
    <cellStyle name="Berechnung" xfId="893" hidden="1" xr:uid="{EBF317E1-F533-4E61-88B7-6897DF89ADA0}"/>
    <cellStyle name="Berechnung" xfId="933" hidden="1" xr:uid="{CF79168A-8902-4F65-8DB0-10D89E2D909A}"/>
    <cellStyle name="Berechnung" xfId="1387" hidden="1" xr:uid="{444B4FF5-BBAF-4307-80EB-77AA9DA586EC}"/>
    <cellStyle name="Berechnung" xfId="1586" hidden="1" xr:uid="{1B9FE06E-D242-465D-B740-E610A225C1F7}"/>
    <cellStyle name="Berechnung" xfId="1866" hidden="1" xr:uid="{31A27EF9-0B7A-467D-AF8B-9CB855E2493A}"/>
    <cellStyle name="Berechnung" xfId="2326" hidden="1" xr:uid="{AF742827-9BED-4813-A0FB-728BE87721F9}"/>
    <cellStyle name="Berechnung" xfId="2948" hidden="1" xr:uid="{F1559AA3-D0FE-4048-A0A7-7E3776A7504A}"/>
    <cellStyle name="Berechnung" xfId="1837" hidden="1" xr:uid="{B14F42C5-20C5-43C4-A446-6C2CB444C138}"/>
    <cellStyle name="Berechnung" xfId="3015" hidden="1" xr:uid="{CF0A0FC1-D64D-4714-B9D2-19F88A330FBB}"/>
    <cellStyle name="Berechnung" xfId="3430" hidden="1" xr:uid="{D0E33A64-7662-41FF-AB18-4BD7C26221AB}"/>
    <cellStyle name="Berechnung" xfId="3175" hidden="1" xr:uid="{920A3389-87B8-4D85-A2D0-46FEBF7A9ADF}"/>
    <cellStyle name="Berechnung" xfId="2732" hidden="1" xr:uid="{FBE2082C-B653-4CB7-9BC3-4B679C78AC80}"/>
    <cellStyle name="Berechnung" xfId="3380" hidden="1" xr:uid="{BAF2543F-CCD3-4B23-9C54-FD4DBC02D035}"/>
    <cellStyle name="Berechnung" xfId="3285" hidden="1" xr:uid="{529367F3-89DF-4C1B-B90B-8F06F31AC50F}"/>
    <cellStyle name="Berechnung" xfId="2874" hidden="1" xr:uid="{B07B6B88-FD55-4E95-8A27-B1F0434066A3}"/>
    <cellStyle name="Berechnung" xfId="3515" hidden="1" xr:uid="{A36C795C-D3E6-4652-9B23-01CCF976BF0E}"/>
    <cellStyle name="Berechnung" xfId="3503" hidden="1" xr:uid="{99231275-0A71-4666-BC37-308FE3B8681B}"/>
    <cellStyle name="Berechnung" xfId="5013" hidden="1" xr:uid="{7E09C788-BEDE-4129-A56C-9EA07D582A8B}"/>
    <cellStyle name="Berechnung" xfId="4222" hidden="1" xr:uid="{74BFE6AB-A224-46BB-BD38-9AAFD683FC63}"/>
    <cellStyle name="Berechnung" xfId="3708" hidden="1" xr:uid="{CC0B5AB2-B75E-4A51-BEBA-08ACDF6EDE73}"/>
    <cellStyle name="Berechnung" xfId="5556" hidden="1" xr:uid="{32A94C38-C2CB-4B2F-874E-FC875E0D3405}"/>
    <cellStyle name="Berechnung" xfId="2930" hidden="1" xr:uid="{0847434C-06D0-410B-8973-AE4338245655}"/>
    <cellStyle name="Berechnung" xfId="5565" hidden="1" xr:uid="{E1D1E286-9D8A-4A20-BC6F-F50206F4047B}"/>
    <cellStyle name="Berechnung" xfId="3250" hidden="1" xr:uid="{2E20E1F9-BFED-40A7-B3C9-63ADB7F96F0B}"/>
    <cellStyle name="Berechnung" xfId="5749" hidden="1" xr:uid="{B0AAC20B-7955-4ECF-9B46-2E988F3B537E}"/>
    <cellStyle name="Berechnung" xfId="3486" hidden="1" xr:uid="{C5F21F9A-F00A-4F01-96F1-520F7353863C}"/>
    <cellStyle name="Berechnung" xfId="5655" hidden="1" xr:uid="{DBC9679D-0720-48D6-B1D7-4DFE0AF0A7B3}"/>
    <cellStyle name="Berechnung" xfId="5607" hidden="1" xr:uid="{8DB2CF7E-FB55-4942-8A3C-48CAAF94AFCB}"/>
    <cellStyle name="Berechnung" xfId="4677" hidden="1" xr:uid="{E7BC3F50-B9DE-49CD-9572-FC5FEDBB3CCC}"/>
    <cellStyle name="Berechnung" xfId="2876" hidden="1" xr:uid="{139E8892-5464-458F-99B9-F7D1B16C312D}"/>
    <cellStyle name="Berechnung" xfId="6291" hidden="1" xr:uid="{854D8AA4-27B3-44AF-929E-E82E755629B9}"/>
    <cellStyle name="Berechnung" xfId="6416" hidden="1" xr:uid="{A69EAD62-5B92-4F18-8512-17150AF59B2E}"/>
    <cellStyle name="Berechnung" xfId="6202" hidden="1" xr:uid="{EE6F8A2A-5AEB-4C1B-9882-03C66B3BBD45}"/>
    <cellStyle name="Berechnung" xfId="6461" hidden="1" xr:uid="{1D43CBFC-E29E-49C6-AB8F-3D3F7B22D93E}"/>
    <cellStyle name="Berechnung" xfId="6596" hidden="1" xr:uid="{9BCCA3E3-B760-41B6-8BCA-27DABE4FEEAB}"/>
    <cellStyle name="Berechnung" xfId="6340" hidden="1" xr:uid="{37BD99B3-CC47-40AF-B7A0-2251CA2A4C7F}"/>
    <cellStyle name="Berechnung" xfId="6780" hidden="1" xr:uid="{AFC1587F-9965-4EA7-A009-47CE313C9E61}"/>
    <cellStyle name="Berechnung" xfId="6966" hidden="1" xr:uid="{8E139EB5-2E6D-434A-8384-9C0D5D299DDA}"/>
    <cellStyle name="Berechnung" xfId="7829" hidden="1" xr:uid="{5529C3CF-E7FD-46A4-A2C2-34B5A26F8E31}"/>
    <cellStyle name="Berechnung" xfId="7116" hidden="1" xr:uid="{3E6FD26D-FBEB-4150-ADCC-6940931D359D}"/>
    <cellStyle name="Berechnung" xfId="8227" hidden="1" xr:uid="{259D1B0C-3F0B-47C1-9148-1FDBBB8DE757}"/>
    <cellStyle name="Berechnung" xfId="8301" hidden="1" xr:uid="{E2727EB8-5706-4BDA-BC6E-1EAFC9554300}"/>
    <cellStyle name="Berechnung" xfId="6764" hidden="1" xr:uid="{4134CFFC-E608-4AAF-B4D8-AEED65ABCDDE}"/>
    <cellStyle name="Berechnung" xfId="8183" hidden="1" xr:uid="{31259500-B57F-41E5-8091-CCD2491D1A42}"/>
    <cellStyle name="Berechnung" xfId="7660" hidden="1" xr:uid="{662312CD-6B6E-4590-9841-6F41A5D20DF8}"/>
    <cellStyle name="Berechnung" xfId="8076" hidden="1" xr:uid="{F1968CF8-C3CD-489F-A036-105A018D88EC}"/>
    <cellStyle name="Berechnung" xfId="6883" hidden="1" xr:uid="{034671E2-61BD-41C4-810A-65E6A002A15B}"/>
    <cellStyle name="Berechnung" xfId="7133" hidden="1" xr:uid="{C33A40EA-DEA8-4EA3-8152-D650CD71CF37}"/>
    <cellStyle name="Berechnung" xfId="6834" hidden="1" xr:uid="{D28D324A-E327-4BEB-BC31-58181EC10437}"/>
    <cellStyle name="Berechnung" xfId="7895" hidden="1" xr:uid="{69483116-191A-4F1A-B6B2-62F96D06BF15}"/>
    <cellStyle name="Berechnung" xfId="8334" hidden="1" xr:uid="{4A4536C4-DD5A-4DD9-BB1E-9BDBAF985D75}"/>
    <cellStyle name="Berechnung" xfId="7162" hidden="1" xr:uid="{E431E2FB-DF00-4AB0-98F4-EC9B7222D8DD}"/>
    <cellStyle name="Berechnung" xfId="8266" hidden="1" xr:uid="{A7AC1E01-B4B4-42DB-AE0E-88E584866AD0}"/>
    <cellStyle name="Berechnung" xfId="6842" hidden="1" xr:uid="{8B67DE6C-305C-4976-8092-A5726D571BFF}"/>
    <cellStyle name="Berechnung" xfId="8346" hidden="1" xr:uid="{AF9507EE-85FD-40BE-A308-6E7686D15B38}"/>
    <cellStyle name="Berechnung" xfId="8782" hidden="1" xr:uid="{77276156-0C3D-434C-B9A3-464FBC6E94B3}"/>
    <cellStyle name="Berechnung" xfId="8344" hidden="1" xr:uid="{48CF0C8E-427B-469E-87C3-0C882BE61C59}"/>
    <cellStyle name="Berechnung" xfId="8626" hidden="1" xr:uid="{09BE001D-0971-44FA-9530-3601EE0B8778}"/>
    <cellStyle name="Berechnung" xfId="7860" hidden="1" xr:uid="{6E93F209-4C63-4CD9-8CCB-C6AE052BC577}"/>
    <cellStyle name="Berechnung" xfId="8992" hidden="1" xr:uid="{9CC70427-41D7-42FE-8769-4D941454F4EB}"/>
    <cellStyle name="Berechnung" xfId="9179" hidden="1" xr:uid="{26CF811C-1627-482B-B2EA-7B8C244E0F11}"/>
    <cellStyle name="Berechnung" xfId="10041" hidden="1" xr:uid="{197C3AF5-FD2D-4CE9-891C-C1DDBA83CD5A}"/>
    <cellStyle name="Berechnung" xfId="9202" hidden="1" xr:uid="{B7B656E0-7B53-4FFA-8444-D9CC3332D099}"/>
    <cellStyle name="Berechnung" xfId="10461" hidden="1" xr:uid="{27B21218-35D3-4591-9169-D644FE86FD2B}"/>
    <cellStyle name="Berechnung" xfId="9243" hidden="1" xr:uid="{3A05CA0A-990A-4449-A36C-9D6511157FBE}"/>
    <cellStyle name="Berechnung" xfId="10877" hidden="1" xr:uid="{03D61462-32F0-41D1-8E04-2CFEFB30F27A}"/>
    <cellStyle name="Berechnung" xfId="10324" hidden="1" xr:uid="{469FAF15-D46E-464E-B4A7-467D2C25FF70}"/>
    <cellStyle name="Berechnung" xfId="10410" hidden="1" xr:uid="{0D258545-928D-4F30-A20A-F924238D5C5A}"/>
    <cellStyle name="Berechnung" xfId="10730" hidden="1" xr:uid="{33333911-93F1-4EC7-98FD-570C10CE84C9}"/>
    <cellStyle name="Berechnung" xfId="10328" hidden="1" xr:uid="{AC481525-303F-4483-960A-654E32F7BE54}"/>
    <cellStyle name="Berechnung" xfId="10949" hidden="1" xr:uid="{DC7D9A25-7D6D-438B-A8D0-5C4AD501F848}"/>
    <cellStyle name="Berechnung" xfId="11116" hidden="1" xr:uid="{436ADA11-6166-4C7F-A618-ED1360675108}"/>
    <cellStyle name="Berechnung" xfId="10013" hidden="1" xr:uid="{A84BF15D-72E4-4CC0-B2B6-3C80534A2D85}"/>
    <cellStyle name="Berechnung" xfId="11248" hidden="1" xr:uid="{10585D83-B8D2-46ED-AF1B-52B6045FABA4}"/>
    <cellStyle name="Berechnung" xfId="11398" hidden="1" xr:uid="{9470EA61-398A-4CD8-9156-2E5C4AC6730C}"/>
    <cellStyle name="Berechnung" xfId="11591" hidden="1" xr:uid="{85494830-CA6F-4BAC-88F0-FE0E75D285BE}"/>
    <cellStyle name="Berechnung" xfId="11389" hidden="1" xr:uid="{16A8F53A-C725-42F5-9AB7-925B94FBD497}"/>
    <cellStyle name="Berechnung" xfId="12278" hidden="1" xr:uid="{79948EC5-BAF6-4AB7-9C03-8B0E64523C18}"/>
    <cellStyle name="Berechnung" xfId="11557" hidden="1" xr:uid="{11C58AFB-3D16-4E15-A16D-46186A222361}"/>
    <cellStyle name="Berechnung" xfId="13781" hidden="1" xr:uid="{44F0414E-300E-40DB-AB7B-1DDD2EE4A81E}"/>
    <cellStyle name="Berechnung" xfId="12275" hidden="1" xr:uid="{C2DEACF1-6A24-4C78-93EE-DC1B9B56C7B6}"/>
    <cellStyle name="Berechnung" xfId="13849" hidden="1" xr:uid="{5392D919-0177-4A2C-8D73-A1E17762D176}"/>
    <cellStyle name="Berechnung" xfId="14228" hidden="1" xr:uid="{019AA88B-E796-4FCB-846E-C2039D0242B8}"/>
    <cellStyle name="Berechnung" xfId="14447" hidden="1" xr:uid="{30D16EF1-10B4-497A-A735-870768A2A706}"/>
    <cellStyle name="Berechnung" xfId="12283" hidden="1" xr:uid="{99A6A1AE-9180-4647-A10A-1EA63C367B6C}"/>
    <cellStyle name="Berechnung" xfId="14553" hidden="1" xr:uid="{5C60F783-19C5-4E59-A21E-99AD1C2C57C4}"/>
    <cellStyle name="Berechnung" xfId="14536" hidden="1" xr:uid="{1549A8FE-B94C-478E-A88F-649070F2199A}"/>
    <cellStyle name="Berechnung" xfId="14977" hidden="1" xr:uid="{00E1CAF3-2BE6-456A-BA06-B17DF976FE11}"/>
    <cellStyle name="Berechnung" xfId="15202" hidden="1" xr:uid="{50B84054-33DE-4EA5-924B-E936EA4D138B}"/>
    <cellStyle name="Berechnung" xfId="15159" hidden="1" xr:uid="{BF99D336-29E2-40AE-A258-ADBBA9491A2F}"/>
    <cellStyle name="Berechnung" xfId="14673" hidden="1" xr:uid="{8D716651-09B4-4EF3-9E67-3CA530F35F1A}"/>
    <cellStyle name="Berechnung" xfId="14100" hidden="1" xr:uid="{10A30DFF-EC4E-4BEF-AD01-0915AF1EF1CC}"/>
    <cellStyle name="Berechnung" xfId="15223" hidden="1" xr:uid="{E3F4CE9D-4385-4764-97CB-3115F094DADB}"/>
    <cellStyle name="Berechnung" xfId="15547" hidden="1" xr:uid="{D90A2DEB-FE25-4498-B5E5-842039865DC3}"/>
    <cellStyle name="Berechnung" xfId="15545" hidden="1" xr:uid="{5F4645F0-DB7A-43A5-9EBB-9649788C7F47}"/>
    <cellStyle name="Berechnung" xfId="15479" hidden="1" xr:uid="{A582A9C5-0EB7-4999-A430-94FF706F0882}"/>
    <cellStyle name="Berechnung" xfId="15760" hidden="1" xr:uid="{72E9A40C-25CE-4A38-80A3-54DAC109E252}"/>
    <cellStyle name="Berechnung" xfId="15920" hidden="1" xr:uid="{A75FDE87-D1F9-412C-84C3-3DC298EA775A}"/>
    <cellStyle name="Berechnung" xfId="15165" hidden="1" xr:uid="{BE178834-6B60-4926-9A96-8A7021770322}"/>
    <cellStyle name="Berechnung" xfId="16089" hidden="1" xr:uid="{59BC1914-F365-41E5-A8BF-34E3AE0F87DE}"/>
    <cellStyle name="Berechnung" xfId="16286" hidden="1" xr:uid="{E23C5F9E-EE07-4657-A390-337D09278E9F}"/>
    <cellStyle name="Berechnung" xfId="17159" hidden="1" xr:uid="{3717E60C-A27C-46DA-BCC5-0CE0E8205CB8}"/>
    <cellStyle name="Berechnung" xfId="16438" hidden="1" xr:uid="{7F6EC770-76C6-4082-A9A7-F48A78224109}"/>
    <cellStyle name="Berechnung" xfId="17604" hidden="1" xr:uid="{F9230860-3CBC-4D60-A192-2F2771C6A075}"/>
    <cellStyle name="Berechnung" xfId="16353" hidden="1" xr:uid="{E3E461AB-9DC3-4D95-A861-5C64A4E67063}"/>
    <cellStyle name="Berechnung" xfId="18029" hidden="1" xr:uid="{92CFB8BA-196D-454F-8AA0-CE3528E7A265}"/>
    <cellStyle name="Berechnung" xfId="17810" hidden="1" xr:uid="{7D5755DD-1224-49E4-8380-C18DA0F3C903}"/>
    <cellStyle name="Berechnung" xfId="17063" hidden="1" xr:uid="{A3CDDB9A-3E53-484D-B81E-D9A4819AB5E7}"/>
    <cellStyle name="Berechnung" xfId="16957" hidden="1" xr:uid="{A53E7744-EB94-4921-AA81-81274CFD9B0D}"/>
    <cellStyle name="Berechnung" xfId="16235" hidden="1" xr:uid="{0285EB3F-BD97-43E1-8DB0-B5FB7E1F4145}"/>
    <cellStyle name="Berechnung" xfId="16253" hidden="1" xr:uid="{E760F7E1-5A2E-4831-8D1A-10D2A35898EF}"/>
    <cellStyle name="Berechnung" xfId="18905" hidden="1" xr:uid="{349A7271-79F7-4ED1-A93F-196D5D4B8BB6}"/>
    <cellStyle name="Berechnung" xfId="18165" hidden="1" xr:uid="{64F418E6-7C9E-457B-AE13-32B3CED0A99D}"/>
    <cellStyle name="Berechnung" xfId="17129" hidden="1" xr:uid="{59BFE47C-6455-45C5-87B4-B483E0BA3CC2}"/>
    <cellStyle name="Berechnung" xfId="18931" hidden="1" xr:uid="{E05A76D7-02F3-4CAF-B8BD-DCA997ACE9D2}"/>
    <cellStyle name="Berechnung" xfId="19242" hidden="1" xr:uid="{73F8D6B8-AAAA-4DEA-B666-D7908E287C15}"/>
    <cellStyle name="Berechnung" xfId="18755" hidden="1" xr:uid="{8778A86F-D92D-42DB-9656-36C4A9FA0185}"/>
    <cellStyle name="Berechnung" xfId="19422" hidden="1" xr:uid="{042A4B00-B9E6-4210-9B3C-58834D68FF50}"/>
    <cellStyle name="Berechnung" xfId="19619" hidden="1" xr:uid="{BA1AF86C-2527-4880-A25F-6553309CBBD4}"/>
    <cellStyle name="Berechnung" xfId="20511" hidden="1" xr:uid="{1818065C-66CF-4D19-8421-4919A1776B37}"/>
    <cellStyle name="Berechnung" xfId="19372" hidden="1" xr:uid="{337F8DEA-1C0A-4925-A59E-05BE9370440B}"/>
    <cellStyle name="Berechnung" xfId="20964" hidden="1" xr:uid="{2739EFC6-0AD9-4FF4-BB93-647BF8D2C77C}"/>
    <cellStyle name="Berechnung" xfId="19599" hidden="1" xr:uid="{245D11B4-BB71-4D45-9036-7114D705B92D}"/>
    <cellStyle name="Berechnung" xfId="21492" hidden="1" xr:uid="{9FB24F5B-2F2F-4E96-B5F3-FE3A5579F659}"/>
    <cellStyle name="Berechnung" xfId="20738" hidden="1" xr:uid="{6BD1A4BA-8B30-49D1-A404-D68DA0C48725}"/>
    <cellStyle name="Berechnung" xfId="21383" hidden="1" xr:uid="{1AA3FF7A-C14B-4490-B94D-DB9E88A28BB7}"/>
    <cellStyle name="Berechnung" xfId="21413" hidden="1" xr:uid="{38F2CA7F-74E8-4205-A316-60959E0F52C4}"/>
    <cellStyle name="Berechnung" xfId="21895" hidden="1" xr:uid="{E93E54A6-11F4-4E52-B295-BB327810F4F3}"/>
    <cellStyle name="Berechnung" xfId="21406" hidden="1" xr:uid="{CC5CA311-0168-498D-89C6-8D7D6B2A1AAC}"/>
    <cellStyle name="Berechnung" xfId="22331" hidden="1" xr:uid="{608E24B3-3D27-40DE-8811-D82E87EC5BD7}"/>
    <cellStyle name="Berechnung" xfId="21752" hidden="1" xr:uid="{5C1D745A-B0C0-4991-B624-FE8A6194BDA3}"/>
    <cellStyle name="Berechnung" xfId="22773" hidden="1" xr:uid="{4052F172-7EE0-4CF8-959D-3706B5248DB8}"/>
    <cellStyle name="Berechnung" xfId="22506" hidden="1" xr:uid="{C51EBFEA-7EA2-4E24-A4FE-CA16AB8EF40E}"/>
    <cellStyle name="Berechnung" xfId="22009" hidden="1" xr:uid="{32EFE059-DE88-478F-AE56-04C13D3096F7}"/>
    <cellStyle name="Berechnung" xfId="23181" hidden="1" xr:uid="{916763CD-2B97-4380-8A34-67A6E255EE6C}"/>
    <cellStyle name="Berechnung" xfId="22775" hidden="1" xr:uid="{2AEFF6B0-8D91-44A8-B862-6B17E0460305}"/>
    <cellStyle name="Berechnung" xfId="20946" hidden="1" xr:uid="{7E2DA94A-9869-4D81-8624-A45EF653781F}"/>
    <cellStyle name="Berechnung" xfId="23370" hidden="1" xr:uid="{0B0D3C13-A40C-4DCB-84F7-695F4AAFB514}"/>
    <cellStyle name="Berechnung" xfId="23575" hidden="1" xr:uid="{B6969091-546E-4249-8918-DAA6FBFA26A8}"/>
    <cellStyle name="Berechnung" xfId="22594" hidden="1" xr:uid="{B5F60B4B-2764-4C16-A32D-E5664D569A19}"/>
    <cellStyle name="Berechnung" xfId="20871" hidden="1" xr:uid="{5091ACDB-FA2C-49A6-802C-60E6499FEC61}"/>
    <cellStyle name="Berechnung" xfId="22511" hidden="1" xr:uid="{2B4BA507-7298-46F3-816E-24A9129BC72A}"/>
    <cellStyle name="Berechnung" xfId="24083" hidden="1" xr:uid="{1D722739-7C54-472F-89D4-4A0290B62FF5}"/>
    <cellStyle name="Berechnung" xfId="22787" hidden="1" xr:uid="{D754DE65-7A50-4BD2-8091-C33263D4F78E}"/>
    <cellStyle name="Berechnung" xfId="24146" hidden="1" xr:uid="{E5DD111D-34BA-4C24-B994-88D1D05F8888}"/>
    <cellStyle name="Berechnung" xfId="24440" hidden="1" xr:uid="{0CE3D405-3C23-4B7E-A284-8935743C9499}"/>
    <cellStyle name="Berechnung" xfId="24760" hidden="1" xr:uid="{6D364F7B-FCB3-483C-8269-BC05CA5CCFB8}"/>
    <cellStyle name="Berechnung" xfId="25300" hidden="1" xr:uid="{17D9E497-6DE7-40B8-800E-815641F43F34}"/>
    <cellStyle name="Berechnung" xfId="25091" hidden="1" xr:uid="{FDBCC3AD-D9E7-4C2C-9BC7-5EBF7C9D0BDA}"/>
    <cellStyle name="Berechnung" xfId="24117" hidden="1" xr:uid="{E6FA30F5-8C3B-4314-A253-788BAD5E3BA6}"/>
    <cellStyle name="Berechnung" xfId="25342" hidden="1" xr:uid="{9CCF4F0A-048A-4354-9C2F-F4BF06F28626}"/>
    <cellStyle name="Berechnung" xfId="25078" hidden="1" xr:uid="{41F4335B-DBE3-4886-B7BF-F13A71D97199}"/>
    <cellStyle name="Berechnung" xfId="26110" hidden="1" xr:uid="{D42717B7-F61F-4F06-AF8C-D0453129A70D}"/>
    <cellStyle name="Berechnung" xfId="25919" hidden="1" xr:uid="{A2EEAB67-52C8-496E-B720-6D8C1002344A}"/>
    <cellStyle name="Berechnung" xfId="26358" hidden="1" xr:uid="{D08AF6F6-6595-4857-BB0A-AC63417BBDF4}"/>
    <cellStyle name="Berechnung" xfId="26681" hidden="1" xr:uid="{76AEE02A-F68B-47DC-90FF-65141868CC1E}"/>
    <cellStyle name="Berechnung" xfId="26384" hidden="1" xr:uid="{C84FB0FE-068E-438A-96D2-1FE500EDDB56}"/>
    <cellStyle name="Berechnung" xfId="26095" hidden="1" xr:uid="{BAED71E5-C2F5-4BE8-92D9-22068BE31F6E}"/>
    <cellStyle name="Berechnung" xfId="27687" hidden="1" xr:uid="{35F7592C-511E-4529-A7BD-C204CE82A551}"/>
    <cellStyle name="Berechnung" xfId="24533" hidden="1" xr:uid="{FDC4D210-C9F4-43D8-B863-3144252BD0A0}"/>
    <cellStyle name="Berechnung" xfId="27865" hidden="1" xr:uid="{D52FA5BE-A5B5-42C7-B617-F5685C874913}"/>
    <cellStyle name="Berechnung" xfId="27708" hidden="1" xr:uid="{141C4E81-AD96-4E49-B598-7AF2869D3B61}"/>
    <cellStyle name="Berechnung" xfId="27802" hidden="1" xr:uid="{B4E42A74-D797-43EE-9D94-D3158F3D9DBC}"/>
    <cellStyle name="Berechnung" xfId="27843" hidden="1" xr:uid="{0851F422-6A23-42B2-ADE8-C85FD0D1C8B2}"/>
    <cellStyle name="Berechnung" xfId="27936" hidden="1" xr:uid="{9DC7C2D7-BCEE-4D35-8E4F-E4753B80388B}"/>
    <cellStyle name="Berechnung" xfId="28113" hidden="1" xr:uid="{224E27C3-44E8-4F84-9A28-2FDED325C5E5}"/>
    <cellStyle name="Berechnung" xfId="27928" hidden="1" xr:uid="{A770EE61-57B1-4F64-AAAD-8474A1FC393A}"/>
    <cellStyle name="Berechnung" xfId="29361" hidden="1" xr:uid="{EDFC6502-F1E0-4360-9D4E-2C9F94BD460C}"/>
    <cellStyle name="Berechnung" xfId="27988" hidden="1" xr:uid="{807C3F71-4945-4563-B93A-FA8DD430A963}"/>
    <cellStyle name="Berechnung" xfId="28086" hidden="1" xr:uid="{B77AAB35-88B2-471F-88C1-FCEB9B295A70}"/>
    <cellStyle name="Berechnung" xfId="28125" hidden="1" xr:uid="{AC57E3D2-F6DD-4CF5-9CDB-4DC229B2EFDE}"/>
    <cellStyle name="Berechnung" xfId="29792" hidden="1" xr:uid="{22C4B2C8-BB65-4F74-B7D0-0B92B85573AA}"/>
    <cellStyle name="Berechnung" xfId="28240" hidden="1" xr:uid="{147877F6-B086-43FC-BD5E-079913DDB494}"/>
    <cellStyle name="Berechnung" xfId="30853" hidden="1" xr:uid="{7E1F11AF-D28E-4037-8EB0-250B971602EA}"/>
    <cellStyle name="Berechnung 2" xfId="392" xr:uid="{97EB10F2-13BA-4AA7-8DFB-092C1A9A365D}"/>
    <cellStyle name="Berechnung 2 10" xfId="4022" xr:uid="{7FB12F25-48F0-44B6-B50D-6556751D2802}"/>
    <cellStyle name="Berechnung 2 11" xfId="4749" xr:uid="{0C0552D0-526E-4760-8287-4607E10417AB}"/>
    <cellStyle name="Berechnung 2 12" xfId="3759" xr:uid="{35ECE05B-0961-41C9-9530-90B6C59BCD9B}"/>
    <cellStyle name="Berechnung 2 13" xfId="5903" xr:uid="{0B92ADB5-1B98-4BC3-B4E8-7301FF6CF29A}"/>
    <cellStyle name="Berechnung 2 14" xfId="6478" xr:uid="{A7648A4E-1DC1-4988-8604-A3D66916C3E5}"/>
    <cellStyle name="Berechnung 2 15" xfId="7119" xr:uid="{E1A78999-56CD-436C-9920-FCE0FC0FFD42}"/>
    <cellStyle name="Berechnung 2 16" xfId="7042" xr:uid="{1C8D17E3-6493-4747-9CE4-0E0D3C7CC6CB}"/>
    <cellStyle name="Berechnung 2 17" xfId="8623" xr:uid="{19BC5578-57D3-483B-B4B9-89792A1CED29}"/>
    <cellStyle name="Berechnung 2 18" xfId="8507" xr:uid="{51B8B900-47B9-4930-B4D4-74F530734AD4}"/>
    <cellStyle name="Berechnung 2 19" xfId="9332" xr:uid="{7AF4D403-D7A1-4D9D-9219-CD52DDD077D2}"/>
    <cellStyle name="Berechnung 2 2" xfId="648" xr:uid="{3E64EDC9-3380-4ACA-A783-0C55A4A09C0F}"/>
    <cellStyle name="Berechnung 2 2 10" xfId="4784" xr:uid="{68542044-B534-42E1-B4C4-2131ABFFD40A}"/>
    <cellStyle name="Berechnung 2 2 11" xfId="5296" xr:uid="{40CCA216-FB8B-4F7F-80A6-ADB5301EB00A}"/>
    <cellStyle name="Berechnung 2 2 12" xfId="3276" xr:uid="{41239D66-5686-45B7-9A78-DD9B561D6B40}"/>
    <cellStyle name="Berechnung 2 2 13" xfId="6268" xr:uid="{06844E3A-1FB8-4036-AFC5-B2B615AE4E23}"/>
    <cellStyle name="Berechnung 2 2 14" xfId="4704" xr:uid="{47E65A23-C555-4EA7-9A27-1CB709F95AD9}"/>
    <cellStyle name="Berechnung 2 2 15" xfId="7368" xr:uid="{39DA47C3-9885-448F-A521-B591FF5ABD9A}"/>
    <cellStyle name="Berechnung 2 2 16" xfId="7097" xr:uid="{FB6DEFDB-D6A3-47B0-9737-CB53BAFBE471}"/>
    <cellStyle name="Berechnung 2 2 17" xfId="7849" xr:uid="{9E227B49-A0F1-445F-9B8C-C99E79DB2591}"/>
    <cellStyle name="Berechnung 2 2 18" xfId="8293" xr:uid="{D0CC09E8-A363-438F-BC73-4F7E2DFF0A83}"/>
    <cellStyle name="Berechnung 2 2 19" xfId="9582" xr:uid="{BE057358-36FF-4753-9795-5C4ABB0F6044}"/>
    <cellStyle name="Berechnung 2 2 2" xfId="863" xr:uid="{50620EDC-2C69-4CDA-ABC3-D385E01FAA69}"/>
    <cellStyle name="Berechnung 2 2 2 10" xfId="5511" xr:uid="{8CCB0176-9123-4285-A502-77655D4C98B4}"/>
    <cellStyle name="Berechnung 2 2 2 11" xfId="5620" xr:uid="{2839615F-2A97-401F-91A6-85136CF12613}"/>
    <cellStyle name="Berechnung 2 2 2 12" xfId="5154" xr:uid="{9823312E-9356-4205-908D-A12A65CBE170}"/>
    <cellStyle name="Berechnung 2 2 2 13" xfId="6556" xr:uid="{653271B3-0E5D-4879-BAC9-1F1E4813BEA0}"/>
    <cellStyle name="Berechnung 2 2 2 14" xfId="7583" xr:uid="{9DE5B563-0999-4E5E-9620-849A29480B0D}"/>
    <cellStyle name="Berechnung 2 2 2 15" xfId="6984" xr:uid="{0BCFEEE4-0B2D-4384-B608-B378408F5944}"/>
    <cellStyle name="Berechnung 2 2 2 16" xfId="6887" xr:uid="{AE7076B1-B234-41AF-B8BD-0C70D5B9130A}"/>
    <cellStyle name="Berechnung 2 2 2 17" xfId="8781" xr:uid="{04E7B7C6-A3EC-4A31-BB11-698DFD7093D1}"/>
    <cellStyle name="Berechnung 2 2 2 18" xfId="9797" xr:uid="{E2107511-9FCA-48A5-B7AB-9A428116A6A5}"/>
    <cellStyle name="Berechnung 2 2 2 19" xfId="9043" xr:uid="{10085795-D763-482A-9825-CF341A5025B1}"/>
    <cellStyle name="Berechnung 2 2 2 2" xfId="1337" xr:uid="{2BD0A075-DBA3-491D-B351-6675DF73C4B5}"/>
    <cellStyle name="Berechnung 2 2 2 20" xfId="9162" xr:uid="{07D0C760-6877-4A5B-9C4D-E9887990898C}"/>
    <cellStyle name="Berechnung 2 2 2 21" xfId="9372" xr:uid="{1780DF61-3DF7-403D-8997-D879A3280D1C}"/>
    <cellStyle name="Berechnung 2 2 2 22" xfId="11193" xr:uid="{CE435F81-EC14-4497-A4DB-7C43E8E220A5}"/>
    <cellStyle name="Berechnung 2 2 2 23" xfId="12216" xr:uid="{56146DA8-5034-49EF-A4DB-BECE4FAE2D66}"/>
    <cellStyle name="Berechnung 2 2 2 24" xfId="12689" xr:uid="{2F3C4097-B5D6-481E-BEC5-822CD7C391F7}"/>
    <cellStyle name="Berechnung 2 2 2 25" xfId="13123" xr:uid="{9EED300A-5B39-4A60-8F8C-5DB35BC431DD}"/>
    <cellStyle name="Berechnung 2 2 2 26" xfId="13560" xr:uid="{C12EED49-D73C-48A2-A6EE-42F7320D6E4D}"/>
    <cellStyle name="Berechnung 2 2 2 27" xfId="11608" xr:uid="{DAA68B86-E534-4170-903E-181810F1F67B}"/>
    <cellStyle name="Berechnung 2 2 2 28" xfId="14479" xr:uid="{97517CE9-C041-430D-B11D-0223298ABED3}"/>
    <cellStyle name="Berechnung 2 2 2 29" xfId="14079" xr:uid="{42F854FF-2262-4A19-87FD-FE7885200C48}"/>
    <cellStyle name="Berechnung 2 2 2 3" xfId="1786" xr:uid="{2F2FD79B-1BBF-41BC-A390-D0205FF9DB3C}"/>
    <cellStyle name="Berechnung 2 2 2 30" xfId="15335" xr:uid="{E1F28859-9D82-473D-AE4F-ED85D35BFD36}"/>
    <cellStyle name="Berechnung 2 2 2 31" xfId="15677" xr:uid="{A67EBB91-F1E5-4EDC-A7CA-C379A386258D}"/>
    <cellStyle name="Berechnung 2 2 2 32" xfId="15566" xr:uid="{768CD51F-BA7C-4461-9B64-910F80A324FB}"/>
    <cellStyle name="Berechnung 2 2 2 33" xfId="16908" xr:uid="{4C5F6F03-6CD4-4F0E-9F06-D4C7325F252C}"/>
    <cellStyle name="Berechnung 2 2 2 34" xfId="16304" xr:uid="{5ABA0F64-A4A6-4D16-A4C5-7015B2E61F3F}"/>
    <cellStyle name="Berechnung 2 2 2 35" xfId="16208" xr:uid="{183CBC52-626C-45CA-8181-9ED18F1F5465}"/>
    <cellStyle name="Berechnung 2 2 2 36" xfId="17635" xr:uid="{C412F555-6861-4DE5-8483-9F5A7DF86582}"/>
    <cellStyle name="Berechnung 2 2 2 37" xfId="18726" xr:uid="{8BE59750-69F2-43F1-8F11-4D0C88A99B5C}"/>
    <cellStyle name="Berechnung 2 2 2 38" xfId="18904" xr:uid="{1217D2BB-D31B-4A05-847D-B2143D674E12}"/>
    <cellStyle name="Berechnung 2 2 2 39" xfId="18938" xr:uid="{0BF256DA-7789-4570-8D76-67C6DCB980C2}"/>
    <cellStyle name="Berechnung 2 2 2 4" xfId="2685" xr:uid="{63361C3A-E921-4AE7-87B2-54A2469B2106}"/>
    <cellStyle name="Berechnung 2 2 2 40" xfId="20245" xr:uid="{08138554-3795-4789-991F-B36121D6AA7E}"/>
    <cellStyle name="Berechnung 2 2 2 41" xfId="19634" xr:uid="{052C89E6-B233-4F26-B950-DCA4AB9FFA38}"/>
    <cellStyle name="Berechnung 2 2 2 42" xfId="20321" xr:uid="{3EA0754A-5BA3-45BE-98C4-EC259C56EBEC}"/>
    <cellStyle name="Berechnung 2 2 2 43" xfId="21479" xr:uid="{FAC13CF9-5151-4214-98EC-8ACA01BD5AB0}"/>
    <cellStyle name="Berechnung 2 2 2 44" xfId="21409" xr:uid="{DDB50A64-2DB8-4474-BC17-CE0B97FFF19D}"/>
    <cellStyle name="Berechnung 2 2 2 45" xfId="21727" xr:uid="{EDCAE9B8-AED8-41FC-86DB-D4AA7A77B50B}"/>
    <cellStyle name="Berechnung 2 2 2 46" xfId="22191" xr:uid="{5C4955BA-B54D-4314-83F9-654CE2D01A7C}"/>
    <cellStyle name="Berechnung 2 2 2 47" xfId="23180" xr:uid="{869F3273-DB89-4B47-925B-99389BDCAAF5}"/>
    <cellStyle name="Berechnung 2 2 2 48" xfId="23212" xr:uid="{7AB960E8-AB59-4055-AD4B-53B5110A6910}"/>
    <cellStyle name="Berechnung 2 2 2 49" xfId="24045" xr:uid="{7E8F4771-E6D5-4D6E-B025-59534D3D2A61}"/>
    <cellStyle name="Berechnung 2 2 2 5" xfId="2252" xr:uid="{C55552EF-02E8-4628-87A1-7446A2615B13}"/>
    <cellStyle name="Berechnung 2 2 2 50" xfId="24953" xr:uid="{D06B7878-30C6-42C0-822D-D1F15DBDE602}"/>
    <cellStyle name="Berechnung 2 2 2 51" xfId="24192" xr:uid="{B49A0C75-CA8D-4FDE-8186-69148C8C8AE7}"/>
    <cellStyle name="Berechnung 2 2 2 52" xfId="25869" xr:uid="{B45EBAF3-666B-4C45-B530-A8D83991DE4B}"/>
    <cellStyle name="Berechnung 2 2 2 53" xfId="25268" xr:uid="{8B5E8D77-7AB5-4514-B1A9-F9867AD7BB00}"/>
    <cellStyle name="Berechnung 2 2 2 54" xfId="26736" xr:uid="{ABE008AB-9898-4C9F-B54F-B04886140E85}"/>
    <cellStyle name="Berechnung 2 2 2 55" xfId="27157" xr:uid="{47EC868D-02AA-4259-AC34-7262245BA87A}"/>
    <cellStyle name="Berechnung 2 2 2 56" xfId="27576" xr:uid="{7A5B3A81-ABA3-4289-B106-4BD3BFACB480}"/>
    <cellStyle name="Berechnung 2 2 2 57" xfId="27213" xr:uid="{241AB238-DCEC-4321-A368-F84DDC8DC36E}"/>
    <cellStyle name="Berechnung 2 2 2 58" xfId="28703" xr:uid="{B0137AF3-A214-4D6E-908D-FDC46E89726D}"/>
    <cellStyle name="Berechnung 2 2 2 59" xfId="29170" xr:uid="{E340DBD4-AD92-4F9C-A4B8-832D0AD1798E}"/>
    <cellStyle name="Berechnung 2 2 2 6" xfId="2863" xr:uid="{ED73F821-4F2A-4F1E-B2A0-F86932EC8D04}"/>
    <cellStyle name="Berechnung 2 2 2 60" xfId="28110" xr:uid="{0B13BE5A-BB92-4198-96E3-5342BE6C0C1B}"/>
    <cellStyle name="Berechnung 2 2 2 61" xfId="29959" xr:uid="{55AD198B-A4E1-421C-8B02-F75F315AA170}"/>
    <cellStyle name="Berechnung 2 2 2 62" xfId="30365" xr:uid="{A376FBD2-DCA9-4C4A-9856-94A4713DE218}"/>
    <cellStyle name="Berechnung 2 2 2 63" xfId="30782" xr:uid="{7820B3E8-E50D-4967-880B-BD3C421202F1}"/>
    <cellStyle name="Berechnung 2 2 2 64" xfId="31027" xr:uid="{F51A5239-AD89-4D6B-8ACA-9A689D69C446}"/>
    <cellStyle name="Berechnung 2 2 2 65" xfId="31398" xr:uid="{C69B505B-D98F-46B9-9C69-6B01258484E4}"/>
    <cellStyle name="Berechnung 2 2 2 7" xfId="4181" xr:uid="{4F2D4531-51FF-4488-9100-FD1B05AAE3B4}"/>
    <cellStyle name="Berechnung 2 2 2 8" xfId="4618" xr:uid="{1090D5D7-809B-4CC9-9278-A1761D3CC51C}"/>
    <cellStyle name="Berechnung 2 2 2 9" xfId="5064" xr:uid="{B0788538-4F6E-4FB4-9EE1-9DE67C03D3CA}"/>
    <cellStyle name="Berechnung 2 2 20" xfId="9310" xr:uid="{7FA12F4E-459E-4171-B87E-60E8412C7B0D}"/>
    <cellStyle name="Berechnung 2 2 21" xfId="8956" xr:uid="{7968D057-26C9-4012-A5BB-DFE325B0A373}"/>
    <cellStyle name="Berechnung 2 2 22" xfId="9387" xr:uid="{27ECC778-3E79-4336-A3ED-CD814F0D9E42}"/>
    <cellStyle name="Berechnung 2 2 23" xfId="11072" xr:uid="{421CD460-2338-4DD1-B63A-1BC7811855AF}"/>
    <cellStyle name="Berechnung 2 2 24" xfId="12001" xr:uid="{4BF1B7A6-3B58-41B1-8CD5-E311F0B893D2}"/>
    <cellStyle name="Berechnung 2 2 25" xfId="12474" xr:uid="{CA422DAD-2EB5-4D49-955D-6E51DBD1F56C}"/>
    <cellStyle name="Berechnung 2 2 26" xfId="12908" xr:uid="{65CBC7AA-B489-401A-A5EE-17BCCC79A81F}"/>
    <cellStyle name="Berechnung 2 2 27" xfId="13345" xr:uid="{F095F4CC-C271-4B46-8C68-8EBC58BD1555}"/>
    <cellStyle name="Berechnung 2 2 28" xfId="12310" xr:uid="{B8FDD43F-0E1C-4FF9-B492-AB11183B0422}"/>
    <cellStyle name="Berechnung 2 2 29" xfId="13188" xr:uid="{D59A60E4-EADF-43A2-8FAC-3C3B9D87CC28}"/>
    <cellStyle name="Berechnung 2 2 3" xfId="1131" xr:uid="{5E4ABF1D-2BC1-413A-AD16-833D9A58F8FB}"/>
    <cellStyle name="Berechnung 2 2 30" xfId="14098" xr:uid="{016066BF-2902-40CA-A29A-B880433D46CB}"/>
    <cellStyle name="Berechnung 2 2 31" xfId="14943" xr:uid="{56CF7C85-D9AB-486A-8DE6-5F642EB81726}"/>
    <cellStyle name="Berechnung 2 2 32" xfId="15695" xr:uid="{868E9F75-9A26-447C-9B95-F67ABA89C54D}"/>
    <cellStyle name="Berechnung 2 2 33" xfId="15219" xr:uid="{62086CE3-CA9F-45FB-A398-B3958D3299B8}"/>
    <cellStyle name="Berechnung 2 2 34" xfId="16693" xr:uid="{D5C54DA4-32A5-48EA-869B-D3B9B6EC7336}"/>
    <cellStyle name="Berechnung 2 2 35" xfId="16419" xr:uid="{CB9C0D3A-1164-4EC2-B981-A3AFD8198E4E}"/>
    <cellStyle name="Berechnung 2 2 36" xfId="16066" xr:uid="{7F41ED23-2CFD-4008-A276-F798A1BC4FE8}"/>
    <cellStyle name="Berechnung 2 2 37" xfId="17511" xr:uid="{AB3197E3-E9F2-4899-A0B6-FEBBB42DF7B3}"/>
    <cellStyle name="Berechnung 2 2 38" xfId="18511" xr:uid="{DE5D8519-5F08-469D-ADB1-654211528418}"/>
    <cellStyle name="Berechnung 2 2 39" xfId="17726" xr:uid="{C8478FCD-AF85-4361-A9A4-8E2DC98D6B6D}"/>
    <cellStyle name="Berechnung 2 2 4" xfId="1577" xr:uid="{18E33D8C-4554-4777-9AAD-551BF7C3E36B}"/>
    <cellStyle name="Berechnung 2 2 40" xfId="17007" xr:uid="{AE8732E1-6931-4008-8D16-10A033031428}"/>
    <cellStyle name="Berechnung 2 2 41" xfId="20030" xr:uid="{BA7EF49B-D03B-4044-9935-30F9524B67A9}"/>
    <cellStyle name="Berechnung 2 2 42" xfId="19754" xr:uid="{2FCBEA8A-153F-4270-8D7F-2DF2792F241C}"/>
    <cellStyle name="Berechnung 2 2 43" xfId="20353" xr:uid="{A5DF8F82-69E9-400D-A7F8-9EC063CFEED9}"/>
    <cellStyle name="Berechnung 2 2 44" xfId="19804" xr:uid="{78665E40-556E-4303-8DE5-04A7DA2A2A9E}"/>
    <cellStyle name="Berechnung 2 2 45" xfId="19540" xr:uid="{2F6D6736-CA24-45FD-897B-AEB768022C0A}"/>
    <cellStyle name="Berechnung 2 2 46" xfId="20899" xr:uid="{2FD56EF0-E252-47E0-A0CE-7F8C6551CD43}"/>
    <cellStyle name="Berechnung 2 2 47" xfId="21997" xr:uid="{F138E5C0-A096-4205-BA8B-FE885AB8CDC0}"/>
    <cellStyle name="Berechnung 2 2 48" xfId="22978" xr:uid="{D21CB933-BBD2-4B3A-AA2E-71AB6F845C81}"/>
    <cellStyle name="Berechnung 2 2 49" xfId="22765" xr:uid="{40C19B56-87F5-4C23-A217-B9CA5F14C5AE}"/>
    <cellStyle name="Berechnung 2 2 5" xfId="2470" xr:uid="{6ABE94BC-2ED6-490E-86F4-0ADCA5015FE7}"/>
    <cellStyle name="Berechnung 2 2 50" xfId="23839" xr:uid="{6AC9E2E0-7708-46F6-ABCD-32E2C74B25F6}"/>
    <cellStyle name="Berechnung 2 2 51" xfId="24738" xr:uid="{6F74EC4A-FAB8-4711-972B-CBA9FAEE7AA1}"/>
    <cellStyle name="Berechnung 2 2 52" xfId="24468" xr:uid="{7772E2DC-D1EE-4BBB-8CFC-38796E61CF09}"/>
    <cellStyle name="Berechnung 2 2 53" xfId="25656" xr:uid="{8B81BDF2-C13A-451D-BEE7-4B6DD563FF51}"/>
    <cellStyle name="Berechnung 2 2 54" xfId="25352" xr:uid="{8E9F48AE-A72E-49F5-AB91-576E0BECF772}"/>
    <cellStyle name="Berechnung 2 2 55" xfId="26628" xr:uid="{3CAD3EBB-5893-4E65-B9A7-2704EB9D6319}"/>
    <cellStyle name="Berechnung 2 2 56" xfId="26946" xr:uid="{9F955B9E-8BAA-4608-BE7F-850224CF3639}"/>
    <cellStyle name="Berechnung 2 2 57" xfId="27365" xr:uid="{98758A5D-A501-4008-A149-1A979766B1AF}"/>
    <cellStyle name="Berechnung 2 2 58" xfId="27784" xr:uid="{BA55A803-3A0A-4E67-90FC-85F1C883B767}"/>
    <cellStyle name="Berechnung 2 2 59" xfId="28488" xr:uid="{29DECD31-8532-4A73-BB53-8A21ADE711DB}"/>
    <cellStyle name="Berechnung 2 2 6" xfId="2010" xr:uid="{3605784D-230F-4EF2-A48F-178082AAE935}"/>
    <cellStyle name="Berechnung 2 2 60" xfId="28956" xr:uid="{34F44169-BFEC-45BF-8F43-DB7D6543A670}"/>
    <cellStyle name="Berechnung 2 2 61" xfId="28069" xr:uid="{55865BF8-4F15-471B-BD76-757CDEF15778}"/>
    <cellStyle name="Berechnung 2 2 62" xfId="29746" xr:uid="{66D561B0-D386-4323-A388-9E88821EB28F}"/>
    <cellStyle name="Berechnung 2 2 63" xfId="30154" xr:uid="{1656A5EF-A672-4280-A739-4CB8EE794E58}"/>
    <cellStyle name="Berechnung 2 2 64" xfId="30568" xr:uid="{DFFA80F2-1618-40ED-95A1-2EA38844F04D}"/>
    <cellStyle name="Berechnung 2 2 65" xfId="30420" xr:uid="{79B1CCD9-B3E6-4DB6-9A1D-496C0FE23D42}"/>
    <cellStyle name="Berechnung 2 2 66" xfId="31192" xr:uid="{FBAF633F-59B4-4480-A0D0-CCC0D74EAC42}"/>
    <cellStyle name="Berechnung 2 2 7" xfId="3645" xr:uid="{5C7F2024-8836-4AA5-98F2-C29BF309A5AB}"/>
    <cellStyle name="Berechnung 2 2 8" xfId="3966" xr:uid="{DC734890-28EF-4014-890E-754FAB94969A}"/>
    <cellStyle name="Berechnung 2 2 9" xfId="4404" xr:uid="{82754044-0580-4F88-8945-B6DD9A89DCF4}"/>
    <cellStyle name="Berechnung 2 20" xfId="9255" xr:uid="{B28240D6-C311-4174-9A4E-943981A0783A}"/>
    <cellStyle name="Berechnung 2 21" xfId="11280" xr:uid="{BC77D581-6943-4F03-A565-7E59E20C0292}"/>
    <cellStyle name="Berechnung 2 22" xfId="11746" xr:uid="{FD15A90F-8CAF-41D9-AB33-EB9039412DD0}"/>
    <cellStyle name="Berechnung 2 23" xfId="11355" xr:uid="{AA41F32D-D343-455E-982A-FCEFB5838D04}"/>
    <cellStyle name="Berechnung 2 24" xfId="11604" xr:uid="{8AFA0AC0-6A47-418D-8DF3-2EA462D920BA}"/>
    <cellStyle name="Berechnung 2 25" xfId="12964" xr:uid="{59A3780A-2FE8-404D-9C18-07E73687C5C1}"/>
    <cellStyle name="Berechnung 2 26" xfId="13867" xr:uid="{FCA3DF2C-5A48-4525-932A-6A5C5815A45C}"/>
    <cellStyle name="Berechnung 2 27" xfId="11673" xr:uid="{F18DADB2-70A8-46EE-A2F9-6817F7094084}"/>
    <cellStyle name="Berechnung 2 28" xfId="15723" xr:uid="{811AB283-9A7D-408A-8D12-9BDC4F895D6D}"/>
    <cellStyle name="Berechnung 2 29" xfId="16441" xr:uid="{B90634AF-D6FC-4901-BB80-FB9DEC7CD97A}"/>
    <cellStyle name="Berechnung 2 3" xfId="513" xr:uid="{C0D6F65E-7FCD-44E4-9012-6DEFC3996611}"/>
    <cellStyle name="Berechnung 2 3 10" xfId="5051" xr:uid="{36088080-86A5-403F-8F82-0263E043B81B}"/>
    <cellStyle name="Berechnung 2 3 11" xfId="5161" xr:uid="{3443303C-C009-4DEE-B90E-3995820A62FC}"/>
    <cellStyle name="Berechnung 2 3 12" xfId="5140" xr:uid="{2211FBC7-F9D7-48B7-8C64-AA590BAF455C}"/>
    <cellStyle name="Berechnung 2 3 13" xfId="5808" xr:uid="{B92DB558-954E-4D75-9F26-0FA76DDC6766}"/>
    <cellStyle name="Berechnung 2 3 14" xfId="6674" xr:uid="{7EF94B82-56FD-4F49-BC45-F569326BC38F}"/>
    <cellStyle name="Berechnung 2 3 15" xfId="7233" xr:uid="{4F65E832-5618-42CC-976A-911076F0EE8D}"/>
    <cellStyle name="Berechnung 2 3 16" xfId="7752" xr:uid="{9A027672-80F1-49F4-810B-2C2C1D83FF5E}"/>
    <cellStyle name="Berechnung 2 3 17" xfId="7175" xr:uid="{A2F0DBF6-E507-49BE-A6FE-5168D5F5AA73}"/>
    <cellStyle name="Berechnung 2 3 18" xfId="8815" xr:uid="{B9D9BCFB-5C3E-4394-980A-5999E376579C}"/>
    <cellStyle name="Berechnung 2 3 19" xfId="9447" xr:uid="{C969CDE3-2F13-45DA-975E-98F370F03389}"/>
    <cellStyle name="Berechnung 2 3 2" xfId="728" xr:uid="{A9EEB3AD-7486-41BA-A022-F2DBAD0431E2}"/>
    <cellStyle name="Berechnung 2 3 2 10" xfId="5376" xr:uid="{789892A6-AF3C-4644-9F28-3F39F4A3D26A}"/>
    <cellStyle name="Berechnung 2 3 2 11" xfId="5930" xr:uid="{5A0CE63E-5BF6-4A34-9432-50F22DCC5950}"/>
    <cellStyle name="Berechnung 2 3 2 12" xfId="6281" xr:uid="{F59F6635-130E-4EF9-B9A5-82067E6BB207}"/>
    <cellStyle name="Berechnung 2 3 2 13" xfId="6673" xr:uid="{A2C60E39-3040-4A1E-B1F7-16C13E6174E2}"/>
    <cellStyle name="Berechnung 2 3 2 14" xfId="7448" xr:uid="{668D09F5-F62D-4A13-9CE9-5B96EB0D662D}"/>
    <cellStyle name="Berechnung 2 3 2 15" xfId="7965" xr:uid="{1BF7727E-8652-492B-916B-2651A693D4DB}"/>
    <cellStyle name="Berechnung 2 3 2 16" xfId="8365" xr:uid="{9CCC4EFB-0D61-449E-BC5F-12A3D0FAA668}"/>
    <cellStyle name="Berechnung 2 3 2 17" xfId="7942" xr:uid="{53187699-29C8-4F9A-9133-B16D69F42326}"/>
    <cellStyle name="Berechnung 2 3 2 18" xfId="9662" xr:uid="{0559FC01-0764-4EF8-9192-F968E9CB4BE2}"/>
    <cellStyle name="Berechnung 2 3 2 19" xfId="10180" xr:uid="{D136BFAE-65D8-456C-A0A5-345FE0D84D9B}"/>
    <cellStyle name="Berechnung 2 3 2 2" xfId="1202" xr:uid="{02957A43-5883-4AE2-997E-6686A3F59A18}"/>
    <cellStyle name="Berechnung 2 3 2 20" xfId="10586" xr:uid="{3717BA2E-EBA5-4CBA-A735-48CD6611BB0C}"/>
    <cellStyle name="Berechnung 2 3 2 21" xfId="9888" xr:uid="{E57FD0C6-B8C7-4AC7-B8AB-73BC8E5BC177}"/>
    <cellStyle name="Berechnung 2 3 2 22" xfId="11290" xr:uid="{5478EC92-C4FA-4E36-99DE-9030CD924D5B}"/>
    <cellStyle name="Berechnung 2 3 2 23" xfId="12081" xr:uid="{B3122828-1142-4CEE-B98E-8011CD346E9F}"/>
    <cellStyle name="Berechnung 2 3 2 24" xfId="12554" xr:uid="{BE7A1506-FFBC-49D7-A6D4-0991FC89AF9F}"/>
    <cellStyle name="Berechnung 2 3 2 25" xfId="12988" xr:uid="{0A313994-DE9C-4189-A6F5-936A452F7BCB}"/>
    <cellStyle name="Berechnung 2 3 2 26" xfId="13425" xr:uid="{A4F5867A-A81D-4F0D-8F80-458757A70A86}"/>
    <cellStyle name="Berechnung 2 3 2 27" xfId="13926" xr:uid="{9678A8FE-7690-46FB-94D4-2C750925DA97}"/>
    <cellStyle name="Berechnung 2 3 2 28" xfId="13912" xr:uid="{AF56A16D-C99C-452E-A555-04C163D17F5B}"/>
    <cellStyle name="Berechnung 2 3 2 29" xfId="14829" xr:uid="{B2702719-64C1-4BC7-B51A-B72ACA539524}"/>
    <cellStyle name="Berechnung 2 3 2 3" xfId="1543" xr:uid="{AAB45A16-3FF3-4E44-B33A-87C38D7A7F6B}"/>
    <cellStyle name="Berechnung 2 3 2 30" xfId="14552" xr:uid="{18ACFACB-B1BC-479C-A690-6130FB882F53}"/>
    <cellStyle name="Berechnung 2 3 2 31" xfId="15589" xr:uid="{DBE073BC-F654-43A9-ADC6-BCEDC25D5F6C}"/>
    <cellStyle name="Berechnung 2 3 2 32" xfId="15950" xr:uid="{A9D942B5-FE6C-473C-A112-73927866DA74}"/>
    <cellStyle name="Berechnung 2 3 2 33" xfId="16773" xr:uid="{783E660F-BA17-4845-B523-00CE3396FBA5}"/>
    <cellStyle name="Berechnung 2 3 2 34" xfId="17300" xr:uid="{694E3837-0702-499B-A284-257AE60E7ED3}"/>
    <cellStyle name="Berechnung 2 3 2 35" xfId="17743" xr:uid="{4D313A8A-8CA8-49C7-AA13-F1E4B80955CA}"/>
    <cellStyle name="Berechnung 2 3 2 36" xfId="18239" xr:uid="{F0397424-7395-4C3A-B88F-DD79B557088D}"/>
    <cellStyle name="Berechnung 2 3 2 37" xfId="18591" xr:uid="{5C064CB5-9EB9-4C9A-9DAD-4F8413B6420B}"/>
    <cellStyle name="Berechnung 2 3 2 38" xfId="18891" xr:uid="{7D667FC2-AE20-4CDB-996A-7E5FDF36D778}"/>
    <cellStyle name="Berechnung 2 3 2 39" xfId="18897" xr:uid="{7C767EDC-B23F-4D49-9E48-4F486011F33A}"/>
    <cellStyle name="Berechnung 2 3 2 4" xfId="2550" xr:uid="{6EA4EA1E-EAEA-4061-B7F6-BD0EEC963AAC}"/>
    <cellStyle name="Berechnung 2 3 2 40" xfId="20110" xr:uid="{5C340032-64FB-4178-85B0-B0C184514FC5}"/>
    <cellStyle name="Berechnung 2 3 2 41" xfId="20650" xr:uid="{D645B714-9E16-46A8-AB9E-4CB64F9507E7}"/>
    <cellStyle name="Berechnung 2 3 2 42" xfId="21107" xr:uid="{29631F1D-F9AA-4BDA-8B8D-4C6F06BE14A0}"/>
    <cellStyle name="Berechnung 2 3 2 43" xfId="21138" xr:uid="{5EB0ABEA-D8DB-488E-BB52-197FD68E79B4}"/>
    <cellStyle name="Berechnung 2 3 2 44" xfId="22038" xr:uid="{21FBCEE8-B158-488B-9C8A-7F77C78D94E2}"/>
    <cellStyle name="Berechnung 2 3 2 45" xfId="22467" xr:uid="{F2909D04-B27C-459E-B811-FD4A3EAA30CA}"/>
    <cellStyle name="Berechnung 2 3 2 46" xfId="22902" xr:uid="{74837A68-66E4-48D1-BE1C-F3727045E89A}"/>
    <cellStyle name="Berechnung 2 3 2 47" xfId="23167" xr:uid="{81EE0156-3485-4389-8F3B-9D8787BBA83E}"/>
    <cellStyle name="Berechnung 2 3 2 48" xfId="22508" xr:uid="{01155A86-73B4-4F2D-9661-44784ECE26AB}"/>
    <cellStyle name="Berechnung 2 3 2 49" xfId="23910" xr:uid="{372A955C-7D28-42C5-834F-3585AAB9C308}"/>
    <cellStyle name="Berechnung 2 3 2 5" xfId="3094" xr:uid="{C727194F-E899-45FA-8168-85DE444CDB24}"/>
    <cellStyle name="Berechnung 2 3 2 50" xfId="24818" xr:uid="{D5F15653-9101-47D5-B28B-13FC39BDCBBD}"/>
    <cellStyle name="Berechnung 2 3 2 51" xfId="25354" xr:uid="{C5107536-6F16-46D3-852B-AEC76D4F9D0E}"/>
    <cellStyle name="Berechnung 2 3 2 52" xfId="25734" xr:uid="{511D424C-C29E-473A-9AFD-15560604089E}"/>
    <cellStyle name="Berechnung 2 3 2 53" xfId="26207" xr:uid="{18984787-BEE8-4D98-8C61-5134629320D1}"/>
    <cellStyle name="Berechnung 2 3 2 54" xfId="26671" xr:uid="{1BC46A09-7174-4647-BCA9-7161E27A139D}"/>
    <cellStyle name="Berechnung 2 3 2 55" xfId="27022" xr:uid="{EC1F8B6E-BAD0-4136-8513-50B22923CC71}"/>
    <cellStyle name="Berechnung 2 3 2 56" xfId="27441" xr:uid="{2ACA414F-EC9C-4FEB-B07B-AAE5D8C433D4}"/>
    <cellStyle name="Berechnung 2 3 2 57" xfId="27820" xr:uid="{93814C5F-0704-4094-B862-3A2AF1AC5B5A}"/>
    <cellStyle name="Berechnung 2 3 2 58" xfId="28568" xr:uid="{1B867A86-81E8-4442-B98D-BC088697E57B}"/>
    <cellStyle name="Berechnung 2 3 2 59" xfId="29035" xr:uid="{6CC67769-4CA2-4396-90E3-F1C547AADB15}"/>
    <cellStyle name="Berechnung 2 3 2 6" xfId="2007" xr:uid="{9301F129-FC71-4EBC-94E0-D65FE17C0D1C}"/>
    <cellStyle name="Berechnung 2 3 2 60" xfId="29478" xr:uid="{5D56F3AE-103E-4262-BEA6-57A4EF373C45}"/>
    <cellStyle name="Berechnung 2 3 2 61" xfId="29824" xr:uid="{5392B12A-8AF6-478F-A915-51F47A12A2BC}"/>
    <cellStyle name="Berechnung 2 3 2 62" xfId="30230" xr:uid="{0C50212B-C52E-47DD-8F62-9AFB2DA2BAC6}"/>
    <cellStyle name="Berechnung 2 3 2 63" xfId="30647" xr:uid="{46F25F91-9669-4860-9169-CC40CA2EE4DA}"/>
    <cellStyle name="Berechnung 2 3 2 64" xfId="30397" xr:uid="{B401182F-B5E6-4371-A58B-1183CF27C10B}"/>
    <cellStyle name="Berechnung 2 3 2 65" xfId="31263" xr:uid="{23E2AF34-15B4-4556-AEDA-F95DECA8113D}"/>
    <cellStyle name="Berechnung 2 3 2 7" xfId="4046" xr:uid="{5438B44F-B8A8-4666-B003-6F6567ADC004}"/>
    <cellStyle name="Berechnung 2 3 2 8" xfId="4483" xr:uid="{C9D1053F-567B-4F3B-A790-90FDCBF4C4CF}"/>
    <cellStyle name="Berechnung 2 3 2 9" xfId="3371" xr:uid="{AB11C7D0-BD7B-47AA-9E77-9D6B5079AFF7}"/>
    <cellStyle name="Berechnung 2 3 20" xfId="9966" xr:uid="{1098744F-7AD7-475E-A25F-07B4683053D9}"/>
    <cellStyle name="Berechnung 2 3 21" xfId="10394" xr:uid="{D8C64D50-AC56-4D3D-831A-911A5CF4204F}"/>
    <cellStyle name="Berechnung 2 3 22" xfId="8983" xr:uid="{3469967E-D3C5-457A-800E-C928FEBB2008}"/>
    <cellStyle name="Berechnung 2 3 23" xfId="11291" xr:uid="{056A4ECC-7125-41C5-B5FD-3786BB782700}"/>
    <cellStyle name="Berechnung 2 3 24" xfId="11866" xr:uid="{D7A16070-05D6-423D-AF0B-50207ABBF149}"/>
    <cellStyle name="Berechnung 2 3 25" xfId="12339" xr:uid="{1D716E20-A38B-4960-A71C-213AF5F62E3B}"/>
    <cellStyle name="Berechnung 2 3 26" xfId="12773" xr:uid="{C7B39161-EE8D-45A8-B2D1-323BDC453B0F}"/>
    <cellStyle name="Berechnung 2 3 27" xfId="13210" xr:uid="{1FF4E265-988F-40E6-96DE-8797002CCD06}"/>
    <cellStyle name="Berechnung 2 3 28" xfId="13161" xr:uid="{1B85C1DF-6D4B-4482-BE1F-C177F7C82E34}"/>
    <cellStyle name="Berechnung 2 3 29" xfId="14265" xr:uid="{AFDE68A1-9400-4882-B121-E5B612F6AD6D}"/>
    <cellStyle name="Berechnung 2 3 3" xfId="996" xr:uid="{E821A119-69CA-4B27-A944-0F18736BADCD}"/>
    <cellStyle name="Berechnung 2 3 30" xfId="14632" xr:uid="{4723C7FC-F095-46E3-BF54-374305792AAB}"/>
    <cellStyle name="Berechnung 2 3 31" xfId="14309" xr:uid="{31739ED3-07C9-4C42-9B36-86296DA9C24D}"/>
    <cellStyle name="Berechnung 2 3 32" xfId="15538" xr:uid="{0A4F8B87-175A-4F24-80E8-9DE68E57B058}"/>
    <cellStyle name="Berechnung 2 3 33" xfId="15836" xr:uid="{88A69FB1-FF5D-49BC-9FAA-38B79984DBBA}"/>
    <cellStyle name="Berechnung 2 3 34" xfId="16558" xr:uid="{A2EC0670-A24D-4CF3-9A04-3C63A32F23E1}"/>
    <cellStyle name="Berechnung 2 3 35" xfId="17081" xr:uid="{B4CBC7CA-B0AA-44DA-BACB-B13FEE2AC005}"/>
    <cellStyle name="Berechnung 2 3 36" xfId="17528" xr:uid="{F946D8AF-C6DE-43CA-ABC5-41791C5BF1F0}"/>
    <cellStyle name="Berechnung 2 3 37" xfId="18242" xr:uid="{E80F4FAB-B0FC-4D3F-AE70-42169B3295E5}"/>
    <cellStyle name="Berechnung 2 3 38" xfId="18376" xr:uid="{A7026313-7BA1-473F-BB65-2F9FEE043962}"/>
    <cellStyle name="Berechnung 2 3 39" xfId="18949" xr:uid="{A945B15D-839D-4686-9F6D-10D7BF58945A}"/>
    <cellStyle name="Berechnung 2 3 4" xfId="1610" xr:uid="{36139460-E443-4DE5-A109-D7C82F11DE1B}"/>
    <cellStyle name="Berechnung 2 3 40" xfId="19090" xr:uid="{628CF037-0EA9-4C8A-ACEC-F336DD8DD958}"/>
    <cellStyle name="Berechnung 2 3 41" xfId="19895" xr:uid="{1258B58D-55D8-4C8F-8289-0C8B1A261FE1}"/>
    <cellStyle name="Berechnung 2 3 42" xfId="20434" xr:uid="{60878D1E-4D8A-45F8-8D01-77D9F88064ED}"/>
    <cellStyle name="Berechnung 2 3 43" xfId="20886" xr:uid="{F995117E-EC3C-41E2-9681-196BE9B65923}"/>
    <cellStyle name="Berechnung 2 3 44" xfId="21527" xr:uid="{CBCA85BF-1B28-4C9C-B5BA-DCB66206C3CE}"/>
    <cellStyle name="Berechnung 2 3 45" xfId="21818" xr:uid="{8DC0D8F2-F205-4884-BE52-9E749F9DA029}"/>
    <cellStyle name="Berechnung 2 3 46" xfId="22252" xr:uid="{2237BBD8-983F-4A07-A190-B76FBA04A363}"/>
    <cellStyle name="Berechnung 2 3 47" xfId="19702" xr:uid="{4EA4B4CF-447D-4982-840C-53AF1B9E0DBF}"/>
    <cellStyle name="Berechnung 2 3 48" xfId="23235" xr:uid="{A30C59E0-0D1C-400E-8636-77AF453AFF0A}"/>
    <cellStyle name="Berechnung 2 3 49" xfId="23254" xr:uid="{F5FB2881-5610-489A-AEB6-43DC17BBF7AF}"/>
    <cellStyle name="Berechnung 2 3 5" xfId="2335" xr:uid="{EDCF7913-47AE-4893-81FB-A3B55761D92F}"/>
    <cellStyle name="Berechnung 2 3 50" xfId="23704" xr:uid="{94CEEF87-C6D3-4913-8244-672267F20E08}"/>
    <cellStyle name="Berechnung 2 3 51" xfId="24603" xr:uid="{33A9C7B5-7D76-4B00-9444-8D8E8DFAF82E}"/>
    <cellStyle name="Berechnung 2 3 52" xfId="25141" xr:uid="{F3D42930-0B79-4C67-84D4-54D211C126C5}"/>
    <cellStyle name="Berechnung 2 3 53" xfId="25521" xr:uid="{F8BBC406-6C5D-41A9-9F8C-7E8D06A91465}"/>
    <cellStyle name="Berechnung 2 3 54" xfId="25399" xr:uid="{85E3E96B-E868-4B73-A383-11C6DE04737E}"/>
    <cellStyle name="Berechnung 2 3 55" xfId="26726" xr:uid="{8DEC5F0D-9B61-414E-9669-50B267E9A185}"/>
    <cellStyle name="Berechnung 2 3 56" xfId="26811" xr:uid="{731D3481-D53E-4B81-9CD3-3DFFD6B34493}"/>
    <cellStyle name="Berechnung 2 3 57" xfId="27230" xr:uid="{9F59977E-C5B4-4C47-91FF-A142F90C29A1}"/>
    <cellStyle name="Berechnung 2 3 58" xfId="27189" xr:uid="{96BBBFAC-9F09-4359-B6E7-C1040C685366}"/>
    <cellStyle name="Berechnung 2 3 59" xfId="28353" xr:uid="{AB195179-FB92-4B99-87A2-820C102B2F44}"/>
    <cellStyle name="Berechnung 2 3 6" xfId="2114" xr:uid="{6EB92B0F-7797-4B89-99BB-A34BAE0D846C}"/>
    <cellStyle name="Berechnung 2 3 60" xfId="28821" xr:uid="{0DAB1C22-C838-4EAE-89E7-C4714752658B}"/>
    <cellStyle name="Berechnung 2 3 61" xfId="29293" xr:uid="{0FE2406B-68B2-4151-840B-7198092E472D}"/>
    <cellStyle name="Berechnung 2 3 62" xfId="29611" xr:uid="{3CF6AB27-A7B2-4EE4-B4B8-6793E03FA7BF}"/>
    <cellStyle name="Berechnung 2 3 63" xfId="30019" xr:uid="{D90C1C3C-2588-4781-B889-173B91F92187}"/>
    <cellStyle name="Berechnung 2 3 64" xfId="30433" xr:uid="{6022F4EF-5AB0-417D-AEEB-7E36CE2884C8}"/>
    <cellStyle name="Berechnung 2 3 65" xfId="30880" xr:uid="{10CB6313-DCAB-4E3F-86A5-8DA4FD65AE36}"/>
    <cellStyle name="Berechnung 2 3 66" xfId="31057" xr:uid="{79145AA5-3BA4-40AE-962A-44128B347EED}"/>
    <cellStyle name="Berechnung 2 3 7" xfId="3317" xr:uid="{E0CB249C-F689-4CD4-B3D1-8DAE11FF043E}"/>
    <cellStyle name="Berechnung 2 3 8" xfId="3831" xr:uid="{B5DF59D5-2C72-4433-B248-A8B92DC5BAF8}"/>
    <cellStyle name="Berechnung 2 3 9" xfId="4269" xr:uid="{DAD3D4EA-43AE-4160-9FA6-76B6D9D32AAA}"/>
    <cellStyle name="Berechnung 2 30" xfId="16365" xr:uid="{E6B98430-51E5-4A35-9483-01877194B4A4}"/>
    <cellStyle name="Berechnung 2 31" xfId="18196" xr:uid="{78368DA5-C2D8-46F2-8B73-8930C6421BAC}"/>
    <cellStyle name="Berechnung 2 32" xfId="18204" xr:uid="{ABF6D725-7F47-497E-AABB-69CBCF2D6ABA}"/>
    <cellStyle name="Berechnung 2 33" xfId="17690" xr:uid="{D3D2ADB9-77BE-4F39-8D89-6B6BF27E1169}"/>
    <cellStyle name="Berechnung 2 34" xfId="19775" xr:uid="{C11871F9-71A3-42F9-AE61-73043E23A50B}"/>
    <cellStyle name="Berechnung 2 35" xfId="19698" xr:uid="{DEC52CF3-954A-4D79-B711-015A88799336}"/>
    <cellStyle name="Berechnung 2 36" xfId="22071" xr:uid="{9550E9FD-5B43-499E-BC10-4FB715C4D15B}"/>
    <cellStyle name="Berechnung 2 37" xfId="22851" xr:uid="{586FF3D9-8E8D-4265-84BD-E3EEF3F82F61}"/>
    <cellStyle name="Berechnung 2 38" xfId="23036" xr:uid="{179E6DB3-5D42-44C1-9E63-A41EBE72902E}"/>
    <cellStyle name="Berechnung 2 39" xfId="24486" xr:uid="{583242A5-1469-4079-BA68-6178CD4A140A}"/>
    <cellStyle name="Berechnung 2 4" xfId="569" xr:uid="{16ACFD70-3424-4579-9DD0-CE07C5B27CF6}"/>
    <cellStyle name="Berechnung 2 4 10" xfId="4790" xr:uid="{1604E277-FEF3-4062-8C7D-5D3136C7B1F2}"/>
    <cellStyle name="Berechnung 2 4 11" xfId="5217" xr:uid="{81A82AA5-49F7-4846-BFE2-60865AAA3FC6}"/>
    <cellStyle name="Berechnung 2 4 12" xfId="5554" xr:uid="{4F1B9377-D2FF-4B3A-A9FD-5E058586F3B8}"/>
    <cellStyle name="Berechnung 2 4 13" xfId="6262" xr:uid="{0BDA4BCB-A2D3-4146-B8BA-0316ED40F630}"/>
    <cellStyle name="Berechnung 2 4 14" xfId="6177" xr:uid="{5BF3FE8A-BCD7-43F6-BC74-D77B426916EE}"/>
    <cellStyle name="Berechnung 2 4 15" xfId="7289" xr:uid="{BA933841-AD34-4D15-928B-B7FCBAB16BA0}"/>
    <cellStyle name="Berechnung 2 4 16" xfId="7034" xr:uid="{5B4941CF-8B6F-4640-8547-A5E18C5BB411}"/>
    <cellStyle name="Berechnung 2 4 17" xfId="8616" xr:uid="{ACF00F66-6973-4788-95C3-EBFA5CC422AC}"/>
    <cellStyle name="Berechnung 2 4 18" xfId="8886" xr:uid="{D4A40190-605D-47D5-B9B8-DD64CEB7BF98}"/>
    <cellStyle name="Berechnung 2 4 19" xfId="9503" xr:uid="{5EE982BA-35DA-477E-9065-B6695DFBD412}"/>
    <cellStyle name="Berechnung 2 4 2" xfId="784" xr:uid="{73A672B7-CA9D-4EC8-B780-245AE464444A}"/>
    <cellStyle name="Berechnung 2 4 2 10" xfId="5432" xr:uid="{82CB8643-AB95-45C9-8D49-5E4353B3240F}"/>
    <cellStyle name="Berechnung 2 4 2 11" xfId="5795" xr:uid="{FB5E0C10-F5D2-4319-A700-8E0631D27882}"/>
    <cellStyle name="Berechnung 2 4 2 12" xfId="3651" xr:uid="{724CC8FA-0B60-4EE7-8B9A-676F4644EFC1}"/>
    <cellStyle name="Berechnung 2 4 2 13" xfId="6404" xr:uid="{7D8EF2D8-6436-429A-8C12-2CE653E3AEED}"/>
    <cellStyle name="Berechnung 2 4 2 14" xfId="7504" xr:uid="{9AAE209B-3C3D-4068-966B-6F71BECD0202}"/>
    <cellStyle name="Berechnung 2 4 2 15" xfId="6826" xr:uid="{D062F8A8-7F2F-4977-821A-7FAFFEC5C2BF}"/>
    <cellStyle name="Berechnung 2 4 2 16" xfId="8110" xr:uid="{4C07F1D8-C59E-4440-B79F-88BCB8CB83B9}"/>
    <cellStyle name="Berechnung 2 4 2 17" xfId="7809" xr:uid="{F1DFD533-9345-4859-8904-626292A2A230}"/>
    <cellStyle name="Berechnung 2 4 2 18" xfId="9718" xr:uid="{27F7E3B7-8A38-4756-8780-51225877E5E8}"/>
    <cellStyle name="Berechnung 2 4 2 19" xfId="9340" xr:uid="{B92F6B79-00A0-4FF4-ADF8-99D906AE48D6}"/>
    <cellStyle name="Berechnung 2 4 2 2" xfId="1258" xr:uid="{F9630687-4FC0-4BED-A424-E6C4B8848749}"/>
    <cellStyle name="Berechnung 2 4 2 20" xfId="9157" xr:uid="{C2CC8AAD-7FA3-4DFF-8AAD-F1B45B25DD06}"/>
    <cellStyle name="Berechnung 2 4 2 21" xfId="10614" xr:uid="{84E640C0-33C5-472C-8E0A-47FE795E8DF4}"/>
    <cellStyle name="Berechnung 2 4 2 22" xfId="11211" xr:uid="{3B27FE96-D9F8-48FE-B5F7-12D61B38EB2A}"/>
    <cellStyle name="Berechnung 2 4 2 23" xfId="12137" xr:uid="{C8D63A1A-C442-4EE4-BFA8-836CD93ECA3E}"/>
    <cellStyle name="Berechnung 2 4 2 24" xfId="12610" xr:uid="{2FE094FB-6F23-4DD9-8AA1-F4823AC7FE00}"/>
    <cellStyle name="Berechnung 2 4 2 25" xfId="13044" xr:uid="{B795AF25-88C9-4EF0-A44E-D82D8A84745A}"/>
    <cellStyle name="Berechnung 2 4 2 26" xfId="13481" xr:uid="{D2F54F54-F4D8-4436-BE65-F7A561598460}"/>
    <cellStyle name="Berechnung 2 4 2 27" xfId="11833" xr:uid="{F9AE1083-0EA5-4BB1-948F-DB40A70CA655}"/>
    <cellStyle name="Berechnung 2 4 2 28" xfId="11772" xr:uid="{8B8094F7-9685-432F-8660-F51988DFA599}"/>
    <cellStyle name="Berechnung 2 4 2 29" xfId="14351" xr:uid="{5222F100-2CA1-42A9-B350-E6A22989B695}"/>
    <cellStyle name="Berechnung 2 4 2 3" xfId="1510" xr:uid="{996C5EC5-1598-4E48-A01A-9A0C775273B5}"/>
    <cellStyle name="Berechnung 2 4 2 30" xfId="15169" xr:uid="{12DD99C7-D70C-48F2-862F-DB559CF14B2C}"/>
    <cellStyle name="Berechnung 2 4 2 31" xfId="15700" xr:uid="{9701CE9E-46C8-4662-8555-6779066892ED}"/>
    <cellStyle name="Berechnung 2 4 2 32" xfId="15099" xr:uid="{91068233-7BDF-42E1-B0B0-8178FAC4E624}"/>
    <cellStyle name="Berechnung 2 4 2 33" xfId="16829" xr:uid="{2C6BCD5D-D292-4EE4-ADBC-FB739C02BD32}"/>
    <cellStyle name="Berechnung 2 4 2 34" xfId="16139" xr:uid="{07326CB9-052B-4C6A-9169-FCA4F2D04764}"/>
    <cellStyle name="Berechnung 2 4 2 35" xfId="16945" xr:uid="{3C941C56-AC4D-42D7-88A4-36A7525BC554}"/>
    <cellStyle name="Berechnung 2 4 2 36" xfId="18102" xr:uid="{A468937F-F752-4522-B187-A81010E9FD52}"/>
    <cellStyle name="Berechnung 2 4 2 37" xfId="18647" xr:uid="{C817B85D-BF9E-48A7-AF1B-2ACB6391F94D}"/>
    <cellStyle name="Berechnung 2 4 2 38" xfId="16153" xr:uid="{10809EC3-D1F5-40BB-9D6A-07E100A5FA90}"/>
    <cellStyle name="Berechnung 2 4 2 39" xfId="18951" xr:uid="{E4756FA0-DEED-4E5A-A131-F7946E8D7ECB}"/>
    <cellStyle name="Berechnung 2 4 2 4" xfId="2606" xr:uid="{E58BF64C-D952-490A-834A-A4DF44E5DC1E}"/>
    <cellStyle name="Berechnung 2 4 2 40" xfId="20166" xr:uid="{A3FEC490-B60C-48F5-A7CE-7D47273E0271}"/>
    <cellStyle name="Berechnung 2 4 2 41" xfId="19587" xr:uid="{559041A6-2CD1-4A69-8926-5DFEFADB7DE3}"/>
    <cellStyle name="Berechnung 2 4 2 42" xfId="19848" xr:uid="{55439D7C-69EA-4520-A6B2-F59F3CDCC776}"/>
    <cellStyle name="Berechnung 2 4 2 43" xfId="21636" xr:uid="{0ECAADF9-391D-4D8D-A36A-48D80D3A4F64}"/>
    <cellStyle name="Berechnung 2 4 2 44" xfId="21016" xr:uid="{E0526E7F-CF2F-443F-9F12-0D63F460A7E9}"/>
    <cellStyle name="Berechnung 2 4 2 45" xfId="21354" xr:uid="{CA6AD3BE-98EE-4109-BA5F-8EF0D393FF95}"/>
    <cellStyle name="Berechnung 2 4 2 46" xfId="22375" xr:uid="{1CA3C832-D023-4D14-98C7-D60E0DF68E0F}"/>
    <cellStyle name="Berechnung 2 4 2 47" xfId="22678" xr:uid="{4AAC5A98-C0A6-4E1B-BE39-6FA160815E7B}"/>
    <cellStyle name="Berechnung 2 4 2 48" xfId="23222" xr:uid="{368B09C8-8525-49F1-9FF5-1F40F7345DAD}"/>
    <cellStyle name="Berechnung 2 4 2 49" xfId="23966" xr:uid="{937578C8-430C-4BE0-B176-798D8A046B1E}"/>
    <cellStyle name="Berechnung 2 4 2 5" xfId="2277" xr:uid="{3F8DE6F0-A959-4AAF-94B7-A0FC8B9DC8F1}"/>
    <cellStyle name="Berechnung 2 4 2 50" xfId="24874" xr:uid="{332538EF-55BA-4157-BB00-F5DD67322BB9}"/>
    <cellStyle name="Berechnung 2 4 2 51" xfId="24304" xr:uid="{5FE73F51-9865-4962-9EF1-BA49E37D1140}"/>
    <cellStyle name="Berechnung 2 4 2 52" xfId="25790" xr:uid="{74AF3432-CE89-4E66-A5D2-2A13278BDA4F}"/>
    <cellStyle name="Berechnung 2 4 2 53" xfId="25187" xr:uid="{0D11921F-38D6-46C8-8BDA-EB3477CEF46D}"/>
    <cellStyle name="Berechnung 2 4 2 54" xfId="26702" xr:uid="{5FA459A5-4FE4-4429-9B08-5056DFCAB88D}"/>
    <cellStyle name="Berechnung 2 4 2 55" xfId="27078" xr:uid="{DD05AEA7-5BCE-4010-ACE5-5EDB1F4D044B}"/>
    <cellStyle name="Berechnung 2 4 2 56" xfId="27497" xr:uid="{ED26EA61-C094-42AC-9BCE-FB2F8B339B7C}"/>
    <cellStyle name="Berechnung 2 4 2 57" xfId="27206" xr:uid="{9656DF24-C619-4B59-A315-934FF43A7054}"/>
    <cellStyle name="Berechnung 2 4 2 58" xfId="28624" xr:uid="{5F5ED414-F8CA-4B66-8A17-D9FF6B4A74BE}"/>
    <cellStyle name="Berechnung 2 4 2 59" xfId="29091" xr:uid="{1B373773-01BA-4B5E-8C28-1D1EDAFC1B99}"/>
    <cellStyle name="Berechnung 2 4 2 6" xfId="3627" xr:uid="{3F938D96-31D8-4FD9-BB8D-605C717007D3}"/>
    <cellStyle name="Berechnung 2 4 2 60" xfId="27896" xr:uid="{1A75CEF0-B27D-47AD-844E-10D963684524}"/>
    <cellStyle name="Berechnung 2 4 2 61" xfId="29880" xr:uid="{308DAA93-A7CD-49A8-AE69-BF8B1D988477}"/>
    <cellStyle name="Berechnung 2 4 2 62" xfId="30286" xr:uid="{71FA6314-23BF-491A-A608-713CEB4D6BAB}"/>
    <cellStyle name="Berechnung 2 4 2 63" xfId="30703" xr:uid="{AFD7FDD3-D949-4754-9081-1A512EFC3B14}"/>
    <cellStyle name="Berechnung 2 4 2 64" xfId="30921" xr:uid="{6C5AE437-7854-4E9B-96FB-D7D5B51AE6F8}"/>
    <cellStyle name="Berechnung 2 4 2 65" xfId="31319" xr:uid="{6123AA8B-A549-452C-9568-4A420AEA07A4}"/>
    <cellStyle name="Berechnung 2 4 2 7" xfId="4102" xr:uid="{3812D842-0964-4054-8A97-E9B417FDF5B2}"/>
    <cellStyle name="Berechnung 2 4 2 8" xfId="4539" xr:uid="{10A531E1-367C-4F09-B1A8-2D24220E1D80}"/>
    <cellStyle name="Berechnung 2 4 2 9" xfId="4814" xr:uid="{B2B6E689-22B1-480A-A3B3-0AED963D7B61}"/>
    <cellStyle name="Berechnung 2 4 20" xfId="9247" xr:uid="{A7B2D472-FBE4-4E38-8A28-0A145D26A515}"/>
    <cellStyle name="Berechnung 2 4 21" xfId="10271" xr:uid="{F7C59FE0-7C67-4E9D-B8FD-B6620E5D364B}"/>
    <cellStyle name="Berechnung 2 4 22" xfId="10755" xr:uid="{696B51F1-1950-4A68-B2E1-FE2AF26E857D}"/>
    <cellStyle name="Berechnung 2 4 23" xfId="11039" xr:uid="{FD467E40-83FF-4FD7-AD6C-03E0B93ED291}"/>
    <cellStyle name="Berechnung 2 4 24" xfId="11922" xr:uid="{9B8569AF-A55F-4D58-9D42-811697FF3773}"/>
    <cellStyle name="Berechnung 2 4 25" xfId="12395" xr:uid="{6AA583BD-2EEF-4681-9FF3-6F0BA39799A7}"/>
    <cellStyle name="Berechnung 2 4 26" xfId="12829" xr:uid="{E886611D-C68A-4EFA-899C-E4ECC5CAA41D}"/>
    <cellStyle name="Berechnung 2 4 27" xfId="13266" xr:uid="{19BCCB96-6CDD-40D7-B2B1-6C0ACCEB66F3}"/>
    <cellStyle name="Berechnung 2 4 28" xfId="13710" xr:uid="{D74EFE96-B6BB-4219-9F0D-23EE01E96E8D}"/>
    <cellStyle name="Berechnung 2 4 29" xfId="13207" xr:uid="{53EBF0BA-4467-427C-9498-4F0F1007E539}"/>
    <cellStyle name="Berechnung 2 4 3" xfId="1052" xr:uid="{65DBEF45-526E-4721-9EAE-8D29AA19B60A}"/>
    <cellStyle name="Berechnung 2 4 30" xfId="12721" xr:uid="{FE69454A-9794-4C73-BBBC-AB9AA0141825}"/>
    <cellStyle name="Berechnung 2 4 31" xfId="14953" xr:uid="{05C443E7-2BFA-463C-B969-9677BF324EEB}"/>
    <cellStyle name="Berechnung 2 4 32" xfId="15742" xr:uid="{7886E870-313D-403F-88DD-57C691ED4834}"/>
    <cellStyle name="Berechnung 2 4 33" xfId="15627" xr:uid="{AC603720-2964-461D-999A-F413434E5D81}"/>
    <cellStyle name="Berechnung 2 4 34" xfId="16614" xr:uid="{36EC60A3-6491-46F3-B280-A1D810B219B7}"/>
    <cellStyle name="Berechnung 2 4 35" xfId="16357" xr:uid="{847274C8-99DE-4595-B741-6B975C200AAE}"/>
    <cellStyle name="Berechnung 2 4 36" xfId="17394" xr:uid="{3894F57E-60F2-4451-B3B0-048643E5C547}"/>
    <cellStyle name="Berechnung 2 4 37" xfId="18258" xr:uid="{D5D5E5E5-24F9-4009-9836-8720449C8937}"/>
    <cellStyle name="Berechnung 2 4 38" xfId="18432" xr:uid="{6B87A8F9-C42F-476D-9997-555A937322E9}"/>
    <cellStyle name="Berechnung 2 4 39" xfId="19082" xr:uid="{334ECB6C-55E8-4A8E-96C5-7893BFD91819}"/>
    <cellStyle name="Berechnung 2 4 4" xfId="1623" xr:uid="{C523D438-4C6E-4921-A12F-8009EBA5F2E7}"/>
    <cellStyle name="Berechnung 2 4 40" xfId="19210" xr:uid="{53570B6C-2EB7-4C04-BEB7-73AE7DD778DB}"/>
    <cellStyle name="Berechnung 2 4 41" xfId="19951" xr:uid="{FE893709-5B69-45C1-BB86-BC878ACA8561}"/>
    <cellStyle name="Berechnung 2 4 42" xfId="19690" xr:uid="{804EA0A6-A0D9-4299-8F22-54D217812998}"/>
    <cellStyle name="Berechnung 2 4 43" xfId="20423" xr:uid="{6913DDCA-CE78-4933-975D-154892BC8E86}"/>
    <cellStyle name="Berechnung 2 4 44" xfId="21364" xr:uid="{C7F8ECA2-C482-4FFA-96F5-E97DB8F2448F}"/>
    <cellStyle name="Berechnung 2 4 45" xfId="21571" xr:uid="{39207DE2-BBF8-46B2-B545-93886B4E338B}"/>
    <cellStyle name="Berechnung 2 4 46" xfId="21568" xr:uid="{FEFBFFBD-94A4-4C02-B722-37178ECA8B58}"/>
    <cellStyle name="Berechnung 2 4 47" xfId="22706" xr:uid="{99C8AE49-98F5-40D1-A6C6-E6A7913E0A41}"/>
    <cellStyle name="Berechnung 2 4 48" xfId="23360" xr:uid="{ABC3163F-8E7F-465C-B165-6C09EE171452}"/>
    <cellStyle name="Berechnung 2 4 49" xfId="23615" xr:uid="{0A4A6D74-C505-44DF-82BB-B87F9EF52F81}"/>
    <cellStyle name="Berechnung 2 4 5" xfId="2391" xr:uid="{6BF43F34-1087-456F-945B-7DB9EE61977A}"/>
    <cellStyle name="Berechnung 2 4 50" xfId="23760" xr:uid="{5972278E-2CCD-4A19-A57A-589549085024}"/>
    <cellStyle name="Berechnung 2 4 51" xfId="24659" xr:uid="{7CDA187E-57BA-4BD8-BE18-76297F67B3EF}"/>
    <cellStyle name="Berechnung 2 4 52" xfId="24535" xr:uid="{D13A31F0-DC3C-4A17-BBE9-B2C77474B22F}"/>
    <cellStyle name="Berechnung 2 4 53" xfId="25577" xr:uid="{810181E7-4A4A-414A-BB96-7F1AAAD4B905}"/>
    <cellStyle name="Berechnung 2 4 54" xfId="25305" xr:uid="{E6CE6343-FDBC-45A4-B776-B6B56AD6DDF2}"/>
    <cellStyle name="Berechnung 2 4 55" xfId="26174" xr:uid="{D0BE762D-BF9D-4C7A-8A53-40C64C5392F7}"/>
    <cellStyle name="Berechnung 2 4 56" xfId="26867" xr:uid="{3EE646E3-AD35-4742-AD86-DBD102E8B1A7}"/>
    <cellStyle name="Berechnung 2 4 57" xfId="27286" xr:uid="{32767128-4F8F-470F-B47C-6345171CB852}"/>
    <cellStyle name="Berechnung 2 4 58" xfId="27671" xr:uid="{80D06507-A31D-4E17-843A-30644AE4490C}"/>
    <cellStyle name="Berechnung 2 4 59" xfId="28409" xr:uid="{45084618-D983-4680-9850-A93EF39FE911}"/>
    <cellStyle name="Berechnung 2 4 6" xfId="2875" xr:uid="{4C455730-4D5A-4AE3-96D7-73BAFC67ACB7}"/>
    <cellStyle name="Berechnung 2 4 60" xfId="28877" xr:uid="{5F739B93-2D48-483D-9169-4D3D61B8E253}"/>
    <cellStyle name="Berechnung 2 4 61" xfId="28778" xr:uid="{F253C21B-E3A0-467D-82CA-5059F8948F2F}"/>
    <cellStyle name="Berechnung 2 4 62" xfId="29667" xr:uid="{597CDC4B-DAAA-4929-91D5-E88294BEB573}"/>
    <cellStyle name="Berechnung 2 4 63" xfId="30075" xr:uid="{A6070E2B-751B-4EB4-9656-A0DED117364E}"/>
    <cellStyle name="Berechnung 2 4 64" xfId="30489" xr:uid="{5C7A4064-D971-4E63-85E5-7EFF889DC39C}"/>
    <cellStyle name="Berechnung 2 4 65" xfId="30917" xr:uid="{03F5DDCD-4783-40B7-9DBF-257D068A74D1}"/>
    <cellStyle name="Berechnung 2 4 66" xfId="31113" xr:uid="{8E1A9B4B-F403-4130-AAD3-AB55134E754B}"/>
    <cellStyle name="Berechnung 2 4 7" xfId="3710" xr:uid="{CC819FE3-8368-43EC-AB11-4D8AE56C7159}"/>
    <cellStyle name="Berechnung 2 4 8" xfId="3887" xr:uid="{AD227AC6-5077-45DB-ACE5-F1327BEA6821}"/>
    <cellStyle name="Berechnung 2 4 9" xfId="4325" xr:uid="{5BD25815-6715-4E82-8410-2EDFAB99D640}"/>
    <cellStyle name="Berechnung 2 40" xfId="24543" xr:uid="{8C6CA147-1B7D-47F4-B925-CAA6BC9E9F7B}"/>
    <cellStyle name="Berechnung 2 41" xfId="24478" xr:uid="{0E74AA40-E7A6-4F56-B7A7-BC8881F0137D}"/>
    <cellStyle name="Berechnung 2 42" xfId="25962" xr:uid="{07BAF1A0-75B8-4CC2-A62B-03678CAE9A0B}"/>
    <cellStyle name="Berechnung 2 43" xfId="26164" xr:uid="{4AAA9F98-E08A-4784-B96D-500070B47A22}"/>
    <cellStyle name="Berechnung 2 44" xfId="26462" xr:uid="{80FA3724-D00A-4B34-961D-5DDE81D9320E}"/>
    <cellStyle name="Berechnung 2 45" xfId="26165" xr:uid="{351D31E6-5AB6-41C1-A0DC-1F0720DD774B}"/>
    <cellStyle name="Berechnung 2 46" xfId="28249" xr:uid="{E4230BEA-A9DA-47F8-AD69-2597C132E0AD}"/>
    <cellStyle name="Berechnung 2 47" xfId="27981" xr:uid="{78FB5871-D3FF-4ECF-AD03-4AE662A22AA9}"/>
    <cellStyle name="Berechnung 2 48" xfId="28008" xr:uid="{41160E8B-BFAD-41B9-99DA-E85874448336}"/>
    <cellStyle name="Berechnung 2 49" xfId="29287" xr:uid="{F70ABCA1-AC7F-4582-A7EE-57C86F520D6E}"/>
    <cellStyle name="Berechnung 2 5" xfId="706" xr:uid="{50A91F01-78A2-4962-9510-0CD73E73B1CA}"/>
    <cellStyle name="Berechnung 2 5 10" xfId="5354" xr:uid="{233D89BF-3EAB-457C-A986-62375DC69EBE}"/>
    <cellStyle name="Berechnung 2 5 11" xfId="5934" xr:uid="{46A9BFF8-8141-43F8-ADB0-41E06F175118}"/>
    <cellStyle name="Berechnung 2 5 12" xfId="5678" xr:uid="{312C809A-D441-42D5-B0F7-4D1DAF7E9A66}"/>
    <cellStyle name="Berechnung 2 5 13" xfId="6146" xr:uid="{864B209F-E8D9-4D49-AAF1-4134C4E490D3}"/>
    <cellStyle name="Berechnung 2 5 14" xfId="7426" xr:uid="{AF858DB4-6E15-49DC-A9EF-465D990A340F}"/>
    <cellStyle name="Berechnung 2 5 15" xfId="6916" xr:uid="{A31CB017-ED4C-49FA-9CEA-DEC8FD6AE1B7}"/>
    <cellStyle name="Berechnung 2 5 16" xfId="8603" xr:uid="{2FAA0103-BB95-4DB7-9A66-A20E4C0148C1}"/>
    <cellStyle name="Berechnung 2 5 17" xfId="7934" xr:uid="{E2BDA536-FD15-445B-BED7-50F73C5BA26B}"/>
    <cellStyle name="Berechnung 2 5 18" xfId="9640" xr:uid="{A2180C44-7966-4A7B-A7A0-2C1DABBB5DC5}"/>
    <cellStyle name="Berechnung 2 5 19" xfId="9129" xr:uid="{5A37DD38-449E-49D5-9694-76B7E5D35EE2}"/>
    <cellStyle name="Berechnung 2 5 2" xfId="1180" xr:uid="{73D726A5-3BA7-418B-91C7-E5CA9B88F858}"/>
    <cellStyle name="Berechnung 2 5 20" xfId="9053" xr:uid="{28626E44-967D-4A37-BE19-C0DA7E63AA91}"/>
    <cellStyle name="Berechnung 2 5 21" xfId="9986" xr:uid="{008A5DD6-20AC-4AC9-990D-35948281089F}"/>
    <cellStyle name="Berechnung 2 5 22" xfId="10827" xr:uid="{1E4E86C0-38C4-4956-B15B-AC68CE76736B}"/>
    <cellStyle name="Berechnung 2 5 23" xfId="12059" xr:uid="{AD3A0D9E-5A41-4074-954E-B43FA5628DDC}"/>
    <cellStyle name="Berechnung 2 5 24" xfId="12532" xr:uid="{DD452574-4CAA-472A-88BC-7D03F6BD6580}"/>
    <cellStyle name="Berechnung 2 5 25" xfId="12966" xr:uid="{919CD6D6-E703-4C8E-B2E2-37A38F125FDA}"/>
    <cellStyle name="Berechnung 2 5 26" xfId="13403" xr:uid="{7A54A58E-F232-4F82-A4EC-3AE5B79A7213}"/>
    <cellStyle name="Berechnung 2 5 27" xfId="11387" xr:uid="{0AD0F6E7-58CB-4BA8-AACA-2E700795AC8B}"/>
    <cellStyle name="Berechnung 2 5 28" xfId="14257" xr:uid="{EFF91759-F9A6-4A30-A4C6-81ACFBFD6FCC}"/>
    <cellStyle name="Berechnung 2 5 29" xfId="14093" xr:uid="{CF57A23C-20FA-4DDF-99D5-A950891247AF}"/>
    <cellStyle name="Berechnung 2 5 3" xfId="1368" xr:uid="{B316B70C-B2D7-4742-BFE9-92480501AD57}"/>
    <cellStyle name="Berechnung 2 5 30" xfId="15119" xr:uid="{9FD73396-4188-4045-8AFA-A922A21DB788}"/>
    <cellStyle name="Berechnung 2 5 31" xfId="15559" xr:uid="{E3D7885F-D898-47B1-AB68-4390DCAF61F4}"/>
    <cellStyle name="Berechnung 2 5 32" xfId="15225" xr:uid="{8AD82CEF-AF0C-4FA5-875F-F511E00E5598}"/>
    <cellStyle name="Berechnung 2 5 33" xfId="16751" xr:uid="{44A1F58A-EFF1-4AF0-903E-1D09D50440C5}"/>
    <cellStyle name="Berechnung 2 5 34" xfId="16233" xr:uid="{F4A59035-1D7B-48D8-A16B-9C19F6846C02}"/>
    <cellStyle name="Berechnung 2 5 35" xfId="16264" xr:uid="{7A8F9BAB-972E-460C-A4A3-7C788B0C151A}"/>
    <cellStyle name="Berechnung 2 5 36" xfId="17913" xr:uid="{E427723E-0883-4ADB-B721-FFDB5DB65801}"/>
    <cellStyle name="Berechnung 2 5 37" xfId="18569" xr:uid="{E08F4264-F43C-4470-A8CA-7B3AD943A167}"/>
    <cellStyle name="Berechnung 2 5 38" xfId="17936" xr:uid="{08A3FEA2-15EE-404F-B1F8-BFC06B4741BE}"/>
    <cellStyle name="Berechnung 2 5 39" xfId="17912" xr:uid="{5AAD515A-330B-4393-AC8C-EFBDDDDACCEE}"/>
    <cellStyle name="Berechnung 2 5 4" xfId="2528" xr:uid="{BDE29DE5-8954-4C72-8601-CF987FFB8BF2}"/>
    <cellStyle name="Berechnung 2 5 40" xfId="20088" xr:uid="{7823D5A1-510E-4468-81D3-F03DC9139870}"/>
    <cellStyle name="Berechnung 2 5 41" xfId="19566" xr:uid="{B77E1F62-B873-478B-A494-E5B56FEB2711}"/>
    <cellStyle name="Berechnung 2 5 42" xfId="19637" xr:uid="{82CE004C-B88B-4030-8C15-B3C3208BEAFE}"/>
    <cellStyle name="Berechnung 2 5 43" xfId="21249" xr:uid="{E7F08D3B-B5EE-4A40-A6A9-99FEB3537FF5}"/>
    <cellStyle name="Berechnung 2 5 44" xfId="21629" xr:uid="{F8B9C68F-6C73-4973-819C-2A666CDA6113}"/>
    <cellStyle name="Berechnung 2 5 45" xfId="21378" xr:uid="{581719EB-BB02-459B-99A9-42BDAE6A3B5D}"/>
    <cellStyle name="Berechnung 2 5 46" xfId="20480" xr:uid="{1D953099-11BA-4B65-B4DB-E46E50C2CFA0}"/>
    <cellStyle name="Berechnung 2 5 47" xfId="22925" xr:uid="{4718B8D3-EAA3-45B1-9C5B-6BD2D24D671B}"/>
    <cellStyle name="Berechnung 2 5 48" xfId="22514" xr:uid="{28AB75EA-2BF1-4ADD-B2C3-9F74C0802A98}"/>
    <cellStyle name="Berechnung 2 5 49" xfId="23888" xr:uid="{A64314A5-410D-49BB-A6AC-03A225D7C0A9}"/>
    <cellStyle name="Berechnung 2 5 5" xfId="1977" xr:uid="{64B517B7-D2A2-4225-AD18-0A9794718E35}"/>
    <cellStyle name="Berechnung 2 5 50" xfId="24796" xr:uid="{B8CA6515-B07D-41C1-9C23-78B73D640CBC}"/>
    <cellStyle name="Berechnung 2 5 51" xfId="24287" xr:uid="{473657A5-5F3E-462C-9D11-A62E788429BF}"/>
    <cellStyle name="Berechnung 2 5 52" xfId="25712" xr:uid="{91EC6FD2-C597-4953-8C58-48DABF24E51F}"/>
    <cellStyle name="Berechnung 2 5 53" xfId="25008" xr:uid="{5655354B-8FC3-42A9-86D1-20AC8A5A9402}"/>
    <cellStyle name="Berechnung 2 5 54" xfId="26719" xr:uid="{55EDD6D3-218B-44F1-AB2B-B621A33512AD}"/>
    <cellStyle name="Berechnung 2 5 55" xfId="27000" xr:uid="{76496681-02F1-4BE1-A774-A07B416FC821}"/>
    <cellStyle name="Berechnung 2 5 56" xfId="27419" xr:uid="{7C388898-EC53-45BE-B70C-1187BE900854}"/>
    <cellStyle name="Berechnung 2 5 57" xfId="27660" xr:uid="{7E47C996-4BF4-4023-A712-2165C0F98111}"/>
    <cellStyle name="Berechnung 2 5 58" xfId="28546" xr:uid="{85530D9B-F2D2-4EF1-BE5F-E5C1D8A71BD2}"/>
    <cellStyle name="Berechnung 2 5 59" xfId="29013" xr:uid="{7F838C25-3C6A-4007-8FF7-C058FDAF497F}"/>
    <cellStyle name="Berechnung 2 5 6" xfId="3047" xr:uid="{3799513F-C32C-45B7-861B-5A266DF225D0}"/>
    <cellStyle name="Berechnung 2 5 60" xfId="28350" xr:uid="{B2916D56-F6A4-45A6-BF95-FDE98CFD174D}"/>
    <cellStyle name="Berechnung 2 5 61" xfId="29802" xr:uid="{A0CF5C02-90FD-4D0F-9065-329883030046}"/>
    <cellStyle name="Berechnung 2 5 62" xfId="30208" xr:uid="{9B2B24C6-3D46-4CDC-9BDD-63B5DBCFD02B}"/>
    <cellStyle name="Berechnung 2 5 63" xfId="30625" xr:uid="{3A1AFF54-C5A4-47A9-9B49-3B03B10BC635}"/>
    <cellStyle name="Berechnung 2 5 64" xfId="30864" xr:uid="{2338D5D3-2C16-4DFA-8167-C345DABF8649}"/>
    <cellStyle name="Berechnung 2 5 65" xfId="31241" xr:uid="{B932C64B-768E-4FE4-9266-4A3ED994583D}"/>
    <cellStyle name="Berechnung 2 5 7" xfId="4024" xr:uid="{8B2F2380-7C27-46F7-87FC-053E4BBB9B17}"/>
    <cellStyle name="Berechnung 2 5 8" xfId="4461" xr:uid="{BE4CA050-5687-4085-A186-736AAC4BBEB3}"/>
    <cellStyle name="Berechnung 2 5 9" xfId="5044" xr:uid="{A908A5DA-D5E6-41B0-9DC5-54772CAAF917}"/>
    <cellStyle name="Berechnung 2 50" xfId="30995" xr:uid="{6B9B4246-A520-41D9-AA94-6C38F42F1626}"/>
    <cellStyle name="Berechnung 2 51" xfId="29244" xr:uid="{E40DD193-87CD-4D52-8116-207926CF7FB9}"/>
    <cellStyle name="Berechnung 2 6" xfId="978" xr:uid="{5A666C2A-DAED-4D1A-B389-D4EC602156F8}"/>
    <cellStyle name="Berechnung 2 7" xfId="2215" xr:uid="{65843D1D-A47A-478B-995D-E2A88A066C36}"/>
    <cellStyle name="Berechnung 2 8" xfId="3034" xr:uid="{8C4A3712-A2F5-4EC2-81C6-ABCB652FA9EE}"/>
    <cellStyle name="Berechnung 2 9" xfId="3619" xr:uid="{DF3D1674-2F79-4094-B91E-0850B9C1E9E6}"/>
    <cellStyle name="Berechnung 3" xfId="272" xr:uid="{2DCEF2AD-BFA2-483A-B01C-3D916A1E5870}"/>
    <cellStyle name="Berechnung 3 10" xfId="3546" xr:uid="{0A9CE81F-7CBD-4EDA-B2CD-69EC52B3B3E7}"/>
    <cellStyle name="Berechnung 3 11" xfId="2798" xr:uid="{B8381031-4E81-4E73-BBDB-C202D13FD117}"/>
    <cellStyle name="Berechnung 3 12" xfId="3721" xr:uid="{F9A5B05B-A57C-4004-B0C4-F95BEEFE85A7}"/>
    <cellStyle name="Berechnung 3 13" xfId="4943" xr:uid="{2BE18E7D-B3E1-41DE-A05E-93874EB8263F}"/>
    <cellStyle name="Berechnung 3 14" xfId="6690" xr:uid="{8850FCCA-20E8-40CE-86C6-173FF62DF365}"/>
    <cellStyle name="Berechnung 3 15" xfId="7002" xr:uid="{8EEEFE93-19DE-4D4A-970E-BC49503AAC21}"/>
    <cellStyle name="Berechnung 3 16" xfId="7131" xr:uid="{CF3ADBAB-9A46-4BB7-B51E-B2F6A0081C00}"/>
    <cellStyle name="Berechnung 3 17" xfId="8625" xr:uid="{E3B7E5CA-C5F0-4292-B764-030E8BE96B94}"/>
    <cellStyle name="Berechnung 3 18" xfId="8628" xr:uid="{55302BB9-C766-4A81-A77D-CA0B52E7E1CE}"/>
    <cellStyle name="Berechnung 3 19" xfId="9216" xr:uid="{02FF68E7-B8D2-4BA1-A5F4-D5634B7C5FD5}"/>
    <cellStyle name="Berechnung 3 2" xfId="611" xr:uid="{55E93862-58E0-4505-A481-6298BC58A9FF}"/>
    <cellStyle name="Berechnung 3 2 10" xfId="4979" xr:uid="{54823E94-FEEF-4057-8426-272DDA16D5C8}"/>
    <cellStyle name="Berechnung 3 2 11" xfId="5259" xr:uid="{53708524-EA3F-48CF-95EE-BB7B800F8A2B}"/>
    <cellStyle name="Berechnung 3 2 12" xfId="5776" xr:uid="{5766FAB4-219B-4D78-9330-EAE4BBA5A89C}"/>
    <cellStyle name="Berechnung 3 2 13" xfId="5617" xr:uid="{2F83BEF8-B123-4B16-B71F-3CF4EC6CFD2D}"/>
    <cellStyle name="Berechnung 3 2 14" xfId="6597" xr:uid="{4FA1F3A2-37C7-4C20-B28C-55D8D95B3603}"/>
    <cellStyle name="Berechnung 3 2 15" xfId="7331" xr:uid="{50A700A9-C0C7-4D54-9C5B-71BC23AD655D}"/>
    <cellStyle name="Berechnung 3 2 16" xfId="6975" xr:uid="{DB7A635C-2C26-443D-BA4B-4B93384FB159}"/>
    <cellStyle name="Berechnung 3 2 17" xfId="8019" xr:uid="{A1E18C51-7A95-41BA-800B-BC21E5C9BD68}"/>
    <cellStyle name="Berechnung 3 2 18" xfId="8862" xr:uid="{5987D8FF-6552-47C7-8FAB-C2CBD1EAD8C6}"/>
    <cellStyle name="Berechnung 3 2 19" xfId="9545" xr:uid="{E7ABF40E-0C89-4C2A-B7FF-869577B3DAD2}"/>
    <cellStyle name="Berechnung 3 2 2" xfId="826" xr:uid="{9E5C2D6F-401B-464D-8901-2CEDFD95405E}"/>
    <cellStyle name="Berechnung 3 2 2 10" xfId="5474" xr:uid="{DE7FB0B1-E610-457C-A966-53C4CB05ECA5}"/>
    <cellStyle name="Berechnung 3 2 2 11" xfId="2047" xr:uid="{6CC02224-BE19-4652-9463-84694951A11E}"/>
    <cellStyle name="Berechnung 3 2 2 12" xfId="5107" xr:uid="{9A70A092-E7DE-4297-A1E5-0E0BCABDC527}"/>
    <cellStyle name="Berechnung 3 2 2 13" xfId="6285" xr:uid="{4BB14AD8-27E7-4E6E-AFDF-02BE8B2B2359}"/>
    <cellStyle name="Berechnung 3 2 2 14" xfId="7546" xr:uid="{F764D1B8-A885-4072-9DA4-0E1C2FD8E556}"/>
    <cellStyle name="Berechnung 3 2 2 15" xfId="7109" xr:uid="{55A17CA7-BD69-44F7-B5F6-AAE358BD08A0}"/>
    <cellStyle name="Berechnung 3 2 2 16" xfId="6830" xr:uid="{E0EB2839-8844-4A07-87D1-BDEB164F91C8}"/>
    <cellStyle name="Berechnung 3 2 2 17" xfId="8898" xr:uid="{CF064098-C0D8-4844-A8FE-056BDE0CB8E7}"/>
    <cellStyle name="Berechnung 3 2 2 18" xfId="9760" xr:uid="{8CE5635E-6BEE-4DAA-9C58-8DA0928E3833}"/>
    <cellStyle name="Berechnung 3 2 2 19" xfId="9195" xr:uid="{47A0A5B0-17F5-4DAC-9660-85FACB12D467}"/>
    <cellStyle name="Berechnung 3 2 2 2" xfId="1300" xr:uid="{94447EBB-7AFD-4211-BA6B-6DB1686A621D}"/>
    <cellStyle name="Berechnung 3 2 2 20" xfId="9325" xr:uid="{B3E2FBF5-97AD-4F94-AE1C-7A4D99BA5160}"/>
    <cellStyle name="Berechnung 3 2 2 21" xfId="9314" xr:uid="{18C3C1C6-87E8-4202-B80E-EDAA7D99731D}"/>
    <cellStyle name="Berechnung 3 2 2 22" xfId="10871" xr:uid="{DFFE7A1C-00C1-44EA-84E1-E9E1F47559AD}"/>
    <cellStyle name="Berechnung 3 2 2 23" xfId="12179" xr:uid="{BFAF8102-E73D-41E1-8C68-C0B3D879BE9A}"/>
    <cellStyle name="Berechnung 3 2 2 24" xfId="12652" xr:uid="{AF3FE886-EE45-4DBC-A5E3-DE647FA06B54}"/>
    <cellStyle name="Berechnung 3 2 2 25" xfId="13086" xr:uid="{275150AA-E102-4F50-9262-FC7F22B28F79}"/>
    <cellStyle name="Berechnung 3 2 2 26" xfId="13523" xr:uid="{92A9CF90-9DBA-4FE7-B5CC-B4F8CF55C7E2}"/>
    <cellStyle name="Berechnung 3 2 2 27" xfId="11731" xr:uid="{77E0E301-252E-48E9-8F6E-6F8C15BDC821}"/>
    <cellStyle name="Berechnung 3 2 2 28" xfId="12309" xr:uid="{F40D127F-6358-4158-99FF-9149B553DE70}"/>
    <cellStyle name="Berechnung 3 2 2 29" xfId="12317" xr:uid="{3599394A-FB9E-4028-A149-D2CA0191F3C3}"/>
    <cellStyle name="Berechnung 3 2 2 3" xfId="1555" xr:uid="{17D1DF98-F3C6-4E4A-AB3E-E4DE8815102D}"/>
    <cellStyle name="Berechnung 3 2 2 30" xfId="15019" xr:uid="{F0B78727-DE4A-40B6-9687-8EEB293EEC37}"/>
    <cellStyle name="Berechnung 3 2 2 31" xfId="15666" xr:uid="{755D199F-1AC5-4326-BE96-D6F4309261B6}"/>
    <cellStyle name="Berechnung 3 2 2 32" xfId="14861" xr:uid="{A05F2280-B7BC-49AD-A6CA-9C864FEB68A2}"/>
    <cellStyle name="Berechnung 3 2 2 33" xfId="16871" xr:uid="{EFB61E12-CB7F-40FE-B09E-523556E7EB57}"/>
    <cellStyle name="Berechnung 3 2 2 34" xfId="16431" xr:uid="{6719E1EE-56B0-4FE7-9529-44470C665DB3}"/>
    <cellStyle name="Berechnung 3 2 2 35" xfId="16450" xr:uid="{F507EF1E-2C02-4FB3-BA30-15266EDE356B}"/>
    <cellStyle name="Berechnung 3 2 2 36" xfId="17298" xr:uid="{4D85866A-B677-4F9B-B3E6-B524DB14ED5D}"/>
    <cellStyle name="Berechnung 3 2 2 37" xfId="18689" xr:uid="{F14AC921-162C-4811-BF78-76388B4182C8}"/>
    <cellStyle name="Berechnung 3 2 2 38" xfId="17814" xr:uid="{6212BD27-A1B6-422C-B55B-152A6B9AFA48}"/>
    <cellStyle name="Berechnung 3 2 2 39" xfId="19077" xr:uid="{CBD73CE1-16EC-4CC0-AE16-67295B96EC52}"/>
    <cellStyle name="Berechnung 3 2 2 4" xfId="2648" xr:uid="{349134FC-BAD4-408D-A271-430C4AD54ABB}"/>
    <cellStyle name="Berechnung 3 2 2 40" xfId="20208" xr:uid="{33C189A6-A741-4AF5-8EBE-1D2AB4E373F2}"/>
    <cellStyle name="Berechnung 3 2 2 41" xfId="19763" xr:uid="{32691DB1-6190-4E91-9323-9D7520C44203}"/>
    <cellStyle name="Berechnung 3 2 2 42" xfId="19839" xr:uid="{25C6E1A8-5D4E-458C-9AA0-0DD158D5292F}"/>
    <cellStyle name="Berechnung 3 2 2 43" xfId="21415" xr:uid="{C55A22B4-FC86-4DA0-9A51-EAC6205322C0}"/>
    <cellStyle name="Berechnung 3 2 2 44" xfId="19539" xr:uid="{CF028D82-CE9A-4FB3-8E60-21EAFBB1B452}"/>
    <cellStyle name="Berechnung 3 2 2 45" xfId="20851" xr:uid="{A75206A8-A416-411F-ACC1-7A549B2950EA}"/>
    <cellStyle name="Berechnung 3 2 2 46" xfId="21202" xr:uid="{0137D445-3696-4457-B75C-5BDDD2960E1D}"/>
    <cellStyle name="Berechnung 3 2 2 47" xfId="22400" xr:uid="{33080886-9DC6-46B9-A1A4-26A2F0BF5208}"/>
    <cellStyle name="Berechnung 3 2 2 48" xfId="22413" xr:uid="{BF0AF993-930E-4EF3-89CF-3E66CF32A33E}"/>
    <cellStyle name="Berechnung 3 2 2 49" xfId="24008" xr:uid="{9BD58D7A-203A-480E-9617-5A6943FC861E}"/>
    <cellStyle name="Berechnung 3 2 2 5" xfId="2031" xr:uid="{FBFB1C46-C1F9-421F-AA3C-5F5B4B413E31}"/>
    <cellStyle name="Berechnung 3 2 2 50" xfId="24916" xr:uid="{8B80C622-59F3-4155-892F-EADBC6E1A7D9}"/>
    <cellStyle name="Berechnung 3 2 2 51" xfId="24308" xr:uid="{D785E901-61D3-4F23-9412-9FA41A4EDE0D}"/>
    <cellStyle name="Berechnung 3 2 2 52" xfId="25832" xr:uid="{64F8E570-602A-41EE-8C3B-CBE7CE61BA27}"/>
    <cellStyle name="Berechnung 3 2 2 53" xfId="25266" xr:uid="{075A3CB7-9832-445F-A85E-6A9F5A8057FF}"/>
    <cellStyle name="Berechnung 3 2 2 54" xfId="26405" xr:uid="{3B149A5E-1BA5-4AA1-9120-BFBF1AB9D802}"/>
    <cellStyle name="Berechnung 3 2 2 55" xfId="27120" xr:uid="{1E75B7E1-1581-42E6-9A3E-EB4B2B4D6B7E}"/>
    <cellStyle name="Berechnung 3 2 2 56" xfId="27539" xr:uid="{F08D7098-AED9-4D98-A2EF-EBB7FE61856A}"/>
    <cellStyle name="Berechnung 3 2 2 57" xfId="26788" xr:uid="{BE15A7EF-BB3A-4216-AE64-5A0A76F192F6}"/>
    <cellStyle name="Berechnung 3 2 2 58" xfId="28666" xr:uid="{74E57A30-8B26-40EB-91AD-B36D49FE333D}"/>
    <cellStyle name="Berechnung 3 2 2 59" xfId="29133" xr:uid="{D9014671-C929-403B-8788-50630E963F4F}"/>
    <cellStyle name="Berechnung 3 2 2 6" xfId="3652" xr:uid="{428A2FB3-7811-47D7-A84A-8144BF65E95D}"/>
    <cellStyle name="Berechnung 3 2 2 60" xfId="28320" xr:uid="{53296711-86E0-4155-8F73-67DCB8CF9801}"/>
    <cellStyle name="Berechnung 3 2 2 61" xfId="29922" xr:uid="{95C709B3-D66F-41DB-888D-EA8569BE896C}"/>
    <cellStyle name="Berechnung 3 2 2 62" xfId="30328" xr:uid="{2B4EDB06-72F5-425A-A4EE-E5495004BD21}"/>
    <cellStyle name="Berechnung 3 2 2 63" xfId="30745" xr:uid="{C294F702-37C2-4D53-8F59-D97AC0DB006A}"/>
    <cellStyle name="Berechnung 3 2 2 64" xfId="30884" xr:uid="{A2E996A3-5DCD-4A27-A7B8-DBC017086577}"/>
    <cellStyle name="Berechnung 3 2 2 65" xfId="31361" xr:uid="{5726FE96-6867-4556-9FC0-FFDADA74C75E}"/>
    <cellStyle name="Berechnung 3 2 2 7" xfId="4144" xr:uid="{BBD95AAB-8A24-40EB-BC75-470B2F2E827A}"/>
    <cellStyle name="Berechnung 3 2 2 8" xfId="4581" xr:uid="{A1F2DB16-5ADC-4B0A-9C2E-564086B14CD5}"/>
    <cellStyle name="Berechnung 3 2 2 9" xfId="2188" xr:uid="{7C6549E3-AFE3-496F-9A50-E3ACBFC3E0E4}"/>
    <cellStyle name="Berechnung 3 2 20" xfId="9316" xr:uid="{DB63810B-D627-4614-B7E1-DDF6CBA4B500}"/>
    <cellStyle name="Berechnung 3 2 21" xfId="9860" xr:uid="{D813DE0D-B736-4952-B789-EBD73BBA1552}"/>
    <cellStyle name="Berechnung 3 2 22" xfId="10767" xr:uid="{9686F80A-F89A-41AD-91EF-6F8BA70C6CB1}"/>
    <cellStyle name="Berechnung 3 2 23" xfId="11107" xr:uid="{79D58825-DA0E-48C3-92C9-E717994E6419}"/>
    <cellStyle name="Berechnung 3 2 24" xfId="11964" xr:uid="{76F23F98-7A4B-44A6-B30C-EB80D7285857}"/>
    <cellStyle name="Berechnung 3 2 25" xfId="12437" xr:uid="{811D1CE2-2C53-419F-A500-007A59941CDC}"/>
    <cellStyle name="Berechnung 3 2 26" xfId="12871" xr:uid="{FE0F9E59-13FD-414F-8213-D0B067E1BF54}"/>
    <cellStyle name="Berechnung 3 2 27" xfId="13308" xr:uid="{3754A2BC-8B10-4B3B-8B57-B86BD2FE8138}"/>
    <cellStyle name="Berechnung 3 2 28" xfId="13754" xr:uid="{0B5DB14B-FDBD-4069-B744-ACF4D625680D}"/>
    <cellStyle name="Berechnung 3 2 29" xfId="14194" xr:uid="{FF3B2A3B-77EE-469F-951B-0FC471894FBB}"/>
    <cellStyle name="Berechnung 3 2 3" xfId="1094" xr:uid="{4621763C-8669-4E44-9AA6-C40678BA2205}"/>
    <cellStyle name="Berechnung 3 2 30" xfId="14823" xr:uid="{6C40974B-ABB1-43B4-89B5-BDA9AB9B160A}"/>
    <cellStyle name="Berechnung 3 2 31" xfId="14469" xr:uid="{4B81923B-0F47-406C-BE70-74168654FE11}"/>
    <cellStyle name="Berechnung 3 2 32" xfId="15381" xr:uid="{492BC5CC-ED65-40A7-8F59-1E2AEA1C36F8}"/>
    <cellStyle name="Berechnung 3 2 33" xfId="15001" xr:uid="{7EF0D8F8-4101-4F19-9B22-2888D68CA531}"/>
    <cellStyle name="Berechnung 3 2 34" xfId="16656" xr:uid="{AD01CCB1-482A-492D-8533-BE60DBC752C2}"/>
    <cellStyle name="Berechnung 3 2 35" xfId="16295" xr:uid="{D18D9B06-F82E-4930-9599-E7C2A8353207}"/>
    <cellStyle name="Berechnung 3 2 36" xfId="16277" xr:uid="{EC980DAE-E863-4998-AB79-D616F69ADDA0}"/>
    <cellStyle name="Berechnung 3 2 37" xfId="17979" xr:uid="{97B40FC0-59AC-434B-9209-7ED75BD1C5A5}"/>
    <cellStyle name="Berechnung 3 2 38" xfId="18474" xr:uid="{748040DD-BEE1-4EF6-A23F-13E177424974}"/>
    <cellStyle name="Berechnung 3 2 39" xfId="18370" xr:uid="{7E76BAF2-B0FC-4F4A-8680-F4D5EC16E807}"/>
    <cellStyle name="Berechnung 3 2 4" xfId="1578" xr:uid="{6E6C6742-9590-4009-893A-2A7DE44FF636}"/>
    <cellStyle name="Berechnung 3 2 40" xfId="19298" xr:uid="{9FE7189A-FD9A-452E-893A-4403CA1DD9E8}"/>
    <cellStyle name="Berechnung 3 2 41" xfId="19993" xr:uid="{0662D544-A230-43C7-A464-E0F00E1DB45C}"/>
    <cellStyle name="Berechnung 3 2 42" xfId="19406" xr:uid="{BC5E5EF2-A0AF-426F-A09C-647F3EAFE523}"/>
    <cellStyle name="Berechnung 3 2 43" xfId="19395" xr:uid="{210AA064-DB20-4B64-BB47-BD6746695C6E}"/>
    <cellStyle name="Berechnung 3 2 44" xfId="21307" xr:uid="{A53CDD0F-B0BC-4427-9B53-922B9E2ADFB6}"/>
    <cellStyle name="Berechnung 3 2 45" xfId="19429" xr:uid="{73316212-5FF9-471B-9A4F-0375305C16EF}"/>
    <cellStyle name="Berechnung 3 2 46" xfId="22019" xr:uid="{DCEE9786-76A2-4CC4-8023-105FDAF20530}"/>
    <cellStyle name="Berechnung 3 2 47" xfId="22749" xr:uid="{46602B3F-234D-4D80-845A-09F4CAC4877C}"/>
    <cellStyle name="Berechnung 3 2 48" xfId="22792" xr:uid="{E6517C2C-452F-420F-B1BF-C8AFDCFAD7C0}"/>
    <cellStyle name="Berechnung 3 2 49" xfId="23614" xr:uid="{FACD509D-464C-496F-BF67-6E4B8A7007B4}"/>
    <cellStyle name="Berechnung 3 2 5" xfId="2433" xr:uid="{0E767EB1-B1FE-4481-956B-96244FEDD48D}"/>
    <cellStyle name="Berechnung 3 2 50" xfId="23802" xr:uid="{6CD2C2B8-0878-4FA1-BF33-79A6016CF2FD}"/>
    <cellStyle name="Berechnung 3 2 51" xfId="24701" xr:uid="{6D30E2F4-DA7A-43E2-8C85-FECAB7C3429F}"/>
    <cellStyle name="Berechnung 3 2 52" xfId="24989" xr:uid="{E687EC9F-050A-4045-B022-38A409CB781A}"/>
    <cellStyle name="Berechnung 3 2 53" xfId="25619" xr:uid="{4B198E66-8F6F-4753-97FB-06EB006B5A2C}"/>
    <cellStyle name="Berechnung 3 2 54" xfId="26052" xr:uid="{88718CE5-C106-42A0-BB0E-7F8C05989D50}"/>
    <cellStyle name="Berechnung 3 2 55" xfId="25937" xr:uid="{B9D63E7D-7124-44D9-8EBB-68507193D88E}"/>
    <cellStyle name="Berechnung 3 2 56" xfId="26909" xr:uid="{E6F3CF7E-3556-4D7D-B472-F114AF03255B}"/>
    <cellStyle name="Berechnung 3 2 57" xfId="27328" xr:uid="{E0EFDA2E-86C0-4D55-B219-7EA4994D7CBC}"/>
    <cellStyle name="Berechnung 3 2 58" xfId="27711" xr:uid="{2E4437E7-948F-45AA-99B7-CB72F92BA56A}"/>
    <cellStyle name="Berechnung 3 2 59" xfId="28451" xr:uid="{1B5E7946-3E99-415C-AAAF-87702255108B}"/>
    <cellStyle name="Berechnung 3 2 6" xfId="2920" xr:uid="{ED3B8B27-0141-4B4D-9D6B-17D575239404}"/>
    <cellStyle name="Berechnung 3 2 60" xfId="28919" xr:uid="{0C2403FF-ED49-4B41-BA39-B6F02D128E6A}"/>
    <cellStyle name="Berechnung 3 2 61" xfId="28211" xr:uid="{DA439EF2-E8E5-451C-9019-C93C69F9701E}"/>
    <cellStyle name="Berechnung 3 2 62" xfId="29709" xr:uid="{502C4F8A-5782-4E67-A555-69A2281B976D}"/>
    <cellStyle name="Berechnung 3 2 63" xfId="30117" xr:uid="{2301267A-84D6-458C-AF7B-9F17870C49A2}"/>
    <cellStyle name="Berechnung 3 2 64" xfId="30531" xr:uid="{0B7A8A23-7706-4DC0-8AEB-DF10997DE32C}"/>
    <cellStyle name="Berechnung 3 2 65" xfId="29539" xr:uid="{ED60FA33-8A04-4F31-B9F9-A78A316B90CA}"/>
    <cellStyle name="Berechnung 3 2 66" xfId="31155" xr:uid="{699E8F42-7683-458E-9F58-42CC8AA001BD}"/>
    <cellStyle name="Berechnung 3 2 7" xfId="3139" xr:uid="{BFA07039-E9E8-40B6-BD1B-441996C4AC1E}"/>
    <cellStyle name="Berechnung 3 2 8" xfId="3929" xr:uid="{BA583215-1FE1-4ABF-885B-CC971E4AD452}"/>
    <cellStyle name="Berechnung 3 2 9" xfId="4367" xr:uid="{CAE82019-B209-4D26-8069-7A596E4C0010}"/>
    <cellStyle name="Berechnung 3 20" xfId="9344" xr:uid="{FE7F7047-9D4B-4C60-957C-C07C398A666D}"/>
    <cellStyle name="Berechnung 3 21" xfId="11307" xr:uid="{A1E03E84-F3EE-4872-B2C5-5803EC9545FC}"/>
    <cellStyle name="Berechnung 3 22" xfId="11628" xr:uid="{B85A5380-FF6F-4C2A-9380-BBB8839DAB87}"/>
    <cellStyle name="Berechnung 3 23" xfId="12049" xr:uid="{2D6DC2EF-7E91-44C6-8DA4-161EC5624D02}"/>
    <cellStyle name="Berechnung 3 24" xfId="11636" xr:uid="{BD500035-538D-45C0-8FD3-FC24189C858B}"/>
    <cellStyle name="Berechnung 3 25" xfId="11465" xr:uid="{8D8F287D-D9E8-4D08-B08E-5DEAF0C9DF13}"/>
    <cellStyle name="Berechnung 3 26" xfId="11732" xr:uid="{9A7A65D2-A1B9-4912-B563-E3F95AB518B0}"/>
    <cellStyle name="Berechnung 3 27" xfId="14423" xr:uid="{F1BB2FA1-E7CA-4512-9DF7-FDBFD64F5EDA}"/>
    <cellStyle name="Berechnung 3 28" xfId="14983" xr:uid="{0AD41AB3-C211-488F-976A-896F3707EA6A}"/>
    <cellStyle name="Berechnung 3 29" xfId="16323" xr:uid="{B36BE999-B06C-4190-A597-78D52BAC5241}"/>
    <cellStyle name="Berechnung 3 3" xfId="547" xr:uid="{B776F746-ACC5-4854-BE6F-557A6FF621D5}"/>
    <cellStyle name="Berechnung 3 3 10" xfId="4800" xr:uid="{E25AE639-47A6-4112-A266-6D9496675383}"/>
    <cellStyle name="Berechnung 3 3 11" xfId="5195" xr:uid="{75F84347-251F-4D95-8308-C3F5A3BFE9B6}"/>
    <cellStyle name="Berechnung 3 3 12" xfId="3560" xr:uid="{82CFBB17-3E7A-419C-8A22-E94DD6DE3A55}"/>
    <cellStyle name="Berechnung 3 3 13" xfId="6128" xr:uid="{D91D9D67-F5F8-439A-8B21-1A6E66B01EC1}"/>
    <cellStyle name="Berechnung 3 3 14" xfId="6527" xr:uid="{3613C7BA-E783-4658-B551-D41D6E5A2254}"/>
    <cellStyle name="Berechnung 3 3 15" xfId="7267" xr:uid="{4955E68A-BCE3-4B45-966F-AE193582AC72}"/>
    <cellStyle name="Berechnung 3 3 16" xfId="7826" xr:uid="{24B3A430-9883-4D09-83FC-51E60CB86F42}"/>
    <cellStyle name="Berechnung 3 3 17" xfId="8262" xr:uid="{2AD735C5-D511-4EEE-818B-9D90335CD3DC}"/>
    <cellStyle name="Berechnung 3 3 18" xfId="8002" xr:uid="{16799687-FCA1-47DF-AC41-25E00F125324}"/>
    <cellStyle name="Berechnung 3 3 19" xfId="9481" xr:uid="{E1C1D74D-AD60-4208-A1DB-09CCB2183C8E}"/>
    <cellStyle name="Berechnung 3 3 2" xfId="762" xr:uid="{EB9C7A1D-27C8-49DE-ACA9-2B9169EADB3C}"/>
    <cellStyle name="Berechnung 3 3 2 10" xfId="5410" xr:uid="{50A72964-A266-48A3-99A2-6A9D08990E00}"/>
    <cellStyle name="Berechnung 3 3 2 11" xfId="5699" xr:uid="{A54BE201-93B0-4A2E-8C33-262D8F08562D}"/>
    <cellStyle name="Berechnung 3 3 2 12" xfId="5774" xr:uid="{AE419294-681C-47BD-8481-10C9CAF20BE1}"/>
    <cellStyle name="Berechnung 3 3 2 13" xfId="5663" xr:uid="{618DAB0D-5DAA-4E39-AD2A-B28C68D3DB50}"/>
    <cellStyle name="Berechnung 3 3 2 14" xfId="7482" xr:uid="{B88DFB2A-FC91-4722-B2E5-7090310824C3}"/>
    <cellStyle name="Berechnung 3 3 2 15" xfId="6876" xr:uid="{B4665CF0-AA70-415C-ABE8-D5D22DA86D5E}"/>
    <cellStyle name="Berechnung 3 3 2 16" xfId="8083" xr:uid="{5265C18D-2E77-4648-BE14-96DA4F46273D}"/>
    <cellStyle name="Berechnung 3 3 2 17" xfId="8892" xr:uid="{63E0F082-BC12-413F-8B77-9665A6F47BC3}"/>
    <cellStyle name="Berechnung 3 3 2 18" xfId="9696" xr:uid="{5CB76FB8-B978-44D0-821B-AD6DE8E62244}"/>
    <cellStyle name="Berechnung 3 3 2 19" xfId="9089" xr:uid="{BAD07F62-E3F2-4EAB-8D4C-08CEBE9CBA92}"/>
    <cellStyle name="Berechnung 3 3 2 2" xfId="1236" xr:uid="{37048000-1C30-4635-B99B-BAFD29AB1BC9}"/>
    <cellStyle name="Berechnung 3 3 2 20" xfId="8986" xr:uid="{4F6EAF60-2FEE-4E87-A8C0-B237A2C4D670}"/>
    <cellStyle name="Berechnung 3 3 2 21" xfId="10695" xr:uid="{96C0B6B0-0A81-493D-A8FE-2DA80BD009FC}"/>
    <cellStyle name="Berechnung 3 3 2 22" xfId="11000" xr:uid="{5C9B41BA-77DF-41F4-A186-3C84850C2AF4}"/>
    <cellStyle name="Berechnung 3 3 2 23" xfId="12115" xr:uid="{40247BAA-A2EE-4C94-8146-5B6FD1D67B0D}"/>
    <cellStyle name="Berechnung 3 3 2 24" xfId="12588" xr:uid="{00330717-8DBD-4A06-AC15-B248145727A1}"/>
    <cellStyle name="Berechnung 3 3 2 25" xfId="13022" xr:uid="{52E05DE6-4FDF-441E-9824-10A25739ED9C}"/>
    <cellStyle name="Berechnung 3 3 2 26" xfId="13459" xr:uid="{8BFC68BD-C98A-43A6-9DDB-F38CEBB2FAE9}"/>
    <cellStyle name="Berechnung 3 3 2 27" xfId="13603" xr:uid="{1E193FB2-02BA-4231-BFDC-A737ACDCD842}"/>
    <cellStyle name="Berechnung 3 3 2 28" xfId="12745" xr:uid="{06A22E05-326D-4856-9909-7601BA2A0A71}"/>
    <cellStyle name="Berechnung 3 3 2 29" xfId="14108" xr:uid="{D945FB47-049C-4BCE-9E8D-372F9513CD21}"/>
    <cellStyle name="Berechnung 3 3 2 3" xfId="1715" xr:uid="{4DD4BA5D-F829-4867-AB89-9604811079EB}"/>
    <cellStyle name="Berechnung 3 3 2 30" xfId="14017" xr:uid="{9B451CA8-E1B6-424B-9045-49F378634CB7}"/>
    <cellStyle name="Berechnung 3 3 2 31" xfId="15422" xr:uid="{CED0B0D3-1050-466F-AA75-8C43E03D6CC1}"/>
    <cellStyle name="Berechnung 3 3 2 32" xfId="13808" xr:uid="{70156A08-697D-4FD5-9B89-D103413EB8A2}"/>
    <cellStyle name="Berechnung 3 3 2 33" xfId="16807" xr:uid="{730713CE-0154-4915-ACBB-7BDD60D9C50B}"/>
    <cellStyle name="Berechnung 3 3 2 34" xfId="16192" xr:uid="{887E0AD6-AF32-434E-B258-724A16A6F920}"/>
    <cellStyle name="Berechnung 3 3 2 35" xfId="16083" xr:uid="{BD2343CF-46B6-4584-B452-4A38ED30C7B3}"/>
    <cellStyle name="Berechnung 3 3 2 36" xfId="17628" xr:uid="{DC36F2F0-B1CF-40F5-9CFB-F6A8C8FA104A}"/>
    <cellStyle name="Berechnung 3 3 2 37" xfId="18625" xr:uid="{CB51F00A-EA4A-44FC-9F26-C5597DFA8F73}"/>
    <cellStyle name="Berechnung 3 3 2 38" xfId="18961" xr:uid="{9484DD7C-2807-4C38-8419-06EA081FC0B6}"/>
    <cellStyle name="Berechnung 3 3 2 39" xfId="19163" xr:uid="{D45E4589-FD0B-4DC1-8B42-B5A39708EA78}"/>
    <cellStyle name="Berechnung 3 3 2 4" xfId="2584" xr:uid="{D6E3223F-2615-47CB-9C6B-8C8106C1C70E}"/>
    <cellStyle name="Berechnung 3 3 2 40" xfId="20144" xr:uid="{2D34E154-E082-4E1A-8CA1-A1570922F01F}"/>
    <cellStyle name="Berechnung 3 3 2 41" xfId="19524" xr:uid="{87C4A6E8-5366-41A8-90A3-B233456E830E}"/>
    <cellStyle name="Berechnung 3 3 2 42" xfId="20735" xr:uid="{1D925637-A16D-4A65-A30D-B82BEC8DB9E0}"/>
    <cellStyle name="Berechnung 3 3 2 43" xfId="21430" xr:uid="{2901953E-4622-4C25-A49F-1480DF0DC29F}"/>
    <cellStyle name="Berechnung 3 3 2 44" xfId="21411" xr:uid="{D39B9FC1-2BF1-4722-9D07-CE91BE82D05F}"/>
    <cellStyle name="Berechnung 3 3 2 45" xfId="20790" xr:uid="{0B805833-A05C-4830-9B75-98184FDC6380}"/>
    <cellStyle name="Berechnung 3 3 2 46" xfId="22613" xr:uid="{18E2DE55-44BD-44D6-B761-D6F4C5C3812B}"/>
    <cellStyle name="Berechnung 3 3 2 47" xfId="23249" xr:uid="{A275B054-C854-4755-BAFC-E0266843301E}"/>
    <cellStyle name="Berechnung 3 3 2 48" xfId="23377" xr:uid="{18BF395E-B538-46B6-9ECE-F87652D0FEF5}"/>
    <cellStyle name="Berechnung 3 3 2 49" xfId="23944" xr:uid="{C111AB79-5537-4C54-BDCF-CC5BB818E8DD}"/>
    <cellStyle name="Berechnung 3 3 2 5" xfId="2770" xr:uid="{F967278F-14F3-4DDF-AAE2-5028FAE2FB9F}"/>
    <cellStyle name="Berechnung 3 3 2 50" xfId="24852" xr:uid="{C6F8CE6F-F938-4490-8F0C-AE32446C5241}"/>
    <cellStyle name="Berechnung 3 3 2 51" xfId="24454" xr:uid="{1104EF43-7F3E-4271-96EB-90CC25DF4711}"/>
    <cellStyle name="Berechnung 3 3 2 52" xfId="25768" xr:uid="{FA3543BC-1A22-4550-A1C2-19765CEDE2AF}"/>
    <cellStyle name="Berechnung 3 3 2 53" xfId="25922" xr:uid="{D0AB5A3B-381F-4A80-AAAE-C55FDF23B982}"/>
    <cellStyle name="Berechnung 3 3 2 54" xfId="24211" xr:uid="{A5AC57BF-E603-4BF7-A02F-ACCA502FBFEE}"/>
    <cellStyle name="Berechnung 3 3 2 55" xfId="27056" xr:uid="{B91E10BB-35DF-40CA-883C-FE6849F1B2CC}"/>
    <cellStyle name="Berechnung 3 3 2 56" xfId="27475" xr:uid="{DE01DD8E-89C0-4891-AB85-74C6E43B93A6}"/>
    <cellStyle name="Berechnung 3 3 2 57" xfId="26240" xr:uid="{1B8BE034-5C45-4623-84EE-6AEF88DC136D}"/>
    <cellStyle name="Berechnung 3 3 2 58" xfId="28602" xr:uid="{96F90930-B233-43AF-A6C9-43A94969BB02}"/>
    <cellStyle name="Berechnung 3 3 2 59" xfId="29069" xr:uid="{FFEFEB3A-1851-4214-84DF-04D589A6B472}"/>
    <cellStyle name="Berechnung 3 3 2 6" xfId="3077" xr:uid="{EE2C6283-460E-4BB1-95F4-A1C3606BEA0D}"/>
    <cellStyle name="Berechnung 3 3 2 60" xfId="27918" xr:uid="{A7BE1F32-EBFD-4FCA-A379-311305AE9F96}"/>
    <cellStyle name="Berechnung 3 3 2 61" xfId="29858" xr:uid="{F9A205BA-B49A-498C-85F2-6C6B7B622000}"/>
    <cellStyle name="Berechnung 3 3 2 62" xfId="30264" xr:uid="{685A62DB-03AD-47E1-9A29-DE024792A71D}"/>
    <cellStyle name="Berechnung 3 3 2 63" xfId="30681" xr:uid="{3DFFBF4B-8A0E-4184-BE09-C82120CDD170}"/>
    <cellStyle name="Berechnung 3 3 2 64" xfId="30405" xr:uid="{E5220B2B-233A-4947-B973-E0AA49E782E9}"/>
    <cellStyle name="Berechnung 3 3 2 65" xfId="31297" xr:uid="{09DEDBF2-1D15-421C-A4C5-DB76F694270E}"/>
    <cellStyle name="Berechnung 3 3 2 7" xfId="4080" xr:uid="{EF217147-9024-43C9-961B-8E84ADC0BD8B}"/>
    <cellStyle name="Berechnung 3 3 2 8" xfId="4517" xr:uid="{D22E9271-2994-4F67-8413-32CFB353C5B3}"/>
    <cellStyle name="Berechnung 3 3 2 9" xfId="4235" xr:uid="{405FC2A0-5606-4504-AA0D-82DD33F12C14}"/>
    <cellStyle name="Berechnung 3 3 20" xfId="10038" xr:uid="{F817AD96-D8FC-4F34-9F2A-6C9378041F92}"/>
    <cellStyle name="Berechnung 3 3 21" xfId="10459" xr:uid="{0305B444-635F-4224-AB34-6D0B94DE6E58}"/>
    <cellStyle name="Berechnung 3 3 22" xfId="10163" xr:uid="{7A368A56-4E57-4FCC-BBA0-E91D95C95F40}"/>
    <cellStyle name="Berechnung 3 3 23" xfId="10387" xr:uid="{9FBEBE4A-FCB6-477B-A7A5-4B45DC3D151C}"/>
    <cellStyle name="Berechnung 3 3 24" xfId="11900" xr:uid="{38B70CC8-C8C5-4778-A57C-4F397C001135}"/>
    <cellStyle name="Berechnung 3 3 25" xfId="12373" xr:uid="{DF08A0EA-D6C0-4BD5-8BC1-CCCDE0ECE153}"/>
    <cellStyle name="Berechnung 3 3 26" xfId="12807" xr:uid="{8936AE0F-415A-46DE-9408-744837359C70}"/>
    <cellStyle name="Berechnung 3 3 27" xfId="13244" xr:uid="{04B83BDE-0F84-4C01-A6ED-11AED4ABB145}"/>
    <cellStyle name="Berechnung 3 3 28" xfId="11802" xr:uid="{E8AEB410-A2D6-4FC9-8350-1B33BDAC06ED}"/>
    <cellStyle name="Berechnung 3 3 29" xfId="14007" xr:uid="{9288E7D0-33A0-469F-88AC-908F57FA9B12}"/>
    <cellStyle name="Berechnung 3 3 3" xfId="1030" xr:uid="{E4F51C73-09EB-45C0-B21D-32183475DCD2}"/>
    <cellStyle name="Berechnung 3 3 30" xfId="12754" xr:uid="{3B2D4EAC-C483-49FA-BB6E-67399F77778B}"/>
    <cellStyle name="Berechnung 3 3 31" xfId="14918" xr:uid="{16B30FF4-F95F-4BA0-A76D-D921BD0ACDAD}"/>
    <cellStyle name="Berechnung 3 3 32" xfId="14979" xr:uid="{F30DA624-30A9-4628-8B0F-6B9B550D21EB}"/>
    <cellStyle name="Berechnung 3 3 33" xfId="15873" xr:uid="{4EA2060E-48AC-40E4-9A7B-41524AE5FBB4}"/>
    <cellStyle name="Berechnung 3 3 34" xfId="16592" xr:uid="{0B7746AA-CF55-448E-A7AE-8C7EBD55BE40}"/>
    <cellStyle name="Berechnung 3 3 35" xfId="17156" xr:uid="{9182B09A-CFDF-42F8-B74B-B9630B8DED05}"/>
    <cellStyle name="Berechnung 3 3 36" xfId="17601" xr:uid="{4451B3E7-007A-46AB-A0C5-B1A273479673}"/>
    <cellStyle name="Berechnung 3 3 37" xfId="17721" xr:uid="{7FD98BC2-3AED-4009-8189-F3F043D37072}"/>
    <cellStyle name="Berechnung 3 3 38" xfId="18410" xr:uid="{5BAA45DD-E32B-4DB0-AA63-0BD56AE80461}"/>
    <cellStyle name="Berechnung 3 3 39" xfId="18284" xr:uid="{C93226C7-E6DA-4048-B0D6-A0546A561EA9}"/>
    <cellStyle name="Berechnung 3 3 4" xfId="1459" xr:uid="{34C49356-3A1C-4D18-A3EA-F2565E186B0F}"/>
    <cellStyle name="Berechnung 3 3 40" xfId="18948" xr:uid="{B3E1BA3E-43B3-4D3D-BC93-D4D49997A2EF}"/>
    <cellStyle name="Berechnung 3 3 41" xfId="19929" xr:uid="{AE7CEC5E-AA1E-4F55-8E66-F3D01C5C42B3}"/>
    <cellStyle name="Berechnung 3 3 42" xfId="20508" xr:uid="{B57E5147-839A-40FA-A2F6-E1DC0DB13A42}"/>
    <cellStyle name="Berechnung 3 3 43" xfId="20962" xr:uid="{E1EDA885-BEF8-4FC1-BC01-C4F686ADD79F}"/>
    <cellStyle name="Berechnung 3 3 44" xfId="20894" xr:uid="{65AE845E-9B30-4151-8A91-06D6C9295850}"/>
    <cellStyle name="Berechnung 3 3 45" xfId="21892" xr:uid="{D66D65AF-667F-4D0D-A94D-6980372336EF}"/>
    <cellStyle name="Berechnung 3 3 46" xfId="22328" xr:uid="{53BC9556-243F-4F53-954C-B0BC390413D1}"/>
    <cellStyle name="Berechnung 3 3 47" xfId="21565" xr:uid="{12421319-C909-4B35-AB11-9BF08ABD5085}"/>
    <cellStyle name="Berechnung 3 3 48" xfId="20996" xr:uid="{9B988BA0-C2E4-435C-85C7-96F8B4C5B1AB}"/>
    <cellStyle name="Berechnung 3 3 49" xfId="22871" xr:uid="{C463B8A5-FBAA-45C4-9DAA-5ED6F9E34C09}"/>
    <cellStyle name="Berechnung 3 3 5" xfId="2369" xr:uid="{5F91AE57-F171-46B3-B75C-407AC6C516B7}"/>
    <cellStyle name="Berechnung 3 3 50" xfId="23738" xr:uid="{76A7D659-08E5-4FDC-A8BE-32BDC60640AC}"/>
    <cellStyle name="Berechnung 3 3 51" xfId="24637" xr:uid="{7FAA1C7E-CDF6-4055-A80A-4042BC39EBEB}"/>
    <cellStyle name="Berechnung 3 3 52" xfId="25217" xr:uid="{3CCFBCDB-2E91-4627-8CBF-F8BB074F2E05}"/>
    <cellStyle name="Berechnung 3 3 53" xfId="25555" xr:uid="{248B1F6B-99A6-4944-A218-C2B87A7AF960}"/>
    <cellStyle name="Berechnung 3 3 54" xfId="24213" xr:uid="{2FD42300-ED18-4CD0-8067-8B29D7FC24CA}"/>
    <cellStyle name="Berechnung 3 3 55" xfId="26235" xr:uid="{D13643E0-BD37-4A26-BCBB-438D6BAB094E}"/>
    <cellStyle name="Berechnung 3 3 56" xfId="26845" xr:uid="{EE6D727F-D990-433E-9928-A37EBF71FBB9}"/>
    <cellStyle name="Berechnung 3 3 57" xfId="27264" xr:uid="{67EA0549-366F-4762-8F18-D8564B1F6EC2}"/>
    <cellStyle name="Berechnung 3 3 58" xfId="27668" xr:uid="{0979887D-D5B7-4334-B57C-0FC840047745}"/>
    <cellStyle name="Berechnung 3 3 59" xfId="28387" xr:uid="{A7EC1DE1-04A4-44DF-8639-7101DB3DF286}"/>
    <cellStyle name="Berechnung 3 3 6" xfId="2193" xr:uid="{70B60FA3-220F-4E3A-A2E0-B20B4EF837A7}"/>
    <cellStyle name="Berechnung 3 3 60" xfId="28855" xr:uid="{14EEBFE7-7396-4704-8AE3-BC79EB88B9D2}"/>
    <cellStyle name="Berechnung 3 3 61" xfId="29358" xr:uid="{08D0A09A-E884-4B66-AEAC-D53ED9622744}"/>
    <cellStyle name="Berechnung 3 3 62" xfId="29645" xr:uid="{A3770A4C-C4E6-4F7C-A776-E042BA150614}"/>
    <cellStyle name="Berechnung 3 3 63" xfId="30053" xr:uid="{DB4AE745-A98B-443A-AF7B-866409287DC1}"/>
    <cellStyle name="Berechnung 3 3 64" xfId="30467" xr:uid="{FFFE0D3D-0441-454B-8AF0-AB47FBF1799A}"/>
    <cellStyle name="Berechnung 3 3 65" xfId="30953" xr:uid="{63D021C6-E8B6-4423-86A6-D8769FB56332}"/>
    <cellStyle name="Berechnung 3 3 66" xfId="31091" xr:uid="{56F87840-F2E1-49B5-AAFE-5B40CE7A6171}"/>
    <cellStyle name="Berechnung 3 3 7" xfId="2797" xr:uid="{A6BBB81D-5F6D-4CA7-BF86-97F183885721}"/>
    <cellStyle name="Berechnung 3 3 8" xfId="3865" xr:uid="{77E4BA57-D9E6-4C70-BE2E-00E85D42177A}"/>
    <cellStyle name="Berechnung 3 3 9" xfId="4303" xr:uid="{F93B15A4-CB3F-43C4-B329-DD5308776ADB}"/>
    <cellStyle name="Berechnung 3 30" xfId="16454" xr:uid="{5174851A-72BD-466F-BADB-C4376EAE9B7E}"/>
    <cellStyle name="Berechnung 3 31" xfId="17570" xr:uid="{3983B6A8-9016-4A29-BEED-C4BE78C40423}"/>
    <cellStyle name="Berechnung 3 32" xfId="18213" xr:uid="{2F59B3E0-B08A-4D47-A17D-6541B8E804BC}"/>
    <cellStyle name="Berechnung 3 33" xfId="17739" xr:uid="{878E7CB8-AD75-4CA6-AC35-0692D1D09332}"/>
    <cellStyle name="Berechnung 3 34" xfId="19656" xr:uid="{29A37209-DF69-42C7-9C08-9BF26BFDB08C}"/>
    <cellStyle name="Berechnung 3 35" xfId="19498" xr:uid="{1D8B5C7F-A908-45A8-83DD-51511837B134}"/>
    <cellStyle name="Berechnung 3 36" xfId="21656" xr:uid="{75904D85-4FD7-4092-B1A1-A2351F052A2D}"/>
    <cellStyle name="Berechnung 3 37" xfId="22528" xr:uid="{EE103CD1-0D51-46D1-96B7-BC4959B7A4FF}"/>
    <cellStyle name="Berechnung 3 38" xfId="23527" xr:uid="{76E4D82E-57A9-49E8-B8B3-89355DF2B5D3}"/>
    <cellStyle name="Berechnung 3 39" xfId="24376" xr:uid="{F39E6BA7-004C-442B-B9A1-85880493831E}"/>
    <cellStyle name="Berechnung 3 4" xfId="559" xr:uid="{C1D579DD-4BDD-4624-A99F-B70BA3BFD76A}"/>
    <cellStyle name="Berechnung 3 4 10" xfId="4014" xr:uid="{92D13A47-00AC-4D23-96BC-02A0F0A82552}"/>
    <cellStyle name="Berechnung 3 4 11" xfId="5207" xr:uid="{AE2A8888-E34B-4967-A653-CACAE597E70A}"/>
    <cellStyle name="Berechnung 3 4 12" xfId="5945" xr:uid="{F1217142-6F2B-4B37-960D-9B4F6380C61C}"/>
    <cellStyle name="Berechnung 3 4 13" xfId="5118" xr:uid="{08BE2C2E-9679-4CFE-BBD2-F7B50574D573}"/>
    <cellStyle name="Berechnung 3 4 14" xfId="6069" xr:uid="{C120D1D7-965B-40BC-9818-72BD726819E8}"/>
    <cellStyle name="Berechnung 3 4 15" xfId="7279" xr:uid="{935307DD-2CD2-4BDB-8857-737E7E23FBDE}"/>
    <cellStyle name="Berechnung 3 4 16" xfId="7721" xr:uid="{29DC1871-D866-43FC-BE46-7C79B2645656}"/>
    <cellStyle name="Berechnung 3 4 17" xfId="8313" xr:uid="{E6E4806D-469F-417F-8A72-EA441510BD0F}"/>
    <cellStyle name="Berechnung 3 4 18" xfId="8885" xr:uid="{F12F3595-9BF0-4022-895C-9E000B61DAC8}"/>
    <cellStyle name="Berechnung 3 4 19" xfId="9493" xr:uid="{D57DDED0-54E0-448E-9A13-BA18380B5558}"/>
    <cellStyle name="Berechnung 3 4 2" xfId="774" xr:uid="{BE8FA274-9556-468A-ABB6-CAAE53D4C79A}"/>
    <cellStyle name="Berechnung 3 4 2 10" xfId="5422" xr:uid="{333572F0-5215-4EFE-A831-5000D3A68A8D}"/>
    <cellStyle name="Berechnung 3 4 2 11" xfId="3415" xr:uid="{9036BA21-9D40-471F-A6FE-363987AB9687}"/>
    <cellStyle name="Berechnung 3 4 2 12" xfId="3589" xr:uid="{BAC2F362-8211-454A-A541-29A57C0D2D49}"/>
    <cellStyle name="Berechnung 3 4 2 13" xfId="6501" xr:uid="{5AB98D69-1044-4868-B15C-135D69314E65}"/>
    <cellStyle name="Berechnung 3 4 2 14" xfId="7494" xr:uid="{DD8C31D4-D26B-4D8C-BA1D-B3E1EB4D1FFD}"/>
    <cellStyle name="Berechnung 3 4 2 15" xfId="7058" xr:uid="{012B6D57-A3D3-4B5D-A07C-16350EDB2E6E}"/>
    <cellStyle name="Berechnung 3 4 2 16" xfId="8105" xr:uid="{09ADFB47-40E4-43F7-9C37-7CE0CB024A35}"/>
    <cellStyle name="Berechnung 3 4 2 17" xfId="8861" xr:uid="{BD6E87D2-C3ED-47C7-859B-2B68D0CB1703}"/>
    <cellStyle name="Berechnung 3 4 2 18" xfId="9708" xr:uid="{BB603393-F193-483E-87A2-EB68BE0DFA8A}"/>
    <cellStyle name="Berechnung 3 4 2 19" xfId="9271" xr:uid="{E7DFFA81-A13F-44CE-9C32-D1662898A686}"/>
    <cellStyle name="Berechnung 3 4 2 2" xfId="1248" xr:uid="{FA1F8FF4-5367-4983-89E7-253C28EA72D9}"/>
    <cellStyle name="Berechnung 3 4 2 20" xfId="10160" xr:uid="{015D5D7F-3BDD-4CC9-98E1-12718427BCB3}"/>
    <cellStyle name="Berechnung 3 4 2 21" xfId="9281" xr:uid="{4BA91515-A21F-4660-892C-E95A4C929143}"/>
    <cellStyle name="Berechnung 3 4 2 22" xfId="11179" xr:uid="{F7805FDD-11DF-45BD-9BB0-A6CAEA85386C}"/>
    <cellStyle name="Berechnung 3 4 2 23" xfId="12127" xr:uid="{1BDE5163-8032-4377-BEE8-F44AAEE7CBA0}"/>
    <cellStyle name="Berechnung 3 4 2 24" xfId="12600" xr:uid="{125F0DEC-C4B5-41C4-8193-B55ABEE473CB}"/>
    <cellStyle name="Berechnung 3 4 2 25" xfId="13034" xr:uid="{406CEC9E-E922-42A4-8764-F1558A176BE9}"/>
    <cellStyle name="Berechnung 3 4 2 26" xfId="13471" xr:uid="{37686588-F259-4E59-8E72-F987E3A8EC0F}"/>
    <cellStyle name="Berechnung 3 4 2 27" xfId="13203" xr:uid="{F3A6236C-B2AD-4F67-968D-928C77DBF1BD}"/>
    <cellStyle name="Berechnung 3 4 2 28" xfId="11818" xr:uid="{46983D8F-C69B-4A7B-81D4-0DB52E86760F}"/>
    <cellStyle name="Berechnung 3 4 2 29" xfId="14372" xr:uid="{793D7B3B-178D-435F-AE70-2E7A52889AFA}"/>
    <cellStyle name="Berechnung 3 4 2 3" xfId="1483" xr:uid="{12F8FCEE-4196-4D38-A72A-CBD9D4879901}"/>
    <cellStyle name="Berechnung 3 4 2 30" xfId="15208" xr:uid="{1F417EFA-D72A-457A-9925-E6D7AED133A7}"/>
    <cellStyle name="Berechnung 3 4 2 31" xfId="15600" xr:uid="{51B337AD-153B-4D46-A14D-2AB629DE6882}"/>
    <cellStyle name="Berechnung 3 4 2 32" xfId="15539" xr:uid="{AE0DC160-34A1-436F-AD58-302A76A1C09A}"/>
    <cellStyle name="Berechnung 3 4 2 33" xfId="16819" xr:uid="{B9294706-A894-4E15-B92C-13382A2BD8A5}"/>
    <cellStyle name="Berechnung 3 4 2 34" xfId="16380" xr:uid="{E3571D9E-8508-4D2E-BFA7-4354C02C12BF}"/>
    <cellStyle name="Berechnung 3 4 2 35" xfId="17279" xr:uid="{172EEE14-284E-4C1B-96E8-9EE9458FB2F6}"/>
    <cellStyle name="Berechnung 3 4 2 36" xfId="17794" xr:uid="{AEFC9788-2BFB-4E8A-B771-87D19B423ABA}"/>
    <cellStyle name="Berechnung 3 4 2 37" xfId="18637" xr:uid="{9677A649-8160-4A47-8731-1C313FBEEEE2}"/>
    <cellStyle name="Berechnung 3 4 2 38" xfId="19024" xr:uid="{D2AE496E-5134-4684-8273-195C55EBF10A}"/>
    <cellStyle name="Berechnung 3 4 2 39" xfId="18966" xr:uid="{50614B60-FF13-4E51-B5F1-92C8DB62303C}"/>
    <cellStyle name="Berechnung 3 4 2 4" xfId="2596" xr:uid="{781A29AA-205D-4B8E-82B3-42E37AEB5552}"/>
    <cellStyle name="Berechnung 3 4 2 40" xfId="20156" xr:uid="{E1F374CC-8C7B-4B4F-8143-9155109604EF}"/>
    <cellStyle name="Berechnung 3 4 2 41" xfId="19714" xr:uid="{3140356C-9AF9-491C-BF2C-A08E0EDC6A5E}"/>
    <cellStyle name="Berechnung 3 4 2 42" xfId="20285" xr:uid="{586628E2-06CC-4879-BE40-4F1C7B697E24}"/>
    <cellStyle name="Berechnung 3 4 2 43" xfId="21348" xr:uid="{65555056-B963-46A8-AC0C-340532B3E22A}"/>
    <cellStyle name="Berechnung 3 4 2 44" xfId="20425" xr:uid="{F096740F-A63E-4025-B74F-A06C5C91203A}"/>
    <cellStyle name="Berechnung 3 4 2 45" xfId="22003" xr:uid="{E9180248-9D11-4D83-8A3B-E003A7ED3CD5}"/>
    <cellStyle name="Berechnung 3 4 2 46" xfId="22178" xr:uid="{A91F8B97-C679-4938-9EBD-233BCF4C0806}"/>
    <cellStyle name="Berechnung 3 4 2 47" xfId="23303" xr:uid="{E86D5846-6D0B-4B49-B318-82308B592BF8}"/>
    <cellStyle name="Berechnung 3 4 2 48" xfId="23069" xr:uid="{960B3D15-F309-4CDB-A109-40A6DC37AAAE}"/>
    <cellStyle name="Berechnung 3 4 2 49" xfId="23956" xr:uid="{E8AFC3DD-4503-451A-9F83-618AD46F6FF9}"/>
    <cellStyle name="Berechnung 3 4 2 5" xfId="1853" xr:uid="{4713FC94-9F9D-4F81-A8C7-E0E13D0C9E62}"/>
    <cellStyle name="Berechnung 3 4 2 50" xfId="24864" xr:uid="{B4BE8747-AE17-4E69-80A1-6F7551BABBC6}"/>
    <cellStyle name="Berechnung 3 4 2 51" xfId="24409" xr:uid="{053F7EA5-111C-4082-A4DC-CB9168EE00B5}"/>
    <cellStyle name="Berechnung 3 4 2 52" xfId="25780" xr:uid="{B9C509C7-8C4C-4227-86C3-71B03DF1F133}"/>
    <cellStyle name="Berechnung 3 4 2 53" xfId="25255" xr:uid="{7E1D09E6-B0B3-4B46-AB9C-3A312F435A35}"/>
    <cellStyle name="Berechnung 3 4 2 54" xfId="26685" xr:uid="{76518305-3499-45C3-AA79-A25D31DC175D}"/>
    <cellStyle name="Berechnung 3 4 2 55" xfId="27068" xr:uid="{5D8FF144-B54C-48CC-B4E0-695E5B41FCF1}"/>
    <cellStyle name="Berechnung 3 4 2 56" xfId="27487" xr:uid="{7EBF81DD-B8BE-4D2C-83A7-5BFAE6333B6B}"/>
    <cellStyle name="Berechnung 3 4 2 57" xfId="26569" xr:uid="{6A2864DF-30D7-450C-85FA-A34698558AE0}"/>
    <cellStyle name="Berechnung 3 4 2 58" xfId="28614" xr:uid="{42F8E483-BAE8-4AB6-9D2D-20F0B0454C73}"/>
    <cellStyle name="Berechnung 3 4 2 59" xfId="29081" xr:uid="{A663BDE3-9A53-421C-85E6-839B03E908A9}"/>
    <cellStyle name="Berechnung 3 4 2 6" xfId="2808" xr:uid="{3D021570-3E3C-4EA0-AD15-1FC93CB59D50}"/>
    <cellStyle name="Berechnung 3 4 2 60" xfId="28075" xr:uid="{D208F471-0B25-40A4-B446-A5666411C89A}"/>
    <cellStyle name="Berechnung 3 4 2 61" xfId="29870" xr:uid="{68018692-AC8B-4E2A-BF10-C622D0B26AEB}"/>
    <cellStyle name="Berechnung 3 4 2 62" xfId="30276" xr:uid="{5D2F998B-B8B8-4B22-9998-155A1B377946}"/>
    <cellStyle name="Berechnung 3 4 2 63" xfId="30693" xr:uid="{C0E50C31-27A2-4864-96DB-ED584A5010D6}"/>
    <cellStyle name="Berechnung 3 4 2 64" xfId="28329" xr:uid="{7C9A0F66-45DE-4B03-A947-599B7D065A18}"/>
    <cellStyle name="Berechnung 3 4 2 65" xfId="31309" xr:uid="{1D97D91B-B4C4-4E33-BC3E-6D28F15D1E66}"/>
    <cellStyle name="Berechnung 3 4 2 7" xfId="4092" xr:uid="{AE46D27F-7CA6-4B13-8D6B-F85B216EE4DE}"/>
    <cellStyle name="Berechnung 3 4 2 8" xfId="4529" xr:uid="{1E6AA222-A52B-4951-BFA4-E7A01E1B078B}"/>
    <cellStyle name="Berechnung 3 4 2 9" xfId="3443" xr:uid="{DC5AAAA1-D531-426A-B8AD-DE01495B1E40}"/>
    <cellStyle name="Berechnung 3 4 20" xfId="9935" xr:uid="{097E5BFF-830C-4ABE-8753-9506D0555FBC}"/>
    <cellStyle name="Berechnung 3 4 21" xfId="10366" xr:uid="{8E544647-FBE4-40BA-9B47-8F9F6355E390}"/>
    <cellStyle name="Berechnung 3 4 22" xfId="10918" xr:uid="{FE9DF2EF-1C55-4727-9907-F61BD95DE379}"/>
    <cellStyle name="Berechnung 3 4 23" xfId="11208" xr:uid="{78ED283C-33DE-4BD2-AAC6-7E122852AB0A}"/>
    <cellStyle name="Berechnung 3 4 24" xfId="11912" xr:uid="{AC277389-1CFD-44C0-A1BB-5064B59489FB}"/>
    <cellStyle name="Berechnung 3 4 25" xfId="12385" xr:uid="{EB5B120B-99C7-40CC-96C0-73C784BEFB39}"/>
    <cellStyle name="Berechnung 3 4 26" xfId="12819" xr:uid="{DFD21FDD-C3A8-48AC-8554-DCD8E4286896}"/>
    <cellStyle name="Berechnung 3 4 27" xfId="13256" xr:uid="{BE2FDC0F-154D-40D4-8B3A-87D1514E6019}"/>
    <cellStyle name="Berechnung 3 4 28" xfId="13953" xr:uid="{68D83CDF-87A9-42BA-BED8-C72A4A0A41D2}"/>
    <cellStyle name="Berechnung 3 4 29" xfId="11384" xr:uid="{4C6533B4-725F-4766-A3E3-F34A677AF24E}"/>
    <cellStyle name="Berechnung 3 4 3" xfId="1042" xr:uid="{5EE0B672-A8BF-4216-8D37-C0A0A9D1A063}"/>
    <cellStyle name="Berechnung 3 4 30" xfId="14666" xr:uid="{C75C905A-D496-4799-95E6-121F77D98FB6}"/>
    <cellStyle name="Berechnung 3 4 31" xfId="15319" xr:uid="{DE813FF2-5680-48D5-9F44-D26DBFF0F368}"/>
    <cellStyle name="Berechnung 3 4 32" xfId="13788" xr:uid="{30B6806A-3F4D-405E-981B-70C0FE8B86AC}"/>
    <cellStyle name="Berechnung 3 4 33" xfId="15820" xr:uid="{1BCDEEC9-0A9B-48F2-BAEA-1BA5FEC10B8A}"/>
    <cellStyle name="Berechnung 3 4 34" xfId="16604" xr:uid="{CB3AC010-30DE-47B3-81E6-AC5F9262627A}"/>
    <cellStyle name="Berechnung 3 4 35" xfId="17049" xr:uid="{D8EF1906-6114-4F56-826F-748C05ECB439}"/>
    <cellStyle name="Berechnung 3 4 36" xfId="17496" xr:uid="{F6C11542-965D-466D-9C11-2443C407DF2A}"/>
    <cellStyle name="Berechnung 3 4 37" xfId="16421" xr:uid="{343A87A5-87D1-425F-A765-41188756C96A}"/>
    <cellStyle name="Berechnung 3 4 38" xfId="18422" xr:uid="{D45B250E-C77F-4F5A-8117-273A897E7AB7}"/>
    <cellStyle name="Berechnung 3 4 39" xfId="18254" xr:uid="{ED55D96F-ECC1-4994-84D5-3D3B8C7FA06A}"/>
    <cellStyle name="Berechnung 3 4 4" xfId="1639" xr:uid="{57BEEC52-F235-4EF0-BC96-90205EB6FE69}"/>
    <cellStyle name="Berechnung 3 4 40" xfId="19263" xr:uid="{C2B55B87-258A-44E1-A71A-EC49BC1872AF}"/>
    <cellStyle name="Berechnung 3 4 41" xfId="19941" xr:uid="{8185CC9E-0475-41AE-890D-901AAD3BF3F4}"/>
    <cellStyle name="Berechnung 3 4 42" xfId="20401" xr:uid="{DF9295C5-7138-4B25-AC01-A881225B59A7}"/>
    <cellStyle name="Berechnung 3 4 43" xfId="20854" xr:uid="{E95194A7-18EA-4BDB-B304-6A00DA972983}"/>
    <cellStyle name="Berechnung 3 4 44" xfId="21606" xr:uid="{75E1F7DE-C01E-4E8D-A634-0813ABFF7630}"/>
    <cellStyle name="Berechnung 3 4 45" xfId="21787" xr:uid="{E2E6F635-14D4-4598-A07D-AEE6DE843074}"/>
    <cellStyle name="Berechnung 3 4 46" xfId="22223" xr:uid="{0DBA8148-B920-4EDD-A494-8061356D43D3}"/>
    <cellStyle name="Berechnung 3 4 47" xfId="22927" xr:uid="{919F1A68-FDF2-45DA-ACF6-FAE737C02327}"/>
    <cellStyle name="Berechnung 3 4 48" xfId="22637" xr:uid="{2E4FD890-E070-499D-B7A7-C9F42CCC5CC2}"/>
    <cellStyle name="Berechnung 3 4 49" xfId="23486" xr:uid="{5F3CB1A0-4323-47CA-9F70-2820E5E3009E}"/>
    <cellStyle name="Berechnung 3 4 5" xfId="2381" xr:uid="{84C148A7-7B48-46EC-A08A-ADEF7435DE68}"/>
    <cellStyle name="Berechnung 3 4 50" xfId="23750" xr:uid="{34FDFCB0-48C0-439D-8315-041FF27A75A9}"/>
    <cellStyle name="Berechnung 3 4 51" xfId="24649" xr:uid="{F18CFB88-3606-4292-A47C-A0EEE6E38805}"/>
    <cellStyle name="Berechnung 3 4 52" xfId="25110" xr:uid="{DF9CEC5C-41CF-4AF1-ABB4-8A7C90153A35}"/>
    <cellStyle name="Berechnung 3 4 53" xfId="25567" xr:uid="{2F1CB0D2-E6FE-41EF-9C39-CD69C9CA7181}"/>
    <cellStyle name="Berechnung 3 4 54" xfId="26234" xr:uid="{9A7D3D60-B06C-4669-B62E-ABCCF784BE32}"/>
    <cellStyle name="Berechnung 3 4 55" xfId="26281" xr:uid="{EDCA5700-E178-4607-8471-7F8538AC4572}"/>
    <cellStyle name="Berechnung 3 4 56" xfId="26857" xr:uid="{64D09157-2B45-43B8-980E-80ED2940A972}"/>
    <cellStyle name="Berechnung 3 4 57" xfId="27276" xr:uid="{658CC3AB-2194-4CA1-A4D5-44B0AEC07204}"/>
    <cellStyle name="Berechnung 3 4 58" xfId="27192" xr:uid="{314E8BCF-8546-4341-B0E4-6A8090613C45}"/>
    <cellStyle name="Berechnung 3 4 59" xfId="28399" xr:uid="{713E4536-205E-4E24-875E-9A1484351FF2}"/>
    <cellStyle name="Berechnung 3 4 6" xfId="3122" xr:uid="{2C6C422B-EF79-40DA-B85A-EBDF8B36AEEF}"/>
    <cellStyle name="Berechnung 3 4 60" xfId="28867" xr:uid="{6C3C105A-6079-441A-81D5-E28B1DB24B87}"/>
    <cellStyle name="Berechnung 3 4 61" xfId="29264" xr:uid="{4CD1617E-2D0E-40EA-A5C1-DE6D1D8A2304}"/>
    <cellStyle name="Berechnung 3 4 62" xfId="29657" xr:uid="{B7B2AE76-1EA3-4FA9-88BB-AB5E331BC2A2}"/>
    <cellStyle name="Berechnung 3 4 63" xfId="30065" xr:uid="{28F83520-8745-4F46-B8A8-7D5067C8436C}"/>
    <cellStyle name="Berechnung 3 4 64" xfId="30479" xr:uid="{ABD7EC83-D787-4405-ADD5-10DE79F0C1D1}"/>
    <cellStyle name="Berechnung 3 4 65" xfId="30893" xr:uid="{44A92C49-5693-464F-8E23-BF6FEDD7CC2B}"/>
    <cellStyle name="Berechnung 3 4 66" xfId="31103" xr:uid="{C6AA036E-7EB7-4338-A9C9-CBEE6A9F0C06}"/>
    <cellStyle name="Berechnung 3 4 7" xfId="3362" xr:uid="{F9BBAEC4-4DB9-4A50-9BC8-BB5FA642673E}"/>
    <cellStyle name="Berechnung 3 4 8" xfId="3877" xr:uid="{EE52A98C-54D9-4A3E-85D2-BFFA0D64A81D}"/>
    <cellStyle name="Berechnung 3 4 9" xfId="4315" xr:uid="{72E22797-1192-401B-872C-57F2A4DC6445}"/>
    <cellStyle name="Berechnung 3 40" xfId="25021" xr:uid="{2C34B52D-F832-419F-90DD-CCC524E60B50}"/>
    <cellStyle name="Berechnung 3 41" xfId="25208" xr:uid="{CC72D203-F639-4BF2-8510-DD97A505573C}"/>
    <cellStyle name="Berechnung 3 42" xfId="26272" xr:uid="{9144F923-A98E-4218-9176-BE4047D20E58}"/>
    <cellStyle name="Berechnung 3 43" xfId="26175" xr:uid="{A2795BB1-91D0-4E53-ABC7-CFF570B755CD}"/>
    <cellStyle name="Berechnung 3 44" xfId="26395" xr:uid="{383E2AF1-2BB7-4381-AD53-CFCBB1796213}"/>
    <cellStyle name="Berechnung 3 45" xfId="26795" xr:uid="{6C5E1F21-6F6F-4B8A-83FE-2359A9D9F5CC}"/>
    <cellStyle name="Berechnung 3 46" xfId="28147" xr:uid="{AD2509EE-324D-4F64-A987-B738B3262022}"/>
    <cellStyle name="Berechnung 3 47" xfId="27976" xr:uid="{0CCE6BB3-80C0-4A15-898E-D3C845F131FA}"/>
    <cellStyle name="Berechnung 3 48" xfId="29301" xr:uid="{2FCE803A-7AD4-4967-BCFE-EEBAA11EB908}"/>
    <cellStyle name="Berechnung 3 49" xfId="29416" xr:uid="{7438403F-8D00-4CDC-A66F-38C6E6C60D79}"/>
    <cellStyle name="Berechnung 3 5" xfId="697" xr:uid="{1588AF6A-6466-48F7-8DA4-FBF4323FA419}"/>
    <cellStyle name="Berechnung 3 5 10" xfId="5345" xr:uid="{F0F0B5AD-53D2-4E92-96C5-74613502C06E}"/>
    <cellStyle name="Berechnung 3 5 11" xfId="5819" xr:uid="{EC4ECF86-EE67-440C-912C-3BD7957F6C09}"/>
    <cellStyle name="Berechnung 3 5 12" xfId="4878" xr:uid="{D5C971E6-7E7C-43FC-B2C8-5F0E93243803}"/>
    <cellStyle name="Berechnung 3 5 13" xfId="6522" xr:uid="{6ABE04F6-0626-4913-A619-421883CBE862}"/>
    <cellStyle name="Berechnung 3 5 14" xfId="7417" xr:uid="{81D6B212-24EF-415F-A58B-AD715C0663C6}"/>
    <cellStyle name="Berechnung 3 5 15" xfId="7984" xr:uid="{EBA11001-856C-4867-B24F-5D6B4BCB31C4}"/>
    <cellStyle name="Berechnung 3 5 16" xfId="8445" xr:uid="{17FC2216-83CD-4DF3-B52E-05F11813CF73}"/>
    <cellStyle name="Berechnung 3 5 17" xfId="8690" xr:uid="{6ADFB7EB-07DB-4779-B45D-1ADA7402AC9D}"/>
    <cellStyle name="Berechnung 3 5 18" xfId="9631" xr:uid="{74BDBEE2-1971-4C1D-BDDD-1166ACE42525}"/>
    <cellStyle name="Berechnung 3 5 19" xfId="10200" xr:uid="{2CC2926A-49B8-404C-A1B1-E36DB86390CC}"/>
    <cellStyle name="Berechnung 3 5 2" xfId="1175" xr:uid="{44CF3A92-4C86-4C77-9700-CA025382BBA2}"/>
    <cellStyle name="Berechnung 3 5 20" xfId="10604" xr:uid="{1AC60326-D061-4236-B0BA-9973DA31CBB2}"/>
    <cellStyle name="Berechnung 3 5 21" xfId="10314" xr:uid="{410AE84B-212B-46FA-9D34-1198D792D603}"/>
    <cellStyle name="Berechnung 3 5 22" xfId="9952" xr:uid="{0AD4048A-4B7E-46FC-9874-9E83FA7536C4}"/>
    <cellStyle name="Berechnung 3 5 23" xfId="12050" xr:uid="{A5F3C815-F56E-4C1F-96DD-7BEA86F0F981}"/>
    <cellStyle name="Berechnung 3 5 24" xfId="12523" xr:uid="{004CA742-2D82-49B4-B129-C4255413F032}"/>
    <cellStyle name="Berechnung 3 5 25" xfId="12957" xr:uid="{D3E5ED8F-C1B6-48A3-B1FC-691036577B11}"/>
    <cellStyle name="Berechnung 3 5 26" xfId="13394" xr:uid="{5E4C893E-DC64-4A0B-B4D4-333E62277784}"/>
    <cellStyle name="Berechnung 3 5 27" xfId="12304" xr:uid="{6A73D388-5B4D-4A69-915B-6DB4D673C8F7}"/>
    <cellStyle name="Berechnung 3 5 28" xfId="14117" xr:uid="{F6696827-3874-4CFF-BDA6-10DEFB929970}"/>
    <cellStyle name="Berechnung 3 5 29" xfId="14850" xr:uid="{4E3CDE18-A33D-4AF4-A05B-C2579BF0DD45}"/>
    <cellStyle name="Berechnung 3 5 3" xfId="1714" xr:uid="{13A887E2-E287-4EB1-AAC5-33E9D2FF3917}"/>
    <cellStyle name="Berechnung 3 5 30" xfId="15158" xr:uid="{FD87B7BF-70F6-41EB-98EB-64C79125F3D0}"/>
    <cellStyle name="Berechnung 3 5 31" xfId="15072" xr:uid="{61DAB467-84AF-4F48-8BD0-3DDF044F679D}"/>
    <cellStyle name="Berechnung 3 5 32" xfId="15963" xr:uid="{AC884F4D-E484-4F9E-9459-419A29D1111C}"/>
    <cellStyle name="Berechnung 3 5 33" xfId="16742" xr:uid="{37F99CAB-9941-41F6-A632-E80E7DCBC13C}"/>
    <cellStyle name="Berechnung 3 5 34" xfId="17321" xr:uid="{41685FE5-8B69-4A0C-8400-BFCD730DEE82}"/>
    <cellStyle name="Berechnung 3 5 35" xfId="17764" xr:uid="{427CA0DD-77E1-4C56-A161-BE61A0962C6F}"/>
    <cellStyle name="Berechnung 3 5 36" xfId="18072" xr:uid="{9B0D44E3-0B0A-4B57-93B3-45E8EB6102AE}"/>
    <cellStyle name="Berechnung 3 5 37" xfId="18560" xr:uid="{34B5AD79-3228-4310-ACFC-8FA8AB6BAF81}"/>
    <cellStyle name="Berechnung 3 5 38" xfId="18762" xr:uid="{35B84A19-51F7-4ED8-86E0-36A3B9AFC2C9}"/>
    <cellStyle name="Berechnung 3 5 39" xfId="17499" xr:uid="{840149ED-6D92-43BA-9F61-F1B9470A1B0A}"/>
    <cellStyle name="Berechnung 3 5 4" xfId="2519" xr:uid="{E4144CCA-49EC-4982-8B42-60842AACD5CA}"/>
    <cellStyle name="Berechnung 3 5 40" xfId="20079" xr:uid="{5704D3F3-E466-4F35-8A53-2D56E62007AE}"/>
    <cellStyle name="Berechnung 3 5 41" xfId="20672" xr:uid="{28451095-FC93-4762-B893-1748CC3ECD57}"/>
    <cellStyle name="Berechnung 3 5 42" xfId="21128" xr:uid="{6BE9370B-842C-417D-B4E2-8B041834CF77}"/>
    <cellStyle name="Berechnung 3 5 43" xfId="20823" xr:uid="{FDF325E1-1ED0-43A9-9ADE-0B2F7506143E}"/>
    <cellStyle name="Berechnung 3 5 44" xfId="22060" xr:uid="{B7887929-97D9-413A-9550-E01919154C25}"/>
    <cellStyle name="Berechnung 3 5 45" xfId="22488" xr:uid="{7B0D70DB-DCD8-4D8C-A1D9-2E29EB51ECE8}"/>
    <cellStyle name="Berechnung 3 5 46" xfId="21570" xr:uid="{91BAFCE0-0652-4E94-9418-458EB87FAB12}"/>
    <cellStyle name="Berechnung 3 5 47" xfId="23030" xr:uid="{36D089FF-1114-4E4B-BABF-8B2F5EC30F31}"/>
    <cellStyle name="Berechnung 3 5 48" xfId="22827" xr:uid="{B85155D9-EBE9-4DF6-9B00-E613DDC48CE8}"/>
    <cellStyle name="Berechnung 3 5 49" xfId="23883" xr:uid="{6A578FDE-919E-4E22-843E-0B1E05CAB29B}"/>
    <cellStyle name="Berechnung 3 5 5" xfId="1952" xr:uid="{A8EABB75-A9D8-4A6E-9C3B-09BC5E3307E1}"/>
    <cellStyle name="Berechnung 3 5 50" xfId="24787" xr:uid="{2E7EDD27-BA3B-49BE-BBC9-3FBB8C1030A2}"/>
    <cellStyle name="Berechnung 3 5 51" xfId="25375" xr:uid="{C9C12EAE-6F2C-4749-A3BC-14D1EB71EAC2}"/>
    <cellStyle name="Berechnung 3 5 52" xfId="25704" xr:uid="{B09D3730-3888-483B-A916-442A644C1BFE}"/>
    <cellStyle name="Berechnung 3 5 53" xfId="25413" xr:uid="{2006CDF5-86E6-42D8-B8D4-BFED196FDBBF}"/>
    <cellStyle name="Berechnung 3 5 54" xfId="24541" xr:uid="{C89D1C34-D688-4DBF-8DE4-7781C93224FA}"/>
    <cellStyle name="Berechnung 3 5 55" xfId="26992" xr:uid="{B62AB247-BE05-4730-8444-36591A0AA8D3}"/>
    <cellStyle name="Berechnung 3 5 56" xfId="27411" xr:uid="{EC996E1C-9190-425F-A4B0-79C8BA6AE598}"/>
    <cellStyle name="Berechnung 3 5 57" xfId="27725" xr:uid="{F4F6ED59-F4AC-4C1E-8E02-D3B7D0FC0003}"/>
    <cellStyle name="Berechnung 3 5 58" xfId="28537" xr:uid="{39FC7C4C-F087-44D9-B21C-76B6CB78330E}"/>
    <cellStyle name="Berechnung 3 5 59" xfId="29004" xr:uid="{F6CB63E3-CFAB-49A7-BF98-EABAC7785126}"/>
    <cellStyle name="Berechnung 3 5 6" xfId="3319" xr:uid="{3B571153-DAB5-4A9B-8502-CC32C8979A5D}"/>
    <cellStyle name="Berechnung 3 5 60" xfId="29497" xr:uid="{0F18A4FB-1939-4DFE-8A37-3369C9B77477}"/>
    <cellStyle name="Berechnung 3 5 61" xfId="29794" xr:uid="{8AD88BC7-9C53-4F59-9AE5-AFE6CF9856BE}"/>
    <cellStyle name="Berechnung 3 5 62" xfId="30200" xr:uid="{2B6B0767-2230-4CE7-8DA3-0921AEA088A9}"/>
    <cellStyle name="Berechnung 3 5 63" xfId="30616" xr:uid="{5EACBC0F-7783-4B0D-B01B-3D1C39198762}"/>
    <cellStyle name="Berechnung 3 5 64" xfId="29205" xr:uid="{9B83238C-7B03-4647-8FA6-18A1D40C7071}"/>
    <cellStyle name="Berechnung 3 5 65" xfId="31236" xr:uid="{5587DF93-06CD-4AC0-B817-003233E9101D}"/>
    <cellStyle name="Berechnung 3 5 7" xfId="4015" xr:uid="{F0A101BD-2F7F-4B97-BAF3-010ECBEE2441}"/>
    <cellStyle name="Berechnung 3 5 8" xfId="4452" xr:uid="{8C90E882-1BE6-4653-95B3-5A86CC52210C}"/>
    <cellStyle name="Berechnung 3 5 9" xfId="4906" xr:uid="{B71D56F0-98B1-40D4-A8B0-43497AC14A2B}"/>
    <cellStyle name="Berechnung 3 50" xfId="28239" xr:uid="{400ECDD5-74F3-4F16-9CAA-6F037C11556A}"/>
    <cellStyle name="Berechnung 3 51" xfId="28295" xr:uid="{DE43B7C2-B958-4684-9CFA-C1C6A8975CC4}"/>
    <cellStyle name="Berechnung 3 6" xfId="949" xr:uid="{911D3748-7084-4B30-8A9E-CB213769BFF4}"/>
    <cellStyle name="Berechnung 3 7" xfId="2096" xr:uid="{500543F0-F1C1-4454-87FB-B9AD169EC1A3}"/>
    <cellStyle name="Berechnung 3 8" xfId="2242" xr:uid="{12910610-5C47-46BE-BC49-0326D6157EF5}"/>
    <cellStyle name="Berechnung 3 9" xfId="3307" xr:uid="{86E8059F-B36B-451D-B468-01E5FE2FCAA2}"/>
    <cellStyle name="Berechnung 4" xfId="544" xr:uid="{C289F3BF-3211-4292-A4C5-5AA2C5BA2EE4}"/>
    <cellStyle name="Berechnung 4 10" xfId="4926" xr:uid="{B7964E14-81EE-4618-94B7-836D51239660}"/>
    <cellStyle name="Berechnung 4 11" xfId="5192" xr:uid="{587D6E25-D34A-4667-B311-2A3DD8E0A11B}"/>
    <cellStyle name="Berechnung 4 12" xfId="5754" xr:uid="{BFA03F10-34A3-48D8-BF2B-D5952F043F34}"/>
    <cellStyle name="Berechnung 4 13" xfId="5887" xr:uid="{7EE3C750-B7FB-4F0B-90D3-E96904BB26DD}"/>
    <cellStyle name="Berechnung 4 14" xfId="6664" xr:uid="{21EC5041-FC2D-4C88-8CB3-E442C1A30D7C}"/>
    <cellStyle name="Berechnung 4 15" xfId="7264" xr:uid="{96B40A9D-026E-42CE-9023-B79778554A4F}"/>
    <cellStyle name="Berechnung 4 16" xfId="7903" xr:uid="{F911D31A-8A21-4D5F-A576-CA534D58CF66}"/>
    <cellStyle name="Berechnung 4 17" xfId="8582" xr:uid="{CE378632-09DF-4A65-AD6A-583EC1A2C247}"/>
    <cellStyle name="Berechnung 4 18" xfId="8197" xr:uid="{90B2DB07-7489-4976-A739-9FE1EFE88658}"/>
    <cellStyle name="Berechnung 4 19" xfId="9478" xr:uid="{E6AE9139-02B5-4F56-9AE3-799881846ECE}"/>
    <cellStyle name="Berechnung 4 2" xfId="759" xr:uid="{8F02ADF9-3393-4B7F-BB0E-0534E40F6DC6}"/>
    <cellStyle name="Berechnung 4 2 10" xfId="5407" xr:uid="{74C52D31-6DEE-4637-A33A-4A05EEBC04E5}"/>
    <cellStyle name="Berechnung 4 2 11" xfId="5716" xr:uid="{DA57406A-012C-48FC-ACAA-C19366E03BA7}"/>
    <cellStyle name="Berechnung 4 2 12" xfId="4737" xr:uid="{E3BD2454-6AAD-4BF7-BA27-C9D17D050138}"/>
    <cellStyle name="Berechnung 4 2 13" xfId="6657" xr:uid="{65E9D0EC-F030-4864-AE96-7B2553CA2DF4}"/>
    <cellStyle name="Berechnung 4 2 14" xfId="7479" xr:uid="{EA3BC162-FECB-4831-918E-9C95D0D10714}"/>
    <cellStyle name="Berechnung 4 2 15" xfId="7092" xr:uid="{26A7A28F-1705-4305-8739-B0823F90390B}"/>
    <cellStyle name="Berechnung 4 2 16" xfId="8515" xr:uid="{CE511F03-9036-4103-8B78-409871635309}"/>
    <cellStyle name="Berechnung 4 2 17" xfId="7910" xr:uid="{2CDDE6DF-5B9B-4EB2-8FB2-F0082F426B1C}"/>
    <cellStyle name="Berechnung 4 2 18" xfId="9693" xr:uid="{0A371BA8-4B4C-4142-8699-843A7908607A}"/>
    <cellStyle name="Berechnung 4 2 19" xfId="9305" xr:uid="{4F590E89-16CC-4833-B0D2-2928F0C30B71}"/>
    <cellStyle name="Berechnung 4 2 2" xfId="1233" xr:uid="{47336F23-F050-4EA1-9CA8-F310082791A4}"/>
    <cellStyle name="Berechnung 4 2 20" xfId="10138" xr:uid="{C5C42E24-0184-449A-B344-64D83806198B}"/>
    <cellStyle name="Berechnung 4 2 21" xfId="9441" xr:uid="{36926A77-AF75-491E-A084-5F0AD402A80A}"/>
    <cellStyle name="Berechnung 4 2 22" xfId="10933" xr:uid="{6E3523EE-E416-440A-8C65-AFE358F7C7D0}"/>
    <cellStyle name="Berechnung 4 2 23" xfId="12112" xr:uid="{6B4B796C-FF36-4BC2-8A93-ADD45DD26440}"/>
    <cellStyle name="Berechnung 4 2 24" xfId="12585" xr:uid="{87C002E2-33FB-4FB8-B32F-F5AAA3F94965}"/>
    <cellStyle name="Berechnung 4 2 25" xfId="13019" xr:uid="{303ACAC4-7946-4E09-AFB5-476F19143D36}"/>
    <cellStyle name="Berechnung 4 2 26" xfId="13456" xr:uid="{B78FF7AF-82DA-44AC-8179-789998E30595}"/>
    <cellStyle name="Berechnung 4 2 27" xfId="13610" xr:uid="{0AE1B028-B849-4EFB-9256-B7401AF139B8}"/>
    <cellStyle name="Berechnung 4 2 28" xfId="11512" xr:uid="{6F974FF6-C4FB-40E0-BD83-4E363B4DB052}"/>
    <cellStyle name="Berechnung 4 2 29" xfId="14417" xr:uid="{B63B9915-E5E8-4567-8C93-E4BCB796E486}"/>
    <cellStyle name="Berechnung 4 2 3" xfId="1678" xr:uid="{E937D7A5-049F-46F8-983C-BF41340097F6}"/>
    <cellStyle name="Berechnung 4 2 30" xfId="15105" xr:uid="{E0664AAA-5B1A-4E74-9050-347B9EC687B4}"/>
    <cellStyle name="Berechnung 4 2 31" xfId="15734" xr:uid="{A4710728-DAEA-4609-9030-DF70E1C28B5D}"/>
    <cellStyle name="Berechnung 4 2 32" xfId="15706" xr:uid="{D7B108ED-811D-40A5-AAE6-0FAD9AB7B952}"/>
    <cellStyle name="Berechnung 4 2 33" xfId="16804" xr:uid="{9EB638EF-CBD3-4D09-9B29-1DED3E261354}"/>
    <cellStyle name="Berechnung 4 2 34" xfId="16414" xr:uid="{80AE99D7-8F8A-4DD4-A357-6315BC5EB96C}"/>
    <cellStyle name="Berechnung 4 2 35" xfId="17257" xr:uid="{CC5D8002-9AE7-463F-83C6-1A62C736803F}"/>
    <cellStyle name="Berechnung 4 2 36" xfId="18117" xr:uid="{019B0584-3D83-42A9-A969-E1E34ECC1AF1}"/>
    <cellStyle name="Berechnung 4 2 37" xfId="18622" xr:uid="{C6E916CC-1F5E-4B36-BAFA-BF0C05D9F1AA}"/>
    <cellStyle name="Berechnung 4 2 38" xfId="18288" xr:uid="{F30ABA00-532A-4CDF-A63F-CA434130E6F2}"/>
    <cellStyle name="Berechnung 4 2 39" xfId="19166" xr:uid="{D2336321-0B8C-448E-A9D1-D53863CA8F87}"/>
    <cellStyle name="Berechnung 4 2 4" xfId="2581" xr:uid="{6D778085-D904-4D00-8651-3FCEFF23C8B2}"/>
    <cellStyle name="Berechnung 4 2 40" xfId="20141" xr:uid="{147C677D-CF88-46EA-BC56-8B2C2981C129}"/>
    <cellStyle name="Berechnung 4 2 41" xfId="19749" xr:uid="{8C54F9A9-997A-4E61-9B3C-2303DD358E10}"/>
    <cellStyle name="Berechnung 4 2 42" xfId="19724" xr:uid="{501DC7DB-98CF-4FE2-ABF4-008BE321F224}"/>
    <cellStyle name="Berechnung 4 2 43" xfId="21315" xr:uid="{00E0390A-1E07-4089-9B18-609199A702F0}"/>
    <cellStyle name="Berechnung 4 2 44" xfId="21624" xr:uid="{8D6A4B07-1DAD-477C-A625-74BCDD683EF8}"/>
    <cellStyle name="Berechnung 4 2 45" xfId="19738" xr:uid="{7FFC1EB4-016B-4EB5-8783-725AA25118C2}"/>
    <cellStyle name="Berechnung 4 2 46" xfId="22619" xr:uid="{C7F87171-DD43-41F0-8C3D-EB1345CC1198}"/>
    <cellStyle name="Berechnung 4 2 47" xfId="22739" xr:uid="{0AA54CA8-6E2B-4B32-985B-4C161866B9C7}"/>
    <cellStyle name="Berechnung 4 2 48" xfId="21864" xr:uid="{794B6C51-A209-47C5-B6A7-5CCB1777BB52}"/>
    <cellStyle name="Berechnung 4 2 49" xfId="23941" xr:uid="{040663A0-50C1-414E-BD03-8DDE9AD08380}"/>
    <cellStyle name="Berechnung 4 2 5" xfId="2777" xr:uid="{D3794B8A-33E5-4922-91D3-9DE0067D15A0}"/>
    <cellStyle name="Berechnung 4 2 50" xfId="24849" xr:uid="{4B6A0D76-3415-460E-8BE3-76E2BC027AAF}"/>
    <cellStyle name="Berechnung 4 2 51" xfId="24332" xr:uid="{8DBAFDC8-E0B5-4452-B667-DBD95C43B165}"/>
    <cellStyle name="Berechnung 4 2 52" xfId="25765" xr:uid="{F224F669-D87A-4B87-99A6-E21E99ECBB25}"/>
    <cellStyle name="Berechnung 4 2 53" xfId="25071" xr:uid="{243D4DD3-FF82-461A-BF3D-05CA47C9B636}"/>
    <cellStyle name="Berechnung 4 2 54" xfId="26585" xr:uid="{26FAA847-CC1F-4DB0-843B-288977353E67}"/>
    <cellStyle name="Berechnung 4 2 55" xfId="27053" xr:uid="{5371EC53-CD03-4D8D-9E83-CED47CDE9342}"/>
    <cellStyle name="Berechnung 4 2 56" xfId="27472" xr:uid="{1E5161C8-A1ED-4B60-B36B-15DDC539B455}"/>
    <cellStyle name="Berechnung 4 2 57" xfId="26177" xr:uid="{E4E81B07-C64B-445E-B902-3E6540FF433D}"/>
    <cellStyle name="Berechnung 4 2 58" xfId="28599" xr:uid="{3BC7B64B-8FAA-4FAB-8571-ABB3FE8A33D1}"/>
    <cellStyle name="Berechnung 4 2 59" xfId="29066" xr:uid="{089A06FD-3E4D-4356-859C-B39127EDA0DB}"/>
    <cellStyle name="Berechnung 4 2 6" xfId="3261" xr:uid="{99836868-6C63-411B-8483-76614B517BF0}"/>
    <cellStyle name="Berechnung 4 2 60" xfId="28737" xr:uid="{F8435540-CBF7-40E8-AD37-AB77F0AE0120}"/>
    <cellStyle name="Berechnung 4 2 61" xfId="29855" xr:uid="{E7F919B3-DE35-4B2E-AED9-DADD576A4E8F}"/>
    <cellStyle name="Berechnung 4 2 62" xfId="30261" xr:uid="{50E0C1A0-9FBE-4B58-A555-8954A937AEB9}"/>
    <cellStyle name="Berechnung 4 2 63" xfId="30678" xr:uid="{17967898-6566-416C-A2A9-23EC48C95A65}"/>
    <cellStyle name="Berechnung 4 2 64" xfId="28034" xr:uid="{EE665B9E-8EBB-4DAC-8286-E27B72EE3294}"/>
    <cellStyle name="Berechnung 4 2 65" xfId="31294" xr:uid="{0820A1EE-1944-497B-A457-15E21BDD0BCF}"/>
    <cellStyle name="Berechnung 4 2 7" xfId="4077" xr:uid="{8230A263-8610-412A-AD5F-0E4EDB31E468}"/>
    <cellStyle name="Berechnung 4 2 8" xfId="4514" xr:uid="{DE3D3EDB-66E4-46FA-A90F-3DB395448ECD}"/>
    <cellStyle name="Berechnung 4 2 9" xfId="3360" xr:uid="{A7762E5F-2C4C-492F-AEAF-ECCD584C4020}"/>
    <cellStyle name="Berechnung 4 20" xfId="10116" xr:uid="{0FE5240B-E4C9-492F-8D55-8178E8A8AAC0}"/>
    <cellStyle name="Berechnung 4 21" xfId="10527" xr:uid="{BAB23F95-BF14-409F-A4ED-B19EA8049DD6}"/>
    <cellStyle name="Berechnung 4 22" xfId="10329" xr:uid="{B3D80569-0FB3-4B9E-A1D4-B356B9413295}"/>
    <cellStyle name="Berechnung 4 23" xfId="11265" xr:uid="{53FC4061-D73B-4892-AA53-BB393C326C59}"/>
    <cellStyle name="Berechnung 4 24" xfId="11897" xr:uid="{7A4965FE-6631-469C-A2CA-E10566D1F688}"/>
    <cellStyle name="Berechnung 4 25" xfId="12370" xr:uid="{4B1E3F72-4B05-4666-A05C-6C695576E2D8}"/>
    <cellStyle name="Berechnung 4 26" xfId="12804" xr:uid="{1CBD3DFF-D843-4ACD-96B8-C06F4678C025}"/>
    <cellStyle name="Berechnung 4 27" xfId="13241" xr:uid="{9B510708-6124-4072-BD13-033D352A3D9E}"/>
    <cellStyle name="Berechnung 4 28" xfId="13923" xr:uid="{875E2697-AD46-4A09-8F1E-F538809654F1}"/>
    <cellStyle name="Berechnung 4 29" xfId="14140" xr:uid="{CD2BF23B-6721-4ABE-943E-3A578CB0AB94}"/>
    <cellStyle name="Berechnung 4 3" xfId="1027" xr:uid="{3A62575E-1B21-495C-A027-C4A577A1FD1F}"/>
    <cellStyle name="Berechnung 4 30" xfId="14892" xr:uid="{7B4FC501-26F4-4CD3-B51A-DA5C9950BF8C}"/>
    <cellStyle name="Berechnung 4 31" xfId="14804" xr:uid="{15AD7BF9-F430-444F-8D32-B458F459D9F4}"/>
    <cellStyle name="Berechnung 4 32" xfId="15759" xr:uid="{2CF739BD-2BE4-4878-98F1-C310CC11CBFF}"/>
    <cellStyle name="Berechnung 4 33" xfId="15918" xr:uid="{34BC3579-B245-4F61-84D2-DAA543CA911D}"/>
    <cellStyle name="Berechnung 4 34" xfId="16589" xr:uid="{D671826F-FDC1-4A3C-AE4D-D622FB371BF2}"/>
    <cellStyle name="Berechnung 4 35" xfId="17235" xr:uid="{911131FA-003C-4D8E-9A3A-057489128804}"/>
    <cellStyle name="Berechnung 4 36" xfId="17679" xr:uid="{C4AFDCD1-B4EE-45E8-A898-D88837C09FA9}"/>
    <cellStyle name="Berechnung 4 37" xfId="18015" xr:uid="{91ABCDFA-A1D3-4FE2-8A27-096FD7455CA6}"/>
    <cellStyle name="Berechnung 4 38" xfId="18407" xr:uid="{A8455F3E-02B3-4D4E-BAE2-43C72812A694}"/>
    <cellStyle name="Berechnung 4 39" xfId="19012" xr:uid="{6450D0EA-62C7-4520-9D9C-CC7E1E5CE3C5}"/>
    <cellStyle name="Berechnung 4 4" xfId="1569" xr:uid="{242705ED-DB09-4123-A15C-C52C338CB765}"/>
    <cellStyle name="Berechnung 4 40" xfId="17799" xr:uid="{CBB2CC3C-9497-4BAF-95C6-21AF8797796B}"/>
    <cellStyle name="Berechnung 4 41" xfId="19926" xr:uid="{EB4D9E5B-43E9-4AC5-8E7A-AD4E41C329FA}"/>
    <cellStyle name="Berechnung 4 42" xfId="20586" xr:uid="{DD15DC90-E5B4-4A81-BB7A-4C929A059A04}"/>
    <cellStyle name="Berechnung 4 43" xfId="21040" xr:uid="{202E24C9-91DC-416E-B6FD-71324D36D631}"/>
    <cellStyle name="Berechnung 4 44" xfId="19399" xr:uid="{BAA3D22E-37E8-4690-ADAD-9BED72CBF0A9}"/>
    <cellStyle name="Berechnung 4 45" xfId="21971" xr:uid="{A22AFE0A-1198-4506-9897-AAE6760DAA1E}"/>
    <cellStyle name="Berechnung 4 46" xfId="22403" xr:uid="{AFFB4076-F6E4-4EFE-8C5F-465DB2ABECB3}"/>
    <cellStyle name="Berechnung 4 47" xfId="22899" xr:uid="{A83B669B-24FB-4ECF-8DA7-F038DBFFF7F5}"/>
    <cellStyle name="Berechnung 4 48" xfId="23292" xr:uid="{7A0D9F81-BB46-4C42-BA36-D398FF7EBA2A}"/>
    <cellStyle name="Berechnung 4 49" xfId="23032" xr:uid="{468D0A8F-72D8-47DA-9C1B-3C0E72475033}"/>
    <cellStyle name="Berechnung 4 5" xfId="2366" xr:uid="{52B9A4E8-495C-4E3A-A1FC-20331F806477}"/>
    <cellStyle name="Berechnung 4 50" xfId="23735" xr:uid="{4F74ABB1-F6E9-442E-9B97-9F49B27D3E6A}"/>
    <cellStyle name="Berechnung 4 51" xfId="24634" xr:uid="{4BAE0ED1-B074-4962-88F4-42D9F12C1EEE}"/>
    <cellStyle name="Berechnung 4 52" xfId="25295" xr:uid="{29C1D3CD-D0C8-477C-BC96-414D9F8F0B2A}"/>
    <cellStyle name="Berechnung 4 53" xfId="25552" xr:uid="{70908BDD-1446-431B-A66A-980155431D5C}"/>
    <cellStyle name="Berechnung 4 54" xfId="26205" xr:uid="{75C2ABAF-C321-4F1D-A297-5E106960C44D}"/>
    <cellStyle name="Berechnung 4 55" xfId="26350" xr:uid="{50469258-3AC4-4211-8790-330A6B51E988}"/>
    <cellStyle name="Berechnung 4 56" xfId="26842" xr:uid="{A8EA52CC-B2B9-4359-8337-697E8C215386}"/>
    <cellStyle name="Berechnung 4 57" xfId="27261" xr:uid="{070F2A2B-2B5F-4712-88F8-83A1F0560569}"/>
    <cellStyle name="Berechnung 4 58" xfId="27755" xr:uid="{5AB475DB-9EC6-41E2-A19B-87B4B65F7266}"/>
    <cellStyle name="Berechnung 4 59" xfId="28384" xr:uid="{934FB91F-1CAD-49BA-BB9B-FD47851FB096}"/>
    <cellStyle name="Berechnung 4 6" xfId="3091" xr:uid="{51A2A151-E894-40E5-89A8-F6CFDD1FBB8B}"/>
    <cellStyle name="Berechnung 4 60" xfId="28852" xr:uid="{4A676B1A-64A0-495A-BE51-0DCC8C868711}"/>
    <cellStyle name="Berechnung 4 61" xfId="29420" xr:uid="{EF7D9218-34AB-4539-A228-660E669262D9}"/>
    <cellStyle name="Berechnung 4 62" xfId="29642" xr:uid="{FF6E186D-EF0A-4979-9F82-D23BE87B50D7}"/>
    <cellStyle name="Berechnung 4 63" xfId="30050" xr:uid="{867A07B4-8853-42D0-89A5-2EA24F05D0ED}"/>
    <cellStyle name="Berechnung 4 64" xfId="30464" xr:uid="{AD5FC2E4-764A-4413-A0A9-F579700988A3}"/>
    <cellStyle name="Berechnung 4 65" xfId="30910" xr:uid="{DA32D601-6E3F-4BC7-A4EE-505962F452B1}"/>
    <cellStyle name="Berechnung 4 66" xfId="31088" xr:uid="{1134EA76-687A-4B06-BEC5-C1AA9CD4B52C}"/>
    <cellStyle name="Berechnung 4 7" xfId="3298" xr:uid="{B6730E75-104F-4EE0-970B-85A5241F9610}"/>
    <cellStyle name="Berechnung 4 8" xfId="3862" xr:uid="{9BE5315F-73A8-480A-A37D-E1265FDF5AFC}"/>
    <cellStyle name="Berechnung 4 9" xfId="4300" xr:uid="{BB45C06B-03AE-4FD3-9F35-97BA157458CF}"/>
    <cellStyle name="Berechnung 5" xfId="661" xr:uid="{633DCED2-BDBA-448A-8971-051DED064BB6}"/>
    <cellStyle name="Berechnung 5 10" xfId="4891" xr:uid="{B1C8D6BE-64B7-452D-9961-143EA5D40B56}"/>
    <cellStyle name="Berechnung 5 11" xfId="5309" xr:uid="{23A5C46A-634D-4B14-938D-E18A3F2A48FA}"/>
    <cellStyle name="Berechnung 5 12" xfId="4909" xr:uid="{367B375D-9E8C-45B1-872A-4C1F7C41901A}"/>
    <cellStyle name="Berechnung 5 13" xfId="5137" xr:uid="{A92CA853-65F1-472B-B1BC-DAAF84841B51}"/>
    <cellStyle name="Berechnung 5 14" xfId="6624" xr:uid="{74AA3224-A42B-4E4E-8CAF-BBE703960F35}"/>
    <cellStyle name="Berechnung 5 15" xfId="7381" xr:uid="{231E910A-77D4-443D-B71E-58ACDFF7BF18}"/>
    <cellStyle name="Berechnung 5 16" xfId="7985" xr:uid="{95ADCC36-5C7C-4195-AB6C-9A312347C8C9}"/>
    <cellStyle name="Berechnung 5 17" xfId="7964" xr:uid="{7387D828-A791-4DE5-84CF-423DF9C435D5}"/>
    <cellStyle name="Berechnung 5 18" xfId="6829" xr:uid="{54F83821-EBCE-4061-A11E-58EB2AFA33C9}"/>
    <cellStyle name="Berechnung 5 19" xfId="9595" xr:uid="{5CF1F031-6818-4A54-8721-4E64EAF3F2CF}"/>
    <cellStyle name="Berechnung 5 2" xfId="876" xr:uid="{8A97A420-F6D4-48B5-BD61-CBB26FC9567E}"/>
    <cellStyle name="Berechnung 5 2 10" xfId="5524" xr:uid="{8755D93A-D7C1-4CDC-B385-5C6550E6D14F}"/>
    <cellStyle name="Berechnung 5 2 11" xfId="6018" xr:uid="{48438AF1-349F-4C6E-85CC-188A214D2F0E}"/>
    <cellStyle name="Berechnung 5 2 12" xfId="6377" xr:uid="{48085011-2418-45EF-9FB8-F80528CFA54E}"/>
    <cellStyle name="Berechnung 5 2 13" xfId="6715" xr:uid="{30644A5F-AB75-4B42-818D-02AC905F2B7D}"/>
    <cellStyle name="Berechnung 5 2 14" xfId="7596" xr:uid="{AE797326-3B74-4AD2-AFC8-59F92EC515DE}"/>
    <cellStyle name="Berechnung 5 2 15" xfId="8060" xr:uid="{19076CD6-18FF-4813-BB9C-E616469A12B9}"/>
    <cellStyle name="Berechnung 5 2 16" xfId="8669" xr:uid="{365C4FAB-3860-48BB-9E65-EAF52510D92A}"/>
    <cellStyle name="Berechnung 5 2 17" xfId="8928" xr:uid="{05DB17C0-C602-4059-A523-DEC09193FA4D}"/>
    <cellStyle name="Berechnung 5 2 18" xfId="9810" xr:uid="{DE3A4733-540C-498A-8BB8-EAFA4F7A00B4}"/>
    <cellStyle name="Berechnung 5 2 19" xfId="10279" xr:uid="{3950CA31-16FB-4D37-9AAB-718F6CC61F45}"/>
    <cellStyle name="Berechnung 5 2 2" xfId="1350" xr:uid="{8102F17C-BADE-46F6-B564-67E2ED73229D}"/>
    <cellStyle name="Berechnung 5 2 20" xfId="10673" xr:uid="{014BC73F-42E9-450B-9D3A-C1DC9839711C}"/>
    <cellStyle name="Berechnung 5 2 21" xfId="11022" xr:uid="{B9AF51A8-247A-47CE-8516-5FC1312E0AF6}"/>
    <cellStyle name="Berechnung 5 2 22" xfId="11332" xr:uid="{862CB726-A12E-499D-83CB-9ED0FF11365A}"/>
    <cellStyle name="Berechnung 5 2 23" xfId="12229" xr:uid="{0081A759-3E28-457E-8785-0BD576463A4B}"/>
    <cellStyle name="Berechnung 5 2 24" xfId="12702" xr:uid="{403E727A-94FC-4EAE-A170-EDDE8086F885}"/>
    <cellStyle name="Berechnung 5 2 25" xfId="13136" xr:uid="{F5D736E7-8F45-4473-89C3-A7F73B05D964}"/>
    <cellStyle name="Berechnung 5 2 26" xfId="13573" xr:uid="{48966583-E6FF-4ADA-A2CA-6A66947B32D9}"/>
    <cellStyle name="Berechnung 5 2 27" xfId="14045" xr:uid="{F71606B5-21EB-4743-B8A6-B9D64F8B8D4B}"/>
    <cellStyle name="Berechnung 5 2 28" xfId="14492" xr:uid="{2BEDC251-ACD6-4422-9478-509F3E2F7947}"/>
    <cellStyle name="Berechnung 5 2 29" xfId="14926" xr:uid="{6F60D5AC-3A57-49B7-B51A-EE48CE11C0AB}"/>
    <cellStyle name="Berechnung 5 2 3" xfId="1799" xr:uid="{8A75CD67-07E5-4E4A-9718-8EC44DB7A80F}"/>
    <cellStyle name="Berechnung 5 2 30" xfId="15396" xr:uid="{D65C9D58-77F1-458D-B0CE-15121ACBB694}"/>
    <cellStyle name="Berechnung 5 2 31" xfId="15786" xr:uid="{DF2F52FD-34D3-4D92-8053-9AB6A55B682A}"/>
    <cellStyle name="Berechnung 5 2 32" xfId="16008" xr:uid="{50196C19-F7CF-455F-92AA-AB738A833275}"/>
    <cellStyle name="Berechnung 5 2 33" xfId="16921" xr:uid="{424D3AA6-271D-479F-BA2A-E5455021AE05}"/>
    <cellStyle name="Berechnung 5 2 34" xfId="17402" xr:uid="{BEA8526F-2D14-4128-A63F-BF5F7086A818}"/>
    <cellStyle name="Berechnung 5 2 35" xfId="17843" xr:uid="{1DD40F83-A82D-4444-B58A-A1B01FDA5DCC}"/>
    <cellStyle name="Berechnung 5 2 36" xfId="18318" xr:uid="{2667A8D0-AA1D-47E4-B7E6-22B7B3C73178}"/>
    <cellStyle name="Berechnung 5 2 37" xfId="18739" xr:uid="{4E0DED1F-0DF9-4DAF-BADC-6CC7BE30D44B}"/>
    <cellStyle name="Berechnung 5 2 38" xfId="19126" xr:uid="{FAB4D34C-9D97-440E-958A-A9DDF6B424BE}"/>
    <cellStyle name="Berechnung 5 2 39" xfId="19356" xr:uid="{979F0C48-2EE7-4A53-AC57-69B781062EA1}"/>
    <cellStyle name="Berechnung 5 2 4" xfId="2698" xr:uid="{3AE5EBA8-3331-480F-9476-70E8B9681F5E}"/>
    <cellStyle name="Berechnung 5 2 40" xfId="20258" xr:uid="{BCFA8D15-9786-420B-B4B6-A653B6156EEF}"/>
    <cellStyle name="Berechnung 5 2 41" xfId="20751" xr:uid="{41D6A768-B6E1-4C78-9EF1-1E4ED022E0AF}"/>
    <cellStyle name="Berechnung 5 2 42" xfId="21210" xr:uid="{B8167ADF-E19B-452E-84FC-E5E7198E0841}"/>
    <cellStyle name="Berechnung 5 2 43" xfId="21702" xr:uid="{9E9E63F2-56FC-4B2B-B870-076A83453B8F}"/>
    <cellStyle name="Berechnung 5 2 44" xfId="22141" xr:uid="{D1031FBC-534E-47A2-8DA9-300CCD40E054}"/>
    <cellStyle name="Berechnung 5 2 45" xfId="22568" xr:uid="{9E83DE74-5382-4F2C-97C2-100BB5E5A012}"/>
    <cellStyle name="Berechnung 5 2 46" xfId="23013" xr:uid="{7D9D425D-EB6B-4EB4-B498-D507DC2D0CFC}"/>
    <cellStyle name="Berechnung 5 2 47" xfId="23415" xr:uid="{8DE123A2-0596-48E7-BD7F-022100900D80}"/>
    <cellStyle name="Berechnung 5 2 48" xfId="23678" xr:uid="{B78BFA54-6362-4335-8458-0736B05D0537}"/>
    <cellStyle name="Berechnung 5 2 49" xfId="24058" xr:uid="{98F7BC81-16FD-4B06-AC5D-9748C0C06193}"/>
    <cellStyle name="Berechnung 5 2 5" xfId="3218" xr:uid="{163E9783-E373-48B4-B775-10FC5578DEA0}"/>
    <cellStyle name="Berechnung 5 2 50" xfId="24966" xr:uid="{1F3C56B7-D350-4709-8F0A-60143E6DCD5C}"/>
    <cellStyle name="Berechnung 5 2 51" xfId="25454" xr:uid="{A9627C09-BC1A-4A32-B368-7ACE4353170D}"/>
    <cellStyle name="Berechnung 5 2 52" xfId="25882" xr:uid="{912CA451-3E5F-49EC-B0B0-CBECE004C56E}"/>
    <cellStyle name="Berechnung 5 2 53" xfId="26320" xr:uid="{4DDD1DA5-76FD-4334-9F0C-5D3B311268A8}"/>
    <cellStyle name="Berechnung 5 2 54" xfId="26749" xr:uid="{0582FDA8-F05B-4F9A-8E2B-B1C01AF89E75}"/>
    <cellStyle name="Berechnung 5 2 55" xfId="27170" xr:uid="{260A78BC-01F7-4FD8-8C9F-4C7B92AF2192}"/>
    <cellStyle name="Berechnung 5 2 56" xfId="27589" xr:uid="{FFCFA392-64DD-4953-95B6-6049EC522D22}"/>
    <cellStyle name="Berechnung 5 2 57" xfId="26561" xr:uid="{1461F3C1-9249-4F99-8A1B-A41038707AD7}"/>
    <cellStyle name="Berechnung 5 2 58" xfId="28716" xr:uid="{367C5984-D4E0-44B2-BF04-8270C4CFCBED}"/>
    <cellStyle name="Berechnung 5 2 59" xfId="29183" xr:uid="{7B00D894-350B-47A8-A1A0-8C02373DF1FD}"/>
    <cellStyle name="Berechnung 5 2 6" xfId="3773" xr:uid="{6D7BD00D-7155-442F-958D-D7EE9A69BA3F}"/>
    <cellStyle name="Berechnung 5 2 60" xfId="29565" xr:uid="{7584FD3F-1141-4920-BF1B-FD23995E76E6}"/>
    <cellStyle name="Berechnung 5 2 61" xfId="29972" xr:uid="{7562D935-07D1-4455-90D6-B97AFD3F7751}"/>
    <cellStyle name="Berechnung 5 2 62" xfId="30378" xr:uid="{BEC79C06-5F0D-4E7D-A227-892279A6B1EC}"/>
    <cellStyle name="Berechnung 5 2 63" xfId="30795" xr:uid="{8B35B6CD-6D3A-4CBF-AD5E-7C16641FE17D}"/>
    <cellStyle name="Berechnung 5 2 64" xfId="31040" xr:uid="{16AC902E-18CD-4C65-928E-31BBE80DD4E5}"/>
    <cellStyle name="Berechnung 5 2 65" xfId="31411" xr:uid="{7D1D74A5-D145-47E2-8180-A4D31EE76D10}"/>
    <cellStyle name="Berechnung 5 2 7" xfId="4194" xr:uid="{731B4420-3AA6-4164-A2F5-38948213EF45}"/>
    <cellStyle name="Berechnung 5 2 8" xfId="4631" xr:uid="{CFADD592-6D1D-4D60-8ACC-D4D160FBED37}"/>
    <cellStyle name="Berechnung 5 2 9" xfId="5077" xr:uid="{1E1E4CA9-B031-4F86-BBAC-59DAE6E60391}"/>
    <cellStyle name="Berechnung 5 20" xfId="10201" xr:uid="{50AF41BE-5E16-4A36-AEF3-0F4D5B3593BD}"/>
    <cellStyle name="Berechnung 5 21" xfId="10605" xr:uid="{9525F021-8E24-4945-AF58-5CA7CE80208D}"/>
    <cellStyle name="Berechnung 5 22" xfId="10247" xr:uid="{01C2B521-B6A8-4CF4-8C05-151FD28CC8F4}"/>
    <cellStyle name="Berechnung 5 23" xfId="10963" xr:uid="{3DE22E67-D1D9-4BFD-8837-DC51499A2ABB}"/>
    <cellStyle name="Berechnung 5 24" xfId="12014" xr:uid="{0693BDD0-4930-4727-A5EB-CD11B562FE8A}"/>
    <cellStyle name="Berechnung 5 25" xfId="12487" xr:uid="{99A75BB1-EC88-4901-BE74-A9546F10D98A}"/>
    <cellStyle name="Berechnung 5 26" xfId="12921" xr:uid="{F233487C-9C7C-4277-8485-868CB4980C5C}"/>
    <cellStyle name="Berechnung 5 27" xfId="13358" xr:uid="{4F6B9028-6F3A-4A5B-A071-E01CD9048D2E}"/>
    <cellStyle name="Berechnung 5 28" xfId="12254" xr:uid="{1114F0C5-53A1-4DC7-8679-7ACEA180FC0A}"/>
    <cellStyle name="Berechnung 5 29" xfId="14326" xr:uid="{23E0F2C9-E22A-4567-BBB2-28841600E105}"/>
    <cellStyle name="Berechnung 5 3" xfId="1144" xr:uid="{C984A2BB-7E49-40F0-AE3F-88C808C0F6AE}"/>
    <cellStyle name="Berechnung 5 30" xfId="14851" xr:uid="{F9952393-36B0-4D65-920B-B4F05CB273EA}"/>
    <cellStyle name="Berechnung 5 31" xfId="14669" xr:uid="{6C93A53E-9103-4BA2-BF60-9318B79886B3}"/>
    <cellStyle name="Berechnung 5 32" xfId="15646" xr:uid="{8804F4EA-E0E2-4097-9644-2EE7D704D036}"/>
    <cellStyle name="Berechnung 5 33" xfId="15964" xr:uid="{36F57C6A-EF9F-4E67-8E84-6204811F02F1}"/>
    <cellStyle name="Berechnung 5 34" xfId="16706" xr:uid="{352783D8-7A7F-4BEE-A20A-ADAF7E67CFAB}"/>
    <cellStyle name="Berechnung 5 35" xfId="17322" xr:uid="{E5DAAC08-3C47-488F-867C-D1302B3C4B46}"/>
    <cellStyle name="Berechnung 5 36" xfId="17765" xr:uid="{A61ED9BB-0096-4989-936F-EAEBBD64470A}"/>
    <cellStyle name="Berechnung 5 37" xfId="17865" xr:uid="{11DEDF5B-0B52-46B8-AA45-323F9EDC4C5B}"/>
    <cellStyle name="Berechnung 5 38" xfId="18524" xr:uid="{1753A0C5-1DD0-42F2-83BE-6096341A79C3}"/>
    <cellStyle name="Berechnung 5 39" xfId="17731" xr:uid="{DDF1807D-6C77-48CD-9AA0-81C9A7529ADA}"/>
    <cellStyle name="Berechnung 5 4" xfId="1603" xr:uid="{CDB4666B-C4CE-4342-A1AE-82EFAA984AD1}"/>
    <cellStyle name="Berechnung 5 40" xfId="19047" xr:uid="{800E83AB-AD09-41DA-9E54-8086CC68033D}"/>
    <cellStyle name="Berechnung 5 41" xfId="20043" xr:uid="{AF11178D-9542-44F3-B507-60C9D84022A7}"/>
    <cellStyle name="Berechnung 5 42" xfId="20673" xr:uid="{D6FEBF5D-1531-496B-B654-53F332FF42F6}"/>
    <cellStyle name="Berechnung 5 43" xfId="21129" xr:uid="{2DA54DDC-608B-47A3-B47B-A8C42E52E31F}"/>
    <cellStyle name="Berechnung 5 44" xfId="19493" xr:uid="{757BF95C-5361-4794-9BA2-CAE0B74EF462}"/>
    <cellStyle name="Berechnung 5 45" xfId="22061" xr:uid="{3550C666-CED8-4392-944D-2F472B47C09D}"/>
    <cellStyle name="Berechnung 5 46" xfId="22489" xr:uid="{C2929398-87F8-465D-8A41-E160D4B2010A}"/>
    <cellStyle name="Berechnung 5 47" xfId="20336" xr:uid="{DCD66204-226F-453F-A749-0CDA6C20D1D7}"/>
    <cellStyle name="Berechnung 5 48" xfId="20726" xr:uid="{B510E86F-3F72-4739-BD20-587BC337AE52}"/>
    <cellStyle name="Berechnung 5 49" xfId="23321" xr:uid="{A8929B1A-3D95-4AEF-94FB-5D88B32A398C}"/>
    <cellStyle name="Berechnung 5 5" xfId="2483" xr:uid="{A09A280A-F1F9-4A47-AA29-1DF3DBB02E59}"/>
    <cellStyle name="Berechnung 5 50" xfId="23852" xr:uid="{1385315C-493B-449D-A539-02F49639128F}"/>
    <cellStyle name="Berechnung 5 51" xfId="24751" xr:uid="{6F70FD95-9D6F-4E78-A13C-467E4D68A232}"/>
    <cellStyle name="Berechnung 5 52" xfId="25376" xr:uid="{EBCF7BDA-D883-46C6-B003-6985000C1AC6}"/>
    <cellStyle name="Berechnung 5 53" xfId="25669" xr:uid="{69592C9C-6680-459B-89C9-1563B543BD68}"/>
    <cellStyle name="Berechnung 5 54" xfId="24419" xr:uid="{F88B0755-4A7C-42F3-9126-8861F4959C41}"/>
    <cellStyle name="Berechnung 5 55" xfId="26532" xr:uid="{E41E6BE5-CF1B-4E7D-BA78-CC0E7C54B5C5}"/>
    <cellStyle name="Berechnung 5 56" xfId="26959" xr:uid="{AC561DD6-AA3C-41AD-9A58-F48E23C3CD3D}"/>
    <cellStyle name="Berechnung 5 57" xfId="27378" xr:uid="{FCC8DA29-372B-4644-B417-1AC167DE274B}"/>
    <cellStyle name="Berechnung 5 58" xfId="24103" xr:uid="{0D688129-5867-4F93-AA07-C01961B360E7}"/>
    <cellStyle name="Berechnung 5 59" xfId="28501" xr:uid="{1AA38F61-05FA-48F8-B918-F30A412FE250}"/>
    <cellStyle name="Berechnung 5 6" xfId="1823" xr:uid="{C3A88650-7C4E-40D0-BAE0-71140E21ECF4}"/>
    <cellStyle name="Berechnung 5 60" xfId="28969" xr:uid="{647FE588-C6D1-4C9C-8C04-BF8A530FFC53}"/>
    <cellStyle name="Berechnung 5 61" xfId="29498" xr:uid="{6742060A-CBD4-4FDE-8470-D9A26113F640}"/>
    <cellStyle name="Berechnung 5 62" xfId="29759" xr:uid="{90629463-0ECD-4B77-B992-3E409FC40C48}"/>
    <cellStyle name="Berechnung 5 63" xfId="30167" xr:uid="{B23FB470-9C74-451B-8AD3-3D8AAA95A7B1}"/>
    <cellStyle name="Berechnung 5 64" xfId="30581" xr:uid="{4E1B9BFD-87CE-4851-88B9-41154E54A50F}"/>
    <cellStyle name="Berechnung 5 65" xfId="30827" xr:uid="{183B8D35-92BE-40B8-9FB2-BD2FABB42703}"/>
    <cellStyle name="Berechnung 5 66" xfId="31205" xr:uid="{DB8FB25D-CE86-4558-A26D-86DBA4DD1529}"/>
    <cellStyle name="Berechnung 5 7" xfId="2331" xr:uid="{D395A6A9-1BB7-49DE-BE73-CC8D7F5050DC}"/>
    <cellStyle name="Berechnung 5 8" xfId="3979" xr:uid="{4A66C9D6-E2C4-40FE-9601-6893EDF6471A}"/>
    <cellStyle name="Berechnung 5 9" xfId="4417" xr:uid="{D8DD8B23-5471-4B5E-917B-17BBCE63520A}"/>
    <cellStyle name="Berechnung 6" xfId="673" xr:uid="{553BD92C-09CF-4A86-8032-4C07658E7F9B}"/>
    <cellStyle name="Berechnung 6 10" xfId="4782" xr:uid="{761BC273-DF57-4BCB-A772-9D2643CDCC96}"/>
    <cellStyle name="Berechnung 6 11" xfId="5321" xr:uid="{722F3CA6-5ED0-42B9-AFC4-66BFA03A55FD}"/>
    <cellStyle name="Berechnung 6 12" xfId="2239" xr:uid="{B8B0BF0F-2626-4CB0-9FA7-BDC3C6AF7D62}"/>
    <cellStyle name="Berechnung 6 13" xfId="6257" xr:uid="{D74DA2F3-6CE3-451F-9CF1-AA1CB201F1F1}"/>
    <cellStyle name="Berechnung 6 14" xfId="6610" xr:uid="{751C49E3-B9B4-4CE9-A4FB-7E9470844B14}"/>
    <cellStyle name="Berechnung 6 15" xfId="7393" xr:uid="{40A6A442-5FD3-4E49-BCD7-09515407682A}"/>
    <cellStyle name="Berechnung 6 16" xfId="7784" xr:uid="{7C404BA1-4D71-4E0C-87C4-DD07F618E7FE}"/>
    <cellStyle name="Berechnung 6 17" xfId="8345" xr:uid="{CD0A625C-B236-483A-A4D7-82371AD78C1A}"/>
    <cellStyle name="Berechnung 6 18" xfId="7817" xr:uid="{2AC1FCB4-21D9-4608-B753-31B251A6EC46}"/>
    <cellStyle name="Berechnung 6 19" xfId="9607" xr:uid="{338D0A43-4B15-4C50-BC14-745179275100}"/>
    <cellStyle name="Berechnung 6 2" xfId="887" xr:uid="{C5768A61-DD4E-45F5-AC7D-2491783DA12F}"/>
    <cellStyle name="Berechnung 6 2 10" xfId="5535" xr:uid="{88DB9CCC-C3B4-4AE7-BAC0-E3E9BF2C109D}"/>
    <cellStyle name="Berechnung 6 2 11" xfId="6029" xr:uid="{590FEE17-BB50-4A9E-B3E9-053D7E92EE97}"/>
    <cellStyle name="Berechnung 6 2 12" xfId="6388" xr:uid="{BBBDD3E4-0BE0-4DFF-A26F-54E06C129F80}"/>
    <cellStyle name="Berechnung 6 2 13" xfId="6726" xr:uid="{FAF8CC75-206F-48A2-8E49-D984038D5A15}"/>
    <cellStyle name="Berechnung 6 2 14" xfId="7607" xr:uid="{C44DC126-D829-4280-907B-8994E919AD2D}"/>
    <cellStyle name="Berechnung 6 2 15" xfId="8071" xr:uid="{32B78534-4734-4DC5-8581-600E4A78617B}"/>
    <cellStyle name="Berechnung 6 2 16" xfId="8680" xr:uid="{000FF94A-B557-4E6F-94EE-B92036013654}"/>
    <cellStyle name="Berechnung 6 2 17" xfId="8939" xr:uid="{BAF3DD26-812F-4CB1-B6B1-A126FD6CE306}"/>
    <cellStyle name="Berechnung 6 2 18" xfId="9821" xr:uid="{CF9B0B5F-F596-4A0F-8F25-BEF52CDE1B3E}"/>
    <cellStyle name="Berechnung 6 2 19" xfId="10290" xr:uid="{39AC4A00-1265-4D4F-849D-ED646AF40A37}"/>
    <cellStyle name="Berechnung 6 2 2" xfId="1361" xr:uid="{24242F7D-09E2-4AE2-BCC9-F2386FFD6A20}"/>
    <cellStyle name="Berechnung 6 2 20" xfId="10684" xr:uid="{736B64B6-5CCC-492F-B825-54B953718F44}"/>
    <cellStyle name="Berechnung 6 2 21" xfId="11033" xr:uid="{B18E7D7A-BDDE-4B8E-9BFB-ECE3351A15E7}"/>
    <cellStyle name="Berechnung 6 2 22" xfId="11343" xr:uid="{633F228A-6154-451F-83EA-5BDDB209A279}"/>
    <cellStyle name="Berechnung 6 2 23" xfId="12240" xr:uid="{6632CA53-2DE3-4F4C-9842-7B6405CED593}"/>
    <cellStyle name="Berechnung 6 2 24" xfId="12713" xr:uid="{A8353C33-27B2-4ACB-9BAF-3FA3B97BDB17}"/>
    <cellStyle name="Berechnung 6 2 25" xfId="13147" xr:uid="{C9976E95-A844-4941-B167-63F574EFCB6A}"/>
    <cellStyle name="Berechnung 6 2 26" xfId="13584" xr:uid="{D68ECE55-379A-457B-82A4-703D24E6A392}"/>
    <cellStyle name="Berechnung 6 2 27" xfId="14056" xr:uid="{3540BF6B-1F2E-4D3F-8B99-8E8F0E341151}"/>
    <cellStyle name="Berechnung 6 2 28" xfId="14503" xr:uid="{AB4B4713-72FC-437E-ABEA-37EE5E87BF9E}"/>
    <cellStyle name="Berechnung 6 2 29" xfId="14937" xr:uid="{B7DB121C-F565-44B0-AF09-68CC4ED1EF37}"/>
    <cellStyle name="Berechnung 6 2 3" xfId="1810" xr:uid="{8CB4F4D4-1DD4-433C-BB3D-D98024DCC420}"/>
    <cellStyle name="Berechnung 6 2 30" xfId="15407" xr:uid="{CD1A8702-9D08-447E-9561-695F855BDB53}"/>
    <cellStyle name="Berechnung 6 2 31" xfId="15797" xr:uid="{32D29877-4C82-4F51-9225-849C59863813}"/>
    <cellStyle name="Berechnung 6 2 32" xfId="16019" xr:uid="{AB4AF4B2-A38C-4E53-8E19-1626311C3633}"/>
    <cellStyle name="Berechnung 6 2 33" xfId="16932" xr:uid="{F6793DE9-483C-49FF-802F-D557CDF84BC6}"/>
    <cellStyle name="Berechnung 6 2 34" xfId="17413" xr:uid="{DB233948-A5D9-4E9D-BD8A-F5A9733277BA}"/>
    <cellStyle name="Berechnung 6 2 35" xfId="17854" xr:uid="{1B4E76B8-6E76-4730-BF3B-3C416B93C605}"/>
    <cellStyle name="Berechnung 6 2 36" xfId="18329" xr:uid="{74FC8308-08D4-480D-A715-A862FBCB1975}"/>
    <cellStyle name="Berechnung 6 2 37" xfId="18750" xr:uid="{490F6B70-C4B8-47F7-84BC-DC805404ADF4}"/>
    <cellStyle name="Berechnung 6 2 38" xfId="19137" xr:uid="{ADF30DCC-3E54-4417-A5FA-6AA55C1C007C}"/>
    <cellStyle name="Berechnung 6 2 39" xfId="19367" xr:uid="{B0B7F60A-477F-44DD-A6D8-95810FC35016}"/>
    <cellStyle name="Berechnung 6 2 4" xfId="2709" xr:uid="{820CB6BA-4766-408C-9D43-CBFEC2C07B62}"/>
    <cellStyle name="Berechnung 6 2 40" xfId="20269" xr:uid="{B25C1F28-01B1-4E2A-83AC-4629FDCCA2B6}"/>
    <cellStyle name="Berechnung 6 2 41" xfId="20762" xr:uid="{2DC88E3F-DDA7-4D60-B023-DC82B79AC7C3}"/>
    <cellStyle name="Berechnung 6 2 42" xfId="21221" xr:uid="{51D993E5-4F98-40D0-86BA-00D8ECF12258}"/>
    <cellStyle name="Berechnung 6 2 43" xfId="21713" xr:uid="{4066C98C-533A-4D74-872A-A3D6241AD36A}"/>
    <cellStyle name="Berechnung 6 2 44" xfId="22152" xr:uid="{540426A2-D0A6-4CB1-9265-20AFC8ECFA3C}"/>
    <cellStyle name="Berechnung 6 2 45" xfId="22579" xr:uid="{79AA49DC-7C4C-45CE-88B2-EA05BF32A70F}"/>
    <cellStyle name="Berechnung 6 2 46" xfId="23024" xr:uid="{6EB026BE-FF62-45DC-BF22-8CB736A1D901}"/>
    <cellStyle name="Berechnung 6 2 47" xfId="23426" xr:uid="{717F291E-7A73-49A4-ABDA-BDBB4E033E91}"/>
    <cellStyle name="Berechnung 6 2 48" xfId="23689" xr:uid="{159A5F77-75D5-4923-92FA-E042EBD50068}"/>
    <cellStyle name="Berechnung 6 2 49" xfId="24069" xr:uid="{0861A57E-E2E5-4144-8035-DA6D7905041C}"/>
    <cellStyle name="Berechnung 6 2 5" xfId="3229" xr:uid="{1276A037-2323-4F87-B200-AC91807C9E02}"/>
    <cellStyle name="Berechnung 6 2 50" xfId="24977" xr:uid="{3B49DBC6-4736-468B-BC6A-27AE20149900}"/>
    <cellStyle name="Berechnung 6 2 51" xfId="25465" xr:uid="{57DA8A01-E9CA-4684-8D10-C380028EBBEF}"/>
    <cellStyle name="Berechnung 6 2 52" xfId="25893" xr:uid="{F9C5EDB2-DAF9-41A8-9556-FE9C8BFEF47C}"/>
    <cellStyle name="Berechnung 6 2 53" xfId="26331" xr:uid="{84491E43-6283-47F3-864A-19040FA2166D}"/>
    <cellStyle name="Berechnung 6 2 54" xfId="26760" xr:uid="{B62A4588-962F-4A08-B162-46EBEE870A46}"/>
    <cellStyle name="Berechnung 6 2 55" xfId="27181" xr:uid="{03622056-6863-4136-A1F3-35735FD77F13}"/>
    <cellStyle name="Berechnung 6 2 56" xfId="27600" xr:uid="{B0A0B5B8-F386-4461-B59F-0EF8FD6FF7AE}"/>
    <cellStyle name="Berechnung 6 2 57" xfId="27838" xr:uid="{E8442B6E-1C05-4F14-B325-F4CAEEEAFEFC}"/>
    <cellStyle name="Berechnung 6 2 58" xfId="28727" xr:uid="{9E9C8F99-14AA-4AA4-9BAD-2D8D6FD1C7F3}"/>
    <cellStyle name="Berechnung 6 2 59" xfId="29194" xr:uid="{77CFFBC5-8D86-4094-800A-4FEC915AFA8F}"/>
    <cellStyle name="Berechnung 6 2 6" xfId="3784" xr:uid="{CD0E5A3D-8580-4F9B-A0CD-5F1D428A847B}"/>
    <cellStyle name="Berechnung 6 2 60" xfId="29576" xr:uid="{59A03D9F-499F-4AF0-9E37-53AD05153E78}"/>
    <cellStyle name="Berechnung 6 2 61" xfId="29983" xr:uid="{4FCC6799-01A8-44D3-B17B-5CC4B1A451A8}"/>
    <cellStyle name="Berechnung 6 2 62" xfId="30389" xr:uid="{BE43FD9A-5990-4E84-A1A3-FBE70968081C}"/>
    <cellStyle name="Berechnung 6 2 63" xfId="30806" xr:uid="{73167D66-A7BE-4926-8783-56A7E71D24B4}"/>
    <cellStyle name="Berechnung 6 2 64" xfId="31051" xr:uid="{626CA998-C65F-4DC6-9F49-0D4236290375}"/>
    <cellStyle name="Berechnung 6 2 65" xfId="31422" xr:uid="{2316ABE1-B4FB-453E-95B4-CA28F5FFF5B2}"/>
    <cellStyle name="Berechnung 6 2 7" xfId="4205" xr:uid="{48C4F653-6101-4596-91CA-DFD998AD3F6F}"/>
    <cellStyle name="Berechnung 6 2 8" xfId="4642" xr:uid="{D2B853C1-C9AA-4DCF-809F-84DB6EFE4EEE}"/>
    <cellStyle name="Berechnung 6 2 9" xfId="5088" xr:uid="{C3A8B0B1-C857-4463-9552-BC95346C38BB}"/>
    <cellStyle name="Berechnung 6 20" xfId="9997" xr:uid="{9786DC9A-1B6E-451A-AFAF-40954F4E665E}"/>
    <cellStyle name="Berechnung 6 21" xfId="10422" xr:uid="{518E39D9-61D1-45FD-8DF6-A0D7B741BEC6}"/>
    <cellStyle name="Berechnung 6 22" xfId="10948" xr:uid="{4B539DD7-7040-4072-AD57-FAD0CB9DA3DE}"/>
    <cellStyle name="Berechnung 6 23" xfId="10818" xr:uid="{AB770A1D-B350-461A-A83B-62BD03F05FB0}"/>
    <cellStyle name="Berechnung 6 24" xfId="12026" xr:uid="{FF3D3569-017F-4417-9EB0-01C63E4A53FD}"/>
    <cellStyle name="Berechnung 6 25" xfId="12499" xr:uid="{EA181560-4DB5-452F-AB3A-A5FFAC1E1FA9}"/>
    <cellStyle name="Berechnung 6 26" xfId="12933" xr:uid="{EED28140-87BC-4DEB-AAE3-AFE79466159C}"/>
    <cellStyle name="Berechnung 6 27" xfId="13370" xr:uid="{A730E232-2A4B-4CEE-92F0-23CDB401E3C4}"/>
    <cellStyle name="Berechnung 6 28" xfId="13913" xr:uid="{64B06FD4-8A91-4118-BFBB-2E562E3EB37F}"/>
    <cellStyle name="Berechnung 6 29" xfId="13772" xr:uid="{61ABC7CF-8AA8-4C95-AEEE-0ED5E5674417}"/>
    <cellStyle name="Berechnung 6 3" xfId="1155" xr:uid="{E5EB41FC-42C1-4B40-BB86-D66235FA2547}"/>
    <cellStyle name="Berechnung 6 30" xfId="14651" xr:uid="{99487930-554F-495D-B698-D9E07EAEFF4B}"/>
    <cellStyle name="Berechnung 6 31" xfId="14958" xr:uid="{0FD4E888-CC7F-4D43-A693-0D0D9F00F14D}"/>
    <cellStyle name="Berechnung 6 32" xfId="15724" xr:uid="{AE6558E7-B5B0-4225-95C1-A709C87C30AD}"/>
    <cellStyle name="Berechnung 6 33" xfId="15852" xr:uid="{A868FEBF-2EAC-4AB5-80E2-281D40113058}"/>
    <cellStyle name="Berechnung 6 34" xfId="16718" xr:uid="{BE7C5A30-E925-4367-A4F5-8E67A8906DFA}"/>
    <cellStyle name="Berechnung 6 35" xfId="17113" xr:uid="{EA6181F1-C1BF-430D-955E-F273A7AACFA9}"/>
    <cellStyle name="Berechnung 6 36" xfId="17560" xr:uid="{091CE3F7-E940-4899-9970-104CB0FC5E75}"/>
    <cellStyle name="Berechnung 6 37" xfId="17529" xr:uid="{DF12DEA4-B675-4745-B071-92B64DEC7CAB}"/>
    <cellStyle name="Berechnung 6 38" xfId="18536" xr:uid="{51AE3BFA-35E6-4604-9A30-28FA69B65186}"/>
    <cellStyle name="Berechnung 6 39" xfId="18080" xr:uid="{737B4C84-8AE1-4417-B1EF-7DA1D47FD9B3}"/>
    <cellStyle name="Berechnung 6 4" xfId="1575" xr:uid="{2CC35F24-C180-4C14-AC74-0A088DB9D136}"/>
    <cellStyle name="Berechnung 6 40" xfId="19313" xr:uid="{EE263867-550E-4B38-8BA3-F799CFDF82E0}"/>
    <cellStyle name="Berechnung 6 41" xfId="20055" xr:uid="{BFEC7873-933B-4F11-B97C-71EA1BC48602}"/>
    <cellStyle name="Berechnung 6 42" xfId="20466" xr:uid="{5D6F9D47-DD03-4A90-A8BD-5F5B02D4B085}"/>
    <cellStyle name="Berechnung 6 43" xfId="20919" xr:uid="{8A8C5A07-088E-48CB-9C17-F6942A9E4CB6}"/>
    <cellStyle name="Berechnung 6 44" xfId="19680" xr:uid="{4FEC5458-DC5F-496D-94EB-C0EC548CA7B1}"/>
    <cellStyle name="Berechnung 6 45" xfId="21848" xr:uid="{25A963AF-74B1-4DB9-8BB0-253DB1979ADE}"/>
    <cellStyle name="Berechnung 6 46" xfId="22285" xr:uid="{7EAA0E1B-7096-4B5E-BC9C-AE1FB7612A90}"/>
    <cellStyle name="Berechnung 6 47" xfId="22890" xr:uid="{4FACBB6A-1B0B-41B0-AB3B-E4D887E624C2}"/>
    <cellStyle name="Berechnung 6 48" xfId="22412" xr:uid="{A4ED1E61-CEDF-4D72-90A5-10DC75FFD4D0}"/>
    <cellStyle name="Berechnung 6 49" xfId="23509" xr:uid="{EF13B919-81CC-4832-85BE-FA5DE25856D3}"/>
    <cellStyle name="Berechnung 6 5" xfId="2495" xr:uid="{65FDEF02-D93A-4E72-A587-3C67CE9435A4}"/>
    <cellStyle name="Berechnung 6 50" xfId="23863" xr:uid="{4B3ABAEA-7F0F-4977-BC9C-C701DE467075}"/>
    <cellStyle name="Berechnung 6 51" xfId="24763" xr:uid="{822EB7A1-2DA7-4BC4-A42E-DC9C8F03D723}"/>
    <cellStyle name="Berechnung 6 52" xfId="25174" xr:uid="{7A23B32F-6931-46E3-8C4F-959D8F938F72}"/>
    <cellStyle name="Berechnung 6 53" xfId="25681" xr:uid="{279C0E04-D432-4F5B-92D1-B2DA630B260C}"/>
    <cellStyle name="Berechnung 6 54" xfId="26196" xr:uid="{72532AB6-EE26-4E87-A42B-0B037769E553}"/>
    <cellStyle name="Berechnung 6 55" xfId="26169" xr:uid="{41267C29-3A45-4F7B-B5A7-67DD4F15BC3B}"/>
    <cellStyle name="Berechnung 6 56" xfId="26971" xr:uid="{4CCAE685-9A6B-4B9C-93B7-BB051F5DDAC7}"/>
    <cellStyle name="Berechnung 6 57" xfId="27390" xr:uid="{CF2728E4-B313-4668-AEAC-80EF101FD869}"/>
    <cellStyle name="Berechnung 6 58" xfId="27807" xr:uid="{B4607378-ADD4-4667-A178-777B14F79A35}"/>
    <cellStyle name="Berechnung 6 59" xfId="28513" xr:uid="{7A8D680C-C60E-49B9-BAFA-1FB5639634DE}"/>
    <cellStyle name="Berechnung 6 6" xfId="3081" xr:uid="{3C2B11F5-87A4-46B4-986B-FF7FDB9CEF3D}"/>
    <cellStyle name="Berechnung 6 60" xfId="28981" xr:uid="{2BA5C5B2-F5B3-423A-B2D3-F27A246E2174}"/>
    <cellStyle name="Berechnung 6 61" xfId="29321" xr:uid="{4A1BE7F9-B3D0-49A0-B546-B8B7286488E5}"/>
    <cellStyle name="Berechnung 6 62" xfId="29771" xr:uid="{35BC01B3-378B-4439-BD05-64A6F70B99E0}"/>
    <cellStyle name="Berechnung 6 63" xfId="30178" xr:uid="{FFA05042-801E-4B55-A322-29D99FDEE19D}"/>
    <cellStyle name="Berechnung 6 64" xfId="30593" xr:uid="{02F7862D-ECD0-4E43-B272-07FE132EF41D}"/>
    <cellStyle name="Berechnung 6 65" xfId="28109" xr:uid="{CA8695B5-9794-45EB-8390-4B2B79BA4928}"/>
    <cellStyle name="Berechnung 6 66" xfId="31216" xr:uid="{460221AE-20B3-4BD8-9747-F95D2A06E1C3}"/>
    <cellStyle name="Berechnung 6 7" xfId="3263" xr:uid="{9F95520D-55BE-4197-8F96-ADC27DBA99B7}"/>
    <cellStyle name="Berechnung 6 8" xfId="3991" xr:uid="{04E0CB2C-8C4D-4FDD-9882-AD7124944B1D}"/>
    <cellStyle name="Berechnung 6 9" xfId="4429" xr:uid="{3B8CBEB5-2735-4806-9882-40B340E5CDA3}"/>
    <cellStyle name="Berechnung 7" xfId="679" xr:uid="{A6F7BE7D-6A7B-42C3-BDCD-E9BE3A53765B}"/>
    <cellStyle name="Berechnung 7 10" xfId="5327" xr:uid="{03E4C9A9-DBD0-4777-BA1A-10E9B64A4A8F}"/>
    <cellStyle name="Berechnung 7 11" xfId="5856" xr:uid="{09E4AB3D-280D-412E-B925-30E6B960528D}"/>
    <cellStyle name="Berechnung 7 12" xfId="6153" xr:uid="{80431F4D-7166-4207-BB58-F82ABE81E8F2}"/>
    <cellStyle name="Berechnung 7 13" xfId="6295" xr:uid="{113E03AA-8A0E-431C-9669-B39A934531DF}"/>
    <cellStyle name="Berechnung 7 14" xfId="7399" xr:uid="{DFAFB535-CE0B-430D-BCA0-81D074E651BB}"/>
    <cellStyle name="Berechnung 7 15" xfId="7191" xr:uid="{3BB52832-8740-407F-8C02-8FA81D4C24F4}"/>
    <cellStyle name="Berechnung 7 16" xfId="8425" xr:uid="{EE4C7154-D8E5-42E5-966A-AD80B555EE57}"/>
    <cellStyle name="Berechnung 7 17" xfId="8602" xr:uid="{A1808EF5-37DC-429C-9628-96532C310B1B}"/>
    <cellStyle name="Berechnung 7 18" xfId="9613" xr:uid="{782CF2E7-D69A-4E7D-886C-03985ACCD4BB}"/>
    <cellStyle name="Berechnung 7 19" xfId="9404" xr:uid="{CB09708C-1320-4DE5-8164-471036248932}"/>
    <cellStyle name="Berechnung 7 2" xfId="1161" xr:uid="{01B2D9E5-4317-46BA-8EC8-245FD8C40189}"/>
    <cellStyle name="Berechnung 7 20" xfId="10254" xr:uid="{7C4FDF7A-F5D3-4D6D-9004-9CE02DA322B5}"/>
    <cellStyle name="Berechnung 7 21" xfId="10954" xr:uid="{A6BD4385-C018-4A6E-83B8-75739471B025}"/>
    <cellStyle name="Berechnung 7 22" xfId="10717" xr:uid="{DAD08171-FDBB-4C51-96FF-A92794EEB76F}"/>
    <cellStyle name="Berechnung 7 23" xfId="12032" xr:uid="{57A64814-44CC-4AC0-A4C9-FDBCFAE9A783}"/>
    <cellStyle name="Berechnung 7 24" xfId="12505" xr:uid="{1ABF3CEA-BDCD-4FFE-B637-BA181936DD32}"/>
    <cellStyle name="Berechnung 7 25" xfId="12939" xr:uid="{544E6471-836C-4A58-B26D-4C0A6DD9E394}"/>
    <cellStyle name="Berechnung 7 26" xfId="13376" xr:uid="{0F4B22F0-1EC6-44B6-A56F-DDF7B42140BC}"/>
    <cellStyle name="Berechnung 7 27" xfId="13967" xr:uid="{566E9EDA-32B8-49CA-B96A-8C5F6AD15B44}"/>
    <cellStyle name="Berechnung 7 28" xfId="14226" xr:uid="{1AE9FB99-0B29-4F2B-8CCA-910765138DDC}"/>
    <cellStyle name="Berechnung 7 29" xfId="14127" xr:uid="{1B03D084-468F-402C-B977-835F005AA212}"/>
    <cellStyle name="Berechnung 7 3" xfId="1645" xr:uid="{66B9EEFF-33AD-48DA-8DA7-CBF3CBF8E334}"/>
    <cellStyle name="Berechnung 7 30" xfId="15180" xr:uid="{979267C6-5D46-4E72-B475-05EE800A3820}"/>
    <cellStyle name="Berechnung 7 31" xfId="14991" xr:uid="{FA8DB5F9-EEF0-4E4C-AC2E-BFBA5B781EEF}"/>
    <cellStyle name="Berechnung 7 32" xfId="14865" xr:uid="{5CE4ACFD-5CE9-41A0-B0ED-A7D80355BBC3}"/>
    <cellStyle name="Berechnung 7 33" xfId="16724" xr:uid="{8D453060-DBF9-41F0-BE14-A9B0E4AE65FA}"/>
    <cellStyle name="Berechnung 7 34" xfId="16513" xr:uid="{FC204569-6007-4B92-AAA8-3AF6464983ED}"/>
    <cellStyle name="Berechnung 7 35" xfId="17376" xr:uid="{F6E1AE3C-BD75-4D6B-AB88-930708703701}"/>
    <cellStyle name="Berechnung 7 36" xfId="18137" xr:uid="{45610BAD-2984-4F54-9294-FB1C9E1956B0}"/>
    <cellStyle name="Berechnung 7 37" xfId="18542" xr:uid="{DE5002D6-1A3D-4BF8-8F3F-DC1AAD931710}"/>
    <cellStyle name="Berechnung 7 38" xfId="18355" xr:uid="{BFC6B11D-944D-4311-AB14-6180B665323D}"/>
    <cellStyle name="Berechnung 7 39" xfId="19320" xr:uid="{6A48C642-A745-433E-83EF-FBDB2FDABB0A}"/>
    <cellStyle name="Berechnung 7 4" xfId="2501" xr:uid="{320B4FBF-553F-436A-AB78-9D97FDB353ED}"/>
    <cellStyle name="Berechnung 7 40" xfId="20061" xr:uid="{430F6D51-B412-4D6B-A5B8-FBC385F029AB}"/>
    <cellStyle name="Berechnung 7 41" xfId="19849" xr:uid="{FB339220-DB0C-4BB2-90EE-FFF19793AB29}"/>
    <cellStyle name="Berechnung 7 42" xfId="20632" xr:uid="{3BAFC2FE-2293-479A-9D2E-EDB1B8519DCA}"/>
    <cellStyle name="Berechnung 7 43" xfId="21169" xr:uid="{15696A29-DACB-47CA-9ABB-608FB0238C3B}"/>
    <cellStyle name="Berechnung 7 44" xfId="20351" xr:uid="{1168489A-E5B6-4953-9BBB-F3E20DE8BDC0}"/>
    <cellStyle name="Berechnung 7 45" xfId="19756" xr:uid="{63095FD6-5765-4B97-9BBC-4A27B6C6FE27}"/>
    <cellStyle name="Berechnung 7 46" xfId="22941" xr:uid="{F95AD3FE-C9B4-41CC-B56E-0E4DFA8B6D49}"/>
    <cellStyle name="Berechnung 7 47" xfId="21048" xr:uid="{7616BDF9-F794-4F5A-8A33-68E21514AA9A}"/>
    <cellStyle name="Berechnung 7 48" xfId="23513" xr:uid="{231878A8-6C87-45B8-BE6B-E78909D138FF}"/>
    <cellStyle name="Berechnung 7 49" xfId="23869" xr:uid="{BACFA151-F25E-43DB-97B9-BC8E1C71C0B9}"/>
    <cellStyle name="Berechnung 7 5" xfId="3137" xr:uid="{52FEF6D8-DCCE-426B-AED9-AF173914720E}"/>
    <cellStyle name="Berechnung 7 50" xfId="24769" xr:uid="{7F55823D-53A8-4E80-B62F-4662CAFE3698}"/>
    <cellStyle name="Berechnung 7 51" xfId="24424" xr:uid="{A5B35F93-6CAD-4BC4-AC90-F0D3E4A46908}"/>
    <cellStyle name="Berechnung 7 52" xfId="25687" xr:uid="{0C13CDE8-6E4F-430A-9C3E-A0B09D7C2753}"/>
    <cellStyle name="Berechnung 7 53" xfId="26055" xr:uid="{0A92D968-77EE-438C-9016-B8F2131B5526}"/>
    <cellStyle name="Berechnung 7 54" xfId="25348" xr:uid="{D1E3D9D6-CBEB-4574-A77E-F3D38686F530}"/>
    <cellStyle name="Berechnung 7 55" xfId="26977" xr:uid="{D7A546BF-A7D3-4C9F-B80E-F6010C526E20}"/>
    <cellStyle name="Berechnung 7 56" xfId="27396" xr:uid="{2BD45978-3C3C-4D14-9816-213431619EFC}"/>
    <cellStyle name="Berechnung 7 57" xfId="27614" xr:uid="{C2A77125-1F43-48CE-AE8A-D5862C49E72D}"/>
    <cellStyle name="Berechnung 7 58" xfId="28519" xr:uid="{54F1288D-C60D-452F-9E6C-D1F4CF56998A}"/>
    <cellStyle name="Berechnung 7 59" xfId="28987" xr:uid="{7940D8B8-3558-4E3A-93BA-928C50A083AB}"/>
    <cellStyle name="Berechnung 7 6" xfId="3354" xr:uid="{C9BB63AB-BA1B-4F3E-8895-29170B50655F}"/>
    <cellStyle name="Berechnung 7 60" xfId="28783" xr:uid="{2FC165C8-ABBC-4C0A-AB96-FBBE9457B682}"/>
    <cellStyle name="Berechnung 7 61" xfId="29777" xr:uid="{C0C6518E-F802-4682-AB58-5CFE88E15C89}"/>
    <cellStyle name="Berechnung 7 62" xfId="30184" xr:uid="{BC5B4412-DE8A-46BA-8E20-CF5493220460}"/>
    <cellStyle name="Berechnung 7 63" xfId="30599" xr:uid="{B8D749DA-C158-483E-8C26-9D4BB705D4E1}"/>
    <cellStyle name="Berechnung 7 64" xfId="30866" xr:uid="{434DCD84-6871-46F3-B9BF-595A1564FCF7}"/>
    <cellStyle name="Berechnung 7 65" xfId="31222" xr:uid="{C0DD1EB7-05E6-4D85-B176-FBE6DD6BAB3A}"/>
    <cellStyle name="Berechnung 7 7" xfId="3997" xr:uid="{5078DD6A-53EC-4C5D-9AD1-5797F4989E7E}"/>
    <cellStyle name="Berechnung 7 8" xfId="4435" xr:uid="{A0EC6F23-3E27-4B97-8036-3F8F7EE6BD43}"/>
    <cellStyle name="Berechnung 7 9" xfId="5011" xr:uid="{2E751E32-90E0-4D96-AF66-5D5E685C9501}"/>
    <cellStyle name="Bold GHG Numbers (0.00)" xfId="127" xr:uid="{AF4F3139-A41C-4DE8-9349-59F43EBA2C67}"/>
    <cellStyle name="Calculation 2" xfId="128" xr:uid="{A7F54E66-FF3F-458A-AEFD-DC100D58B610}"/>
    <cellStyle name="Calculation 2 10" xfId="2793" xr:uid="{91169EFF-5DC6-4226-BF95-4B83B09C4300}"/>
    <cellStyle name="Calculation 2 11" xfId="3021" xr:uid="{6AC2EC0D-4396-4587-8551-B5A57C20D2C7}"/>
    <cellStyle name="Calculation 2 12" xfId="4922" xr:uid="{0299CCD9-6FAF-4C72-B737-3374C195B2E9}"/>
    <cellStyle name="Calculation 2 13" xfId="6144" xr:uid="{34570530-DF41-45C0-85D6-EE5087502CA7}"/>
    <cellStyle name="Calculation 2 14" xfId="6172" xr:uid="{B7A14B08-FFBD-48C6-A9C7-19F13D2EE7BC}"/>
    <cellStyle name="Calculation 2 15" xfId="6864" xr:uid="{397CE58F-422F-4CE6-A14C-940E1AC902F9}"/>
    <cellStyle name="Calculation 2 16" xfId="7945" xr:uid="{ECF33EF5-A092-430B-922D-C70FC23D02F4}"/>
    <cellStyle name="Calculation 2 17" xfId="6924" xr:uid="{1E398A03-7A53-418F-9DA1-C7D630D5D052}"/>
    <cellStyle name="Calculation 2 18" xfId="6835" xr:uid="{927883D7-7CBF-4FEA-AD34-1529F0461E04}"/>
    <cellStyle name="Calculation 2 19" xfId="9078" xr:uid="{32C54AE8-27C0-451A-A330-0598189FD71D}"/>
    <cellStyle name="Calculation 2 2" xfId="546" xr:uid="{D8204885-9C46-4CE8-9D61-633B8064BA01}"/>
    <cellStyle name="Calculation 2 2 10" xfId="5002" xr:uid="{6417D7AD-4CB0-4A83-A575-4BF2A5E9612F}"/>
    <cellStyle name="Calculation 2 2 11" xfId="5194" xr:uid="{054C2427-E37B-4381-AC64-761528133339}"/>
    <cellStyle name="Calculation 2 2 12" xfId="5615" xr:uid="{AB6489CF-0E1D-4207-969E-214BB022FC9F}"/>
    <cellStyle name="Calculation 2 2 13" xfId="4665" xr:uid="{5CF7F099-336A-4680-B816-DFFCD1422B76}"/>
    <cellStyle name="Calculation 2 2 14" xfId="6220" xr:uid="{E5A8FF8B-F8D6-4778-85F7-018B992C0732}"/>
    <cellStyle name="Calculation 2 2 15" xfId="7266" xr:uid="{569084AB-8147-4E8F-A1F2-46715F6C14C2}"/>
    <cellStyle name="Calculation 2 2 16" xfId="8026" xr:uid="{90AEC523-7269-4046-B14E-1B2DD9CF00D4}"/>
    <cellStyle name="Calculation 2 2 17" xfId="6950" xr:uid="{768FFADD-A25B-46DA-944C-144A6E087FB2}"/>
    <cellStyle name="Calculation 2 2 18" xfId="7718" xr:uid="{ECB2DD67-A00F-41C3-9313-CCAA02867724}"/>
    <cellStyle name="Calculation 2 2 19" xfId="9480" xr:uid="{13912E17-96CE-4046-A721-B6F6B1AB473A}"/>
    <cellStyle name="Calculation 2 2 2" xfId="761" xr:uid="{2BF0D9C5-3B92-4FD6-B897-C6D1C95E3090}"/>
    <cellStyle name="Calculation 2 2 2 10" xfId="5409" xr:uid="{2BEDCFC4-AEE4-413C-9309-0BDDD7FF7B0E}"/>
    <cellStyle name="Calculation 2 2 2 11" xfId="5871" xr:uid="{86D0A9AC-3D64-4D2F-8705-0F10D4FD750B}"/>
    <cellStyle name="Calculation 2 2 2 12" xfId="4959" xr:uid="{0F698A61-A419-4D2F-BAFA-0A5F6BB6AA58}"/>
    <cellStyle name="Calculation 2 2 2 13" xfId="5777" xr:uid="{D15DE44F-67A7-4E5C-A6FC-CCC587B2C070}"/>
    <cellStyle name="Calculation 2 2 2 14" xfId="7481" xr:uid="{5DDFE715-665E-4B46-9DB1-A8990E70E1CF}"/>
    <cellStyle name="Calculation 2 2 2 15" xfId="7114" xr:uid="{55B531C2-AE55-45EF-BEE0-B42DF29883C8}"/>
    <cellStyle name="Calculation 2 2 2 16" xfId="8172" xr:uid="{B9A47F6B-4D20-48C9-855F-FF3496879104}"/>
    <cellStyle name="Calculation 2 2 2 17" xfId="8831" xr:uid="{03CB1F24-1E4D-442F-8326-15ABE78D7270}"/>
    <cellStyle name="Calculation 2 2 2 18" xfId="9695" xr:uid="{32B2EC0E-D908-4A81-A754-F18E0DFE8D3E}"/>
    <cellStyle name="Calculation 2 2 2 19" xfId="9200" xr:uid="{5DF5DB87-9268-4345-B646-347EEF38474B}"/>
    <cellStyle name="Calculation 2 2 2 2" xfId="1235" xr:uid="{29E79964-8D8C-49A0-A201-73DC2B95ED84}"/>
    <cellStyle name="Calculation 2 2 2 20" xfId="9363" xr:uid="{B743727A-CAD7-4FC9-8E2B-3F7A0402A6E2}"/>
    <cellStyle name="Calculation 2 2 2 21" xfId="8949" xr:uid="{C59A8C99-AC02-473A-B0F5-06F1ABA4D43F}"/>
    <cellStyle name="Calculation 2 2 2 22" xfId="10489" xr:uid="{26BB9482-500B-4631-9F2A-BBE8FB33E647}"/>
    <cellStyle name="Calculation 2 2 2 23" xfId="12114" xr:uid="{71D3802D-E06D-477D-86B5-D08BAD78AD02}"/>
    <cellStyle name="Calculation 2 2 2 24" xfId="12587" xr:uid="{7C798141-BD0D-43E6-ABCB-0AD1F7742557}"/>
    <cellStyle name="Calculation 2 2 2 25" xfId="13021" xr:uid="{C506A6B1-2530-42AD-BA71-0AF12F92B851}"/>
    <cellStyle name="Calculation 2 2 2 26" xfId="13458" xr:uid="{14E6B84B-6FB8-4605-BFBA-9943B4ABDE2F}"/>
    <cellStyle name="Calculation 2 2 2 27" xfId="12253" xr:uid="{AAAD7DE0-5C62-4B1A-9D9C-01F6334CAEDC}"/>
    <cellStyle name="Calculation 2 2 2 28" xfId="13713" xr:uid="{2DE9AAE5-69B4-440F-B9E0-B13DB51C1156}"/>
    <cellStyle name="Calculation 2 2 2 29" xfId="14453" xr:uid="{A3FBAFB7-D28D-4AF6-AEAB-7840E0931A70}"/>
    <cellStyle name="Calculation 2 2 2 3" xfId="1665" xr:uid="{4CFB13A1-9EE5-4D5B-B0FE-409ADC7DDDBF}"/>
    <cellStyle name="Calculation 2 2 2 30" xfId="15318" xr:uid="{88D85533-5702-4AE3-9CBA-12C21C95B0FE}"/>
    <cellStyle name="Calculation 2 2 2 31" xfId="13950" xr:uid="{4698B717-7531-4DC4-9693-8685177D7A9C}"/>
    <cellStyle name="Calculation 2 2 2 32" xfId="15731" xr:uid="{C6A34C66-5059-4FAF-8B42-C09D4DC25234}"/>
    <cellStyle name="Calculation 2 2 2 33" xfId="16806" xr:uid="{262CBABB-2306-4345-96AF-89FAC7F4216A}"/>
    <cellStyle name="Calculation 2 2 2 34" xfId="16436" xr:uid="{837E80C2-022C-47DE-8115-75AD4340479F}"/>
    <cellStyle name="Calculation 2 2 2 35" xfId="16309" xr:uid="{4C2A1955-29EB-46C0-8132-C5CCB224D1B5}"/>
    <cellStyle name="Calculation 2 2 2 36" xfId="16954" xr:uid="{57261792-1E3F-4D82-989A-49CDE522BF9F}"/>
    <cellStyle name="Calculation 2 2 2 37" xfId="18624" xr:uid="{E21C6440-8319-4166-B1C8-B8D7E6C72A27}"/>
    <cellStyle name="Calculation 2 2 2 38" xfId="18973" xr:uid="{25BDCD42-C20E-47BE-837F-F61D3EC18C0A}"/>
    <cellStyle name="Calculation 2 2 2 39" xfId="18952" xr:uid="{D6409586-FA33-4B60-883E-16BC937D59F8}"/>
    <cellStyle name="Calculation 2 2 2 4" xfId="2583" xr:uid="{2408813F-7784-46E7-A1AE-AB90D916429C}"/>
    <cellStyle name="Calculation 2 2 2 40" xfId="20143" xr:uid="{D033410A-0798-4D78-A231-46507F1E5233}"/>
    <cellStyle name="Calculation 2 2 2 41" xfId="20086" xr:uid="{0A5FB34C-2A32-4D01-8C31-3A6508D5A593}"/>
    <cellStyle name="Calculation 2 2 2 42" xfId="19835" xr:uid="{9B9A181D-2D03-4648-B139-FD5241477101}"/>
    <cellStyle name="Calculation 2 2 2 43" xfId="21475" xr:uid="{5CDB3419-C1AB-453D-B112-F80399302F2E}"/>
    <cellStyle name="Calculation 2 2 2 44" xfId="20581" xr:uid="{1671B015-20B7-42A3-B59E-037B6C96D666}"/>
    <cellStyle name="Calculation 2 2 2 45" xfId="21587" xr:uid="{14F510D9-3B99-4296-94E3-F693AAD778DB}"/>
    <cellStyle name="Calculation 2 2 2 46" xfId="21468" xr:uid="{D7A2CCA8-6B48-45A8-92C1-D39F1285ACCA}"/>
    <cellStyle name="Calculation 2 2 2 47" xfId="23259" xr:uid="{FFCA8F64-248E-4D07-A88E-316381134906}"/>
    <cellStyle name="Calculation 2 2 2 48" xfId="22703" xr:uid="{2B90E6B8-09B6-40DF-A072-BC2A62EE50B6}"/>
    <cellStyle name="Calculation 2 2 2 49" xfId="23943" xr:uid="{4ECF85D1-EFB5-4D64-8BD6-DAE02AB869FF}"/>
    <cellStyle name="Calculation 2 2 2 5" xfId="2265" xr:uid="{0CCDFA29-2263-4324-B291-5CE6F01A4336}"/>
    <cellStyle name="Calculation 2 2 2 50" xfId="24851" xr:uid="{09323C51-7654-4DF0-B363-62BC3DDE7B87}"/>
    <cellStyle name="Calculation 2 2 2 51" xfId="24314" xr:uid="{33F695E8-2597-4AA7-ACF1-06115CBFC9D5}"/>
    <cellStyle name="Calculation 2 2 2 52" xfId="25767" xr:uid="{992D5D54-65CF-410A-A31C-DCED07AD9AD2}"/>
    <cellStyle name="Calculation 2 2 2 53" xfId="24132" xr:uid="{252D6C78-51EC-40EE-BB9D-DD920E37C769}"/>
    <cellStyle name="Calculation 2 2 2 54" xfId="26256" xr:uid="{BE02B953-A00C-4B96-8174-E016929D3C5D}"/>
    <cellStyle name="Calculation 2 2 2 55" xfId="27055" xr:uid="{3F6C93AF-A712-457C-B76D-100D3E29DA30}"/>
    <cellStyle name="Calculation 2 2 2 56" xfId="27474" xr:uid="{BE3CF6FC-7670-45F9-8BCB-077947D56FC8}"/>
    <cellStyle name="Calculation 2 2 2 57" xfId="25945" xr:uid="{27D3B44B-E23E-450A-9BD9-7D9DAFD3E797}"/>
    <cellStyle name="Calculation 2 2 2 58" xfId="28601" xr:uid="{D31365AB-FE07-4894-9250-6838A9B4E526}"/>
    <cellStyle name="Calculation 2 2 2 59" xfId="29068" xr:uid="{C47E59C3-CD84-4CAC-9D9B-9439BDE7CAD8}"/>
    <cellStyle name="Calculation 2 2 2 6" xfId="3257" xr:uid="{11846681-518D-4668-A49F-10DEEB22FFDF}"/>
    <cellStyle name="Calculation 2 2 2 60" xfId="28310" xr:uid="{33E5670F-A106-4DBB-9CFF-A617F61D53B7}"/>
    <cellStyle name="Calculation 2 2 2 61" xfId="29857" xr:uid="{B0D8842D-2BC1-41FD-907A-DCF043C8EC43}"/>
    <cellStyle name="Calculation 2 2 2 62" xfId="30263" xr:uid="{13898380-02D5-4234-AB00-9FCE0F5F7858}"/>
    <cellStyle name="Calculation 2 2 2 63" xfId="30680" xr:uid="{031F1316-1DD0-48B7-A3D1-BE81A61E75D9}"/>
    <cellStyle name="Calculation 2 2 2 64" xfId="28285" xr:uid="{01DA9EB4-2832-48B7-A625-3D969FF49C5C}"/>
    <cellStyle name="Calculation 2 2 2 65" xfId="31296" xr:uid="{65537B12-7E95-4E6B-96D2-2B2CECDAD131}"/>
    <cellStyle name="Calculation 2 2 2 7" xfId="4079" xr:uid="{346FBC94-066F-47B2-AAF9-22C2DAB6668A}"/>
    <cellStyle name="Calculation 2 2 2 8" xfId="4516" xr:uid="{D0AA1B02-763B-4D54-9BAB-4AEF72FA2A0C}"/>
    <cellStyle name="Calculation 2 2 2 9" xfId="2192" xr:uid="{C7BC31EA-57F4-4371-A881-0FF9562C2597}"/>
    <cellStyle name="Calculation 2 2 20" xfId="10245" xr:uid="{FE9333E5-FBE4-44E3-BAD6-71C7B901BC6E}"/>
    <cellStyle name="Calculation 2 2 21" xfId="10640" xr:uid="{F09ADFD9-FE97-416A-AF8F-97D08EDDE504}"/>
    <cellStyle name="Calculation 2 2 22" xfId="10044" xr:uid="{452B22B6-E168-4C5F-95D5-BC408B375839}"/>
    <cellStyle name="Calculation 2 2 23" xfId="9184" xr:uid="{7FDFD639-BB26-4DF5-A4A8-862F08340F09}"/>
    <cellStyle name="Calculation 2 2 24" xfId="11899" xr:uid="{A3161790-A97E-4C64-A56C-1BD735F4FBE4}"/>
    <cellStyle name="Calculation 2 2 25" xfId="12372" xr:uid="{14D8F486-2601-4EA8-AADD-C39556A6E879}"/>
    <cellStyle name="Calculation 2 2 26" xfId="12806" xr:uid="{44180180-B8D8-41EA-88EB-2EDA0C8C95B0}"/>
    <cellStyle name="Calculation 2 2 27" xfId="13243" xr:uid="{A7D0E894-DC0E-4ED9-A9CC-4A336529C39F}"/>
    <cellStyle name="Calculation 2 2 28" xfId="11594" xr:uid="{38D82DF6-B48B-4926-9356-E5B53C7490C6}"/>
    <cellStyle name="Calculation 2 2 29" xfId="14216" xr:uid="{A9B01BBB-32DF-41DE-B916-394CE16405D9}"/>
    <cellStyle name="Calculation 2 2 3" xfId="1029" xr:uid="{A0BDC880-8E48-4F10-85D5-E30975099AB7}"/>
    <cellStyle name="Calculation 2 2 30" xfId="14422" xr:uid="{CCBBD570-510D-443C-A1C7-4842257249A1}"/>
    <cellStyle name="Calculation 2 2 31" xfId="14622" xr:uid="{51F246B7-327F-4EE1-9C9F-18592C3DD009}"/>
    <cellStyle name="Calculation 2 2 32" xfId="15726" xr:uid="{67467ECF-38D4-447D-9CF2-579C3E770581}"/>
    <cellStyle name="Calculation 2 2 33" xfId="15986" xr:uid="{8280D4CB-3171-47EB-A810-9C1834104D91}"/>
    <cellStyle name="Calculation 2 2 34" xfId="16591" xr:uid="{65326179-67E4-4288-B735-1BFD10228E20}"/>
    <cellStyle name="Calculation 2 2 35" xfId="17366" xr:uid="{FB36B777-EE00-4573-9AA1-87883E98ECF7}"/>
    <cellStyle name="Calculation 2 2 36" xfId="17808" xr:uid="{571F47CC-B5B6-454A-BDE4-6E94034858C1}"/>
    <cellStyle name="Calculation 2 2 37" xfId="18028" xr:uid="{F64B4ED9-515E-4DE2-B7E5-EF86BE979548}"/>
    <cellStyle name="Calculation 2 2 38" xfId="18409" xr:uid="{2F3DE04F-6BD8-4C5E-A58A-3826C53C8055}"/>
    <cellStyle name="Calculation 2 2 39" xfId="18166" xr:uid="{CA1A423C-77D2-4A57-BA38-4FC4C2CDCFC4}"/>
    <cellStyle name="Calculation 2 2 4" xfId="1460" xr:uid="{4A190D3D-8432-4C67-85BE-AA660D010A43}"/>
    <cellStyle name="Calculation 2 2 40" xfId="19336" xr:uid="{11075FB4-C933-472A-B11E-2E930AE88EAD}"/>
    <cellStyle name="Calculation 2 2 41" xfId="19928" xr:uid="{E003B897-A1C8-4667-99FD-1E8AF515A966}"/>
    <cellStyle name="Calculation 2 2 42" xfId="20716" xr:uid="{1A6AA7F4-30BF-43AD-B590-7D6432BC6B3F}"/>
    <cellStyle name="Calculation 2 2 43" xfId="21174" xr:uid="{F692993A-AE3B-42EE-B93B-DE4F018EEBF2}"/>
    <cellStyle name="Calculation 2 2 44" xfId="20795" xr:uid="{923422EE-4440-4ADF-A3C3-CE7DACD16E8A}"/>
    <cellStyle name="Calculation 2 2 45" xfId="22105" xr:uid="{2AA43575-FEB1-4DC5-9423-2BCAF75E6AF6}"/>
    <cellStyle name="Calculation 2 2 46" xfId="22533" xr:uid="{44921843-FBEE-4D60-A129-6258D263A5A1}"/>
    <cellStyle name="Calculation 2 2 47" xfId="20295" xr:uid="{A8E57C93-333A-446F-8F31-D01C317D7FE6}"/>
    <cellStyle name="Calculation 2 2 48" xfId="22353" xr:uid="{F86588AC-4062-480F-A137-DA968CD92024}"/>
    <cellStyle name="Calculation 2 2 49" xfId="23208" xr:uid="{1ACB1605-4DFC-4D62-AF66-1E2E93B2834E}"/>
    <cellStyle name="Calculation 2 2 5" xfId="2368" xr:uid="{5C7DEA1A-0111-4A91-BE96-8B35B32752A7}"/>
    <cellStyle name="Calculation 2 2 50" xfId="23737" xr:uid="{2DE082FA-EF02-4F4C-BFE0-E049A22C9468}"/>
    <cellStyle name="Calculation 2 2 51" xfId="24636" xr:uid="{A9CF6571-E53B-492C-ACA6-6EF2D0F50B83}"/>
    <cellStyle name="Calculation 2 2 52" xfId="25420" xr:uid="{D416D44D-1A64-42ED-9D13-F92A53254B04}"/>
    <cellStyle name="Calculation 2 2 53" xfId="25554" xr:uid="{7D67085C-D29B-4E59-9FED-CA246E7772F7}"/>
    <cellStyle name="Calculation 2 2 54" xfId="25219" xr:uid="{63A22490-7A52-4849-8180-DB20AD23CE89}"/>
    <cellStyle name="Calculation 2 2 55" xfId="26498" xr:uid="{8D97408F-D8C1-4245-81FF-CABF58D7A3FA}"/>
    <cellStyle name="Calculation 2 2 56" xfId="26844" xr:uid="{CA047BB2-99D4-4ABC-B01F-DC6CC12B5B57}"/>
    <cellStyle name="Calculation 2 2 57" xfId="27263" xr:uid="{24454D0B-A9FC-4658-8DC1-BEF7D1B4A41E}"/>
    <cellStyle name="Calculation 2 2 58" xfId="27789" xr:uid="{260ABDAB-0FE3-4A4A-9F76-6B2A8FA9A421}"/>
    <cellStyle name="Calculation 2 2 59" xfId="28386" xr:uid="{607352B4-49DE-4015-98EB-C1EF7E1603EF}"/>
    <cellStyle name="Calculation 2 2 6" xfId="2204" xr:uid="{6EEF7420-587B-464E-A916-85886E18BC99}"/>
    <cellStyle name="Calculation 2 2 60" xfId="28854" xr:uid="{8322BDF0-3DDF-49D2-B225-A0BA155CC356}"/>
    <cellStyle name="Calculation 2 2 61" xfId="29534" xr:uid="{7C0D897B-3B27-4C3D-B58E-B0E3D12FD1E7}"/>
    <cellStyle name="Calculation 2 2 62" xfId="29644" xr:uid="{5795CB03-10B5-428B-B914-04AD99B5992A}"/>
    <cellStyle name="Calculation 2 2 63" xfId="30052" xr:uid="{00D147F0-938C-4C53-B89A-66A21EFA0364}"/>
    <cellStyle name="Calculation 2 2 64" xfId="30466" xr:uid="{CF012BD5-AF26-4D48-8429-6E619D0F7A58}"/>
    <cellStyle name="Calculation 2 2 65" xfId="30900" xr:uid="{BD393EDC-41A5-4BB5-9E1C-5AE63D15ED8B}"/>
    <cellStyle name="Calculation 2 2 66" xfId="31090" xr:uid="{B8A45485-89FB-4AD7-9BE7-C6B04E562DDC}"/>
    <cellStyle name="Calculation 2 2 7" xfId="2296" xr:uid="{E6E8DB79-195C-44E1-BF2A-ADED09A7636E}"/>
    <cellStyle name="Calculation 2 2 8" xfId="3864" xr:uid="{B3FAD341-A082-47E7-BCA1-AA4B75A6FCAB}"/>
    <cellStyle name="Calculation 2 2 9" xfId="4302" xr:uid="{0543F01B-CECB-4FC2-9E98-5CAD8AF087B2}"/>
    <cellStyle name="Calculation 2 20" xfId="10159" xr:uid="{F447EC85-9B22-42E5-975C-8FAC26A47F9B}"/>
    <cellStyle name="Calculation 2 21" xfId="10898" xr:uid="{89FF718C-C5A8-4F06-8904-532179C75296}"/>
    <cellStyle name="Calculation 2 22" xfId="11488" xr:uid="{11A16DF2-C07A-4153-9D8A-17CDA2DD0FC8}"/>
    <cellStyle name="Calculation 2 23" xfId="11812" xr:uid="{285CEB74-4C14-46AA-A949-C94BF9925679}"/>
    <cellStyle name="Calculation 2 24" xfId="11466" xr:uid="{DDC7A8CB-A98B-45E4-AFF3-1F2A3852F9A1}"/>
    <cellStyle name="Calculation 2 25" xfId="12728" xr:uid="{7D7E8254-DD11-41EE-A167-477BA4108D07}"/>
    <cellStyle name="Calculation 2 26" xfId="13180" xr:uid="{15468490-F5F4-457B-ACD5-C4E8C23FF229}"/>
    <cellStyle name="Calculation 2 27" xfId="14684" xr:uid="{F7B0C0D3-CD60-4C02-9878-F58EDFBE64CC}"/>
    <cellStyle name="Calculation 2 28" xfId="15829" xr:uid="{FD88161E-473B-4136-A38A-4BE4767C4FEF}"/>
    <cellStyle name="Calculation 2 29" xfId="16180" xr:uid="{DABC7818-069F-4397-B31C-076DFC47EEFD}"/>
    <cellStyle name="Calculation 2 3" xfId="630" xr:uid="{6A93680B-2502-4EDA-8A0A-2767782BE42D}"/>
    <cellStyle name="Calculation 2 3 10" xfId="5025" xr:uid="{0F5F6B7A-44DA-420D-A137-6568088C640F}"/>
    <cellStyle name="Calculation 2 3 11" xfId="5278" xr:uid="{996DFA85-01DB-4B99-9E03-4590A245DC73}"/>
    <cellStyle name="Calculation 2 3 12" xfId="5896" xr:uid="{7AD5B619-69F8-4642-8907-D4E518F43583}"/>
    <cellStyle name="Calculation 2 3 13" xfId="5810" xr:uid="{D9F8815C-7C88-4C1F-9833-368822CAA4D5}"/>
    <cellStyle name="Calculation 2 3 14" xfId="6662" xr:uid="{9CEBC9F1-80D7-44C0-939E-E22A7E57CB23}"/>
    <cellStyle name="Calculation 2 3 15" xfId="7350" xr:uid="{0552E484-030E-49C7-A036-274E1448D9E6}"/>
    <cellStyle name="Calculation 2 3 16" xfId="7785" xr:uid="{AA469CCA-10D0-4EA0-B6DA-BE9848B618ED}"/>
    <cellStyle name="Calculation 2 3 17" xfId="7676" xr:uid="{933A6A57-287A-432D-A763-907204757606}"/>
    <cellStyle name="Calculation 2 3 18" xfId="8621" xr:uid="{379E886E-D336-4262-8F11-2BFD24346E14}"/>
    <cellStyle name="Calculation 2 3 19" xfId="9564" xr:uid="{C08A3C72-D760-434A-B01B-C8B8A82E83D1}"/>
    <cellStyle name="Calculation 2 3 2" xfId="845" xr:uid="{A4C59DBA-40D3-4F10-8AE8-BCC48A25D5E0}"/>
    <cellStyle name="Calculation 2 3 2 10" xfId="5493" xr:uid="{53406EFB-02B3-4570-A523-BB344F754535}"/>
    <cellStyle name="Calculation 2 3 2 11" xfId="4998" xr:uid="{DCC84838-1B1F-4E47-B993-95B1EC419003}"/>
    <cellStyle name="Calculation 2 3 2 12" xfId="6264" xr:uid="{7AB997C2-BA0F-4811-998E-0BBCC7951461}"/>
    <cellStyle name="Calculation 2 3 2 13" xfId="6140" xr:uid="{A00F6C0A-7177-4D59-ABEF-C0149B5AF8BF}"/>
    <cellStyle name="Calculation 2 3 2 14" xfId="7565" xr:uid="{286EAD59-BD52-4A28-8B7A-1830D2D44336}"/>
    <cellStyle name="Calculation 2 3 2 15" xfId="7061" xr:uid="{6B9296F1-88FC-4FE1-AE51-ECB533EAB2C8}"/>
    <cellStyle name="Calculation 2 3 2 16" xfId="8143" xr:uid="{22BB1ECD-35F4-4109-8F33-C756A3124CB6}"/>
    <cellStyle name="Calculation 2 3 2 17" xfId="8897" xr:uid="{1400DC3B-A5C2-4A9D-BFB2-9028D7DB1785}"/>
    <cellStyle name="Calculation 2 3 2 18" xfId="9779" xr:uid="{FDEDF7E1-65E7-4413-A42A-7CF254EAEBFB}"/>
    <cellStyle name="Calculation 2 3 2 19" xfId="9274" xr:uid="{5ADEE702-0CA9-40B3-876E-073D75D07664}"/>
    <cellStyle name="Calculation 2 3 2 2" xfId="1319" xr:uid="{E780ABBE-8CB5-4AF9-9E3D-EDCC3AF3AECA}"/>
    <cellStyle name="Calculation 2 3 2 20" xfId="9384" xr:uid="{2DDCCCFE-6DB6-4846-82C2-0309BA609955}"/>
    <cellStyle name="Calculation 2 3 2 21" xfId="10936" xr:uid="{28B576DB-A7E1-4BF2-B384-07C621EEDDC1}"/>
    <cellStyle name="Calculation 2 3 2 22" xfId="10715" xr:uid="{EFA8C2DE-86D1-453C-AADD-F934D979A989}"/>
    <cellStyle name="Calculation 2 3 2 23" xfId="12198" xr:uid="{DF7AA40E-CCBF-49B5-BB24-1B24B39ABC99}"/>
    <cellStyle name="Calculation 2 3 2 24" xfId="12671" xr:uid="{C0D1D17E-F4C3-4859-8436-591611C2DFBD}"/>
    <cellStyle name="Calculation 2 3 2 25" xfId="13105" xr:uid="{2920FBCA-AA4A-457F-B0D1-D5E5B8111B30}"/>
    <cellStyle name="Calculation 2 3 2 26" xfId="13542" xr:uid="{334BBF5B-8E37-4F36-9412-6CD902D2FE69}"/>
    <cellStyle name="Calculation 2 3 2 27" xfId="13916" xr:uid="{36103D4D-1A13-4949-981B-29DFF0FB88CB}"/>
    <cellStyle name="Calculation 2 3 2 28" xfId="14013" xr:uid="{D6F38DA2-6E6B-47A7-8574-85F957DD5B70}"/>
    <cellStyle name="Calculation 2 3 2 29" xfId="13194" xr:uid="{9A194B91-2631-4D21-AA9F-94DCB9F66C2C}"/>
    <cellStyle name="Calculation 2 3 2 3" xfId="1768" xr:uid="{2D9C44CB-3EB0-40E1-837F-540B2E1D65B1}"/>
    <cellStyle name="Calculation 2 3 2 30" xfId="13768" xr:uid="{52535AFC-8FB0-4B4A-B708-A864F9BC5069}"/>
    <cellStyle name="Calculation 2 3 2 31" xfId="15447" xr:uid="{B771ED69-947E-49EE-B656-E927B13EEC5D}"/>
    <cellStyle name="Calculation 2 3 2 32" xfId="15532" xr:uid="{5E4367D7-63DF-4044-8DCD-123FDFFCDDBA}"/>
    <cellStyle name="Calculation 2 3 2 33" xfId="16890" xr:uid="{477FD02E-39AB-4BCC-A114-C0F4BDE1CE51}"/>
    <cellStyle name="Calculation 2 3 2 34" xfId="16383" xr:uid="{55C65B5E-6079-4260-BDD9-15E5C82BD883}"/>
    <cellStyle name="Calculation 2 3 2 35" xfId="16490" xr:uid="{397AC9EC-445D-46CE-A27A-98A9B40D5B30}"/>
    <cellStyle name="Calculation 2 3 2 36" xfId="17088" xr:uid="{D806661F-F597-4A4A-8119-4DED0FD213BD}"/>
    <cellStyle name="Calculation 2 3 2 37" xfId="18708" xr:uid="{3B8EB36C-FFBB-41D8-ACFA-725B46977F34}"/>
    <cellStyle name="Calculation 2 3 2 38" xfId="18082" xr:uid="{75ABFED2-FAE1-4F17-B75E-2C225244FC60}"/>
    <cellStyle name="Calculation 2 3 2 39" xfId="19299" xr:uid="{D0E6684A-804D-417C-89FE-7C481761D38F}"/>
    <cellStyle name="Calculation 2 3 2 4" xfId="2667" xr:uid="{FB2E9A74-234D-46D2-8E44-B404A46622C9}"/>
    <cellStyle name="Calculation 2 3 2 40" xfId="20227" xr:uid="{4D0DF188-F087-420F-B35B-08E9C7B8972B}"/>
    <cellStyle name="Calculation 2 3 2 41" xfId="19717" xr:uid="{2FB72980-D7D5-493D-A5EF-99B8F66893EA}"/>
    <cellStyle name="Calculation 2 3 2 42" xfId="20682" xr:uid="{A1BB520A-5C65-408D-B283-5BCF86C117A5}"/>
    <cellStyle name="Calculation 2 3 2 43" xfId="21635" xr:uid="{F8FC57DE-C0F3-4D22-BEB5-20B7A7DAFDD9}"/>
    <cellStyle name="Calculation 2 3 2 44" xfId="21675" xr:uid="{5DCE59D6-BDB4-4FA1-AE1E-23B909604B93}"/>
    <cellStyle name="Calculation 2 3 2 45" xfId="22114" xr:uid="{EBEDA646-BB55-4DF2-9FFB-0B4A85D66CE7}"/>
    <cellStyle name="Calculation 2 3 2 46" xfId="22892" xr:uid="{8495028B-4B3E-43DC-9BC1-30713306F5A5}"/>
    <cellStyle name="Calculation 2 3 2 47" xfId="22659" xr:uid="{ACFB9327-78C8-4984-B6C9-1D988BAFE119}"/>
    <cellStyle name="Calculation 2 3 2 48" xfId="23498" xr:uid="{79DF1A02-60CB-4981-9EB1-7829AD0E800B}"/>
    <cellStyle name="Calculation 2 3 2 49" xfId="24027" xr:uid="{EF6C3275-CE8D-4220-A6B4-CE374B5C1307}"/>
    <cellStyle name="Calculation 2 3 2 5" xfId="3084" xr:uid="{3A15EAA2-197F-4616-BEE6-46D96C7F89DF}"/>
    <cellStyle name="Calculation 2 3 2 50" xfId="24935" xr:uid="{875D8296-04B4-4E41-A1DE-B00A8277DF51}"/>
    <cellStyle name="Calculation 2 3 2 51" xfId="24410" xr:uid="{FD050A65-8DD4-4442-8AE4-8E66470DC865}"/>
    <cellStyle name="Calculation 2 3 2 52" xfId="25851" xr:uid="{5724EDC4-EBA8-467C-934C-AD9FC7B661E7}"/>
    <cellStyle name="Calculation 2 3 2 53" xfId="26153" xr:uid="{2A0C451A-B3D7-461A-8BC7-4DC4B759E35E}"/>
    <cellStyle name="Calculation 2 3 2 54" xfId="26506" xr:uid="{5BBDDEAE-E1B4-428E-AC58-D5FBD46DC24D}"/>
    <cellStyle name="Calculation 2 3 2 55" xfId="27139" xr:uid="{7F466DC7-6120-4085-B4A8-5D8933EBD605}"/>
    <cellStyle name="Calculation 2 3 2 56" xfId="27558" xr:uid="{9E260754-A686-4DA6-9AC5-67A51FE29AA0}"/>
    <cellStyle name="Calculation 2 3 2 57" xfId="27745" xr:uid="{FE6669D6-03BC-4D29-9C2F-36915F1C5818}"/>
    <cellStyle name="Calculation 2 3 2 58" xfId="28685" xr:uid="{52B27170-DEAB-4D66-AD3A-A333A9E61359}"/>
    <cellStyle name="Calculation 2 3 2 59" xfId="29152" xr:uid="{69225F68-98A3-4BA2-96AE-D47B84E1D901}"/>
    <cellStyle name="Calculation 2 3 2 6" xfId="3294" xr:uid="{046DFC55-8239-4287-B228-D059DB2677E4}"/>
    <cellStyle name="Calculation 2 3 2 60" xfId="28104" xr:uid="{3FB2DF3C-17D4-4B58-9C0F-9A2F05DBA09A}"/>
    <cellStyle name="Calculation 2 3 2 61" xfId="29941" xr:uid="{136B0DF8-E4BB-46C9-A954-D5C21A35C68E}"/>
    <cellStyle name="Calculation 2 3 2 62" xfId="30347" xr:uid="{DA7FAFC8-8871-4E46-8159-478DC0B16E33}"/>
    <cellStyle name="Calculation 2 3 2 63" xfId="30764" xr:uid="{77DCF75C-D24D-4986-9012-8C86780561E5}"/>
    <cellStyle name="Calculation 2 3 2 64" xfId="30417" xr:uid="{227FA770-6440-4647-BF3F-F8BB254236D1}"/>
    <cellStyle name="Calculation 2 3 2 65" xfId="31380" xr:uid="{A243A9E2-8D52-4DEA-875F-C50D503AC429}"/>
    <cellStyle name="Calculation 2 3 2 7" xfId="4163" xr:uid="{AF563306-E903-4815-B7E6-A54C480A95A3}"/>
    <cellStyle name="Calculation 2 3 2 8" xfId="4600" xr:uid="{3AA102F5-E82E-4F6A-8BFE-A5A1C12D1EDA}"/>
    <cellStyle name="Calculation 2 3 2 9" xfId="3046" xr:uid="{9E96200B-2A4F-4D82-B3DC-26D6671B2655}"/>
    <cellStyle name="Calculation 2 3 20" xfId="9998" xr:uid="{95C38A7B-CC88-4E0A-AEDB-A16B1288933F}"/>
    <cellStyle name="Calculation 2 3 21" xfId="10423" xr:uid="{B350C6C0-307E-4D61-9356-68AD8F2A29EC}"/>
    <cellStyle name="Calculation 2 3 22" xfId="10795" xr:uid="{0878562F-A5C9-4EBE-9C70-43E4FE2F25E9}"/>
    <cellStyle name="Calculation 2 3 23" xfId="10869" xr:uid="{7D7A37EA-E3C6-451D-8528-2E17FD739BB7}"/>
    <cellStyle name="Calculation 2 3 24" xfId="11983" xr:uid="{CE175C66-F088-4673-B70C-43214560E029}"/>
    <cellStyle name="Calculation 2 3 25" xfId="12456" xr:uid="{CA967766-6000-4D51-BC9E-8E9DFA8DA5DC}"/>
    <cellStyle name="Calculation 2 3 26" xfId="12890" xr:uid="{13D246AD-2A4B-4F3D-BAFA-A275303EBD76}"/>
    <cellStyle name="Calculation 2 3 27" xfId="13327" xr:uid="{BD69B8EE-80CF-427A-A688-A85E4D3DBA2C}"/>
    <cellStyle name="Calculation 2 3 28" xfId="13702" xr:uid="{C7341997-9859-4DE9-87C4-B7F8DEE6BBEC}"/>
    <cellStyle name="Calculation 2 3 29" xfId="14239" xr:uid="{2724C7CE-38DC-4F83-ADFE-E427C0D01AE0}"/>
    <cellStyle name="Calculation 2 3 3" xfId="1113" xr:uid="{AC5FDFC7-2764-4D53-AE54-666A47AD0E27}"/>
    <cellStyle name="Calculation 2 3 30" xfId="14753" xr:uid="{81F74C74-EDD4-4518-AF97-DCC2993E8291}"/>
    <cellStyle name="Calculation 2 3 31" xfId="14124" xr:uid="{3ADF4A74-555B-4BAE-B264-61F8886C2082}"/>
    <cellStyle name="Calculation 2 3 32" xfId="15639" xr:uid="{E06E8BE2-5BE9-4050-A23B-E2A8D02D3ABE}"/>
    <cellStyle name="Calculation 2 3 33" xfId="15853" xr:uid="{80C2A289-5B2D-4FDB-B751-F1516DEB3953}"/>
    <cellStyle name="Calculation 2 3 34" xfId="16675" xr:uid="{9FACAE77-FCF9-48D7-887E-546333D8EACB}"/>
    <cellStyle name="Calculation 2 3 35" xfId="17114" xr:uid="{A51107AA-3607-42ED-930F-5392A77B3D84}"/>
    <cellStyle name="Calculation 2 3 36" xfId="17561" xr:uid="{5A9C8E46-2556-4E04-ACAB-E5CD58FBE5E8}"/>
    <cellStyle name="Calculation 2 3 37" xfId="18159" xr:uid="{8A368B5A-DBDF-4FBB-AB2B-5CDA8AEF1B74}"/>
    <cellStyle name="Calculation 2 3 38" xfId="18493" xr:uid="{216BBAF5-678D-40E9-BC3F-180BE55F3EF0}"/>
    <cellStyle name="Calculation 2 3 39" xfId="17611" xr:uid="{B501DD97-6305-47D1-9A66-D59F27EE055A}"/>
    <cellStyle name="Calculation 2 3 4" xfId="1625" xr:uid="{D00E7D68-37C5-4E3E-8AB3-9BA35F39F2C8}"/>
    <cellStyle name="Calculation 2 3 40" xfId="19225" xr:uid="{93B11722-ABD5-41EE-8A16-B83E1DAFC68D}"/>
    <cellStyle name="Calculation 2 3 41" xfId="20012" xr:uid="{1DF79403-8820-4CFE-80BD-2ED923FCCD21}"/>
    <cellStyle name="Calculation 2 3 42" xfId="20467" xr:uid="{EB74BF98-23F5-412C-AD00-E1743C3F6002}"/>
    <cellStyle name="Calculation 2 3 43" xfId="20920" xr:uid="{9AD39BC8-DA6F-4B7C-8B3B-03FA19299DE1}"/>
    <cellStyle name="Calculation 2 3 44" xfId="20441" xr:uid="{18A7A291-FF27-44B5-92B3-C0C316032813}"/>
    <cellStyle name="Calculation 2 3 45" xfId="21849" xr:uid="{076CA267-BBF7-4D60-8420-1CBFA3CAB8B4}"/>
    <cellStyle name="Calculation 2 3 46" xfId="22286" xr:uid="{C4D56A57-A0E6-4102-8525-AFECF499EFB2}"/>
    <cellStyle name="Calculation 2 3 47" xfId="22699" xr:uid="{7D653ADC-44E7-49BF-985E-6F35C0CE5422}"/>
    <cellStyle name="Calculation 2 3 48" xfId="21519" xr:uid="{DF46E752-2C97-4F24-8531-49EF02572FFE}"/>
    <cellStyle name="Calculation 2 3 49" xfId="22963" xr:uid="{EA98B734-3832-4141-94B1-B71D7AC32ACE}"/>
    <cellStyle name="Calculation 2 3 5" xfId="2452" xr:uid="{F003DA59-6FB2-44DC-8EA2-93127FA27890}"/>
    <cellStyle name="Calculation 2 3 50" xfId="23821" xr:uid="{35F570D4-C8DD-4244-B8C9-B2E877AF6C46}"/>
    <cellStyle name="Calculation 2 3 51" xfId="24720" xr:uid="{33FBF14C-968F-46F9-B24F-19DF6E0171D9}"/>
    <cellStyle name="Calculation 2 3 52" xfId="25175" xr:uid="{65D802AA-61CE-43D1-BADB-BA1C8CDF7C84}"/>
    <cellStyle name="Calculation 2 3 53" xfId="25638" xr:uid="{B560414D-9F9A-4098-9CDB-3A36C473D720}"/>
    <cellStyle name="Calculation 2 3 54" xfId="26004" xr:uid="{DAD0E189-B692-4DD9-BD70-A4188C8605D3}"/>
    <cellStyle name="Calculation 2 3 55" xfId="25706" xr:uid="{CC4B51AC-CF69-48C9-A751-99F23903E418}"/>
    <cellStyle name="Calculation 2 3 56" xfId="26928" xr:uid="{DBB386C1-03B5-44A5-B267-B683C996FB96}"/>
    <cellStyle name="Calculation 2 3 57" xfId="27347" xr:uid="{DB54BF56-2F98-42D9-9156-CFDF312DAA70}"/>
    <cellStyle name="Calculation 2 3 58" xfId="27224" xr:uid="{7F988B76-C84A-40CB-972F-D1B30F26B6C6}"/>
    <cellStyle name="Calculation 2 3 59" xfId="28470" xr:uid="{CEBB9F4A-7512-45C3-A167-9C170AEA8F32}"/>
    <cellStyle name="Calculation 2 3 6" xfId="2867" xr:uid="{8F8B6BCC-FA09-4457-BDD7-7BB8010B1BF4}"/>
    <cellStyle name="Calculation 2 3 60" xfId="28938" xr:uid="{998D58D0-B3CB-420E-ACBE-E1057C5394F9}"/>
    <cellStyle name="Calculation 2 3 61" xfId="29322" xr:uid="{1B6C9618-8916-48BC-A20B-17224D149411}"/>
    <cellStyle name="Calculation 2 3 62" xfId="29728" xr:uid="{4DCC4CE4-472E-4236-9BDF-D035DD4980FA}"/>
    <cellStyle name="Calculation 2 3 63" xfId="30136" xr:uid="{4B1529C8-DF8B-4C30-B3B0-249702465984}"/>
    <cellStyle name="Calculation 2 3 64" xfId="30550" xr:uid="{C127AC24-24E3-400C-AE4B-1431867C1F99}"/>
    <cellStyle name="Calculation 2 3 65" xfId="31011" xr:uid="{AAFBC4CE-D5FD-44D2-B1AE-FBBE5C4B9C71}"/>
    <cellStyle name="Calculation 2 3 66" xfId="31174" xr:uid="{ABE26C98-9E7F-4797-A66B-EF3204FAFD42}"/>
    <cellStyle name="Calculation 2 3 7" xfId="3529" xr:uid="{0B166C17-B666-4320-A459-3A84D8EFB9D8}"/>
    <cellStyle name="Calculation 2 3 8" xfId="3948" xr:uid="{607B21AC-A10D-4144-B7E7-A41CCBB970AE}"/>
    <cellStyle name="Calculation 2 3 9" xfId="4386" xr:uid="{03BD60FA-E585-4455-87DE-E4092B327ABF}"/>
    <cellStyle name="Calculation 2 30" xfId="17278" xr:uid="{95425A84-8276-4345-9155-9C40FEFED0A1}"/>
    <cellStyle name="Calculation 2 31" xfId="17093" xr:uid="{09894FBE-2F38-46BC-A009-CBDA35296195}"/>
    <cellStyle name="Calculation 2 32" xfId="18076" xr:uid="{81066729-CB9F-4109-A3A7-B0C8A546D619}"/>
    <cellStyle name="Calculation 2 33" xfId="16739" xr:uid="{4D792BD3-1686-478A-A3F7-D50F75D1560F}"/>
    <cellStyle name="Calculation 2 34" xfId="19512" xr:uid="{D20BC06F-B4FC-4F7D-B5D1-BF7A83BE36A0}"/>
    <cellStyle name="Calculation 2 35" xfId="20629" xr:uid="{8CDD8A01-2E14-40E8-9E9A-0EE3B4CC1DA3}"/>
    <cellStyle name="Calculation 2 36" xfId="22445" xr:uid="{9BAC1B63-D023-4231-B676-30A689734FD1}"/>
    <cellStyle name="Calculation 2 37" xfId="22226" xr:uid="{C634DDDB-A8C5-45BD-B34A-3868F6993E71}"/>
    <cellStyle name="Calculation 2 38" xfId="23358" xr:uid="{E77EF0AB-C4EA-44C6-A049-FB19D46920A6}"/>
    <cellStyle name="Calculation 2 39" xfId="24233" xr:uid="{ABE51B5F-530A-4A92-9E54-B913F618B353}"/>
    <cellStyle name="Calculation 2 4" xfId="536" xr:uid="{0A4F0BA1-EC83-495C-A89A-0166BC34894F}"/>
    <cellStyle name="Calculation 2 4 10" xfId="3684" xr:uid="{C04BB82A-8057-42CE-B338-008E0736F815}"/>
    <cellStyle name="Calculation 2 4 11" xfId="5184" xr:uid="{E13DA62A-4FD2-4691-B462-99416D0A4A06}"/>
    <cellStyle name="Calculation 2 4 12" xfId="5823" xr:uid="{2A8EBFF5-F871-491C-86FA-25DB70030C06}"/>
    <cellStyle name="Calculation 2 4 13" xfId="5866" xr:uid="{720E673F-44DF-4CE7-B43B-03FDC921BBA6}"/>
    <cellStyle name="Calculation 2 4 14" xfId="6343" xr:uid="{D7AB6C7C-633B-400D-AD95-7D34A6DBCD57}"/>
    <cellStyle name="Calculation 2 4 15" xfId="7256" xr:uid="{745385E7-6128-4E3B-95C1-C3FA21F10E2F}"/>
    <cellStyle name="Calculation 2 4 16" xfId="7936" xr:uid="{43D860B1-8650-4C6B-886A-D3B82D37B8CD}"/>
    <cellStyle name="Calculation 2 4 17" xfId="8342" xr:uid="{DACADDAF-D0C5-45E1-89F0-16EA5FE3419E}"/>
    <cellStyle name="Calculation 2 4 18" xfId="8694" xr:uid="{7729F143-5F94-4E01-9E85-1937AD32EC73}"/>
    <cellStyle name="Calculation 2 4 19" xfId="9470" xr:uid="{785F638B-25AF-42C7-9208-B0EBA5015167}"/>
    <cellStyle name="Calculation 2 4 2" xfId="751" xr:uid="{96636321-6367-4944-AFDD-41591D55BC36}"/>
    <cellStyle name="Calculation 2 4 2 10" xfId="5399" xr:uid="{0B378BFF-724B-4DBC-8399-34E63F49CFF7}"/>
    <cellStyle name="Calculation 2 4 2 11" xfId="5034" xr:uid="{6ED5F051-CFC1-45BC-B21A-9F8F69027C5C}"/>
    <cellStyle name="Calculation 2 4 2 12" xfId="5606" xr:uid="{3A799165-C3A1-4F7D-BD75-2293BADB9C92}"/>
    <cellStyle name="Calculation 2 4 2 13" xfId="6418" xr:uid="{7F17A483-9A06-41FC-85A4-83BF4129FAE1}"/>
    <cellStyle name="Calculation 2 4 2 14" xfId="7471" xr:uid="{6226F8C6-EC24-4B22-BA7E-C29DD183ABCD}"/>
    <cellStyle name="Calculation 2 4 2 15" xfId="7028" xr:uid="{4B4653C9-86A6-4AC1-A1BE-BBCAFF0573A1}"/>
    <cellStyle name="Calculation 2 4 2 16" xfId="8295" xr:uid="{73D856CC-8FC3-4BB4-9DB7-1022F485A9E9}"/>
    <cellStyle name="Calculation 2 4 2 17" xfId="8714" xr:uid="{78BFA67C-8AB7-47B8-9EAB-6EB316F34070}"/>
    <cellStyle name="Calculation 2 4 2 18" xfId="9685" xr:uid="{9A866B5D-D80D-4915-B502-ADD1859D7DF7}"/>
    <cellStyle name="Calculation 2 4 2 19" xfId="9240" xr:uid="{DFD2A418-3511-4D79-9828-DA176A884CE5}"/>
    <cellStyle name="Calculation 2 4 2 2" xfId="1225" xr:uid="{D4999D57-D933-4A9D-97FA-51086329746E}"/>
    <cellStyle name="Calculation 2 4 2 20" xfId="9126" xr:uid="{539A305E-5171-453D-A0D1-97EC0663F864}"/>
    <cellStyle name="Calculation 2 4 2 21" xfId="10346" xr:uid="{D927F11A-DFF2-4CA8-8719-BF8665917C36}"/>
    <cellStyle name="Calculation 2 4 2 22" xfId="11102" xr:uid="{3A387329-3914-4E14-9988-4663C2EF8D43}"/>
    <cellStyle name="Calculation 2 4 2 23" xfId="12104" xr:uid="{06C3F328-6BF1-49D5-B083-781E13ACCDC8}"/>
    <cellStyle name="Calculation 2 4 2 24" xfId="12577" xr:uid="{78A67022-0060-49CF-8D84-433B9851526C}"/>
    <cellStyle name="Calculation 2 4 2 25" xfId="13011" xr:uid="{2B58DFCF-85BD-4F1D-A3BA-016207A71296}"/>
    <cellStyle name="Calculation 2 4 2 26" xfId="13448" xr:uid="{4F224278-C9E6-4EE1-8D06-CC6FB845F475}"/>
    <cellStyle name="Calculation 2 4 2 27" xfId="11810" xr:uid="{130B8915-5C9B-468A-A613-CBC0463BD9AC}"/>
    <cellStyle name="Calculation 2 4 2 28" xfId="13836" xr:uid="{9F14519E-C52E-4F26-87D5-C77D877B02B3}"/>
    <cellStyle name="Calculation 2 4 2 29" xfId="14413" xr:uid="{7D42359A-B73A-4E65-90A4-22C8F30E4EC1}"/>
    <cellStyle name="Calculation 2 4 2 3" xfId="1566" xr:uid="{C31B5FCD-7901-4C16-B5B2-2D6DEC5FC9A6}"/>
    <cellStyle name="Calculation 2 4 2 30" xfId="14340" xr:uid="{0D002F09-6A0D-4736-8F7B-8DB8CBB0D6FC}"/>
    <cellStyle name="Calculation 2 4 2 31" xfId="15259" xr:uid="{60E211A3-4010-4411-9B80-1B23D72211ED}"/>
    <cellStyle name="Calculation 2 4 2 32" xfId="14511" xr:uid="{6ACAFB7B-C476-4630-B704-C0BBC2CA2F92}"/>
    <cellStyle name="Calculation 2 4 2 33" xfId="16796" xr:uid="{F7370DE9-FC8B-422B-B887-B7C9C58BFBA8}"/>
    <cellStyle name="Calculation 2 4 2 34" xfId="16350" xr:uid="{7D4D1065-240A-4B02-B801-E246120E8084}"/>
    <cellStyle name="Calculation 2 4 2 35" xfId="16230" xr:uid="{EC6513EE-973D-4AF8-AAA4-0D3E088C00FB}"/>
    <cellStyle name="Calculation 2 4 2 36" xfId="17479" xr:uid="{039DB959-4350-44E3-912E-434F52F52F0B}"/>
    <cellStyle name="Calculation 2 4 2 37" xfId="18614" xr:uid="{34CB6F1B-FFA2-4313-89D1-483D13F4B21F}"/>
    <cellStyle name="Calculation 2 4 2 38" xfId="18795" xr:uid="{575C0842-DB19-4C60-8D55-FD195A8A10D1}"/>
    <cellStyle name="Calculation 2 4 2 39" xfId="19048" xr:uid="{D0231FD4-69F9-455B-9EB9-6B883BCE803D}"/>
    <cellStyle name="Calculation 2 4 2 4" xfId="2573" xr:uid="{39C69385-264E-4B87-BB74-4D58A4EC1A8E}"/>
    <cellStyle name="Calculation 2 4 2 40" xfId="20133" xr:uid="{8025240D-6B8B-486E-B229-DDB191721F12}"/>
    <cellStyle name="Calculation 2 4 2 41" xfId="19683" xr:uid="{975098E4-5323-40BA-8A3B-E2C6B62086CE}"/>
    <cellStyle name="Calculation 2 4 2 42" xfId="20741" xr:uid="{934E53F2-5BF1-4290-9E11-AA72569B6A36}"/>
    <cellStyle name="Calculation 2 4 2 43" xfId="21091" xr:uid="{17F61142-BFF3-4436-942E-8E7B830F5321}"/>
    <cellStyle name="Calculation 2 4 2 44" xfId="20826" xr:uid="{5A3D531D-4008-4B14-9359-8BF651F19450}"/>
    <cellStyle name="Calculation 2 4 2 45" xfId="21914" xr:uid="{EC73EEB9-BEFD-4CFD-B582-20A63DDD7FC7}"/>
    <cellStyle name="Calculation 2 4 2 46" xfId="22080" xr:uid="{0926AB67-454A-4EE4-A06D-13C311466981}"/>
    <cellStyle name="Calculation 2 4 2 47" xfId="23067" xr:uid="{EBB535E2-2160-4553-A36D-DD7F13162604}"/>
    <cellStyle name="Calculation 2 4 2 48" xfId="23390" xr:uid="{3C1553BA-5711-48EB-89F8-0B3A40C3FD76}"/>
    <cellStyle name="Calculation 2 4 2 49" xfId="23933" xr:uid="{CAF106B8-D138-41B6-A545-7156D066E2FC}"/>
    <cellStyle name="Calculation 2 4 2 5" xfId="1983" xr:uid="{B07F9D7C-512B-4894-BB8C-2DF9D53654F5}"/>
    <cellStyle name="Calculation 2 4 2 50" xfId="24841" xr:uid="{67825538-FB91-4F9F-8E36-7A285DFC81FB}"/>
    <cellStyle name="Calculation 2 4 2 51" xfId="24557" xr:uid="{E08B0BC9-F2DF-49DE-B298-6F2DD39BC0B1}"/>
    <cellStyle name="Calculation 2 4 2 52" xfId="25757" xr:uid="{971E282A-329E-407B-9915-C89A147CCCE7}"/>
    <cellStyle name="Calculation 2 4 2 53" xfId="25133" xr:uid="{82337B7F-6091-4F40-AE7A-BCBD99D955BB}"/>
    <cellStyle name="Calculation 2 4 2 54" xfId="26121" xr:uid="{568AB9CE-A7C4-4FDE-8A9F-71AFBBF0CE23}"/>
    <cellStyle name="Calculation 2 4 2 55" xfId="27045" xr:uid="{82DA5768-AD4F-48B2-B6D1-DD1A48BC3431}"/>
    <cellStyle name="Calculation 2 4 2 56" xfId="27464" xr:uid="{A248C3DA-0AC6-4D39-93BD-2399C01CDF13}"/>
    <cellStyle name="Calculation 2 4 2 57" xfId="26084" xr:uid="{F301BFA6-39AF-4C6D-9E72-5D484779BC43}"/>
    <cellStyle name="Calculation 2 4 2 58" xfId="28591" xr:uid="{4EF75DE9-EFD0-407A-8C12-6CA7141BF674}"/>
    <cellStyle name="Calculation 2 4 2 59" xfId="29058" xr:uid="{84978870-8FA7-4C09-A4AE-2D263F0C5CC9}"/>
    <cellStyle name="Calculation 2 4 2 6" xfId="3132" xr:uid="{408E4BE6-BCB4-4501-801F-07206D1B74DF}"/>
    <cellStyle name="Calculation 2 4 2 60" xfId="28779" xr:uid="{E8B34153-2254-42D2-ABB4-510D1BE34D1F}"/>
    <cellStyle name="Calculation 2 4 2 61" xfId="29847" xr:uid="{592EFBE4-DE2E-4845-A271-93C59D49A8BC}"/>
    <cellStyle name="Calculation 2 4 2 62" xfId="30253" xr:uid="{18F5143F-0EBC-449D-9227-6D9B0BA3DDCD}"/>
    <cellStyle name="Calculation 2 4 2 63" xfId="30670" xr:uid="{D777CD15-1A52-49F7-83C2-3DFE97D8D64E}"/>
    <cellStyle name="Calculation 2 4 2 64" xfId="29990" xr:uid="{BBA8273C-7728-482A-8CAF-B033E8CB232B}"/>
    <cellStyle name="Calculation 2 4 2 65" xfId="31286" xr:uid="{237B7486-E10F-4006-A0F1-1315C7917F11}"/>
    <cellStyle name="Calculation 2 4 2 7" xfId="4069" xr:uid="{B6B41956-E37C-4888-B403-B054BE8F58DC}"/>
    <cellStyle name="Calculation 2 4 2 8" xfId="4506" xr:uid="{241594F7-19BC-472C-8C22-3E6ED1E5EDCE}"/>
    <cellStyle name="Calculation 2 4 2 9" xfId="3660" xr:uid="{C3DDA7B6-BA3A-4B8B-BBE0-BEAC5C116873}"/>
    <cellStyle name="Calculation 2 4 20" xfId="10149" xr:uid="{764F3F5B-7E54-4C49-9E3F-2709A2665C44}"/>
    <cellStyle name="Calculation 2 4 21" xfId="10559" xr:uid="{40CDE16B-E597-48D9-A20F-18857A269354}"/>
    <cellStyle name="Calculation 2 4 22" xfId="10568" xr:uid="{5D48CC56-7594-4A17-8035-B5F557C4349E}"/>
    <cellStyle name="Calculation 2 4 23" xfId="10837" xr:uid="{9C6B47D4-291E-4ACC-96A6-481798D8D3FC}"/>
    <cellStyle name="Calculation 2 4 24" xfId="11889" xr:uid="{424BAAE2-C923-4DBA-820C-084F5B8DF585}"/>
    <cellStyle name="Calculation 2 4 25" xfId="12362" xr:uid="{B54D42F7-BD2A-47B0-81FC-619486A0EBAF}"/>
    <cellStyle name="Calculation 2 4 26" xfId="12796" xr:uid="{8EAC0818-75B3-49A5-8B58-EFE118046E33}"/>
    <cellStyle name="Calculation 2 4 27" xfId="13233" xr:uid="{B996B39F-A2FC-4897-831B-C3C877B5B0BA}"/>
    <cellStyle name="Calculation 2 4 28" xfId="11829" xr:uid="{65D5C501-19A4-449E-8647-55EC840C6591}"/>
    <cellStyle name="Calculation 2 4 29" xfId="13822" xr:uid="{94468C26-05FF-4BF9-B668-3604065F58E7}"/>
    <cellStyle name="Calculation 2 4 3" xfId="1019" xr:uid="{C63B8546-D96F-48DB-B118-5FC8EA1A1EE6}"/>
    <cellStyle name="Calculation 2 4 30" xfId="14859" xr:uid="{95437643-A663-4164-8BAC-1DB0AF21FCB9}"/>
    <cellStyle name="Calculation 2 4 31" xfId="15142" xr:uid="{1E8867CF-8C26-4262-9783-E718EBCEE5FF}"/>
    <cellStyle name="Calculation 2 4 32" xfId="15560" xr:uid="{536D9F23-AFB3-4423-85F7-005FCD7BD54E}"/>
    <cellStyle name="Calculation 2 4 33" xfId="15938" xr:uid="{D472654A-5B54-4831-AE4D-6689A96DB029}"/>
    <cellStyle name="Calculation 2 4 34" xfId="16581" xr:uid="{38D5DAC6-AC3E-4447-B76A-4E50C273C4A3}"/>
    <cellStyle name="Calculation 2 4 35" xfId="17269" xr:uid="{3068F2C7-8B4B-4D22-9D8E-5E0E61F477A6}"/>
    <cellStyle name="Calculation 2 4 36" xfId="17713" xr:uid="{95BAE693-A780-4F57-AEFE-2DA5B9777DE9}"/>
    <cellStyle name="Calculation 2 4 37" xfId="18105" xr:uid="{4535368C-D0F5-4DF8-AFB9-2E1DCA1942AB}"/>
    <cellStyle name="Calculation 2 4 38" xfId="18399" xr:uid="{52B111E9-E12C-4DAD-88F2-5F0799CB5BD5}"/>
    <cellStyle name="Calculation 2 4 39" xfId="18769" xr:uid="{26651E78-F5F3-43B2-BED5-5815E9D1C20C}"/>
    <cellStyle name="Calculation 2 4 4" xfId="1734" xr:uid="{BB3DA9DA-596E-4DD8-BCDA-AD99C304F788}"/>
    <cellStyle name="Calculation 2 4 40" xfId="18773" xr:uid="{599847C7-6023-4EE2-86C5-C751B5465466}"/>
    <cellStyle name="Calculation 2 4 41" xfId="19918" xr:uid="{6D7725E3-D9D6-4276-8122-DDFE439C28FC}"/>
    <cellStyle name="Calculation 2 4 42" xfId="20619" xr:uid="{19F69FDB-BAE9-4CBB-8171-02150FBFA666}"/>
    <cellStyle name="Calculation 2 4 43" xfId="21074" xr:uid="{A007F635-89DB-4DC0-B893-309A1BE6D1F9}"/>
    <cellStyle name="Calculation 2 4 44" xfId="19409" xr:uid="{AB1F516F-9CD2-4A5D-BC47-83EB622D65A3}"/>
    <cellStyle name="Calculation 2 4 45" xfId="22005" xr:uid="{AE3445EB-85D0-4B9A-A133-4338644D8196}"/>
    <cellStyle name="Calculation 2 4 46" xfId="22436" xr:uid="{34165B97-7778-4F85-B482-EA9CEC22FFD7}"/>
    <cellStyle name="Calculation 2 4 47" xfId="22552" xr:uid="{EF4782D4-00AC-47EB-89F6-CC95E77D0E06}"/>
    <cellStyle name="Calculation 2 4 48" xfId="23037" xr:uid="{842AC09D-34DE-4686-902E-F68CAF932D95}"/>
    <cellStyle name="Calculation 2 4 49" xfId="23361" xr:uid="{2F5CF1BA-CA97-4360-988F-6B322FAA460B}"/>
    <cellStyle name="Calculation 2 4 5" xfId="2358" xr:uid="{59EB5664-B63B-4EE7-BF45-E3F034EAEEA9}"/>
    <cellStyle name="Calculation 2 4 50" xfId="23727" xr:uid="{383CE909-4B0E-4B92-85EC-536CA7D60718}"/>
    <cellStyle name="Calculation 2 4 51" xfId="24626" xr:uid="{6530EA4C-D8DE-4635-8EB8-35708EEA9DEF}"/>
    <cellStyle name="Calculation 2 4 52" xfId="25325" xr:uid="{62EF82F5-55B7-4ACA-8C04-63115DE1F772}"/>
    <cellStyle name="Calculation 2 4 53" xfId="25544" xr:uid="{BB28E09A-B5FE-41B5-BA05-B2175B9DD4DC}"/>
    <cellStyle name="Calculation 2 4 54" xfId="24218" xr:uid="{A37342B5-47EC-430D-918E-98B9C6028676}"/>
    <cellStyle name="Calculation 2 4 55" xfId="26470" xr:uid="{822D7D59-CB87-41C5-900F-9E11885EAC17}"/>
    <cellStyle name="Calculation 2 4 56" xfId="26834" xr:uid="{891EC77B-3765-4FB8-83B7-0CD52271014B}"/>
    <cellStyle name="Calculation 2 4 57" xfId="27253" xr:uid="{1AAB6043-BA44-4494-AE4D-7709E0035DF7}"/>
    <cellStyle name="Calculation 2 4 58" xfId="27702" xr:uid="{F8D14338-9FC6-4887-A388-818A44C626A5}"/>
    <cellStyle name="Calculation 2 4 59" xfId="28376" xr:uid="{8BF1ECEF-3AE2-4E1F-87C2-E26CF562A8A9}"/>
    <cellStyle name="Calculation 2 4 6" xfId="1965" xr:uid="{090137EF-A475-41A0-87D6-F40C41C44920}"/>
    <cellStyle name="Calculation 2 4 60" xfId="28844" xr:uid="{BF3B18CA-A89A-4DEA-A79B-5CCB5DFDEFAD}"/>
    <cellStyle name="Calculation 2 4 61" xfId="29448" xr:uid="{0963F159-31CF-45BF-8E04-7CEC7FF2E0FA}"/>
    <cellStyle name="Calculation 2 4 62" xfId="29634" xr:uid="{E53C99E8-159F-44AB-8840-1560FEBCF808}"/>
    <cellStyle name="Calculation 2 4 63" xfId="30042" xr:uid="{FEF6BFB6-CB9F-4086-A19B-B32696AE876B}"/>
    <cellStyle name="Calculation 2 4 64" xfId="30456" xr:uid="{72DA225F-EDF5-41A2-AFD2-6D52CE43E3AC}"/>
    <cellStyle name="Calculation 2 4 65" xfId="30938" xr:uid="{517EC32C-4AB0-4C02-B6F1-0BAD86004C13}"/>
    <cellStyle name="Calculation 2 4 66" xfId="31080" xr:uid="{DF610C40-FF08-4B1F-9FD4-609166E44387}"/>
    <cellStyle name="Calculation 2 4 7" xfId="1920" xr:uid="{86153B4D-5600-49F8-A713-FFB2A5DB1D39}"/>
    <cellStyle name="Calculation 2 4 8" xfId="3854" xr:uid="{83B90DDB-E19E-4164-A457-084532DFDC2D}"/>
    <cellStyle name="Calculation 2 4 9" xfId="4292" xr:uid="{4797310A-7DC6-480E-AEA0-2BBCDE3ABBF3}"/>
    <cellStyle name="Calculation 2 40" xfId="25128" xr:uid="{825A7DFB-5C0E-4473-9176-A8DC4704C73C}"/>
    <cellStyle name="Calculation 2 41" xfId="25183" xr:uid="{CE833D74-60B2-4706-AD1B-2D5A81FC8FF3}"/>
    <cellStyle name="Calculation 2 42" xfId="26122" xr:uid="{DE47BBFA-46C7-4F00-9683-6612261FF427}"/>
    <cellStyle name="Calculation 2 43" xfId="26089" xr:uid="{FFE4CF67-90F2-4136-8E96-4B1EF1EE5FF5}"/>
    <cellStyle name="Calculation 2 44" xfId="26092" xr:uid="{3A9863FC-E9D0-4057-BB6E-AE38E4DF19C9}"/>
    <cellStyle name="Calculation 2 45" xfId="27670" xr:uid="{5C0EB3AA-EF09-4273-B328-C7727EB005A8}"/>
    <cellStyle name="Calculation 2 46" xfId="28023" xr:uid="{67505B4B-301E-4126-AF8A-93BD629B1C67}"/>
    <cellStyle name="Calculation 2 47" xfId="28308" xr:uid="{BACF408A-CFFE-4A4A-BCE3-F3595BB1427C}"/>
    <cellStyle name="Calculation 2 48" xfId="29516" xr:uid="{8E2A95C3-51E2-4B1A-A3BA-528CE77A5F36}"/>
    <cellStyle name="Calculation 2 49" xfId="27999" xr:uid="{76E6BBDC-DF98-4D2B-99F0-B713774BB642}"/>
    <cellStyle name="Calculation 2 5" xfId="680" xr:uid="{1FD51641-A477-4197-BB50-9B562D5FA0E2}"/>
    <cellStyle name="Calculation 2 5 10" xfId="5328" xr:uid="{08BF9B2B-974C-4BE0-9DC3-7EBE61DF6EE4}"/>
    <cellStyle name="Calculation 2 5 11" xfId="4678" xr:uid="{F64B7B8E-8E79-428C-A3F0-F608B6E9606D}"/>
    <cellStyle name="Calculation 2 5 12" xfId="5552" xr:uid="{5A2306A2-5FAE-42DD-BCFD-851EA8DAEC7C}"/>
    <cellStyle name="Calculation 2 5 13" xfId="6174" xr:uid="{491F5FB7-2C5C-4CFC-AB3C-E25269F7B8B6}"/>
    <cellStyle name="Calculation 2 5 14" xfId="7400" xr:uid="{6DE4189C-3A89-47AD-A730-50F5964FC472}"/>
    <cellStyle name="Calculation 2 5 15" xfId="6931" xr:uid="{668AE839-B63A-4305-B8D6-EC68EB7E9337}"/>
    <cellStyle name="Calculation 2 5 16" xfId="8531" xr:uid="{9F6B1874-D9E6-4BDE-A8D1-50BC5EA1F3CC}"/>
    <cellStyle name="Calculation 2 5 17" xfId="8321" xr:uid="{FB4392E6-7C53-4250-BD02-F8B86AFBBBC5}"/>
    <cellStyle name="Calculation 2 5 18" xfId="9614" xr:uid="{AD501020-14CA-41A0-BAD5-E710BAF1F2EE}"/>
    <cellStyle name="Calculation 2 5 19" xfId="9145" xr:uid="{F72FCA20-5CB2-41E7-B5BF-C8D62AD2AB6C}"/>
    <cellStyle name="Calculation 2 5 2" xfId="1162" xr:uid="{FD637FA3-0E4D-44F0-AEEC-48D124371F7C}"/>
    <cellStyle name="Calculation 2 5 20" xfId="9381" xr:uid="{312E8D0A-CCA0-46AD-9934-C85707C485AE}"/>
    <cellStyle name="Calculation 2 5 21" xfId="10401" xr:uid="{6BE5FF15-EF99-4B63-A329-F559625A2BB1}"/>
    <cellStyle name="Calculation 2 5 22" xfId="11264" xr:uid="{6D6544AC-1B76-424D-9017-0BDB63180594}"/>
    <cellStyle name="Calculation 2 5 23" xfId="12033" xr:uid="{CD0B34A0-52BF-4D87-855F-3E24CC7BB42B}"/>
    <cellStyle name="Calculation 2 5 24" xfId="12506" xr:uid="{3FF558F0-47AC-4775-974E-9D386F547664}"/>
    <cellStyle name="Calculation 2 5 25" xfId="12940" xr:uid="{7AA1C0C9-D870-4A9F-A9A1-14C773CF42CC}"/>
    <cellStyle name="Calculation 2 5 26" xfId="13377" xr:uid="{6EE72CD8-D31E-4BCF-BD65-812661A7F3C8}"/>
    <cellStyle name="Calculation 2 5 27" xfId="11544" xr:uid="{CA151898-3C1E-4505-A828-89896559F704}"/>
    <cellStyle name="Calculation 2 5 28" xfId="14350" xr:uid="{D1CAB602-E52A-47BB-913C-EB6EA74020D1}"/>
    <cellStyle name="Calculation 2 5 29" xfId="12519" xr:uid="{B4DC30C2-5A31-4371-8F37-36F7B0527BFB}"/>
    <cellStyle name="Calculation 2 5 3" xfId="1691" xr:uid="{3D990B40-6A6B-47E0-8D7C-933DC148B76C}"/>
    <cellStyle name="Calculation 2 5 30" xfId="14544" xr:uid="{0565283F-DF81-475C-80B1-96894C08E20F}"/>
    <cellStyle name="Calculation 2 5 31" xfId="15324" xr:uid="{94706A37-0AEA-4E09-B690-21EE894CD4F0}"/>
    <cellStyle name="Calculation 2 5 32" xfId="14894" xr:uid="{4957F9E8-4BE8-4B4C-9492-AD4D3B07D22F}"/>
    <cellStyle name="Calculation 2 5 33" xfId="16725" xr:uid="{48B5E5A2-5996-4A3A-8093-7647CD5B0E46}"/>
    <cellStyle name="Calculation 2 5 34" xfId="16249" xr:uid="{FEC73CD1-B50A-41CD-A4B4-478612C238C9}"/>
    <cellStyle name="Calculation 2 5 35" xfId="16487" xr:uid="{FA4A1F11-B5B0-4273-B663-16C4DC5267CF}"/>
    <cellStyle name="Calculation 2 5 36" xfId="17549" xr:uid="{E0175863-75FA-4766-BC44-05F50A61D392}"/>
    <cellStyle name="Calculation 2 5 37" xfId="18543" xr:uid="{9AF5CD59-0DC2-4D6C-8EAF-81020A360231}"/>
    <cellStyle name="Calculation 2 5 38" xfId="17613" xr:uid="{6BFA17F3-F1AE-45FD-822C-06D59D327289}"/>
    <cellStyle name="Calculation 2 5 39" xfId="19066" xr:uid="{82E748E2-88B4-407A-97FC-C5206634F3D6}"/>
    <cellStyle name="Calculation 2 5 4" xfId="2502" xr:uid="{2BB7F7BE-A9A2-439B-9562-81DB29113940}"/>
    <cellStyle name="Calculation 2 5 40" xfId="20062" xr:uid="{CCC79AFD-B18F-4B1E-9E09-A246602CFC12}"/>
    <cellStyle name="Calculation 2 5 41" xfId="19582" xr:uid="{AA038779-63A2-4B08-9515-D51D876CC8CD}"/>
    <cellStyle name="Calculation 2 5 42" xfId="20330" xr:uid="{B53C0E29-0ED7-44AC-8DC0-821907D034F4}"/>
    <cellStyle name="Calculation 2 5 43" xfId="20994" xr:uid="{5601EA53-7065-4E49-BBE6-5294C83878BE}"/>
    <cellStyle name="Calculation 2 5 44" xfId="19617" xr:uid="{8DE4E079-3935-4E4D-B8F7-B4C2F1AB0AAB}"/>
    <cellStyle name="Calculation 2 5 45" xfId="21476" xr:uid="{7C05F4D7-35EF-448E-BEEC-F2E4638D5EFA}"/>
    <cellStyle name="Calculation 2 5 46" xfId="19726" xr:uid="{0C8E9ECC-08A7-4087-97BC-C7A6982D8611}"/>
    <cellStyle name="Calculation 2 5 47" xfId="22209" xr:uid="{2B4E5D49-1C22-491D-85E9-1619E0A92245}"/>
    <cellStyle name="Calculation 2 5 48" xfId="23115" xr:uid="{3AB39878-C000-4B90-A349-1CBDE5FE5A10}"/>
    <cellStyle name="Calculation 2 5 49" xfId="23870" xr:uid="{98AD0EAC-226F-43AD-9669-FF592881FB48}"/>
    <cellStyle name="Calculation 2 5 5" xfId="2011" xr:uid="{61B02073-26A2-43A6-92B4-449E5B40A11B}"/>
    <cellStyle name="Calculation 2 5 50" xfId="24770" xr:uid="{F9280A36-9E9F-48D8-972A-FDCC21761405}"/>
    <cellStyle name="Calculation 2 5 51" xfId="24303" xr:uid="{334BB1AD-4A82-4CE5-B89A-F60A7345CAF9}"/>
    <cellStyle name="Calculation 2 5 52" xfId="25688" xr:uid="{38BF204C-9928-4BD1-8321-0D0A2E40BF47}"/>
    <cellStyle name="Calculation 2 5 53" xfId="24142" xr:uid="{90141E29-1BB6-43ED-9B52-76B7B13B8B8E}"/>
    <cellStyle name="Calculation 2 5 54" xfId="24790" xr:uid="{E0997222-B7EA-4727-937B-777AD7870F85}"/>
    <cellStyle name="Calculation 2 5 55" xfId="26978" xr:uid="{5A35E237-C079-456E-B080-1C8BF7FF9533}"/>
    <cellStyle name="Calculation 2 5 56" xfId="27397" xr:uid="{E3048E21-7059-4832-8EF7-2E2DF2C48B38}"/>
    <cellStyle name="Calculation 2 5 57" xfId="27782" xr:uid="{5A813291-32C3-431C-B7CB-E7E6924A6AAA}"/>
    <cellStyle name="Calculation 2 5 58" xfId="28520" xr:uid="{5BE9EA06-5F76-408C-956A-0F2D72C0E4E5}"/>
    <cellStyle name="Calculation 2 5 59" xfId="28988" xr:uid="{BB198F7F-5EBA-415D-BC21-BE663BD1642A}"/>
    <cellStyle name="Calculation 2 5 6" xfId="2125" xr:uid="{7D172240-0B37-4BCD-8003-DA3CC3A05568}"/>
    <cellStyle name="Calculation 2 5 60" xfId="28070" xr:uid="{EED441C5-A165-45F8-A9C2-504A83A41EEC}"/>
    <cellStyle name="Calculation 2 5 61" xfId="29778" xr:uid="{2E2647CF-0995-4237-8587-9A16ECECCB02}"/>
    <cellStyle name="Calculation 2 5 62" xfId="30185" xr:uid="{9479032D-170A-4FAA-AA6E-C610B66DAB4A}"/>
    <cellStyle name="Calculation 2 5 63" xfId="30600" xr:uid="{23264FB0-BA80-4436-B3D4-10A81262BB2D}"/>
    <cellStyle name="Calculation 2 5 64" xfId="28073" xr:uid="{06673170-490A-47F0-95DA-598B66EEA36B}"/>
    <cellStyle name="Calculation 2 5 65" xfId="31223" xr:uid="{7063B388-2D43-4D25-9B34-085CE5EAED7B}"/>
    <cellStyle name="Calculation 2 5 7" xfId="3998" xr:uid="{D50B431A-2B8D-489B-9FEE-00C38B3716E5}"/>
    <cellStyle name="Calculation 2 5 8" xfId="4436" xr:uid="{E93546A1-F28D-412E-AD51-F3EB72788A26}"/>
    <cellStyle name="Calculation 2 5 9" xfId="4810" xr:uid="{E08B18CF-DE4A-4C59-BACD-EB2525CEA6B8}"/>
    <cellStyle name="Calculation 2 50" xfId="30942" xr:uid="{EAB154BC-89D2-40D8-A724-1AB0A807C524}"/>
    <cellStyle name="Calculation 2 51" xfId="30992" xr:uid="{62DF4C80-EFBE-48A5-AC5A-09F120026D84}"/>
    <cellStyle name="Calculation 2 6" xfId="922" xr:uid="{F2B0C46A-F7DF-4A97-981A-C8F3BBF68E68}"/>
    <cellStyle name="Calculation 2 7" xfId="1955" xr:uid="{EF30F339-E87F-43CF-86F3-9954D45B7EA7}"/>
    <cellStyle name="Calculation 2 8" xfId="2294" xr:uid="{1D491849-3769-4A32-976F-96BE54CF8042}"/>
    <cellStyle name="Calculation 2 9" xfId="3063" xr:uid="{8659E6D8-E00A-4F50-828F-9D8855224CF2}"/>
    <cellStyle name="Calculation 3" xfId="224" xr:uid="{7CC603C8-0934-40F1-A409-7749A27836A5}"/>
    <cellStyle name="Calculation 3 10" xfId="2795" xr:uid="{D9A4490E-A51A-4DCC-913A-BBFBDD069E3C}"/>
    <cellStyle name="Calculation 3 11" xfId="3763" xr:uid="{6AEE8FCE-B728-4397-AFC9-6E51B690703D}"/>
    <cellStyle name="Calculation 3 12" xfId="3234" xr:uid="{52672B5A-E1A7-4FD6-99BE-733A8E3E5F20}"/>
    <cellStyle name="Calculation 3 13" xfId="6197" xr:uid="{122BA8E7-099E-46BF-842C-18E53B9A7085}"/>
    <cellStyle name="Calculation 3 14" xfId="6625" xr:uid="{C7713218-D1A5-4F84-A62E-A396959B7250}"/>
    <cellStyle name="Calculation 3 15" xfId="6956" xr:uid="{66981CFF-CB5B-4185-B0A1-690DC0A95330}"/>
    <cellStyle name="Calculation 3 16" xfId="6926" xr:uid="{B181B982-E0C7-4465-8E23-27E00281864B}"/>
    <cellStyle name="Calculation 3 17" xfId="8526" xr:uid="{3AD33DD3-76DA-4B83-B100-A89632B6711F}"/>
    <cellStyle name="Calculation 3 18" xfId="8852" xr:uid="{1E76B3BA-DBA3-4718-8BD5-F9DC5AB2D2BC}"/>
    <cellStyle name="Calculation 3 19" xfId="9169" xr:uid="{4862A634-D253-4311-8668-D3C5DF9CCFCB}"/>
    <cellStyle name="Calculation 3 2" xfId="585" xr:uid="{B7E20417-1D05-4ECE-BF93-F4865C8BC1F8}"/>
    <cellStyle name="Calculation 3 2 10" xfId="2177" xr:uid="{369845B0-1349-463D-AF04-C03348380250}"/>
    <cellStyle name="Calculation 3 2 11" xfId="5233" xr:uid="{62824E66-90CC-4400-8D74-9B4008B8F4A1}"/>
    <cellStyle name="Calculation 3 2 12" xfId="5664" xr:uid="{D070B4BA-94E4-4FF4-AB02-885CC655326E}"/>
    <cellStyle name="Calculation 3 2 13" xfId="6156" xr:uid="{C16BDD9D-AA15-4B85-AC03-C07268D32F6B}"/>
    <cellStyle name="Calculation 3 2 14" xfId="6369" xr:uid="{FBC96907-F1AC-48DC-9429-0783E1FFA29F}"/>
    <cellStyle name="Calculation 3 2 15" xfId="7305" xr:uid="{B3C7B52E-BD1D-4F4E-AD59-0EC5A8005A07}"/>
    <cellStyle name="Calculation 3 2 16" xfId="8022" xr:uid="{082B9D26-1C49-4246-8A0B-434F23B7B9D4}"/>
    <cellStyle name="Calculation 3 2 17" xfId="8524" xr:uid="{54B22909-E91E-40EB-B4EB-D64EBE960210}"/>
    <cellStyle name="Calculation 3 2 18" xfId="7677" xr:uid="{62D6EBA7-A675-420F-8051-DCEF735BD57A}"/>
    <cellStyle name="Calculation 3 2 19" xfId="9519" xr:uid="{161A891F-7CB8-4E83-BB25-8E7B71E2DE3C}"/>
    <cellStyle name="Calculation 3 2 2" xfId="800" xr:uid="{D4C2923A-9037-46AF-803A-965C4CF2491E}"/>
    <cellStyle name="Calculation 3 2 2 10" xfId="5448" xr:uid="{079A1EA4-BCA8-4257-96E2-094C552D588A}"/>
    <cellStyle name="Calculation 3 2 2 11" xfId="4720" xr:uid="{20669C4F-7145-4606-B5EF-D8C5D2A2E041}"/>
    <cellStyle name="Calculation 3 2 2 12" xfId="6101" xr:uid="{81713159-1591-427B-8340-247E224164B0}"/>
    <cellStyle name="Calculation 3 2 2 13" xfId="2120" xr:uid="{F23DDB14-5234-4419-9846-497A049A23AD}"/>
    <cellStyle name="Calculation 3 2 2 14" xfId="7520" xr:uid="{39C05523-CECD-456F-A9CB-4BAB08BA1577}"/>
    <cellStyle name="Calculation 3 2 2 15" xfId="6820" xr:uid="{7D600E5B-6D6E-4A85-A67F-97769DE3C42E}"/>
    <cellStyle name="Calculation 3 2 2 16" xfId="7741" xr:uid="{10EE3B99-63B3-4D4C-B2DE-556DBB29996A}"/>
    <cellStyle name="Calculation 3 2 2 17" xfId="8866" xr:uid="{16E2077E-42B5-44AD-B2A2-44CDCA9C5FCC}"/>
    <cellStyle name="Calculation 3 2 2 18" xfId="9734" xr:uid="{F2857840-D704-41CA-A995-3ECC42B55957}"/>
    <cellStyle name="Calculation 3 2 2 19" xfId="9147" xr:uid="{0D1FB512-39A7-40FE-9422-F0FD3DFE0930}"/>
    <cellStyle name="Calculation 3 2 2 2" xfId="1274" xr:uid="{5B9DD25A-3309-4DA2-BF7D-22409913EFF9}"/>
    <cellStyle name="Calculation 3 2 2 20" xfId="10123" xr:uid="{F27FAC35-A0FE-443C-828A-98D1DCB49D56}"/>
    <cellStyle name="Calculation 3 2 2 21" xfId="10913" xr:uid="{F1D64A2F-0DCA-4BED-9599-08B3870D36FD}"/>
    <cellStyle name="Calculation 3 2 2 22" xfId="11158" xr:uid="{CB879A72-90C3-4331-969B-A6EEDB0DFAC7}"/>
    <cellStyle name="Calculation 3 2 2 23" xfId="12153" xr:uid="{5598385E-71C8-4196-8101-3B9EE314DB06}"/>
    <cellStyle name="Calculation 3 2 2 24" xfId="12626" xr:uid="{66C0C158-1D15-469C-BD99-13E66EAABFF8}"/>
    <cellStyle name="Calculation 3 2 2 25" xfId="13060" xr:uid="{66CC5267-CB90-470B-9BAE-F1E0488F74C1}"/>
    <cellStyle name="Calculation 3 2 2 26" xfId="13497" xr:uid="{FF9E1F11-EDEC-496B-85B2-FA04B97676A7}"/>
    <cellStyle name="Calculation 3 2 2 27" xfId="13758" xr:uid="{13486907-1F5A-4C03-AA81-C065ED558023}"/>
    <cellStyle name="Calculation 3 2 2 28" xfId="13874" xr:uid="{2D10A317-714E-4CD2-B8C5-7DC75B939B7B}"/>
    <cellStyle name="Calculation 3 2 2 29" xfId="13595" xr:uid="{20C6BE39-E1D8-4766-A39F-765F932028B0}"/>
    <cellStyle name="Calculation 3 2 2 3" xfId="1739" xr:uid="{90C28846-E497-4745-9933-04A6B77B0157}"/>
    <cellStyle name="Calculation 3 2 2 30" xfId="14992" xr:uid="{A45DD10E-5792-4D61-9487-B2B04A735277}"/>
    <cellStyle name="Calculation 3 2 2 31" xfId="15740" xr:uid="{7B3E4C24-7012-4658-B0F8-D4AEC94185E0}"/>
    <cellStyle name="Calculation 3 2 2 32" xfId="14614" xr:uid="{994B2450-AF49-473B-A1CA-2B4AA3B5C576}"/>
    <cellStyle name="Calculation 3 2 2 33" xfId="16845" xr:uid="{C2F6C96B-2E7F-4BEA-B992-B7B8630CB579}"/>
    <cellStyle name="Calculation 3 2 2 34" xfId="16132" xr:uid="{FC4E2997-47D2-4CDE-B71B-AC293E2F52CC}"/>
    <cellStyle name="Calculation 3 2 2 35" xfId="16154" xr:uid="{DCF39FEF-82DC-4ADE-8341-AACEC067BC3D}"/>
    <cellStyle name="Calculation 3 2 2 36" xfId="17493" xr:uid="{1AF57B58-C00A-41A2-BC2E-A34E5413ABEF}"/>
    <cellStyle name="Calculation 3 2 2 37" xfId="18663" xr:uid="{6641E97D-9C9A-4201-9E87-098DD8E2C6E7}"/>
    <cellStyle name="Calculation 3 2 2 38" xfId="18986" xr:uid="{3E3D1852-3415-471F-8519-E4D28686B593}"/>
    <cellStyle name="Calculation 3 2 2 39" xfId="19261" xr:uid="{B6EAA114-8814-4B6A-9099-FDBB3275D13F}"/>
    <cellStyle name="Calculation 3 2 2 4" xfId="2622" xr:uid="{2813CEC3-6E30-463F-B6F9-A32FF96211A5}"/>
    <cellStyle name="Calculation 3 2 2 40" xfId="20182" xr:uid="{D262060F-CD00-4160-A43B-E6E07B9C7081}"/>
    <cellStyle name="Calculation 3 2 2 41" xfId="19761" xr:uid="{80F49AEA-B730-416B-9E9F-5909BB571F36}"/>
    <cellStyle name="Calculation 3 2 2 42" xfId="19385" xr:uid="{0ACFF286-3D6F-4C22-9377-55920BC006B5}"/>
    <cellStyle name="Calculation 3 2 2 43" xfId="21470" xr:uid="{2557D5F2-0680-4AA3-BD23-DC7323048F1E}"/>
    <cellStyle name="Calculation 3 2 2 44" xfId="20785" xr:uid="{F7F30DC7-FC65-4435-8449-72CC5579D95C}"/>
    <cellStyle name="Calculation 3 2 2 45" xfId="21242" xr:uid="{2E4A87E2-745B-4C89-A6BA-95A9F2901BA1}"/>
    <cellStyle name="Calculation 3 2 2 46" xfId="22753" xr:uid="{9F39ABE8-6C75-421F-A114-727D96152BFF}"/>
    <cellStyle name="Calculation 3 2 2 47" xfId="23272" xr:uid="{762542E9-9790-41E7-B4E2-7F29A641D727}"/>
    <cellStyle name="Calculation 3 2 2 48" xfId="23482" xr:uid="{76A05AC2-F422-40D8-87EB-F0FE243E5077}"/>
    <cellStyle name="Calculation 3 2 2 49" xfId="23982" xr:uid="{F37097A6-3B75-4C82-81ED-DA7B69722379}"/>
    <cellStyle name="Calculation 3 2 2 5" xfId="2924" xr:uid="{1ACBFD42-FCF0-4373-95CF-8400DBE57F89}"/>
    <cellStyle name="Calculation 3 2 2 50" xfId="24890" xr:uid="{639CBE54-2C93-4B4A-93C7-B0085D15DEF7}"/>
    <cellStyle name="Calculation 3 2 2 51" xfId="24470" xr:uid="{6FD846AB-CDC9-48B6-BE84-94CE46161A7C}"/>
    <cellStyle name="Calculation 3 2 2 52" xfId="25806" xr:uid="{6D7D8485-C67F-43BC-BEDA-A3639BF915BC}"/>
    <cellStyle name="Calculation 3 2 2 53" xfId="26056" xr:uid="{0093FC60-63E7-40E2-AAED-5D1BBD379F0F}"/>
    <cellStyle name="Calculation 3 2 2 54" xfId="26441" xr:uid="{BA83891B-E663-4B04-84A9-4B9FDB296C5C}"/>
    <cellStyle name="Calculation 3 2 2 55" xfId="27094" xr:uid="{F4E8D10D-5353-409C-A26D-79405FABF972}"/>
    <cellStyle name="Calculation 3 2 2 56" xfId="27513" xr:uid="{52C55BD3-EC8B-4740-9706-BED0029A859E}"/>
    <cellStyle name="Calculation 3 2 2 57" xfId="27719" xr:uid="{BAEACE86-5A79-47B1-AB9E-86CEE1B0140C}"/>
    <cellStyle name="Calculation 3 2 2 58" xfId="28640" xr:uid="{41697D58-673E-4A56-B5E9-F10598E2E9B1}"/>
    <cellStyle name="Calculation 3 2 2 59" xfId="29107" xr:uid="{470BE89D-FC6F-4D02-ABC0-3985CE4F010E}"/>
    <cellStyle name="Calculation 3 2 2 6" xfId="2268" xr:uid="{5AEE9FAC-CA0E-4847-81C9-C1AE9A8B2FF5}"/>
    <cellStyle name="Calculation 3 2 2 60" xfId="27929" xr:uid="{5AA72CD2-41FF-427E-8FA3-E2B0173097B1}"/>
    <cellStyle name="Calculation 3 2 2 61" xfId="29896" xr:uid="{C42C937E-9E23-427A-9E99-4E741C180E0B}"/>
    <cellStyle name="Calculation 3 2 2 62" xfId="30302" xr:uid="{4256F292-86EF-471C-B476-6738ED12216B}"/>
    <cellStyle name="Calculation 3 2 2 63" xfId="30719" xr:uid="{CBA8E8FE-41EC-4011-8EE5-7F47E2B74558}"/>
    <cellStyle name="Calculation 3 2 2 64" xfId="30410" xr:uid="{2CA3A2BE-430E-414B-9917-3CA65047BAA3}"/>
    <cellStyle name="Calculation 3 2 2 65" xfId="31335" xr:uid="{62571034-2061-41D4-AC72-1D744D2EB320}"/>
    <cellStyle name="Calculation 3 2 2 7" xfId="4118" xr:uid="{91EFCE7E-0D17-4E3F-917B-2570431CA88E}"/>
    <cellStyle name="Calculation 3 2 2 8" xfId="4555" xr:uid="{1A9B26AE-FA10-44F7-8AF3-50FB6FB004F0}"/>
    <cellStyle name="Calculation 3 2 2 9" xfId="3659" xr:uid="{5DE62174-7934-45AF-84C3-66CB1C3ECF1B}"/>
    <cellStyle name="Calculation 3 2 20" xfId="10241" xr:uid="{3397D9A8-DAE6-46C0-9047-BCE11A6479FD}"/>
    <cellStyle name="Calculation 3 2 21" xfId="10636" xr:uid="{31396ECA-FAE4-4C5F-BF5D-B61EB1585CA3}"/>
    <cellStyle name="Calculation 3 2 22" xfId="10316" xr:uid="{9D02CCB0-203F-481E-B18C-F887DC7ADD30}"/>
    <cellStyle name="Calculation 3 2 23" xfId="11077" xr:uid="{AA131CFC-9896-486C-BF83-4A28629A91B0}"/>
    <cellStyle name="Calculation 3 2 24" xfId="11938" xr:uid="{6DC68948-AFB5-4539-BC8D-B23DA1D88263}"/>
    <cellStyle name="Calculation 3 2 25" xfId="12411" xr:uid="{7E121F56-A98F-428A-96CD-7458FDF8DE2E}"/>
    <cellStyle name="Calculation 3 2 26" xfId="12845" xr:uid="{8E31297D-EE18-41AF-B095-401691940B9D}"/>
    <cellStyle name="Calculation 3 2 27" xfId="13282" xr:uid="{2D363B40-CF06-448A-AD12-17FF18E28EA4}"/>
    <cellStyle name="Calculation 3 2 28" xfId="12742" xr:uid="{15FEF840-1912-45AE-95EB-657080F47E13}"/>
    <cellStyle name="Calculation 3 2 29" xfId="12930" xr:uid="{8BCCFC67-1D1B-4020-9C6F-7A974219F7E4}"/>
    <cellStyle name="Calculation 3 2 3" xfId="1068" xr:uid="{FB5190E5-8FA9-4B2A-84A1-03E3AA6B217A}"/>
    <cellStyle name="Calculation 3 2 30" xfId="14096" xr:uid="{ACA55D08-113E-4A34-BAAE-D3FCD5635B87}"/>
    <cellStyle name="Calculation 3 2 31" xfId="14626" xr:uid="{BDAAC9A8-B27B-4F00-841A-8006376F31CE}"/>
    <cellStyle name="Calculation 3 2 32" xfId="14772" xr:uid="{F2A62F54-B5DC-4AB3-B2AC-95A0721CA744}"/>
    <cellStyle name="Calculation 3 2 33" xfId="15982" xr:uid="{87CDA78F-1C19-472C-97DF-8E53EFF4B2D4}"/>
    <cellStyle name="Calculation 3 2 34" xfId="16630" xr:uid="{40F29A79-F7CA-4DDC-8831-8ADE619F31A4}"/>
    <cellStyle name="Calculation 3 2 35" xfId="17362" xr:uid="{50C80A99-410E-424C-9946-2DD6ED6FB333}"/>
    <cellStyle name="Calculation 3 2 36" xfId="17804" xr:uid="{4142553F-8C3B-4DE3-A897-24E4432FD0A5}"/>
    <cellStyle name="Calculation 3 2 37" xfId="18058" xr:uid="{AC815C18-A026-45FF-A49A-1C96962127CD}"/>
    <cellStyle name="Calculation 3 2 38" xfId="18448" xr:uid="{B7908A45-C16C-445E-B67C-B12F8E8837E6}"/>
    <cellStyle name="Calculation 3 2 39" xfId="17918" xr:uid="{E621D870-E841-4596-A51E-28FA652ECF1B}"/>
    <cellStyle name="Calculation 3 2 4" xfId="1637" xr:uid="{52B87108-D8F8-4D94-B9C1-67F66429FBE4}"/>
    <cellStyle name="Calculation 3 2 40" xfId="19069" xr:uid="{CFD6B8A7-BA5B-4E4D-AA57-562CC3643410}"/>
    <cellStyle name="Calculation 3 2 41" xfId="19967" xr:uid="{F26A19E6-B8D4-43C2-A255-6ECAF815B025}"/>
    <cellStyle name="Calculation 3 2 42" xfId="20712" xr:uid="{26933806-97EC-489A-B356-F74CBC3FF7EA}"/>
    <cellStyle name="Calculation 3 2 43" xfId="21170" xr:uid="{5C762D3C-692F-4D1B-A126-20494DFE114B}"/>
    <cellStyle name="Calculation 3 2 44" xfId="19814" xr:uid="{79693518-D6AA-4DDF-B826-035EDCFD36DE}"/>
    <cellStyle name="Calculation 3 2 45" xfId="22101" xr:uid="{EDC40EAE-9BC6-46C1-B11A-8FC791BC2E52}"/>
    <cellStyle name="Calculation 3 2 46" xfId="22529" xr:uid="{75AD564D-5BFE-42E7-AF75-A5760342D120}"/>
    <cellStyle name="Calculation 3 2 47" xfId="21884" xr:uid="{9E4915D2-3DBE-45D7-A40C-3F6AE1F893FF}"/>
    <cellStyle name="Calculation 3 2 48" xfId="22806" xr:uid="{7332FAED-50EC-4D5A-B680-EC3844365019}"/>
    <cellStyle name="Calculation 3 2 49" xfId="23232" xr:uid="{B3301663-80C6-49F8-B02D-D4213ABBD864}"/>
    <cellStyle name="Calculation 3 2 5" xfId="2407" xr:uid="{6434EFC4-8294-49B9-B0BB-2EACDC072996}"/>
    <cellStyle name="Calculation 3 2 50" xfId="23776" xr:uid="{DBA517E0-CAAF-4DF9-B58A-DEE3E4F4AA0E}"/>
    <cellStyle name="Calculation 3 2 51" xfId="24675" xr:uid="{E8374CEC-6FB7-4E2F-9708-B476E3FCE4E6}"/>
    <cellStyle name="Calculation 3 2 52" xfId="25416" xr:uid="{04423B2F-A230-4C7C-BA84-6E37C86CF805}"/>
    <cellStyle name="Calculation 3 2 53" xfId="25593" xr:uid="{9D66CDA0-BB35-4B2D-9265-ADDDDA99C3F4}"/>
    <cellStyle name="Calculation 3 2 54" xfId="25207" xr:uid="{56866DCD-5A08-487C-BFE3-8AA1A14342BB}"/>
    <cellStyle name="Calculation 3 2 55" xfId="24115" xr:uid="{41B3B15A-13E1-4E0B-8443-B09ACAD17620}"/>
    <cellStyle name="Calculation 3 2 56" xfId="26883" xr:uid="{E4319A93-A9FD-4C93-9F2A-199DA0624DDE}"/>
    <cellStyle name="Calculation 3 2 57" xfId="27302" xr:uid="{52E1F0F2-5C98-41F4-846E-AB977E1CD5D8}"/>
    <cellStyle name="Calculation 3 2 58" xfId="27713" xr:uid="{18B6E445-8015-4AE1-B1AB-14F2D3007BC4}"/>
    <cellStyle name="Calculation 3 2 59" xfId="28425" xr:uid="{99E2A33D-2F94-4B6D-B830-F7F9DAA7A64A}"/>
    <cellStyle name="Calculation 3 2 6" xfId="2203" xr:uid="{E49B15A7-86AF-490D-8F14-C6D82D2B394B}"/>
    <cellStyle name="Calculation 3 2 60" xfId="28893" xr:uid="{6BE35144-AB43-404A-B0C2-AA6FFFA60EE3}"/>
    <cellStyle name="Calculation 3 2 61" xfId="29530" xr:uid="{E85CA38C-CADC-4A37-9804-6BD543B4BED8}"/>
    <cellStyle name="Calculation 3 2 62" xfId="29683" xr:uid="{3DD87D0E-6BAA-4968-8456-F3CEEC3F9BE0}"/>
    <cellStyle name="Calculation 3 2 63" xfId="30091" xr:uid="{1DB1754C-4856-475C-A729-E6D404956279}"/>
    <cellStyle name="Calculation 3 2 64" xfId="30505" xr:uid="{A48DA1D6-BFF0-43C1-8255-D9A3CEBBD1F3}"/>
    <cellStyle name="Calculation 3 2 65" xfId="30858" xr:uid="{AF0F7C34-FDBE-462E-A2BD-78C4C4006D55}"/>
    <cellStyle name="Calculation 3 2 66" xfId="31129" xr:uid="{FFC94DB1-185F-40C3-BCC8-DAA8F48961D2}"/>
    <cellStyle name="Calculation 3 2 7" xfId="2812" xr:uid="{70451B3D-70CF-471C-A397-EF226FBA162F}"/>
    <cellStyle name="Calculation 3 2 8" xfId="3903" xr:uid="{13E84FFE-0131-4AA4-B4E0-AA2EEA72E697}"/>
    <cellStyle name="Calculation 3 2 9" xfId="4341" xr:uid="{5C03F07E-09BA-461A-BCD3-5089FADD453E}"/>
    <cellStyle name="Calculation 3 20" xfId="9285" xr:uid="{9DB075A7-6E84-4722-B7D7-910DB998EF1F}"/>
    <cellStyle name="Calculation 3 21" xfId="11126" xr:uid="{EEE83BE1-9FED-461A-A991-5CAAC87509B0}"/>
    <cellStyle name="Calculation 3 22" xfId="11580" xr:uid="{4F74BC78-5AF1-45D6-A266-597D8715146D}"/>
    <cellStyle name="Calculation 3 23" xfId="11498" xr:uid="{4F5A1A81-6144-4AC0-89DE-FA0EA6D02646}"/>
    <cellStyle name="Calculation 3 24" xfId="11744" xr:uid="{2E80ED43-41B4-472D-841C-4D98B43D157B}"/>
    <cellStyle name="Calculation 3 25" xfId="12286" xr:uid="{1668B55D-E8C6-4230-943B-79FCC2DC4E46}"/>
    <cellStyle name="Calculation 3 26" xfId="13157" xr:uid="{E986AA42-F9A9-401D-BA85-6CA09698D1A2}"/>
    <cellStyle name="Calculation 3 27" xfId="14527" xr:uid="{91877136-7E6A-4449-96B1-F8B18F912643}"/>
    <cellStyle name="Calculation 3 28" xfId="15803" xr:uid="{150069D2-4FF7-4C23-95C0-5BD459920BD7}"/>
    <cellStyle name="Calculation 3 29" xfId="16275" xr:uid="{199364E8-6BC3-4895-B74D-E66C0DD82E53}"/>
    <cellStyle name="Calculation 3 3" xfId="571" xr:uid="{47B293E2-9A58-4145-AC73-93D7370EB312}"/>
    <cellStyle name="Calculation 3 3 10" xfId="5024" xr:uid="{FFA5D1B0-7972-4F92-A544-71DB05784368}"/>
    <cellStyle name="Calculation 3 3 11" xfId="5219" xr:uid="{B3015AD2-0E89-4335-B395-187A52B2E01C}"/>
    <cellStyle name="Calculation 3 3 12" xfId="5804" xr:uid="{B7896CDA-AF3E-4F52-ACBA-3182226E8F18}"/>
    <cellStyle name="Calculation 3 3 13" xfId="5796" xr:uid="{55F5C005-71B9-4B68-BA7F-7DA5D5505D4F}"/>
    <cellStyle name="Calculation 3 3 14" xfId="6686" xr:uid="{D86D5E75-6180-460B-92C9-8AF4F88AFC66}"/>
    <cellStyle name="Calculation 3 3 15" xfId="7291" xr:uid="{0AED6163-1DC4-4815-87CF-B5E4F370D2D4}"/>
    <cellStyle name="Calculation 3 3 16" xfId="7188" xr:uid="{755EAF62-F8C0-4B8E-8FCB-DB5D32070C09}"/>
    <cellStyle name="Calculation 3 3 17" xfId="8103" xr:uid="{45C94C60-D343-4273-80D5-944533BDF431}"/>
    <cellStyle name="Calculation 3 3 18" xfId="7128" xr:uid="{9324619D-8B90-4D0B-AA9F-54B5C7D3AD0C}"/>
    <cellStyle name="Calculation 3 3 19" xfId="9505" xr:uid="{C02838CB-C6F3-4454-A9BF-9415043BC3BA}"/>
    <cellStyle name="Calculation 3 3 2" xfId="786" xr:uid="{86883983-473B-42F1-AFD1-2213E829769A}"/>
    <cellStyle name="Calculation 3 3 2 10" xfId="5434" xr:uid="{7B1302C3-33D9-42CF-975F-1E0DB3B80CE9}"/>
    <cellStyle name="Calculation 3 3 2 11" xfId="5614" xr:uid="{FEA8B30C-9BAB-44A2-ACA2-C50A2D158BD5}"/>
    <cellStyle name="Calculation 3 3 2 12" xfId="5779" xr:uid="{56B2A689-7B8A-4449-B206-5F129EAA1FB8}"/>
    <cellStyle name="Calculation 3 3 2 13" xfId="3460" xr:uid="{AFBF3173-1997-4C37-8B61-370D73B5017F}"/>
    <cellStyle name="Calculation 3 3 2 14" xfId="7506" xr:uid="{658E134B-C6CF-48B6-AF14-40261F2E0969}"/>
    <cellStyle name="Calculation 3 3 2 15" xfId="7127" xr:uid="{DF1130E3-65E4-42A8-9C20-9762FCCDCC8C}"/>
    <cellStyle name="Calculation 3 3 2 16" xfId="8364" xr:uid="{69959DF6-C62F-40DB-81CF-5ED0B4797112}"/>
    <cellStyle name="Calculation 3 3 2 17" xfId="8695" xr:uid="{AC13231E-47EE-4C3B-A82D-31E5A4F62248}"/>
    <cellStyle name="Calculation 3 3 2 18" xfId="9720" xr:uid="{110C8804-9AB0-4606-967F-80F5EE12A824}"/>
    <cellStyle name="Calculation 3 3 2 19" xfId="9319" xr:uid="{95681CFF-D19D-4B2F-8FAD-98898CB3CAC2}"/>
    <cellStyle name="Calculation 3 3 2 2" xfId="1260" xr:uid="{5428DB73-94C0-4C28-94F1-A0D85A5FC42C}"/>
    <cellStyle name="Calculation 3 3 2 20" xfId="9386" xr:uid="{0DAD2FF0-5CEA-4B51-95D0-C9B7AD1A2979}"/>
    <cellStyle name="Calculation 3 3 2 21" xfId="9038" xr:uid="{90148EF7-F307-4E44-908A-20F723375CD5}"/>
    <cellStyle name="Calculation 3 3 2 22" xfId="10828" xr:uid="{D3DE614C-402D-49DA-AF78-1FFF0C6BA0B1}"/>
    <cellStyle name="Calculation 3 3 2 23" xfId="12139" xr:uid="{8281EF9E-DE9A-4510-AEEE-53E0D9366C63}"/>
    <cellStyle name="Calculation 3 3 2 24" xfId="12612" xr:uid="{90EE74EB-55C2-43D4-8E33-03F3B04DA49B}"/>
    <cellStyle name="Calculation 3 3 2 25" xfId="13046" xr:uid="{A652E81C-27EC-431C-B675-D19DFDB9D869}"/>
    <cellStyle name="Calculation 3 3 2 26" xfId="13483" xr:uid="{3E6AC54B-5C99-4BF3-B0AC-132E31C9CF57}"/>
    <cellStyle name="Calculation 3 3 2 27" xfId="12276" xr:uid="{1FDBD367-989A-4524-86A1-D3FAABC23C64}"/>
    <cellStyle name="Calculation 3 3 2 28" xfId="13978" xr:uid="{C0CDAD62-7567-465C-9D37-2CDD0C7F8F29}"/>
    <cellStyle name="Calculation 3 3 2 29" xfId="13742" xr:uid="{86D4876D-1D95-4A61-866F-E139C79A5458}"/>
    <cellStyle name="Calculation 3 3 2 3" xfId="1509" xr:uid="{5E5F387A-E4E1-48B4-8892-CAF5D1BB6D86}"/>
    <cellStyle name="Calculation 3 3 2 30" xfId="15342" xr:uid="{961CFD34-6BAD-46ED-9939-820E44A35009}"/>
    <cellStyle name="Calculation 3 3 2 31" xfId="15564" xr:uid="{037DE66A-E8EC-496F-93F5-9E016E8BCB0E}"/>
    <cellStyle name="Calculation 3 3 2 32" xfId="14451" xr:uid="{D15B1045-24BF-4C29-8FEC-F5BC38D75665}"/>
    <cellStyle name="Calculation 3 3 2 33" xfId="16831" xr:uid="{0BF06EB5-B839-4ED4-8D93-18A6752DCA44}"/>
    <cellStyle name="Calculation 3 3 2 34" xfId="16449" xr:uid="{49407BE5-B1D8-4976-AF6F-2FB93F1ABEB2}"/>
    <cellStyle name="Calculation 3 3 2 35" xfId="16145" xr:uid="{84996856-C32C-462B-9D89-30E8A455AEC4}"/>
    <cellStyle name="Calculation 3 3 2 36" xfId="18233" xr:uid="{33786149-D5A9-4852-8760-DAF53E033BAC}"/>
    <cellStyle name="Calculation 3 3 2 37" xfId="18649" xr:uid="{5FFC6571-877C-4FCC-954E-FFADE23F6EA1}"/>
    <cellStyle name="Calculation 3 3 2 38" xfId="18770" xr:uid="{0EAE9908-289E-4B74-A14A-1753AD55650D}"/>
    <cellStyle name="Calculation 3 3 2 39" xfId="18141" xr:uid="{CAB587D3-52DB-4316-89FF-F1A38E31AB99}"/>
    <cellStyle name="Calculation 3 3 2 4" xfId="2608" xr:uid="{29EC0730-FDA1-4381-A91C-511C40C48C79}"/>
    <cellStyle name="Calculation 3 3 2 40" xfId="20168" xr:uid="{9999C0B7-B8EF-4DBC-BFEB-89947AD92CDB}"/>
    <cellStyle name="Calculation 3 3 2 41" xfId="19469" xr:uid="{5FCD5EBD-39D8-4702-9891-FDBA6B37BED1}"/>
    <cellStyle name="Calculation 3 3 2 42" xfId="20354" xr:uid="{2F592836-5A3B-414F-9FCF-B39C2BB56D4B}"/>
    <cellStyle name="Calculation 3 3 2 43" xfId="20902" xr:uid="{A3DE5360-5D11-4058-B9EC-740AB1D5B52C}"/>
    <cellStyle name="Calculation 3 3 2 44" xfId="19593" xr:uid="{2CC1BE07-9B89-4E98-8287-C34A482826A6}"/>
    <cellStyle name="Calculation 3 3 2 45" xfId="21730" xr:uid="{4E30FDF5-61CE-4FB1-B0AC-4F300054191D}"/>
    <cellStyle name="Calculation 3 3 2 46" xfId="21275" xr:uid="{DF31EAB9-34AA-41F1-8146-FAE74B040413}"/>
    <cellStyle name="Calculation 3 3 2 47" xfId="23039" xr:uid="{622F27B4-7AA8-44CD-8B01-7185572F9CFF}"/>
    <cellStyle name="Calculation 3 3 2 48" xfId="22238" xr:uid="{5DEDA62B-38B2-42B8-A9C3-B2D2C9D64303}"/>
    <cellStyle name="Calculation 3 3 2 49" xfId="23968" xr:uid="{1659E76A-9FEF-4034-8068-3E93EC7C8EC0}"/>
    <cellStyle name="Calculation 3 3 2 5" xfId="2195" xr:uid="{CF135D2D-D505-44F8-AF86-2A8C34160C62}"/>
    <cellStyle name="Calculation 3 3 2 50" xfId="24876" xr:uid="{98D2838B-2B36-4CAE-829B-3948B54219F8}"/>
    <cellStyle name="Calculation 3 3 2 51" xfId="24186" xr:uid="{C0AE18AC-E50C-45D9-BF32-03E792954C4B}"/>
    <cellStyle name="Calculation 3 3 2 52" xfId="25792" xr:uid="{AC85DFCE-FA4B-45FC-A167-C7167B3ED41A}"/>
    <cellStyle name="Calculation 3 3 2 53" xfId="25394" xr:uid="{E1169030-782D-4F88-AE8F-97EAA72A46C5}"/>
    <cellStyle name="Calculation 3 3 2 54" xfId="24254" xr:uid="{5ED7E271-0815-43D3-BC42-27A64D5E8C5B}"/>
    <cellStyle name="Calculation 3 3 2 55" xfId="27080" xr:uid="{1FA299DD-72C4-49B8-8ED0-CAB8C2992686}"/>
    <cellStyle name="Calculation 3 3 2 56" xfId="27499" xr:uid="{53963126-2F38-4C02-B9F0-2C9D1F9CB272}"/>
    <cellStyle name="Calculation 3 3 2 57" xfId="27205" xr:uid="{9D3B3AA4-F323-49E9-988C-8111E50C854E}"/>
    <cellStyle name="Calculation 3 3 2 58" xfId="28626" xr:uid="{B6C78343-C4AE-4E49-B250-864BEAD94916}"/>
    <cellStyle name="Calculation 3 3 2 59" xfId="29093" xr:uid="{DF0049CD-E7D1-469B-A812-567B096F8C73}"/>
    <cellStyle name="Calculation 3 3 2 6" xfId="3313" xr:uid="{3D871CA1-6959-4E3F-8D09-C2F72F995F16}"/>
    <cellStyle name="Calculation 3 3 2 60" xfId="28022" xr:uid="{CC7A6D00-317A-4AC4-B2F1-6E4CE42E3235}"/>
    <cellStyle name="Calculation 3 3 2 61" xfId="29882" xr:uid="{BA9BAC50-554A-490C-9559-B9A9F6A5CDC5}"/>
    <cellStyle name="Calculation 3 3 2 62" xfId="30288" xr:uid="{AAD4095F-3952-4CDF-A1AA-7C6913ED3D76}"/>
    <cellStyle name="Calculation 3 3 2 63" xfId="30705" xr:uid="{922E85F4-B8F6-4372-8253-FD63651CF979}"/>
    <cellStyle name="Calculation 3 3 2 64" xfId="30905" xr:uid="{3F8EEDEF-887D-493E-A277-1FE1DA2C90D3}"/>
    <cellStyle name="Calculation 3 3 2 65" xfId="31321" xr:uid="{0290F186-8D90-48F0-B242-19E62309B674}"/>
    <cellStyle name="Calculation 3 3 2 7" xfId="4104" xr:uid="{F0A71C30-B275-44B2-B55E-BA2D7E74AC5D}"/>
    <cellStyle name="Calculation 3 3 2 8" xfId="4541" xr:uid="{C7C645E8-861F-4A45-8C1A-4C7EBB918EF2}"/>
    <cellStyle name="Calculation 3 3 2 9" xfId="3804" xr:uid="{D0F4DFBA-DB66-43F6-ABEF-80D278B1A379}"/>
    <cellStyle name="Calculation 3 3 20" xfId="9401" xr:uid="{E593EDD3-D117-4FCD-A2BD-3FB356578956}"/>
    <cellStyle name="Calculation 3 3 21" xfId="10067" xr:uid="{BFEFC5A6-AECB-444F-AEC4-BEF6360E0C0A}"/>
    <cellStyle name="Calculation 3 3 22" xfId="9037" xr:uid="{202D39DA-E0CA-4C26-B19F-173225899CEF}"/>
    <cellStyle name="Calculation 3 3 23" xfId="11303" xr:uid="{AC51F6EB-8331-4407-A671-514895FFE70B}"/>
    <cellStyle name="Calculation 3 3 24" xfId="11924" xr:uid="{367F399A-92F0-49C2-BE1C-C40CA3054C0E}"/>
    <cellStyle name="Calculation 3 3 25" xfId="12397" xr:uid="{669040D2-BA79-4B39-B6D3-7E9A787BAC83}"/>
    <cellStyle name="Calculation 3 3 26" xfId="12831" xr:uid="{22EE112E-027A-4F29-A637-8C5FC1CE6632}"/>
    <cellStyle name="Calculation 3 3 27" xfId="13268" xr:uid="{D5F9F528-911B-4368-94F8-4E75B235098A}"/>
    <cellStyle name="Calculation 3 3 28" xfId="13852" xr:uid="{FC58C840-833E-440A-B602-54A3D35D1375}"/>
    <cellStyle name="Calculation 3 3 29" xfId="14238" xr:uid="{DC900ED8-3CA8-41C6-9B2C-AB1F47B1EBA3}"/>
    <cellStyle name="Calculation 3 3 3" xfId="1054" xr:uid="{1DF0777A-C8E9-4AEC-B9C5-72A4089CDC43}"/>
    <cellStyle name="Calculation 3 3 30" xfId="13770" xr:uid="{627F19DB-D1FD-449A-A252-6F2B4289EC65}"/>
    <cellStyle name="Calculation 3 3 31" xfId="15009" xr:uid="{5F792B3D-1920-499A-A27F-6EB2161AF433}"/>
    <cellStyle name="Calculation 3 3 32" xfId="14964" xr:uid="{5632BCD4-585B-4C20-8066-22382D62436B}"/>
    <cellStyle name="Calculation 3 3 33" xfId="14774" xr:uid="{F350E3EF-E3DC-4FE1-8104-AC341F746FD6}"/>
    <cellStyle name="Calculation 3 3 34" xfId="16616" xr:uid="{DB2B8CDF-59C1-407E-9135-989D489FFABC}"/>
    <cellStyle name="Calculation 3 3 35" xfId="16510" xr:uid="{2801BD98-1C8A-4A6C-A336-7D65A520E65D}"/>
    <cellStyle name="Calculation 3 3 36" xfId="17184" xr:uid="{84E74EF5-7842-4980-AC52-86586A1B053B}"/>
    <cellStyle name="Calculation 3 3 37" xfId="18264" xr:uid="{7644080B-FE84-4CE5-98D7-6DB92602DC67}"/>
    <cellStyle name="Calculation 3 3 38" xfId="18434" xr:uid="{9B9A7156-1204-40E5-9F7D-89F0DD9734D2}"/>
    <cellStyle name="Calculation 3 3 39" xfId="19088" xr:uid="{ABB89A66-6A15-487B-A6FD-787B547704B6}"/>
    <cellStyle name="Calculation 3 3 4" xfId="1640" xr:uid="{67512E99-8D27-4CE3-862E-61FEC6619FC4}"/>
    <cellStyle name="Calculation 3 3 40" xfId="19269" xr:uid="{687C3951-5887-42CE-8310-03907C64605E}"/>
    <cellStyle name="Calculation 3 3 41" xfId="19953" xr:uid="{23A23554-A4A5-4975-B50D-162BF5A8B81A}"/>
    <cellStyle name="Calculation 3 3 42" xfId="19846" xr:uid="{B95C243C-D32F-42A4-9A2D-7ADF32881400}"/>
    <cellStyle name="Calculation 3 3 43" xfId="19571" xr:uid="{2EC1ACAA-8F33-47B2-AA48-6896CE625C3C}"/>
    <cellStyle name="Calculation 3 3 44" xfId="21465" xr:uid="{37BF3A44-F6AE-4855-BE61-71979A585EA7}"/>
    <cellStyle name="Calculation 3 3 45" xfId="21441" xr:uid="{88A93194-D272-436B-AEDF-2AD920402F88}"/>
    <cellStyle name="Calculation 3 3 46" xfId="21327" xr:uid="{1541A0D5-6B63-4A21-AA7F-FFBFB3B498BB}"/>
    <cellStyle name="Calculation 3 3 47" xfId="22837" xr:uid="{D3ED18D3-1E49-43DF-8330-FE9B8B6AF87A}"/>
    <cellStyle name="Calculation 3 3 48" xfId="23365" xr:uid="{F36FE718-1C4E-475A-8F0C-4876CD462339}"/>
    <cellStyle name="Calculation 3 3 49" xfId="23599" xr:uid="{1C49C1A2-B2EA-4D6A-8C0F-B63B057C00B1}"/>
    <cellStyle name="Calculation 3 3 5" xfId="2393" xr:uid="{D54D60DE-631D-4DFF-8443-28A476672DD0}"/>
    <cellStyle name="Calculation 3 3 50" xfId="23762" xr:uid="{BD47A64B-5023-4156-90C9-089625A4F146}"/>
    <cellStyle name="Calculation 3 3 51" xfId="24661" xr:uid="{63034703-6F1C-42C4-A1EB-E72D2E1F4AC9}"/>
    <cellStyle name="Calculation 3 3 52" xfId="24264" xr:uid="{BCD417EF-C43E-4BAD-86A5-9559B605E8B9}"/>
    <cellStyle name="Calculation 3 3 53" xfId="25579" xr:uid="{EDD652BA-FEFE-4D0B-BD10-2AABE49A850B}"/>
    <cellStyle name="Calculation 3 3 54" xfId="26204" xr:uid="{25F99EF0-3C4A-4F6F-9C1E-BA50C3AA2365}"/>
    <cellStyle name="Calculation 3 3 55" xfId="26243" xr:uid="{6EE8E0A3-F422-48F3-98F4-19E790EF0492}"/>
    <cellStyle name="Calculation 3 3 56" xfId="26869" xr:uid="{75C3E919-6E82-4F91-B601-7BF650D10501}"/>
    <cellStyle name="Calculation 3 3 57" xfId="27288" xr:uid="{462D8B23-9247-4E19-B6BA-1F1019428125}"/>
    <cellStyle name="Calculation 3 3 58" xfId="27720" xr:uid="{BF5D5B66-599A-4FD9-8F7E-C348D857FF06}"/>
    <cellStyle name="Calculation 3 3 59" xfId="28411" xr:uid="{1ADF99E2-E7D8-43A1-9DDE-22C93C5868DD}"/>
    <cellStyle name="Calculation 3 3 6" xfId="3018" xr:uid="{141C9260-F0F9-452D-BA18-B73B1DF151E7}"/>
    <cellStyle name="Calculation 3 3 60" xfId="28879" xr:uid="{D881F43B-BCE8-46E9-A2F6-E3D053348DD5}"/>
    <cellStyle name="Calculation 3 3 61" xfId="27908" xr:uid="{E398159D-008A-40FD-8A4B-A0FC3D909678}"/>
    <cellStyle name="Calculation 3 3 62" xfId="29669" xr:uid="{B9EF4808-7DEC-42FF-ADDA-248BEC14F117}"/>
    <cellStyle name="Calculation 3 3 63" xfId="30077" xr:uid="{D800F151-88FA-48E3-9836-F2996B955A38}"/>
    <cellStyle name="Calculation 3 3 64" xfId="30491" xr:uid="{6B8BE6EB-73A2-4814-B7FA-2C2E7AA87E4C}"/>
    <cellStyle name="Calculation 3 3 65" xfId="30901" xr:uid="{AEA0B246-B1F2-4C4B-8318-22A64EF73FB1}"/>
    <cellStyle name="Calculation 3 3 66" xfId="31115" xr:uid="{0509B4E9-43E7-424C-96B1-13175643956C}"/>
    <cellStyle name="Calculation 3 3 7" xfId="3039" xr:uid="{CE6774B5-5D16-41B0-ABD7-A889D691ABB5}"/>
    <cellStyle name="Calculation 3 3 8" xfId="3889" xr:uid="{A6230595-0D28-47B8-AFD2-6111A470663B}"/>
    <cellStyle name="Calculation 3 3 9" xfId="4327" xr:uid="{3194F644-475C-41DE-86AC-9A2994320B92}"/>
    <cellStyle name="Calculation 3 30" xfId="16243" xr:uid="{3456E2BF-FA46-4E16-87CA-BFBC43E2D599}"/>
    <cellStyle name="Calculation 3 31" xfId="18043" xr:uid="{4E507091-36F9-46C6-9156-D5BF7042C47B}"/>
    <cellStyle name="Calculation 3 32" xfId="18085" xr:uid="{EBCDED49-9C55-4DB5-9B66-60619ECDD2FA}"/>
    <cellStyle name="Calculation 3 33" xfId="19008" xr:uid="{76839CF6-4CBE-473F-8FC9-A363AE92ABFF}"/>
    <cellStyle name="Calculation 3 34" xfId="19608" xr:uid="{55ABA274-2D01-4565-8529-9202D36EE51B}"/>
    <cellStyle name="Calculation 3 35" xfId="19494" xr:uid="{BA768064-7F24-4D1C-8D22-70D2F0274E32}"/>
    <cellStyle name="Calculation 3 36" xfId="21951" xr:uid="{C33F6EBB-F411-47CB-9681-BC8547328C41}"/>
    <cellStyle name="Calculation 3 37" xfId="22295" xr:uid="{125F6CCC-B081-4F4C-9C27-D2CAE8BDBF50}"/>
    <cellStyle name="Calculation 3 38" xfId="23202" xr:uid="{764FA199-4E42-461B-B860-2254F19BB4CC}"/>
    <cellStyle name="Calculation 3 39" xfId="24329" xr:uid="{47D03056-E9F8-45FC-934B-468B3738B37C}"/>
    <cellStyle name="Calculation 3 4" xfId="655" xr:uid="{AD57E26F-FB49-4D52-A22E-FAC08101EFE6}"/>
    <cellStyle name="Calculation 3 4 10" xfId="4711" xr:uid="{8127D874-1644-48EF-A9D6-FA343677C29C}"/>
    <cellStyle name="Calculation 3 4 11" xfId="5303" xr:uid="{585C05AB-8B74-449D-A0ED-6D8BC37AD6D8}"/>
    <cellStyle name="Calculation 3 4 12" xfId="5621" xr:uid="{84A49E41-EADF-44DE-8541-34FF3AEB7457}"/>
    <cellStyle name="Calculation 3 4 13" xfId="6102" xr:uid="{667C0AE7-A658-4856-9E1B-06F8A66CF9A1}"/>
    <cellStyle name="Calculation 3 4 14" xfId="6645" xr:uid="{77BDD2C3-9336-4C39-A18A-5F480FF7378C}"/>
    <cellStyle name="Calculation 3 4 15" xfId="7375" xr:uid="{D36D08B3-CDA7-4D03-A05A-167DBD694357}"/>
    <cellStyle name="Calculation 3 4 16" xfId="6769" xr:uid="{39FB2BCB-9E0E-481F-976B-AA6AE7B0A132}"/>
    <cellStyle name="Calculation 3 4 17" xfId="8627" xr:uid="{FA70C927-3351-41C2-A777-8C41778EDD37}"/>
    <cellStyle name="Calculation 3 4 18" xfId="7704" xr:uid="{2564F64D-C2C3-45F1-93B0-24FFFD6EA873}"/>
    <cellStyle name="Calculation 3 4 19" xfId="9589" xr:uid="{D5C04203-F431-4460-94E7-3EDFA26CB82C}"/>
    <cellStyle name="Calculation 3 4 2" xfId="870" xr:uid="{45BB7E29-35A5-4298-9FD9-F4237D878813}"/>
    <cellStyle name="Calculation 3 4 2 10" xfId="5518" xr:uid="{4E6D0BE0-0754-4D97-8793-00103A272EE8}"/>
    <cellStyle name="Calculation 3 4 2 11" xfId="6012" xr:uid="{EAD4D15B-65EB-477B-93D6-527EA656E792}"/>
    <cellStyle name="Calculation 3 4 2 12" xfId="6371" xr:uid="{F11F33B4-069C-4168-8A51-D99F96028052}"/>
    <cellStyle name="Calculation 3 4 2 13" xfId="6709" xr:uid="{676814A0-0DAC-4B4A-8405-2FB8818FC0E4}"/>
    <cellStyle name="Calculation 3 4 2 14" xfId="7590" xr:uid="{EE1416B3-0BE6-43E2-B435-6F602D98A584}"/>
    <cellStyle name="Calculation 3 4 2 15" xfId="8054" xr:uid="{C9398EBD-D2A7-44B9-9327-91B44D23C4C4}"/>
    <cellStyle name="Calculation 3 4 2 16" xfId="8663" xr:uid="{7705295E-9DBF-44D3-B9C6-9A898EEEBAB0}"/>
    <cellStyle name="Calculation 3 4 2 17" xfId="8922" xr:uid="{201EF836-FB24-4154-9D99-C431E6B4181A}"/>
    <cellStyle name="Calculation 3 4 2 18" xfId="9804" xr:uid="{04C45A21-0B00-4C27-A54F-C20F3E77ABDB}"/>
    <cellStyle name="Calculation 3 4 2 19" xfId="10273" xr:uid="{A0CA48E0-8D62-46F7-907A-4676C3B80B68}"/>
    <cellStyle name="Calculation 3 4 2 2" xfId="1344" xr:uid="{102D85C3-EC86-4B0B-92D5-2B323B7E00FF}"/>
    <cellStyle name="Calculation 3 4 2 20" xfId="10667" xr:uid="{2E77D7F8-B1C4-4301-8A03-96DC8B73E795}"/>
    <cellStyle name="Calculation 3 4 2 21" xfId="11016" xr:uid="{4177565C-33E7-4CD1-AAD2-5BF7B13CDD2C}"/>
    <cellStyle name="Calculation 3 4 2 22" xfId="11326" xr:uid="{F8F99A93-3AFF-4D6C-807A-D7D9CE3090C3}"/>
    <cellStyle name="Calculation 3 4 2 23" xfId="12223" xr:uid="{B6D06D22-8352-4B86-BB2B-6938B902A14B}"/>
    <cellStyle name="Calculation 3 4 2 24" xfId="12696" xr:uid="{7474F282-6F59-4BD6-9CEC-C829F8CBA1C5}"/>
    <cellStyle name="Calculation 3 4 2 25" xfId="13130" xr:uid="{C2107685-CEDA-4C82-B23E-00742887D6CE}"/>
    <cellStyle name="Calculation 3 4 2 26" xfId="13567" xr:uid="{F5B6BEAF-BB18-4492-B291-F863CB19B36D}"/>
    <cellStyle name="Calculation 3 4 2 27" xfId="14039" xr:uid="{15949874-0D38-475F-BD71-092272DFEBC5}"/>
    <cellStyle name="Calculation 3 4 2 28" xfId="14486" xr:uid="{BC4650B2-84B0-4D2A-86CA-2DD83F7E6892}"/>
    <cellStyle name="Calculation 3 4 2 29" xfId="14920" xr:uid="{0F6979BC-78AB-44FB-97F1-069C8B2EF661}"/>
    <cellStyle name="Calculation 3 4 2 3" xfId="1793" xr:uid="{E83F17C9-7E33-422E-A025-053E42915165}"/>
    <cellStyle name="Calculation 3 4 2 30" xfId="15390" xr:uid="{4398FA86-0EDA-4A67-94F9-908B479D463D}"/>
    <cellStyle name="Calculation 3 4 2 31" xfId="15780" xr:uid="{2FCEB7D7-0755-40FE-9A8D-CC5FF6E88BE2}"/>
    <cellStyle name="Calculation 3 4 2 32" xfId="16002" xr:uid="{2E38038A-6E0F-4D09-BDFF-1495F257A9F2}"/>
    <cellStyle name="Calculation 3 4 2 33" xfId="16915" xr:uid="{38D286C4-02F9-440F-B058-2D111EC6E9B3}"/>
    <cellStyle name="Calculation 3 4 2 34" xfId="17396" xr:uid="{9422DC72-F94F-4BB0-A784-CD3A7648764D}"/>
    <cellStyle name="Calculation 3 4 2 35" xfId="17837" xr:uid="{18033ABE-A8DE-4675-81C7-B488BE644983}"/>
    <cellStyle name="Calculation 3 4 2 36" xfId="18312" xr:uid="{5D09127B-7CD4-4698-8C40-44DBEE920C0C}"/>
    <cellStyle name="Calculation 3 4 2 37" xfId="18733" xr:uid="{CA15BB30-432A-4479-953D-8A09B45F3CB0}"/>
    <cellStyle name="Calculation 3 4 2 38" xfId="19120" xr:uid="{CB5E22A0-0A74-43E5-BD60-C0517C66BDC9}"/>
    <cellStyle name="Calculation 3 4 2 39" xfId="19350" xr:uid="{EFAFE677-56A1-45D1-B12B-2500CE51E9F8}"/>
    <cellStyle name="Calculation 3 4 2 4" xfId="2692" xr:uid="{A2425DBC-F74E-46F7-8022-CE9043AB6117}"/>
    <cellStyle name="Calculation 3 4 2 40" xfId="20252" xr:uid="{A25AB268-D76A-47E4-BDFA-011D6EBF2041}"/>
    <cellStyle name="Calculation 3 4 2 41" xfId="20745" xr:uid="{88B4F6D6-0900-49A8-A5D6-65759460FD37}"/>
    <cellStyle name="Calculation 3 4 2 42" xfId="21204" xr:uid="{4EACF1D2-56EF-483F-A889-B19789076088}"/>
    <cellStyle name="Calculation 3 4 2 43" xfId="21696" xr:uid="{8313FB66-DC38-4344-9C9E-3EED7A92BEE3}"/>
    <cellStyle name="Calculation 3 4 2 44" xfId="22135" xr:uid="{585D955F-CCBD-44C1-8E9E-2B713030AA12}"/>
    <cellStyle name="Calculation 3 4 2 45" xfId="22562" xr:uid="{CCD8C98D-ED50-495D-9B7B-EE140E212FEF}"/>
    <cellStyle name="Calculation 3 4 2 46" xfId="23007" xr:uid="{88D5F55D-59E3-4D07-B564-367C8B78E13C}"/>
    <cellStyle name="Calculation 3 4 2 47" xfId="23409" xr:uid="{4CF199CF-CA4F-4156-A576-B6CCBEA839FE}"/>
    <cellStyle name="Calculation 3 4 2 48" xfId="23672" xr:uid="{3197E103-3F6A-476A-B4B0-28FFAFBE95D7}"/>
    <cellStyle name="Calculation 3 4 2 49" xfId="24052" xr:uid="{CBBA42DA-6EDD-47F4-9425-9E3A3B08361D}"/>
    <cellStyle name="Calculation 3 4 2 5" xfId="3212" xr:uid="{6D257CD2-8C98-498F-A08A-9BB051F898B7}"/>
    <cellStyle name="Calculation 3 4 2 50" xfId="24960" xr:uid="{C1BA74F2-0D7A-432C-860F-F34EFBCDBEEB}"/>
    <cellStyle name="Calculation 3 4 2 51" xfId="25448" xr:uid="{FAE7628E-D4CF-411D-860C-32BED9B652FE}"/>
    <cellStyle name="Calculation 3 4 2 52" xfId="25876" xr:uid="{3BF57FC9-505A-469A-84F3-4E716DF01CF8}"/>
    <cellStyle name="Calculation 3 4 2 53" xfId="26314" xr:uid="{BBB366B5-3A5E-4E5B-B2C1-6DC2FFD80EA7}"/>
    <cellStyle name="Calculation 3 4 2 54" xfId="26743" xr:uid="{8E3333B4-539C-4366-9FA9-4649DB930F6F}"/>
    <cellStyle name="Calculation 3 4 2 55" xfId="27164" xr:uid="{875CB7F8-BFFB-4CA3-AF7E-19599A39EBC3}"/>
    <cellStyle name="Calculation 3 4 2 56" xfId="27583" xr:uid="{A64E61CC-3542-4AF8-8B9C-D3768BACEFDA}"/>
    <cellStyle name="Calculation 3 4 2 57" xfId="25914" xr:uid="{E71EEAC4-2581-4C97-9836-3B295BFBEA55}"/>
    <cellStyle name="Calculation 3 4 2 58" xfId="28710" xr:uid="{B89A42B7-EAA4-407B-BA0E-76B8B370E756}"/>
    <cellStyle name="Calculation 3 4 2 59" xfId="29177" xr:uid="{4B2E9DDD-DD05-4A06-AAAE-58C5F3BF0E29}"/>
    <cellStyle name="Calculation 3 4 2 6" xfId="3767" xr:uid="{2321BBAE-891F-4581-9732-FC1B3DC18FCB}"/>
    <cellStyle name="Calculation 3 4 2 60" xfId="29559" xr:uid="{4265CBEF-44A9-4083-8C88-F7FF8C3028DE}"/>
    <cellStyle name="Calculation 3 4 2 61" xfId="29966" xr:uid="{21217297-89CC-4B64-B312-86C4DE908740}"/>
    <cellStyle name="Calculation 3 4 2 62" xfId="30372" xr:uid="{FCF8E2EA-06AA-490A-8901-6C3245EB2D92}"/>
    <cellStyle name="Calculation 3 4 2 63" xfId="30789" xr:uid="{799DE220-4F25-46A6-B980-ABB3FC8D927C}"/>
    <cellStyle name="Calculation 3 4 2 64" xfId="31034" xr:uid="{F1363F59-CE0E-499F-8AD3-0C2EE7A5A144}"/>
    <cellStyle name="Calculation 3 4 2 65" xfId="31405" xr:uid="{61554919-34F5-4DB9-B395-E3AC2FDE5A6B}"/>
    <cellStyle name="Calculation 3 4 2 7" xfId="4188" xr:uid="{72D822B4-C1DD-429E-BE66-E1E414083D9B}"/>
    <cellStyle name="Calculation 3 4 2 8" xfId="4625" xr:uid="{3E54F417-C53E-418E-AFCF-B9532E455178}"/>
    <cellStyle name="Calculation 3 4 2 9" xfId="5071" xr:uid="{FA848D6B-7594-49E0-B7C1-745C10CAF544}"/>
    <cellStyle name="Calculation 3 4 20" xfId="8981" xr:uid="{2F3AD71B-DB2C-4954-ABB6-A5AC6C2E45E5}"/>
    <cellStyle name="Calculation 3 4 21" xfId="9086" xr:uid="{A63A0A8A-C5FD-407F-95DB-9352276B6307}"/>
    <cellStyle name="Calculation 3 4 22" xfId="10155" xr:uid="{5E4F4EA1-45CD-4E35-9A88-07262E6CC643}"/>
    <cellStyle name="Calculation 3 4 23" xfId="9062" xr:uid="{3A9ED803-08F0-4037-A9FD-3E33D6E35EED}"/>
    <cellStyle name="Calculation 3 4 24" xfId="12008" xr:uid="{75D9277A-1DCB-47E7-87AC-684D4ED27FDA}"/>
    <cellStyle name="Calculation 3 4 25" xfId="12481" xr:uid="{C45FF96B-99AD-4A16-BD42-0D6E8D18F145}"/>
    <cellStyle name="Calculation 3 4 26" xfId="12915" xr:uid="{BEB108A1-B99E-4BDB-A1C6-26ED594B0AAE}"/>
    <cellStyle name="Calculation 3 4 27" xfId="13352" xr:uid="{97A9557B-3B1C-4B72-8359-58A50C80B81D}"/>
    <cellStyle name="Calculation 3 4 28" xfId="13897" xr:uid="{2425F372-47BC-4911-8857-78B709CDDA65}"/>
    <cellStyle name="Calculation 3 4 29" xfId="14313" xr:uid="{B4A9A2A4-ACC7-4DB8-BE05-61D5EFAD2005}"/>
    <cellStyle name="Calculation 3 4 3" xfId="1138" xr:uid="{459AE279-B791-42B0-ACB2-12CDD281D39B}"/>
    <cellStyle name="Calculation 3 4 30" xfId="14225" xr:uid="{2234438F-3C9F-4E84-B186-E81ABDA57C57}"/>
    <cellStyle name="Calculation 3 4 31" xfId="15065" xr:uid="{8F96399F-4F03-4AE9-A6EB-ACEF75C4C32F}"/>
    <cellStyle name="Calculation 3 4 32" xfId="14089" xr:uid="{3DCB3019-9C9F-43F8-805D-C9E051740BA1}"/>
    <cellStyle name="Calculation 3 4 33" xfId="15034" xr:uid="{CFF19368-0E2D-4477-9C76-C3578595CF7E}"/>
    <cellStyle name="Calculation 3 4 34" xfId="16700" xr:uid="{699E8EAF-03AB-447D-BD9B-E46DDEB358A5}"/>
    <cellStyle name="Calculation 3 4 35" xfId="16078" xr:uid="{05DCEF75-409B-4175-9318-BC59B6D76CFD}"/>
    <cellStyle name="Calculation 3 4 36" xfId="16189" xr:uid="{EBEE293A-F193-4E74-BE54-4AB7CB208420}"/>
    <cellStyle name="Calculation 3 4 37" xfId="17521" xr:uid="{33456616-B31C-431D-BCA9-CC65AB064662}"/>
    <cellStyle name="Calculation 3 4 38" xfId="18518" xr:uid="{6E75BCAF-77F5-4478-9DEF-754AFE5D4E6C}"/>
    <cellStyle name="Calculation 3 4 39" xfId="17307" xr:uid="{650C29E0-7C53-477A-BCF6-0E40EA2F38A9}"/>
    <cellStyle name="Calculation 3 4 4" xfId="1658" xr:uid="{9B06B757-5DF9-4B87-8947-F3B00CFF3180}"/>
    <cellStyle name="Calculation 3 4 40" xfId="19287" xr:uid="{645BAFBD-3A6E-435E-83FB-3B9585856F9D}"/>
    <cellStyle name="Calculation 3 4 41" xfId="20037" xr:uid="{2D3B31E6-9015-4D1E-97E4-28A899266849}"/>
    <cellStyle name="Calculation 3 4 42" xfId="19411" xr:uid="{0BF45EF0-061C-4E1D-BC8D-C1014C21C53A}"/>
    <cellStyle name="Calculation 3 4 43" xfId="19492" xr:uid="{902A3083-4792-4487-AE83-8E3201C10AFC}"/>
    <cellStyle name="Calculation 3 4 44" xfId="21072" xr:uid="{75ED7202-CA00-4D73-9DFF-E23224BCFF62}"/>
    <cellStyle name="Calculation 3 4 45" xfId="20825" xr:uid="{9F5012F0-B337-4D97-A9C8-5A849EC0D0E6}"/>
    <cellStyle name="Calculation 3 4 46" xfId="21739" xr:uid="{7432CC2C-2E5B-48D0-A432-08D0596AF4A8}"/>
    <cellStyle name="Calculation 3 4 47" xfId="22877" xr:uid="{BD7D522A-0269-459D-A230-99DFC7811B7E}"/>
    <cellStyle name="Calculation 3 4 48" xfId="22688" xr:uid="{72D5CA01-857F-49D7-A014-5C6CC07058EE}"/>
    <cellStyle name="Calculation 3 4 49" xfId="23547" xr:uid="{8131FDD1-E197-4474-B193-F763C417252A}"/>
    <cellStyle name="Calculation 3 4 5" xfId="2477" xr:uid="{C2873F1E-0653-4A11-822F-6CD0F23FC303}"/>
    <cellStyle name="Calculation 3 4 50" xfId="23846" xr:uid="{53FE8D8A-6033-4807-BA50-0F52E8EFFC95}"/>
    <cellStyle name="Calculation 3 4 51" xfId="24745" xr:uid="{DD740728-6B11-4BB7-80B5-8B0884F779EC}"/>
    <cellStyle name="Calculation 3 4 52" xfId="24135" xr:uid="{ECE0E76F-6F92-4C99-B0D8-948F9D77DFA3}"/>
    <cellStyle name="Calculation 3 4 53" xfId="25663" xr:uid="{4A27F5C3-BA11-4BD1-95E2-065058701D4F}"/>
    <cellStyle name="Calculation 3 4 54" xfId="26183" xr:uid="{90EEC7CF-E85A-4E87-95D7-5C15E6FC1253}"/>
    <cellStyle name="Calculation 3 4 55" xfId="26509" xr:uid="{7F1A1DF7-8054-477F-A044-5909C5B7CE83}"/>
    <cellStyle name="Calculation 3 4 56" xfId="26953" xr:uid="{475C3AD3-C32F-4DFB-8525-A2B686E68236}"/>
    <cellStyle name="Calculation 3 4 57" xfId="27372" xr:uid="{91722CEF-F02D-4F50-B328-36009D6A4CC5}"/>
    <cellStyle name="Calculation 3 4 58" xfId="27197" xr:uid="{3EB596CA-140B-43E6-B5D6-19D0291BC0AC}"/>
    <cellStyle name="Calculation 3 4 59" xfId="28495" xr:uid="{2E746F4F-6771-4E43-B4BC-A530D8916E4D}"/>
    <cellStyle name="Calculation 3 4 6" xfId="3065" xr:uid="{8EE89F29-7834-4DD4-AFEA-843B9A7FCB15}"/>
    <cellStyle name="Calculation 3 4 60" xfId="28963" xr:uid="{54B31A55-AF74-403B-A134-F5ECEC685D9A}"/>
    <cellStyle name="Calculation 3 4 61" xfId="28815" xr:uid="{FD601860-A749-43CE-A602-DD34D64D9B86}"/>
    <cellStyle name="Calculation 3 4 62" xfId="29753" xr:uid="{37803508-C00A-4F9C-8466-30C3D748286E}"/>
    <cellStyle name="Calculation 3 4 63" xfId="30161" xr:uid="{19105F39-48EF-4084-B4E8-49D817578D93}"/>
    <cellStyle name="Calculation 3 4 64" xfId="30575" xr:uid="{CD1BC127-9376-4B43-B209-2AD323FFB06F}"/>
    <cellStyle name="Calculation 3 4 65" xfId="30617" xr:uid="{80A586AE-7CB4-4396-8E07-589FC8FCF99F}"/>
    <cellStyle name="Calculation 3 4 66" xfId="31199" xr:uid="{AE5E91AC-982B-43C0-9360-0D1B5771E8BF}"/>
    <cellStyle name="Calculation 3 4 7" xfId="3725" xr:uid="{2FA5FD9F-E5FA-430E-8E87-C20D6D627E80}"/>
    <cellStyle name="Calculation 3 4 8" xfId="3973" xr:uid="{F41D2F0D-FF7E-43AE-B80D-D5564D77ADD2}"/>
    <cellStyle name="Calculation 3 4 9" xfId="4411" xr:uid="{84579A38-FD57-4622-8B0D-52EC0B768167}"/>
    <cellStyle name="Calculation 3 40" xfId="25049" xr:uid="{9ED14161-4A72-4D46-9D46-3CE9C1BE4788}"/>
    <cellStyle name="Calculation 3 41" xfId="24499" xr:uid="{2F827313-C7BD-4056-9B4F-2AC4F3D8CF10}"/>
    <cellStyle name="Calculation 3 42" xfId="25960" xr:uid="{A77ECA16-97CA-4446-8016-C991C26C0EB7}"/>
    <cellStyle name="Calculation 3 43" xfId="26482" xr:uid="{7D7927F4-53BF-4321-A140-ECDA9FC27BED}"/>
    <cellStyle name="Calculation 3 44" xfId="26083" xr:uid="{47F6D336-635B-4492-86E4-8C9BD613254B}"/>
    <cellStyle name="Calculation 3 45" xfId="26783" xr:uid="{5274BD50-3970-4BDC-8C60-2048FC9998F6}"/>
    <cellStyle name="Calculation 3 46" xfId="28106" xr:uid="{BF392323-0016-4AE5-B476-3EFD6F13F32A}"/>
    <cellStyle name="Calculation 3 47" xfId="28033" xr:uid="{949BF6C1-968C-46DA-BD15-B53D7F411361}"/>
    <cellStyle name="Calculation 3 48" xfId="27947" xr:uid="{099219C2-C182-4410-AC02-AA85E1352969}"/>
    <cellStyle name="Calculation 3 49" xfId="29299" xr:uid="{81EC0F46-36BA-4919-BB19-352858DE96E7}"/>
    <cellStyle name="Calculation 3 5" xfId="688" xr:uid="{DE655A7D-BEF3-4FF4-82BF-553AA895B9C7}"/>
    <cellStyle name="Calculation 3 5 10" xfId="5336" xr:uid="{0BB7A573-D0E7-49F0-B3AF-FAA1163DC101}"/>
    <cellStyle name="Calculation 3 5 11" xfId="5878" xr:uid="{AF3B7C89-120B-4FF3-B0A2-327C65D4B01F}"/>
    <cellStyle name="Calculation 3 5 12" xfId="4971" xr:uid="{FB8C5C12-F537-4B7D-894E-B85E4895F361}"/>
    <cellStyle name="Calculation 3 5 13" xfId="6440" xr:uid="{E9156A38-A2B8-41DF-9C2D-4B4C78627519}"/>
    <cellStyle name="Calculation 3 5 14" xfId="7408" xr:uid="{05177C69-BB8C-4B1C-B53F-175F02BCC8C7}"/>
    <cellStyle name="Calculation 3 5 15" xfId="6859" xr:uid="{A72E1D57-6CF8-498B-AA4D-0567D3B8B409}"/>
    <cellStyle name="Calculation 3 5 16" xfId="8282" xr:uid="{453A519E-0AAE-4200-AEAE-51FEE1BF4F88}"/>
    <cellStyle name="Calculation 3 5 17" xfId="8585" xr:uid="{1142B93D-1A3C-4DF9-B866-EE1CF0B5062E}"/>
    <cellStyle name="Calculation 3 5 18" xfId="9622" xr:uid="{7B3B7B6B-6125-4A01-908B-03AB7DAFC45C}"/>
    <cellStyle name="Calculation 3 5 19" xfId="9074" xr:uid="{211AC924-E85A-4CED-959F-CFC0B5B27E27}"/>
    <cellStyle name="Calculation 3 5 2" xfId="1170" xr:uid="{683970E6-F1D4-4096-8523-D5C2F1F3DC90}"/>
    <cellStyle name="Calculation 3 5 20" xfId="9975" xr:uid="{42FA186B-8CC5-4C67-9096-EC2D91990153}"/>
    <cellStyle name="Calculation 3 5 21" xfId="10305" xr:uid="{203D87C1-F2BA-4223-AE1E-0B7A1F0B0BD4}"/>
    <cellStyle name="Calculation 3 5 22" xfId="11130" xr:uid="{A40EF799-4908-44DC-85A4-FACA86444E7B}"/>
    <cellStyle name="Calculation 3 5 23" xfId="12041" xr:uid="{CD2802DC-A59F-4121-A30A-E8F21DF4E8F3}"/>
    <cellStyle name="Calculation 3 5 24" xfId="12514" xr:uid="{4DE8E02B-AC3F-4A59-835E-14ED45BBD4E4}"/>
    <cellStyle name="Calculation 3 5 25" xfId="12948" xr:uid="{2A586F80-851A-4E2A-A87A-FBC1986B982D}"/>
    <cellStyle name="Calculation 3 5 26" xfId="13385" xr:uid="{799D9424-58C5-41B1-858C-9152089D69AD}"/>
    <cellStyle name="Calculation 3 5 27" xfId="13591" xr:uid="{9E2794A9-39E1-49AF-A1FD-FCC08A7CE84F}"/>
    <cellStyle name="Calculation 3 5 28" xfId="11682" xr:uid="{69CED9DA-A9BD-41EE-8FCE-BA6CD5DAB183}"/>
    <cellStyle name="Calculation 3 5 29" xfId="14290" xr:uid="{666AA5B2-B318-47D0-AD73-F5C0D881DF47}"/>
    <cellStyle name="Calculation 3 5 3" xfId="1573" xr:uid="{DF9F3820-F3B2-4CAF-992E-AB7E9084FD49}"/>
    <cellStyle name="Calculation 3 5 30" xfId="14179" xr:uid="{EBC1A405-0951-4620-9BCD-2CACC4E4D792}"/>
    <cellStyle name="Calculation 3 5 31" xfId="15355" xr:uid="{3AC7CC91-7C07-4DAF-A5C5-35EBB8787A4B}"/>
    <cellStyle name="Calculation 3 5 32" xfId="14118" xr:uid="{EEA7AEAD-624F-4419-954E-A7DE33C93DBF}"/>
    <cellStyle name="Calculation 3 5 33" xfId="16733" xr:uid="{2DA00517-0370-41EB-A802-565EE20B2BCE}"/>
    <cellStyle name="Calculation 3 5 34" xfId="16175" xr:uid="{2F7BBBBC-426A-4C54-8B03-7D61D2F0812E}"/>
    <cellStyle name="Calculation 3 5 35" xfId="16084" xr:uid="{FC4BB6AF-CB60-4324-901F-D2C346A1DAD8}"/>
    <cellStyle name="Calculation 3 5 36" xfId="18226" xr:uid="{2C2C8B3F-A526-44C1-9E49-900A5D2C56C0}"/>
    <cellStyle name="Calculation 3 5 37" xfId="18551" xr:uid="{0680714A-E623-41A5-BB6F-91F94BF615D4}"/>
    <cellStyle name="Calculation 3 5 38" xfId="17871" xr:uid="{6806F520-447D-4F95-93EA-42678F65D97F}"/>
    <cellStyle name="Calculation 3 5 39" xfId="19155" xr:uid="{28EA51E7-D694-45B2-8BD2-1FFA91B2EFED}"/>
    <cellStyle name="Calculation 3 5 4" xfId="2510" xr:uid="{366914DB-E6B2-425E-95B7-2E0252F18195}"/>
    <cellStyle name="Calculation 3 5 40" xfId="20070" xr:uid="{CD89DAC2-BE45-4A58-A0A1-C5186B0C5DD5}"/>
    <cellStyle name="Calculation 3 5 41" xfId="19505" xr:uid="{052E3BAC-C80F-4224-9C9C-15872152A092}"/>
    <cellStyle name="Calculation 3 5 42" xfId="19600" xr:uid="{4BB5C749-2384-41C4-AEA6-88FC1AA1CC30}"/>
    <cellStyle name="Calculation 3 5 43" xfId="21317" xr:uid="{516653AF-4126-46BE-B38E-6CF9DBB142BE}"/>
    <cellStyle name="Calculation 3 5 44" xfId="21235" xr:uid="{7DDD8B9A-FE7F-447C-9FCB-EE2D03E7FEAB}"/>
    <cellStyle name="Calculation 3 5 45" xfId="22014" xr:uid="{084DEEB3-E845-430E-9E5E-5F5E86FC147E}"/>
    <cellStyle name="Calculation 3 5 46" xfId="22600" xr:uid="{7D93EC8C-4B6A-422D-888E-1CDD79B4C37F}"/>
    <cellStyle name="Calculation 3 5 47" xfId="22716" xr:uid="{007B0E8D-763D-45E6-AFA3-EE9FFBF010CF}"/>
    <cellStyle name="Calculation 3 5 48" xfId="22711" xr:uid="{215BE848-DC54-42DF-8BE8-C958B38F0DF1}"/>
    <cellStyle name="Calculation 3 5 49" xfId="23878" xr:uid="{2A27FA8C-2134-4D87-9D65-46DA4EF1492B}"/>
    <cellStyle name="Calculation 3 5 5" xfId="2757" xr:uid="{A7746765-32DD-4A14-BD12-A0E075A0CAC7}"/>
    <cellStyle name="Calculation 3 5 50" xfId="24778" xr:uid="{92EDA954-F51C-4637-B39E-1AA86D0DB5AC}"/>
    <cellStyle name="Calculation 3 5 51" xfId="24783" xr:uid="{81EFB394-C0C2-4A9F-B407-6ECA8BF9797C}"/>
    <cellStyle name="Calculation 3 5 52" xfId="25696" xr:uid="{B81F55A9-3429-49AD-904E-8B4B1CB883F0}"/>
    <cellStyle name="Calculation 3 5 53" xfId="25243" xr:uid="{DAA33B72-22C5-4D00-94EF-541F6CDEF135}"/>
    <cellStyle name="Calculation 3 5 54" xfId="26677" xr:uid="{B5C462BA-3F2B-4F10-929C-F8A0127BBB94}"/>
    <cellStyle name="Calculation 3 5 55" xfId="26986" xr:uid="{2EEE8D29-0826-46F3-8524-E1E3F1371F82}"/>
    <cellStyle name="Calculation 3 5 56" xfId="27405" xr:uid="{153B0B7C-DE2E-492D-B22A-736A3D5708B0}"/>
    <cellStyle name="Calculation 3 5 57" xfId="25913" xr:uid="{39E0DDF0-2EE2-44CD-AE93-65C8D5137721}"/>
    <cellStyle name="Calculation 3 5 58" xfId="28528" xr:uid="{E2827032-3633-4EA6-98AD-A249748E5765}"/>
    <cellStyle name="Calculation 3 5 59" xfId="28996" xr:uid="{82366EA0-DACE-466C-B928-C2509C51A6BE}"/>
    <cellStyle name="Calculation 3 5 6" xfId="3400" xr:uid="{F8631032-F968-4E34-80F0-22761347DEF4}"/>
    <cellStyle name="Calculation 3 5 60" xfId="29198" xr:uid="{FCEC2914-0FDE-49C7-ADC8-D263E4E918DF}"/>
    <cellStyle name="Calculation 3 5 61" xfId="29786" xr:uid="{D0F285F1-5634-4B6B-94C8-B23E85121A37}"/>
    <cellStyle name="Calculation 3 5 62" xfId="30193" xr:uid="{5D83851F-AAA7-4930-8A82-7EDB822C5786}"/>
    <cellStyle name="Calculation 3 5 63" xfId="30608" xr:uid="{474F2CCF-6B47-4AF5-8F65-9FCA318630F8}"/>
    <cellStyle name="Calculation 3 5 64" xfId="30845" xr:uid="{D0944BE2-6A47-467A-9E29-049EB9786010}"/>
    <cellStyle name="Calculation 3 5 65" xfId="31231" xr:uid="{F2BE8BA0-A144-4772-B457-C5A69AC56940}"/>
    <cellStyle name="Calculation 3 5 7" xfId="4006" xr:uid="{CBE9313D-5E5B-4F0E-AD93-3CDE0F55FD4D}"/>
    <cellStyle name="Calculation 3 5 8" xfId="4444" xr:uid="{0583EC25-9279-4719-BFA0-18479E55CE26}"/>
    <cellStyle name="Calculation 3 5 9" xfId="4779" xr:uid="{5ECA450B-E29F-4E1A-9C6C-D3FD0A3D9065}"/>
    <cellStyle name="Calculation 3 50" xfId="30613" xr:uid="{53C475C4-6E78-4880-8A55-8E8A98F8C2DC}"/>
    <cellStyle name="Calculation 3 51" xfId="29591" xr:uid="{97294CEF-64DF-4969-98E1-4A4AE8C50A94}"/>
    <cellStyle name="Calculation 3 6" xfId="931" xr:uid="{28CBB560-554C-4D6C-BD24-87E65811A2AE}"/>
    <cellStyle name="Calculation 3 7" xfId="2049" xr:uid="{BB3B4C43-CF2D-4A9E-A685-D2FA37DBC455}"/>
    <cellStyle name="Calculation 3 8" xfId="2271" xr:uid="{4C39B45E-514A-443A-B295-3C0C440BC052}"/>
    <cellStyle name="Calculation 3 9" xfId="2058" xr:uid="{57570DE6-1E7C-43E1-9F5F-39593E3EDCFD}"/>
    <cellStyle name="Check Cell 2" xfId="129" xr:uid="{79483D8E-513F-4DB1-BF29-853343C2494F}"/>
    <cellStyle name="Check Cell 3" xfId="225" xr:uid="{E477068E-4560-4A0E-B991-E07214E949B4}"/>
    <cellStyle name="Check Cell 4" xfId="369" xr:uid="{9DF9B213-8952-4C18-9AB4-8BCCD06306D6}"/>
    <cellStyle name="Comma 2" xfId="130" xr:uid="{1545E949-3CFB-4382-AEEE-D1031EB03D5C}"/>
    <cellStyle name="Comma 2 10" xfId="19514" xr:uid="{EE5C5695-FB2F-4BEC-8F8C-7721424A0CC5}"/>
    <cellStyle name="Comma 2 11" xfId="24235" xr:uid="{1EEAD306-28EF-4440-93C9-7E0A86048F15}"/>
    <cellStyle name="Comma 2 12" xfId="28025" xr:uid="{3AA5610C-A6BD-4A09-BCC5-0B3B74F270E7}"/>
    <cellStyle name="Comma 2 2" xfId="131" xr:uid="{8D4742FE-5F36-42EE-9E62-3F23ABA43F36}"/>
    <cellStyle name="Comma 2 2 2" xfId="414" xr:uid="{32FFFB01-8755-4F19-9385-E2B560C7DBE5}"/>
    <cellStyle name="Comma 2 2 2 2" xfId="2236" xr:uid="{7A608FD2-1D6D-4234-A8F3-750AAC2B7DA3}"/>
    <cellStyle name="Comma 2 2 3" xfId="1958" xr:uid="{E80AB557-358F-4503-8C94-4C1A0ECB59B4}"/>
    <cellStyle name="Comma 2 3" xfId="923" xr:uid="{D60CE049-CFB1-4C7A-9DAC-457E1E114BC3}"/>
    <cellStyle name="Comma 2 4" xfId="1463" xr:uid="{949A2C60-3883-4AC2-9115-C45CDF789425}"/>
    <cellStyle name="Comma 2 5" xfId="1957" xr:uid="{C643EE7F-257D-4C7A-B5AA-7627116CD1BF}"/>
    <cellStyle name="Comma 2 6" xfId="6866" xr:uid="{7EB9EBD4-206C-4F66-BBAD-B8A5AD2C02D8}"/>
    <cellStyle name="Comma 2 7" xfId="9080" xr:uid="{D535097C-0D4D-4A9D-AD6A-7E45BFCC76F5}"/>
    <cellStyle name="Comma 2 8" xfId="11490" xr:uid="{D2C10E7F-D1DF-47E1-9C36-2ECC14D47B6B}"/>
    <cellStyle name="Comma 2 9" xfId="16182" xr:uid="{80317777-828B-4B2E-8D41-3BCFBB2FF38E}"/>
    <cellStyle name="Comma 3" xfId="132" xr:uid="{DDB661F3-7A5A-4975-8D54-BCFB2A9D6FB6}"/>
    <cellStyle name="Comma 3 10" xfId="24237" xr:uid="{96A0CDF0-7A78-484D-AB12-0A32D31CCBE3}"/>
    <cellStyle name="Comma 3 11" xfId="28027" xr:uid="{A545A1EE-CB44-461F-B999-FE0A41CE8108}"/>
    <cellStyle name="Comma 3 2" xfId="924" xr:uid="{D55083D6-E8BD-4C8D-B56D-F0E0969DBD81}"/>
    <cellStyle name="Comma 3 3" xfId="1464" xr:uid="{7F62A00C-0E51-467E-9861-585A9D696817}"/>
    <cellStyle name="Comma 3 4" xfId="1959" xr:uid="{82D4A9F3-684B-4CDF-A5D6-A0FDCE39C473}"/>
    <cellStyle name="Comma 3 5" xfId="6868" xr:uid="{255257EE-610A-4E2F-8FC2-45D6DCFDE30F}"/>
    <cellStyle name="Comma 3 6" xfId="9082" xr:uid="{AE662ED8-6EBF-4A7C-9A42-B653D3F91C72}"/>
    <cellStyle name="Comma 3 7" xfId="11492" xr:uid="{005220AD-4D2E-4E74-B65C-A6E1D9CF7646}"/>
    <cellStyle name="Comma 3 8" xfId="16184" xr:uid="{F5911185-3B88-4A90-A628-D32A03C43438}"/>
    <cellStyle name="Comma 3 9" xfId="19516" xr:uid="{B4785B31-D746-4E9D-8D94-6250FFEC6D4B}"/>
    <cellStyle name="Constants" xfId="4" xr:uid="{3CCE1965-6943-4F5D-9A24-F83BD0A893DB}"/>
    <cellStyle name="ContentsHyperlink" xfId="241" xr:uid="{4A22FF18-773C-47B9-A385-4EE9ACA9C243}"/>
    <cellStyle name="CustomCellsOrange" xfId="133" xr:uid="{1A991E50-DEC8-4118-8ADF-64EBCEC1BEAB}"/>
    <cellStyle name="CustomCellsOrange 2" xfId="415" xr:uid="{9AFDADCB-00DC-43D8-9232-ACF43DD5F108}"/>
    <cellStyle name="CustomCellsOrange 2 2" xfId="438" xr:uid="{0D54616B-9E66-41CC-9B39-BCEDA10FCF89}"/>
    <cellStyle name="CustomCellsOrange 2 2 10" xfId="3147" xr:uid="{6E31941D-A9DB-4700-9155-EABA6ED2A714}"/>
    <cellStyle name="CustomCellsOrange 2 2 11" xfId="3454" xr:uid="{5C2027A4-224F-4CC1-8567-A253539ECA5E}"/>
    <cellStyle name="CustomCellsOrange 2 2 12" xfId="1960" xr:uid="{8A1081A4-B62F-4F86-BD7C-3209BED86400}"/>
    <cellStyle name="CustomCellsOrange 2 2 13" xfId="4967" xr:uid="{465FA78D-25F0-4D2A-907D-5C97D20F6ED7}"/>
    <cellStyle name="CustomCellsOrange 2 2 14" xfId="5092" xr:uid="{1F540D35-74F3-4D0C-A9A5-31FC0C31A138}"/>
    <cellStyle name="CustomCellsOrange 2 2 15" xfId="4725" xr:uid="{110E4DED-6905-49EF-9DEF-9082FC44CAB4}"/>
    <cellStyle name="CustomCellsOrange 2 2 16" xfId="6255" xr:uid="{E8EFF6B9-F9F0-492E-9FD2-A1485F1E86E3}"/>
    <cellStyle name="CustomCellsOrange 2 2 17" xfId="6355" xr:uid="{687A1017-AC36-4138-9CB5-A0A75EEFA1FC}"/>
    <cellStyle name="CustomCellsOrange 2 2 18" xfId="7163" xr:uid="{9F6F2E24-6AB0-4526-90FC-5FA48CD2C2C1}"/>
    <cellStyle name="CustomCellsOrange 2 2 19" xfId="7892" xr:uid="{36FCC9A2-C66F-482E-B003-754C9F9B8859}"/>
    <cellStyle name="CustomCellsOrange 2 2 2" xfId="508" xr:uid="{8A5B0D91-8EC9-457C-94D8-8CF38409F24C}"/>
    <cellStyle name="CustomCellsOrange 2 2 2 2" xfId="674" xr:uid="{E3A04BFD-BA19-44DA-96EF-AC85439AFDB4}"/>
    <cellStyle name="CustomCellsOrange 2 2 2 2 10" xfId="3691" xr:uid="{FFD4A1C4-B5E6-4591-A868-95BF9B296256}"/>
    <cellStyle name="CustomCellsOrange 2 2 2 2 11" xfId="5322" xr:uid="{FB5B584C-5D0F-4088-917E-499C4813F280}"/>
    <cellStyle name="CustomCellsOrange 2 2 2 2 12" xfId="1962" xr:uid="{B18B450A-5CB7-4D43-925F-A815195596CC}"/>
    <cellStyle name="CustomCellsOrange 2 2 2 2 13" xfId="5859" xr:uid="{868B93F1-6D17-4408-B4C6-B37449B94678}"/>
    <cellStyle name="CustomCellsOrange 2 2 2 2 14" xfId="6594" xr:uid="{4899BAA7-ED2F-4772-A653-E854D4512CC4}"/>
    <cellStyle name="CustomCellsOrange 2 2 2 2 15" xfId="7394" xr:uid="{4CFDD71D-2F88-40B2-82D1-AFC0F4446B7B}"/>
    <cellStyle name="CustomCellsOrange 2 2 2 2 16" xfId="6856" xr:uid="{27A84936-110E-4E31-BDCB-2963A320E15B}"/>
    <cellStyle name="CustomCellsOrange 2 2 2 2 17" xfId="8209" xr:uid="{3C306671-A21C-4953-9D9D-D058AD140FEA}"/>
    <cellStyle name="CustomCellsOrange 2 2 2 2 18" xfId="8872" xr:uid="{8703945D-A7BD-4DD1-8F07-80ECCACC0E44}"/>
    <cellStyle name="CustomCellsOrange 2 2 2 2 19" xfId="9608" xr:uid="{D4BD7817-C058-4CFE-ACA5-907912D68155}"/>
    <cellStyle name="CustomCellsOrange 2 2 2 2 2" xfId="888" xr:uid="{45CA78C0-BC68-4867-B648-8689B09D4825}"/>
    <cellStyle name="CustomCellsOrange 2 2 2 2 2 10" xfId="5536" xr:uid="{A3E20407-C115-4360-A663-E38DAFAFBED4}"/>
    <cellStyle name="CustomCellsOrange 2 2 2 2 2 11" xfId="6030" xr:uid="{873FDF78-A059-42E2-876D-6E7D39952E4F}"/>
    <cellStyle name="CustomCellsOrange 2 2 2 2 2 12" xfId="6389" xr:uid="{C200CEA4-D2AC-4303-8A20-8A50DB3EFBF9}"/>
    <cellStyle name="CustomCellsOrange 2 2 2 2 2 13" xfId="6727" xr:uid="{87F1CC87-079A-4F8E-A90C-9B551D014A29}"/>
    <cellStyle name="CustomCellsOrange 2 2 2 2 2 14" xfId="7608" xr:uid="{EB94569C-BCDF-4AB4-8636-316DE819D31E}"/>
    <cellStyle name="CustomCellsOrange 2 2 2 2 2 15" xfId="8072" xr:uid="{CA9A553C-FFA9-4BC6-ABAE-6E92CC8AFC5F}"/>
    <cellStyle name="CustomCellsOrange 2 2 2 2 2 16" xfId="8681" xr:uid="{EBDD0EA7-6A36-4B32-8F82-8ABC4A904C6C}"/>
    <cellStyle name="CustomCellsOrange 2 2 2 2 2 17" xfId="8940" xr:uid="{5A0162B7-2A58-4224-902C-27127AA15753}"/>
    <cellStyle name="CustomCellsOrange 2 2 2 2 2 18" xfId="9822" xr:uid="{83FDBF7F-8A12-4B77-9574-E492E3601B1E}"/>
    <cellStyle name="CustomCellsOrange 2 2 2 2 2 19" xfId="10291" xr:uid="{A70E40D3-6F70-4AFA-AF00-B19D4DE9DA6B}"/>
    <cellStyle name="CustomCellsOrange 2 2 2 2 2 2" xfId="1362" xr:uid="{12A85A89-469A-4382-82E1-5D0F5E52683B}"/>
    <cellStyle name="CustomCellsOrange 2 2 2 2 2 20" xfId="10685" xr:uid="{960E7DEB-9E41-4485-B2FA-2940A58A2E7C}"/>
    <cellStyle name="CustomCellsOrange 2 2 2 2 2 21" xfId="11034" xr:uid="{C98EC479-4272-49EC-B534-86C892BBEEAA}"/>
    <cellStyle name="CustomCellsOrange 2 2 2 2 2 22" xfId="11344" xr:uid="{6FA34958-3F7B-4EB8-A7C3-2373FD408689}"/>
    <cellStyle name="CustomCellsOrange 2 2 2 2 2 23" xfId="12241" xr:uid="{AB453DBE-62F1-45D9-A1E6-091F7F8277AF}"/>
    <cellStyle name="CustomCellsOrange 2 2 2 2 2 24" xfId="12714" xr:uid="{7A38E12A-C7F6-45C9-8711-617212C65B17}"/>
    <cellStyle name="CustomCellsOrange 2 2 2 2 2 25" xfId="13148" xr:uid="{9F808DC0-519E-4995-A460-5211065F9956}"/>
    <cellStyle name="CustomCellsOrange 2 2 2 2 2 26" xfId="13585" xr:uid="{352BC34B-AFA4-4E65-A326-10A51AFE0850}"/>
    <cellStyle name="CustomCellsOrange 2 2 2 2 2 27" xfId="14057" xr:uid="{82333786-C4AD-43B4-89DE-98D9C1B26A03}"/>
    <cellStyle name="CustomCellsOrange 2 2 2 2 2 28" xfId="14504" xr:uid="{8B9A6957-ADC5-4A0E-9E93-90F2E4D8149B}"/>
    <cellStyle name="CustomCellsOrange 2 2 2 2 2 29" xfId="14938" xr:uid="{50927ACA-E85F-46D3-AFF7-00F0D95B38CF}"/>
    <cellStyle name="CustomCellsOrange 2 2 2 2 2 3" xfId="1811" xr:uid="{9A858654-C28C-4289-8BB6-82006280EE02}"/>
    <cellStyle name="CustomCellsOrange 2 2 2 2 2 30" xfId="15408" xr:uid="{EAC44225-8F73-4565-98F8-F42F60337F95}"/>
    <cellStyle name="CustomCellsOrange 2 2 2 2 2 31" xfId="15798" xr:uid="{F5C99A90-41A3-4A66-A45A-543589E14F8E}"/>
    <cellStyle name="CustomCellsOrange 2 2 2 2 2 32" xfId="16020" xr:uid="{9601BE27-16FA-4D6E-8DD6-9D62C72A50DF}"/>
    <cellStyle name="CustomCellsOrange 2 2 2 2 2 33" xfId="16933" xr:uid="{AA639C4B-35BA-4708-986F-6C182CAC320F}"/>
    <cellStyle name="CustomCellsOrange 2 2 2 2 2 34" xfId="17414" xr:uid="{D3457F64-7385-46CB-A363-6E755B45018A}"/>
    <cellStyle name="CustomCellsOrange 2 2 2 2 2 35" xfId="17855" xr:uid="{62BE8EA4-38AE-45E8-B659-55BC9C6A3E7F}"/>
    <cellStyle name="CustomCellsOrange 2 2 2 2 2 36" xfId="18330" xr:uid="{1F032905-EFA2-4F95-A64B-B9F3BEDAD588}"/>
    <cellStyle name="CustomCellsOrange 2 2 2 2 2 37" xfId="18751" xr:uid="{E8DA72FB-8571-4398-81B0-C4E78071E5C0}"/>
    <cellStyle name="CustomCellsOrange 2 2 2 2 2 38" xfId="19138" xr:uid="{CAADD1A3-44D6-43EA-B742-6011505E5AC2}"/>
    <cellStyle name="CustomCellsOrange 2 2 2 2 2 39" xfId="19368" xr:uid="{D917B6C8-7993-4ECD-8C71-3BCFDDE3D776}"/>
    <cellStyle name="CustomCellsOrange 2 2 2 2 2 4" xfId="2710" xr:uid="{CCEDA225-F4D0-4D35-802F-A55BD2FFFF13}"/>
    <cellStyle name="CustomCellsOrange 2 2 2 2 2 40" xfId="20270" xr:uid="{F6F9E642-A53D-4CBD-9D37-7CE9052B0313}"/>
    <cellStyle name="CustomCellsOrange 2 2 2 2 2 41" xfId="20763" xr:uid="{4B24E889-12ED-4BD8-87EB-A5C2289065C1}"/>
    <cellStyle name="CustomCellsOrange 2 2 2 2 2 42" xfId="21222" xr:uid="{CF5AC41E-4CE7-452D-8BB9-43BC78B452F5}"/>
    <cellStyle name="CustomCellsOrange 2 2 2 2 2 43" xfId="21714" xr:uid="{4D8D123C-11B6-460E-BBEF-10F52ED95D46}"/>
    <cellStyle name="CustomCellsOrange 2 2 2 2 2 44" xfId="22153" xr:uid="{5574DF2A-1197-4CBC-A1DC-38D4CB2B6034}"/>
    <cellStyle name="CustomCellsOrange 2 2 2 2 2 45" xfId="22580" xr:uid="{10A12547-4E01-4623-A86B-C4CAA21C9E15}"/>
    <cellStyle name="CustomCellsOrange 2 2 2 2 2 46" xfId="23025" xr:uid="{FE583638-5AE6-4CF1-98BA-7470BCEC6F3B}"/>
    <cellStyle name="CustomCellsOrange 2 2 2 2 2 47" xfId="23427" xr:uid="{01948586-6F76-47FD-BB7D-E54C89792874}"/>
    <cellStyle name="CustomCellsOrange 2 2 2 2 2 48" xfId="23690" xr:uid="{495F80CA-9FE7-47D6-B187-F3995A7925CB}"/>
    <cellStyle name="CustomCellsOrange 2 2 2 2 2 49" xfId="24070" xr:uid="{39AE2BC3-6EB3-4979-B7F6-9B99EE477BC1}"/>
    <cellStyle name="CustomCellsOrange 2 2 2 2 2 5" xfId="3230" xr:uid="{597687D4-A22E-4EC1-8D19-4912D4333B8D}"/>
    <cellStyle name="CustomCellsOrange 2 2 2 2 2 50" xfId="24978" xr:uid="{0F76CD6F-B32E-4F7D-9FA8-DDDE223DD326}"/>
    <cellStyle name="CustomCellsOrange 2 2 2 2 2 51" xfId="25466" xr:uid="{38A45135-4724-4FCC-ABA8-6767BA4220E5}"/>
    <cellStyle name="CustomCellsOrange 2 2 2 2 2 52" xfId="25894" xr:uid="{AA68FAAA-0E4D-4270-A5BB-61A8011363B9}"/>
    <cellStyle name="CustomCellsOrange 2 2 2 2 2 53" xfId="26332" xr:uid="{0E028DBB-2C45-4B81-BFAC-76350ACA2BAD}"/>
    <cellStyle name="CustomCellsOrange 2 2 2 2 2 54" xfId="26761" xr:uid="{43F51F19-2625-4E12-A04E-6273985FAD59}"/>
    <cellStyle name="CustomCellsOrange 2 2 2 2 2 55" xfId="27182" xr:uid="{433F508B-CBF4-4DE3-A893-F361BDD85A4C}"/>
    <cellStyle name="CustomCellsOrange 2 2 2 2 2 56" xfId="27601" xr:uid="{A9212E8F-1098-4272-829B-ABDC120314CD}"/>
    <cellStyle name="CustomCellsOrange 2 2 2 2 2 57" xfId="27839" xr:uid="{3EA052A7-A01F-4B5F-B934-39E18224B2BA}"/>
    <cellStyle name="CustomCellsOrange 2 2 2 2 2 58" xfId="28728" xr:uid="{73DB5139-C120-43A4-8B15-37BD588D32D5}"/>
    <cellStyle name="CustomCellsOrange 2 2 2 2 2 59" xfId="29195" xr:uid="{87DD31CC-F0C9-46DB-A384-1849E3AF0F8E}"/>
    <cellStyle name="CustomCellsOrange 2 2 2 2 2 6" xfId="3785" xr:uid="{224AA8CA-9FA9-4EB0-9BBB-52B749218BBF}"/>
    <cellStyle name="CustomCellsOrange 2 2 2 2 2 60" xfId="29577" xr:uid="{80975D5A-666B-4539-9AEB-72B6844405FE}"/>
    <cellStyle name="CustomCellsOrange 2 2 2 2 2 61" xfId="29984" xr:uid="{4EB43442-664F-49E9-8ADA-2AAC4C516BC8}"/>
    <cellStyle name="CustomCellsOrange 2 2 2 2 2 62" xfId="30390" xr:uid="{6F243B6E-D5C9-42AC-A6CE-04044A615CA3}"/>
    <cellStyle name="CustomCellsOrange 2 2 2 2 2 63" xfId="30807" xr:uid="{651F29A4-C8A7-4D2D-9719-BFD6C659BFE7}"/>
    <cellStyle name="CustomCellsOrange 2 2 2 2 2 64" xfId="31052" xr:uid="{94DF3A86-2BD6-470E-88A9-E1424136C7F9}"/>
    <cellStyle name="CustomCellsOrange 2 2 2 2 2 65" xfId="31423" xr:uid="{44DCF287-1A2F-4A05-956C-3DDBDCBA581B}"/>
    <cellStyle name="CustomCellsOrange 2 2 2 2 2 7" xfId="4206" xr:uid="{01CEF19E-DF8A-404B-8E56-656D40FEBC20}"/>
    <cellStyle name="CustomCellsOrange 2 2 2 2 2 8" xfId="4643" xr:uid="{258EA91E-F058-4E15-905E-AA3ADDDC20A8}"/>
    <cellStyle name="CustomCellsOrange 2 2 2 2 2 9" xfId="5089" xr:uid="{A4DF2F07-BEF3-4358-852E-EF6257960815}"/>
    <cellStyle name="CustomCellsOrange 2 2 2 2 20" xfId="9071" xr:uid="{13FE9BF7-9A53-42AD-827D-85D1FFE9C23A}"/>
    <cellStyle name="CustomCellsOrange 2 2 2 2 21" xfId="9397" xr:uid="{7D33CBF8-00CB-4B62-81DA-2ACDFE9D5B0F}"/>
    <cellStyle name="CustomCellsOrange 2 2 2 2 22" xfId="10439" xr:uid="{4C35591B-CE72-4052-AB7C-01A29AD766A5}"/>
    <cellStyle name="CustomCellsOrange 2 2 2 2 23" xfId="11244" xr:uid="{E1EBF53B-64D7-4769-8710-1B2899741778}"/>
    <cellStyle name="CustomCellsOrange 2 2 2 2 24" xfId="12027" xr:uid="{2843087E-B31A-42C1-902D-67F7AF09840A}"/>
    <cellStyle name="CustomCellsOrange 2 2 2 2 25" xfId="12500" xr:uid="{EF4565AF-C825-4C9D-8EA0-332D3BF499B5}"/>
    <cellStyle name="CustomCellsOrange 2 2 2 2 26" xfId="12934" xr:uid="{91908511-5A79-4904-A44F-DDC484C9D5F8}"/>
    <cellStyle name="CustomCellsOrange 2 2 2 2 27" xfId="13371" xr:uid="{513FAF63-95B3-4C51-A338-42E4E763A597}"/>
    <cellStyle name="CustomCellsOrange 2 2 2 2 28" xfId="11740" xr:uid="{8479D318-F2C7-45BA-91DD-A6B8FA3A52C1}"/>
    <cellStyle name="CustomCellsOrange 2 2 2 2 29" xfId="14300" xr:uid="{07DC8FF9-2D13-481A-AC72-FABCA90BFC89}"/>
    <cellStyle name="CustomCellsOrange 2 2 2 2 3" xfId="1156" xr:uid="{C44A1B28-4C4A-4653-AE9B-47CBE1A7FBD3}"/>
    <cellStyle name="CustomCellsOrange 2 2 2 2 30" xfId="13854" xr:uid="{FB4AA3B3-1100-43CB-ADA2-DB836F8566A2}"/>
    <cellStyle name="CustomCellsOrange 2 2 2 2 31" xfId="15244" xr:uid="{7CFF3C0F-BB7F-489E-8005-310ED732047C}"/>
    <cellStyle name="CustomCellsOrange 2 2 2 2 32" xfId="14221" xr:uid="{0FD6F18F-00DD-45B2-A158-71123ACE7370}"/>
    <cellStyle name="CustomCellsOrange 2 2 2 2 33" xfId="14444" xr:uid="{32994CE2-1363-469F-BAAA-4DD1C7EFED6B}"/>
    <cellStyle name="CustomCellsOrange 2 2 2 2 34" xfId="16719" xr:uid="{B6B38CEA-BD44-4BAC-A359-BFF4E59E70C9}"/>
    <cellStyle name="CustomCellsOrange 2 2 2 2 35" xfId="16172" xr:uid="{9CC21BCD-2D07-49C0-8B24-0C76A16F0E03}"/>
    <cellStyle name="CustomCellsOrange 2 2 2 2 36" xfId="17301" xr:uid="{19DD99DD-7376-4866-B867-72F5733C6914}"/>
    <cellStyle name="CustomCellsOrange 2 2 2 2 37" xfId="17573" xr:uid="{F8FBD2F0-7AC5-40CF-8604-BE0B21B338B0}"/>
    <cellStyle name="CustomCellsOrange 2 2 2 2 38" xfId="18537" xr:uid="{A9896193-0342-477A-8715-2C4B4391C21E}"/>
    <cellStyle name="CustomCellsOrange 2 2 2 2 39" xfId="19013" xr:uid="{ACC6AF2F-EF37-4CA9-8B32-526144560678}"/>
    <cellStyle name="CustomCellsOrange 2 2 2 2 4" xfId="1451" xr:uid="{EFB6391A-B16E-4FAB-96B5-E4AA9FE92EFA}"/>
    <cellStyle name="CustomCellsOrange 2 2 2 2 40" xfId="19150" xr:uid="{8AB47A8A-B0DC-4E37-8FD4-6F912A6CF9D1}"/>
    <cellStyle name="CustomCellsOrange 2 2 2 2 41" xfId="20056" xr:uid="{CD129021-8E33-4320-B726-DA2DE3A6B6B2}"/>
    <cellStyle name="CustomCellsOrange 2 2 2 2 42" xfId="19795" xr:uid="{797FE8E3-8D70-4D79-959F-EE66AABCE51B}"/>
    <cellStyle name="CustomCellsOrange 2 2 2 2 43" xfId="20435" xr:uid="{3798E28D-03AF-4B64-9140-E94D216D608A}"/>
    <cellStyle name="CustomCellsOrange 2 2 2 2 44" xfId="21047" xr:uid="{1C953BBF-43B6-4F6E-8276-227A90A10796}"/>
    <cellStyle name="CustomCellsOrange 2 2 2 2 45" xfId="21293" xr:uid="{A8671042-99D4-4310-AA41-ECBD4EBF7D39}"/>
    <cellStyle name="CustomCellsOrange 2 2 2 2 46" xfId="21956" xr:uid="{95233058-43FD-4241-9F05-4784FFD35CE8}"/>
    <cellStyle name="CustomCellsOrange 2 2 2 2 47" xfId="22595" xr:uid="{D852B25C-5065-4A11-844C-4F25364CC16B}"/>
    <cellStyle name="CustomCellsOrange 2 2 2 2 48" xfId="23293" xr:uid="{0EB3539B-8EF1-4496-B5EA-FC5FEF3B0D68}"/>
    <cellStyle name="CustomCellsOrange 2 2 2 2 49" xfId="22588" xr:uid="{88840D08-976D-4850-84F3-30007BD2FE8A}"/>
    <cellStyle name="CustomCellsOrange 2 2 2 2 5" xfId="2496" xr:uid="{86B926C0-9057-4F56-9BED-0210FE36ABC5}"/>
    <cellStyle name="CustomCellsOrange 2 2 2 2 50" xfId="23864" xr:uid="{4CC0E616-5A08-47B0-A5BE-E71DF981797D}"/>
    <cellStyle name="CustomCellsOrange 2 2 2 2 51" xfId="24764" xr:uid="{C19FB72E-10EB-402A-8884-355EEC477F16}"/>
    <cellStyle name="CustomCellsOrange 2 2 2 2 52" xfId="24504" xr:uid="{B81FF40F-F528-4DF7-97F9-AA71B209E154}"/>
    <cellStyle name="CustomCellsOrange 2 2 2 2 53" xfId="25682" xr:uid="{FE8002E3-6E23-4AC6-AF1F-28A627DFBEC3}"/>
    <cellStyle name="CustomCellsOrange 2 2 2 2 54" xfId="25901" xr:uid="{5AEBC64C-3AC9-4129-8E55-778870CDC059}"/>
    <cellStyle name="CustomCellsOrange 2 2 2 2 55" xfId="26594" xr:uid="{ACE4515C-1C58-450B-987D-5F3B0BD1EEC5}"/>
    <cellStyle name="CustomCellsOrange 2 2 2 2 56" xfId="26972" xr:uid="{042CF014-C4C7-46E4-932C-5F4F7E833093}"/>
    <cellStyle name="CustomCellsOrange 2 2 2 2 57" xfId="27391" xr:uid="{1974CD0C-9347-4435-8D02-A6020A638472}"/>
    <cellStyle name="CustomCellsOrange 2 2 2 2 58" xfId="27684" xr:uid="{72F626E3-B161-490F-AFF9-B201BA6016FD}"/>
    <cellStyle name="CustomCellsOrange 2 2 2 2 59" xfId="28514" xr:uid="{C962D1A4-3626-488F-A93E-5D98D2D503EF}"/>
    <cellStyle name="CustomCellsOrange 2 2 2 2 6" xfId="2752" xr:uid="{A234B42F-94B8-4221-B679-B44F78AB24A3}"/>
    <cellStyle name="CustomCellsOrange 2 2 2 2 60" xfId="28982" xr:uid="{2982303E-064A-4E91-BE74-B05BD4C1587B}"/>
    <cellStyle name="CustomCellsOrange 2 2 2 2 61" xfId="28074" xr:uid="{2EAF2D5E-B0BF-421A-9DBF-D22CCF9B2B9B}"/>
    <cellStyle name="CustomCellsOrange 2 2 2 2 62" xfId="29772" xr:uid="{9384E496-3A8B-4C9C-A933-95FDCA32973F}"/>
    <cellStyle name="CustomCellsOrange 2 2 2 2 63" xfId="30179" xr:uid="{0F3A89CA-8130-48E6-A10D-B8FEFC216CF3}"/>
    <cellStyle name="CustomCellsOrange 2 2 2 2 64" xfId="30594" xr:uid="{329A050F-E2D2-448B-A18E-79FEBB850994}"/>
    <cellStyle name="CustomCellsOrange 2 2 2 2 65" xfId="31018" xr:uid="{CE7CBCA4-9C0D-43C1-9F43-8BC8EBECC99A}"/>
    <cellStyle name="CustomCellsOrange 2 2 2 2 66" xfId="31217" xr:uid="{4941AB56-5274-4993-859A-6FFC8D2A3745}"/>
    <cellStyle name="CustomCellsOrange 2 2 2 2 7" xfId="2280" xr:uid="{42D60B16-B14A-4827-BFED-76E2F5D21051}"/>
    <cellStyle name="CustomCellsOrange 2 2 2 2 8" xfId="3992" xr:uid="{9AA3C87B-AE4F-4E38-8FB4-552B2275C36F}"/>
    <cellStyle name="CustomCellsOrange 2 2 2 2 9" xfId="4430" xr:uid="{A415DD5F-B8C9-4CE2-BF41-1417F495CC39}"/>
    <cellStyle name="CustomCellsOrange 2 2 20" xfId="7155" xr:uid="{E56A85D1-E102-4240-BB80-2A111FEE4FBF}"/>
    <cellStyle name="CustomCellsOrange 2 2 21" xfId="8534" xr:uid="{D4575E0F-3C62-4EF4-B649-3BE5926B10C3}"/>
    <cellStyle name="CustomCellsOrange 2 2 22" xfId="9378" xr:uid="{B79A9CCA-758A-4036-A8A0-86CA3099CC59}"/>
    <cellStyle name="CustomCellsOrange 2 2 23" xfId="10105" xr:uid="{6AD9786D-EC97-42AA-B0D7-FE0B8E636640}"/>
    <cellStyle name="CustomCellsOrange 2 2 24" xfId="10521" xr:uid="{92F4F127-9428-4747-9CC9-C6E5ACFC3712}"/>
    <cellStyle name="CustomCellsOrange 2 2 25" xfId="10835" xr:uid="{43B8C751-5092-435D-AC67-C2A14BA96516}"/>
    <cellStyle name="CustomCellsOrange 2 2 26" xfId="11200" xr:uid="{CC11B114-D912-4EDD-9C63-112EAB6536C4}"/>
    <cellStyle name="CustomCellsOrange 2 2 27" xfId="11791" xr:uid="{DAC30B05-F2CC-4D22-BDE5-BBA0D2BC8164}"/>
    <cellStyle name="CustomCellsOrange 2 2 28" xfId="12265" xr:uid="{7815CED1-0A32-4778-86FC-9ED48F450C9E}"/>
    <cellStyle name="CustomCellsOrange 2 2 29" xfId="11677" xr:uid="{EF279B7B-DDAD-41F9-910F-0D91FC9E604E}"/>
    <cellStyle name="CustomCellsOrange 2 2 3" xfId="657" xr:uid="{D2E2A9EA-EC87-404E-BA8F-C804C90F6EA5}"/>
    <cellStyle name="CustomCellsOrange 2 2 3 10" xfId="4698" xr:uid="{778D36D8-12FA-49A9-81EB-FDB0F6A5BBE8}"/>
    <cellStyle name="CustomCellsOrange 2 2 3 11" xfId="5305" xr:uid="{1A599C4B-D922-46FC-BFB7-32331033D659}"/>
    <cellStyle name="CustomCellsOrange 2 2 3 12" xfId="5106" xr:uid="{B677ECC6-BD44-48AA-818F-518B1094D246}"/>
    <cellStyle name="CustomCellsOrange 2 2 3 13" xfId="5917" xr:uid="{22A3A531-6FDC-41F9-BA32-98AC8F71ACF1}"/>
    <cellStyle name="CustomCellsOrange 2 2 3 14" xfId="6061" xr:uid="{B1062E85-AA1A-4587-A172-903B6606398F}"/>
    <cellStyle name="CustomCellsOrange 2 2 3 15" xfId="7377" xr:uid="{C5003167-1AD7-4382-83AA-F5BF35490B12}"/>
    <cellStyle name="CustomCellsOrange 2 2 3 16" xfId="7952" xr:uid="{6FC31ED5-83A1-4641-87E7-94F14942AC12}"/>
    <cellStyle name="CustomCellsOrange 2 2 3 17" xfId="8240" xr:uid="{EA5B1E57-7AE8-4718-8321-14B96C6A664B}"/>
    <cellStyle name="CustomCellsOrange 2 2 3 18" xfId="7876" xr:uid="{25212C36-D400-4899-A488-C63A35F41CF1}"/>
    <cellStyle name="CustomCellsOrange 2 2 3 19" xfId="9591" xr:uid="{47D1D9B2-6EFD-4814-B884-93373A36E562}"/>
    <cellStyle name="CustomCellsOrange 2 2 3 2" xfId="872" xr:uid="{F05925EB-DE48-40BB-A7C1-1CFCC0D631D3}"/>
    <cellStyle name="CustomCellsOrange 2 2 3 2 10" xfId="5520" xr:uid="{05B90FC5-DE61-441E-886F-2A78DB69D0F8}"/>
    <cellStyle name="CustomCellsOrange 2 2 3 2 11" xfId="6014" xr:uid="{90D8D485-26EC-436C-B224-9A0DBE73D947}"/>
    <cellStyle name="CustomCellsOrange 2 2 3 2 12" xfId="6373" xr:uid="{257E7FE5-57CB-42CD-900D-CD0109413E54}"/>
    <cellStyle name="CustomCellsOrange 2 2 3 2 13" xfId="6711" xr:uid="{C5C232B0-F945-4B7E-A8CC-291AA7DD38B5}"/>
    <cellStyle name="CustomCellsOrange 2 2 3 2 14" xfId="7592" xr:uid="{600C0D1D-6D1A-4DA4-9A73-F49EE424EA49}"/>
    <cellStyle name="CustomCellsOrange 2 2 3 2 15" xfId="8056" xr:uid="{FA0479DC-1725-48E6-80A1-3471A19E39DB}"/>
    <cellStyle name="CustomCellsOrange 2 2 3 2 16" xfId="8665" xr:uid="{0D599F45-69FD-41B9-A169-8D3459E489BF}"/>
    <cellStyle name="CustomCellsOrange 2 2 3 2 17" xfId="8924" xr:uid="{EEBDEFAD-9E8C-4054-AB48-2A73F50BE4D4}"/>
    <cellStyle name="CustomCellsOrange 2 2 3 2 18" xfId="9806" xr:uid="{F76EA555-9ED3-4ACD-9845-E7B4EEAF7332}"/>
    <cellStyle name="CustomCellsOrange 2 2 3 2 19" xfId="10275" xr:uid="{F7D27329-F254-4532-B690-7867314EA650}"/>
    <cellStyle name="CustomCellsOrange 2 2 3 2 2" xfId="1346" xr:uid="{4DFBB30B-974E-4D74-87B9-904E41DDA08D}"/>
    <cellStyle name="CustomCellsOrange 2 2 3 2 20" xfId="10669" xr:uid="{8EE9BB2D-C1B7-4F43-A695-05EB2D560F79}"/>
    <cellStyle name="CustomCellsOrange 2 2 3 2 21" xfId="11018" xr:uid="{BD2F0718-4ADF-4705-BFF9-6EF26C946F2C}"/>
    <cellStyle name="CustomCellsOrange 2 2 3 2 22" xfId="11328" xr:uid="{FAA731D3-1E57-40EF-9ED6-8F9A7FE47EB1}"/>
    <cellStyle name="CustomCellsOrange 2 2 3 2 23" xfId="12225" xr:uid="{332C028E-DE93-4932-A552-95C7D9778CBB}"/>
    <cellStyle name="CustomCellsOrange 2 2 3 2 24" xfId="12698" xr:uid="{5EBA2B67-7618-43C6-8606-289CF8E6AE87}"/>
    <cellStyle name="CustomCellsOrange 2 2 3 2 25" xfId="13132" xr:uid="{3805CF65-7831-4D79-8764-CADD001860B7}"/>
    <cellStyle name="CustomCellsOrange 2 2 3 2 26" xfId="13569" xr:uid="{E056A04C-C692-4189-8250-7D89EF846262}"/>
    <cellStyle name="CustomCellsOrange 2 2 3 2 27" xfId="14041" xr:uid="{761B016E-C81C-497D-AB85-8635BDE8AEF8}"/>
    <cellStyle name="CustomCellsOrange 2 2 3 2 28" xfId="14488" xr:uid="{B68805DA-D23E-4F90-8186-66E946078847}"/>
    <cellStyle name="CustomCellsOrange 2 2 3 2 29" xfId="14922" xr:uid="{6D7F05B3-87BB-4B61-90F3-8DD5B154A1E7}"/>
    <cellStyle name="CustomCellsOrange 2 2 3 2 3" xfId="1795" xr:uid="{CFF5F931-D2FC-4A2D-A5E9-86C07F5ED9DE}"/>
    <cellStyle name="CustomCellsOrange 2 2 3 2 30" xfId="15392" xr:uid="{22C9747F-E644-467D-ADE5-A235E4AE4FDE}"/>
    <cellStyle name="CustomCellsOrange 2 2 3 2 31" xfId="15782" xr:uid="{9F2FB7DE-9913-4071-A13A-06B07B6E3831}"/>
    <cellStyle name="CustomCellsOrange 2 2 3 2 32" xfId="16004" xr:uid="{AD00BB16-EB83-4377-B296-34A816F96E92}"/>
    <cellStyle name="CustomCellsOrange 2 2 3 2 33" xfId="16917" xr:uid="{1FDD40BF-E1DC-440B-8BEF-E32DE56252D5}"/>
    <cellStyle name="CustomCellsOrange 2 2 3 2 34" xfId="17398" xr:uid="{0C827235-9B27-47E0-A1C8-51763BCF98F0}"/>
    <cellStyle name="CustomCellsOrange 2 2 3 2 35" xfId="17839" xr:uid="{636B28A3-60E7-4259-B535-BAECBE83164C}"/>
    <cellStyle name="CustomCellsOrange 2 2 3 2 36" xfId="18314" xr:uid="{A9DC7CA7-EB03-480A-A701-FAA5A5EBA1E1}"/>
    <cellStyle name="CustomCellsOrange 2 2 3 2 37" xfId="18735" xr:uid="{E7B8985F-5BC0-45C2-9FE0-8E5E0264FC00}"/>
    <cellStyle name="CustomCellsOrange 2 2 3 2 38" xfId="19122" xr:uid="{78028E3F-DFA9-458C-93F6-DB1099FD6A37}"/>
    <cellStyle name="CustomCellsOrange 2 2 3 2 39" xfId="19352" xr:uid="{ED7AEF18-1FD4-4662-80A1-2E524D46F255}"/>
    <cellStyle name="CustomCellsOrange 2 2 3 2 4" xfId="2694" xr:uid="{C460351E-70A3-42A6-A551-079CE243CE2C}"/>
    <cellStyle name="CustomCellsOrange 2 2 3 2 40" xfId="20254" xr:uid="{E041568A-F911-44D7-B2F7-78A709143449}"/>
    <cellStyle name="CustomCellsOrange 2 2 3 2 41" xfId="20747" xr:uid="{9C5399CD-EB07-488C-A26B-306AFBA5D0C4}"/>
    <cellStyle name="CustomCellsOrange 2 2 3 2 42" xfId="21206" xr:uid="{73431D2C-C652-43A3-8298-636C71885C4C}"/>
    <cellStyle name="CustomCellsOrange 2 2 3 2 43" xfId="21698" xr:uid="{F15AF751-4946-4BAE-967D-1615D7BBA1F6}"/>
    <cellStyle name="CustomCellsOrange 2 2 3 2 44" xfId="22137" xr:uid="{B4B5D84A-C6AE-4149-AF00-9AF0A232438A}"/>
    <cellStyle name="CustomCellsOrange 2 2 3 2 45" xfId="22564" xr:uid="{838985E5-2A96-49B7-BDC0-0B658EC34B4B}"/>
    <cellStyle name="CustomCellsOrange 2 2 3 2 46" xfId="23009" xr:uid="{B9E007B9-F34E-40E9-B289-53DD415009BD}"/>
    <cellStyle name="CustomCellsOrange 2 2 3 2 47" xfId="23411" xr:uid="{36646B61-117B-48E0-A261-53A063D2483F}"/>
    <cellStyle name="CustomCellsOrange 2 2 3 2 48" xfId="23674" xr:uid="{E156C317-2834-4B93-9C70-8059770BC084}"/>
    <cellStyle name="CustomCellsOrange 2 2 3 2 49" xfId="24054" xr:uid="{076D0CED-A2D5-49CB-9983-9B4A1CF9CC47}"/>
    <cellStyle name="CustomCellsOrange 2 2 3 2 5" xfId="3214" xr:uid="{AC32A37E-37E9-4DA3-8CFB-38486AE4D578}"/>
    <cellStyle name="CustomCellsOrange 2 2 3 2 50" xfId="24962" xr:uid="{918C9F31-7F3A-4162-A669-FE406E3960F6}"/>
    <cellStyle name="CustomCellsOrange 2 2 3 2 51" xfId="25450" xr:uid="{545253D2-5816-4358-A92D-CAA3560C8B3B}"/>
    <cellStyle name="CustomCellsOrange 2 2 3 2 52" xfId="25878" xr:uid="{FD4DF3F2-9827-4E23-83E1-B69E4FE231AC}"/>
    <cellStyle name="CustomCellsOrange 2 2 3 2 53" xfId="26316" xr:uid="{A8372AE8-ED54-4CF8-B3CA-41AFEAAA4458}"/>
    <cellStyle name="CustomCellsOrange 2 2 3 2 54" xfId="26745" xr:uid="{FDDE0951-8A77-42B4-9BD4-387D8E0D1614}"/>
    <cellStyle name="CustomCellsOrange 2 2 3 2 55" xfId="27166" xr:uid="{242BABF1-4CCA-4AB8-9129-71E136FDAD44}"/>
    <cellStyle name="CustomCellsOrange 2 2 3 2 56" xfId="27585" xr:uid="{9C4AA0F4-27D2-4A68-9446-8A4C7328FB46}"/>
    <cellStyle name="CustomCellsOrange 2 2 3 2 57" xfId="26430" xr:uid="{BE48D5E9-C28A-429A-9FBA-29659D8A0477}"/>
    <cellStyle name="CustomCellsOrange 2 2 3 2 58" xfId="28712" xr:uid="{5678F878-6B4E-4471-9BE5-6DEDF6328C8E}"/>
    <cellStyle name="CustomCellsOrange 2 2 3 2 59" xfId="29179" xr:uid="{939BE0BE-1A2E-4C82-AB78-3429487F4EDD}"/>
    <cellStyle name="CustomCellsOrange 2 2 3 2 6" xfId="3769" xr:uid="{C4D73CB9-2E93-4116-8BDF-931A4CA050BB}"/>
    <cellStyle name="CustomCellsOrange 2 2 3 2 60" xfId="29561" xr:uid="{C0DBC52A-FE8D-435C-9ACD-E6496A92CB5A}"/>
    <cellStyle name="CustomCellsOrange 2 2 3 2 61" xfId="29968" xr:uid="{B691524F-C0C7-4016-B1C8-C2F9D6449876}"/>
    <cellStyle name="CustomCellsOrange 2 2 3 2 62" xfId="30374" xr:uid="{91BE54E9-DE81-4461-85E0-7943B13ED351}"/>
    <cellStyle name="CustomCellsOrange 2 2 3 2 63" xfId="30791" xr:uid="{D736BE2D-1A78-4B2F-B311-3E57767B9757}"/>
    <cellStyle name="CustomCellsOrange 2 2 3 2 64" xfId="31036" xr:uid="{3ECE0572-2876-4562-A34D-31F3F547D4A3}"/>
    <cellStyle name="CustomCellsOrange 2 2 3 2 65" xfId="31407" xr:uid="{5C1D488A-72F7-45D1-BCCA-66091A27F99B}"/>
    <cellStyle name="CustomCellsOrange 2 2 3 2 7" xfId="4190" xr:uid="{1E368DF1-E8DD-4AE9-8A06-A4236C1B0AFF}"/>
    <cellStyle name="CustomCellsOrange 2 2 3 2 8" xfId="4627" xr:uid="{DC899D9F-326F-47D8-AABF-F96FA018A380}"/>
    <cellStyle name="CustomCellsOrange 2 2 3 2 9" xfId="5073" xr:uid="{292CDCB0-B439-4F31-81AA-05B5BB3098E3}"/>
    <cellStyle name="CustomCellsOrange 2 2 3 20" xfId="10167" xr:uid="{7D8E33D5-DD54-49A9-8A00-01E61E0F37C1}"/>
    <cellStyle name="CustomCellsOrange 2 2 3 21" xfId="10574" xr:uid="{931B7403-6722-4899-9D52-DF2FAA3BAB9A}"/>
    <cellStyle name="CustomCellsOrange 2 2 3 22" xfId="9937" xr:uid="{921F7FB0-7318-4100-BD10-EC7BE8C88F9F}"/>
    <cellStyle name="CustomCellsOrange 2 2 3 23" xfId="11052" xr:uid="{F4831EAA-DEE8-4E74-A461-C1E7C893C12D}"/>
    <cellStyle name="CustomCellsOrange 2 2 3 24" xfId="12010" xr:uid="{5E2520CD-3599-4D03-A99B-8101BC602FB7}"/>
    <cellStyle name="CustomCellsOrange 2 2 3 25" xfId="12483" xr:uid="{1D190AFD-F4FF-496F-9972-9271704213E8}"/>
    <cellStyle name="CustomCellsOrange 2 2 3 26" xfId="12917" xr:uid="{01E69A65-A2E9-4EB3-8B29-7A78C453CFB6}"/>
    <cellStyle name="CustomCellsOrange 2 2 3 27" xfId="13354" xr:uid="{080D2DE2-176C-401A-A17D-4208CDAD2CBA}"/>
    <cellStyle name="CustomCellsOrange 2 2 3 28" xfId="12724" xr:uid="{212D060F-D163-43F7-8E08-DEB3A249D9C7}"/>
    <cellStyle name="CustomCellsOrange 2 2 3 29" xfId="14400" xr:uid="{4F2FE0C2-6864-416A-B639-40C6FEDF26F8}"/>
    <cellStyle name="CustomCellsOrange 2 2 3 3" xfId="1140" xr:uid="{80085533-0DCA-4411-B05D-EDB63702C67C}"/>
    <cellStyle name="CustomCellsOrange 2 2 3 30" xfId="14815" xr:uid="{290DBB16-6E6A-4580-97AD-789C0E99E3E3}"/>
    <cellStyle name="CustomCellsOrange 2 2 3 31" xfId="14661" xr:uid="{84AFFA7B-CC40-486B-A920-D7CF7A50C919}"/>
    <cellStyle name="CustomCellsOrange 2 2 3 32" xfId="15217" xr:uid="{1DE8AF52-E76F-45E9-9E0F-52210EECBE20}"/>
    <cellStyle name="CustomCellsOrange 2 2 3 33" xfId="15943" xr:uid="{4CAD695A-CD3C-4A9D-ACFF-92F9AD335636}"/>
    <cellStyle name="CustomCellsOrange 2 2 3 34" xfId="16702" xr:uid="{7E1AC7C3-4401-4A5D-AB98-4E2ABEE1A913}"/>
    <cellStyle name="CustomCellsOrange 2 2 3 35" xfId="17287" xr:uid="{9518DF0F-2C1E-4873-9866-BAD464C9EDE2}"/>
    <cellStyle name="CustomCellsOrange 2 2 3 36" xfId="17730" xr:uid="{FE79F464-D49A-407E-A416-A32A49CAF475}"/>
    <cellStyle name="CustomCellsOrange 2 2 3 37" xfId="17755" xr:uid="{03EEF923-D0C1-4A6B-A093-B11CEC2889F1}"/>
    <cellStyle name="CustomCellsOrange 2 2 3 38" xfId="18520" xr:uid="{0E215852-448E-49D2-8510-7DE9D8674F58}"/>
    <cellStyle name="CustomCellsOrange 2 2 3 39" xfId="18007" xr:uid="{2456AFB9-A1DD-4359-958B-1D120B5CD0B1}"/>
    <cellStyle name="CustomCellsOrange 2 2 3 4" xfId="1631" xr:uid="{492C5FA0-02EA-45B4-A173-E3EAF320DB5F}"/>
    <cellStyle name="CustomCellsOrange 2 2 3 40" xfId="17130" xr:uid="{99CF67A6-38EA-48F8-898B-FEF0EB71B21B}"/>
    <cellStyle name="CustomCellsOrange 2 2 3 41" xfId="20039" xr:uid="{5DF8E9F3-1CB4-4733-98E5-FC12FC6CA9A8}"/>
    <cellStyle name="CustomCellsOrange 2 2 3 42" xfId="20637" xr:uid="{B9971B41-D692-4F1B-82B4-5DA79FCA4F03}"/>
    <cellStyle name="CustomCellsOrange 2 2 3 43" xfId="21093" xr:uid="{282B39D1-E284-4C4B-BBDB-B964FD2EA4B6}"/>
    <cellStyle name="CustomCellsOrange 2 2 3 44" xfId="20853" xr:uid="{889E344A-1A88-4CC0-9FEC-684B4F90F27E}"/>
    <cellStyle name="CustomCellsOrange 2 2 3 45" xfId="22024" xr:uid="{5CBFD152-9A76-4D14-9718-3E2BBC6249E8}"/>
    <cellStyle name="CustomCellsOrange 2 2 3 46" xfId="22454" xr:uid="{05817390-F3C4-4594-95F8-C18C6D0AC0CE}"/>
    <cellStyle name="CustomCellsOrange 2 2 3 47" xfId="22283" xr:uid="{6A69F9BD-2EE0-4F6F-9E28-E69A3D3159C6}"/>
    <cellStyle name="CustomCellsOrange 2 2 3 48" xfId="21486" xr:uid="{5C630585-5814-49CC-A6AC-0A340A71C5E0}"/>
    <cellStyle name="CustomCellsOrange 2 2 3 49" xfId="23142" xr:uid="{00120596-FB94-44DC-B842-3DFF754A95E1}"/>
    <cellStyle name="CustomCellsOrange 2 2 3 5" xfId="2479" xr:uid="{3421FB4D-EB4A-44F3-87FF-5D335BC6CA95}"/>
    <cellStyle name="CustomCellsOrange 2 2 3 50" xfId="23848" xr:uid="{BD5AD4FD-7F1A-4FAF-AEB7-902AF526A250}"/>
    <cellStyle name="CustomCellsOrange 2 2 3 51" xfId="24747" xr:uid="{81072DCA-01A6-4938-8F8B-006BA4D9F94F}"/>
    <cellStyle name="CustomCellsOrange 2 2 3 52" xfId="25341" xr:uid="{FA1E6213-15C2-4172-BF06-D71C8E0D6AA8}"/>
    <cellStyle name="CustomCellsOrange 2 2 3 53" xfId="25665" xr:uid="{ADF348E4-8E0D-4215-B793-A505FB3C480F}"/>
    <cellStyle name="CustomCellsOrange 2 2 3 54" xfId="25083" xr:uid="{6C08AB55-313F-41EA-839D-DCE6E5BB1BEA}"/>
    <cellStyle name="CustomCellsOrange 2 2 3 55" xfId="26619" xr:uid="{95D46815-5056-49F4-89B1-42EF0A0FCF55}"/>
    <cellStyle name="CustomCellsOrange 2 2 3 56" xfId="26955" xr:uid="{DCA3EB71-B2F4-44CD-828E-40057031FF36}"/>
    <cellStyle name="CustomCellsOrange 2 2 3 57" xfId="27374" xr:uid="{C950274F-7E68-4A23-87CE-7045798FBA73}"/>
    <cellStyle name="CustomCellsOrange 2 2 3 58" xfId="24292" xr:uid="{026873D1-4850-4BCB-B1E1-C1088A11BF88}"/>
    <cellStyle name="CustomCellsOrange 2 2 3 59" xfId="28497" xr:uid="{190CAE88-666C-47B3-8793-C01F985648C4}"/>
    <cellStyle name="CustomCellsOrange 2 2 3 6" xfId="1947" xr:uid="{64609208-ED27-4DC3-9889-ADAD9859898B}"/>
    <cellStyle name="CustomCellsOrange 2 2 3 60" xfId="28965" xr:uid="{74443D63-8E0F-4DC1-9ED1-78F45171DE56}"/>
    <cellStyle name="CustomCellsOrange 2 2 3 61" xfId="29465" xr:uid="{9545A96D-F777-4139-AD5E-C22145A32626}"/>
    <cellStyle name="CustomCellsOrange 2 2 3 62" xfId="29755" xr:uid="{CA371969-9462-45D8-A660-A14E16CD2B11}"/>
    <cellStyle name="CustomCellsOrange 2 2 3 63" xfId="30163" xr:uid="{BB31F3B5-05B9-454B-A95C-0DAF03575211}"/>
    <cellStyle name="CustomCellsOrange 2 2 3 64" xfId="30577" xr:uid="{268A5388-5E05-4FBC-A4C2-1360C814D950}"/>
    <cellStyle name="CustomCellsOrange 2 2 3 65" xfId="31008" xr:uid="{49A296F2-5E5E-4540-AEB7-E00BD114F092}"/>
    <cellStyle name="CustomCellsOrange 2 2 3 66" xfId="31201" xr:uid="{D3583479-88C0-44B8-A892-FAA82CE8EFDC}"/>
    <cellStyle name="CustomCellsOrange 2 2 3 7" xfId="2839" xr:uid="{30EBFAC3-F013-4680-A2D8-18DFD902C85D}"/>
    <cellStyle name="CustomCellsOrange 2 2 3 8" xfId="3975" xr:uid="{FF8BA923-EE89-4033-B18F-81B25B71D1A3}"/>
    <cellStyle name="CustomCellsOrange 2 2 3 9" xfId="4413" xr:uid="{1812D317-AE8D-429A-BE53-D8810D5D50D6}"/>
    <cellStyle name="CustomCellsOrange 2 2 30" xfId="12319" xr:uid="{C2DF9492-E2C9-4C0C-971E-DE9BA40B2AB3}"/>
    <cellStyle name="CustomCellsOrange 2 2 31" xfId="13873" xr:uid="{9C6069FC-4726-488D-9284-E2DE58B3B1D5}"/>
    <cellStyle name="CustomCellsOrange 2 2 32" xfId="14182" xr:uid="{CD2B44E5-24AC-41A2-9961-E8DA0855AFF0}"/>
    <cellStyle name="CustomCellsOrange 2 2 33" xfId="14583" xr:uid="{30950300-DC17-46D9-B77E-C293FDD068ED}"/>
    <cellStyle name="CustomCellsOrange 2 2 34" xfId="14110" xr:uid="{7BD5484E-F886-486C-B6C0-A9DD6B6005A1}"/>
    <cellStyle name="CustomCellsOrange 2 2 35" xfId="15676" xr:uid="{643F89C4-BDAD-4BBD-9915-0F5FEBEBB649}"/>
    <cellStyle name="CustomCellsOrange 2 2 36" xfId="15915" xr:uid="{F4EA3D7B-8072-4E5D-93FF-54DCDB2E8BC6}"/>
    <cellStyle name="CustomCellsOrange 2 2 37" xfId="16484" xr:uid="{075D52EC-98AB-42F0-A18F-D21DD518A716}"/>
    <cellStyle name="CustomCellsOrange 2 2 38" xfId="17224" xr:uid="{54936FFB-EE12-4B40-89E9-C6A0A2A59560}"/>
    <cellStyle name="CustomCellsOrange 2 2 39" xfId="17669" xr:uid="{D628E7A4-0CFC-497C-97FB-EB3440C131B6}"/>
    <cellStyle name="CustomCellsOrange 2 2 4" xfId="575" xr:uid="{34248D70-35E3-40BD-893D-E0F5236443BA}"/>
    <cellStyle name="CustomCellsOrange 2 2 4 10" xfId="4873" xr:uid="{12C03134-552F-4333-8CFC-1F29325B3167}"/>
    <cellStyle name="CustomCellsOrange 2 2 4 11" xfId="5223" xr:uid="{5833B7CC-8648-4F75-8A64-D84D31B1BB01}"/>
    <cellStyle name="CustomCellsOrange 2 2 4 12" xfId="4941" xr:uid="{A5878704-9431-412B-9D00-0F4FCEE9E9F7}"/>
    <cellStyle name="CustomCellsOrange 2 2 4 13" xfId="6258" xr:uid="{977687FE-EC69-498C-BFF0-15365F5B2086}"/>
    <cellStyle name="CustomCellsOrange 2 2 4 14" xfId="6546" xr:uid="{F2DE0A7C-DE9F-489C-9846-6098564E418F}"/>
    <cellStyle name="CustomCellsOrange 2 2 4 15" xfId="7295" xr:uid="{3D961192-DBAC-41C0-AB8E-C930BA6AB961}"/>
    <cellStyle name="CustomCellsOrange 2 2 4 16" xfId="7159" xr:uid="{CEC36FA7-EA1C-44D1-B546-0C381240426A}"/>
    <cellStyle name="CustomCellsOrange 2 2 4 17" xfId="8382" xr:uid="{C6D51FD9-5F1D-4221-A91A-911B31D92DFD}"/>
    <cellStyle name="CustomCellsOrange 2 2 4 18" xfId="8759" xr:uid="{4FB94E24-919E-4002-BC9D-809D65AD09D3}"/>
    <cellStyle name="CustomCellsOrange 2 2 4 19" xfId="9509" xr:uid="{5AAB6F7B-9DE0-4AEC-B9EA-7347AC8B2937}"/>
    <cellStyle name="CustomCellsOrange 2 2 4 2" xfId="790" xr:uid="{14B1C7DB-95F8-4D4F-A7C3-0F66A89608B2}"/>
    <cellStyle name="CustomCellsOrange 2 2 4 2 10" xfId="5438" xr:uid="{AA9C0180-F88D-4674-A8C8-28D935A3C665}"/>
    <cellStyle name="CustomCellsOrange 2 2 4 2 11" xfId="4763" xr:uid="{68B9A3DF-0508-4AF3-91C0-3691F9019EE4}"/>
    <cellStyle name="CustomCellsOrange 2 2 4 2 12" xfId="4714" xr:uid="{C5EAD731-AAAB-4722-8926-1ABD584F749E}"/>
    <cellStyle name="CustomCellsOrange 2 2 4 2 13" xfId="5643" xr:uid="{C58DF9F2-EAB0-4472-931F-AA5228731022}"/>
    <cellStyle name="CustomCellsOrange 2 2 4 2 14" xfId="7510" xr:uid="{2C9FB46A-3CC7-422A-A2FA-D29678EC25AC}"/>
    <cellStyle name="CustomCellsOrange 2 2 4 2 15" xfId="6979" xr:uid="{8D1E7ED5-FC18-4924-B2E9-ACEC38AB47C8}"/>
    <cellStyle name="CustomCellsOrange 2 2 4 2 16" xfId="7700" xr:uid="{8E723FA8-FD96-4E5A-92A6-CD3E90755D40}"/>
    <cellStyle name="CustomCellsOrange 2 2 4 2 17" xfId="7022" xr:uid="{69E23425-6408-4859-9F82-8710C3FBDFAE}"/>
    <cellStyle name="CustomCellsOrange 2 2 4 2 18" xfId="9724" xr:uid="{89473274-7208-42A3-8709-DC5AFBD414D8}"/>
    <cellStyle name="CustomCellsOrange 2 2 4 2 19" xfId="9320" xr:uid="{8C17BD26-83AA-4D8F-B816-1BB2D3E9DC32}"/>
    <cellStyle name="CustomCellsOrange 2 2 4 2 2" xfId="1264" xr:uid="{14A01E9C-E057-46AA-AD72-7EB34C6F3AD6}"/>
    <cellStyle name="CustomCellsOrange 2 2 4 2 20" xfId="9351" xr:uid="{C76D7183-7AAA-4E15-807C-6252A2274F99}"/>
    <cellStyle name="CustomCellsOrange 2 2 4 2 21" xfId="9102" xr:uid="{0B601D98-0FB7-47E6-A6E4-E5E5CC24355E}"/>
    <cellStyle name="CustomCellsOrange 2 2 4 2 22" xfId="10624" xr:uid="{D482800F-FF5F-459D-AEEB-991508FEE103}"/>
    <cellStyle name="CustomCellsOrange 2 2 4 2 23" xfId="12143" xr:uid="{03012D64-04A2-4856-8B1F-6424AB3C2A44}"/>
    <cellStyle name="CustomCellsOrange 2 2 4 2 24" xfId="12616" xr:uid="{AE40BA65-35F0-4319-85AB-F6E941434894}"/>
    <cellStyle name="CustomCellsOrange 2 2 4 2 25" xfId="13050" xr:uid="{0702B7D8-F120-46BA-AD27-F90F0022022A}"/>
    <cellStyle name="CustomCellsOrange 2 2 4 2 26" xfId="13487" xr:uid="{3996DE2F-FFEF-4FAC-AAA8-E58314F5EE75}"/>
    <cellStyle name="CustomCellsOrange 2 2 4 2 27" xfId="12953" xr:uid="{67E0DD02-C0DE-4339-B9ED-819C9CAD5774}"/>
    <cellStyle name="CustomCellsOrange 2 2 4 2 28" xfId="13189" xr:uid="{1504EB35-ADAD-44A6-AE2B-4EBF0FC16F29}"/>
    <cellStyle name="CustomCellsOrange 2 2 4 2 29" xfId="11551" xr:uid="{6E98D637-696E-4335-BC3C-BE56B6415C82}"/>
    <cellStyle name="CustomCellsOrange 2 2 4 2 3" xfId="1507" xr:uid="{C2B80DD7-3924-4E63-B091-C2C7076A10BB}"/>
    <cellStyle name="CustomCellsOrange 2 2 4 2 30" xfId="15296" xr:uid="{21277B97-9C14-4269-BBBE-67ADC8133675}"/>
    <cellStyle name="CustomCellsOrange 2 2 4 2 31" xfId="15452" xr:uid="{AF0416F2-FB94-4562-B8D1-25522765AA9D}"/>
    <cellStyle name="CustomCellsOrange 2 2 4 2 32" xfId="15612" xr:uid="{C5C51B25-6303-4FE3-9C71-5858ECB629FE}"/>
    <cellStyle name="CustomCellsOrange 2 2 4 2 33" xfId="16835" xr:uid="{60C9BA54-35BA-4FD0-BF6C-AB107AB3EC17}"/>
    <cellStyle name="CustomCellsOrange 2 2 4 2 34" xfId="16299" xr:uid="{CFCDAA09-4A8E-4865-89BF-389D30AFA4C9}"/>
    <cellStyle name="CustomCellsOrange 2 2 4 2 35" xfId="16188" xr:uid="{F5F2AECC-7721-42FC-8B2A-13B3C4F1B272}"/>
    <cellStyle name="CustomCellsOrange 2 2 4 2 36" xfId="16491" xr:uid="{32361E7E-BCA0-42D5-9B9D-807EDD86130B}"/>
    <cellStyle name="CustomCellsOrange 2 2 4 2 37" xfId="18653" xr:uid="{9594C260-949C-45C4-B32B-79EC0B00859A}"/>
    <cellStyle name="CustomCellsOrange 2 2 4 2 38" xfId="17975" xr:uid="{C2DCB1F3-8697-4690-8530-3C1A54C3C2BA}"/>
    <cellStyle name="CustomCellsOrange 2 2 4 2 39" xfId="18308" xr:uid="{0B1C76FA-E952-4F03-B738-5C1216A2965F}"/>
    <cellStyle name="CustomCellsOrange 2 2 4 2 4" xfId="2612" xr:uid="{88BDDDFA-46A1-41B9-B312-9B29E0B9ADCC}"/>
    <cellStyle name="CustomCellsOrange 2 2 4 2 40" xfId="20172" xr:uid="{B8B308A5-2FD2-4C6A-A848-35145072A8FD}"/>
    <cellStyle name="CustomCellsOrange 2 2 4 2 41" xfId="19379" xr:uid="{382B1F46-2C42-4124-92C5-0E7CBC8F728D}"/>
    <cellStyle name="CustomCellsOrange 2 2 4 2 42" xfId="20288" xr:uid="{2A5A72ED-596A-4DC3-BA58-B66C75EF202A}"/>
    <cellStyle name="CustomCellsOrange 2 2 4 2 43" xfId="21423" xr:uid="{6B328DB8-BBFD-478F-B09C-8EC7633F1E6B}"/>
    <cellStyle name="CustomCellsOrange 2 2 4 2 44" xfId="21617" xr:uid="{5BA03790-FF2E-4ABE-B42A-CBD8641C255A}"/>
    <cellStyle name="CustomCellsOrange 2 2 4 2 45" xfId="21677" xr:uid="{8B9815B2-600E-4959-897A-4964653F65EE}"/>
    <cellStyle name="CustomCellsOrange 2 2 4 2 46" xfId="22350" xr:uid="{0FCAC946-A032-45C6-B902-6E46444CAD20}"/>
    <cellStyle name="CustomCellsOrange 2 2 4 2 47" xfId="22799" xr:uid="{47D0064C-AE79-41B7-99E7-13D7AE58DC14}"/>
    <cellStyle name="CustomCellsOrange 2 2 4 2 48" xfId="23154" xr:uid="{BD5D3BFF-38B4-4B6F-9D0D-8AE6E3EE8A13}"/>
    <cellStyle name="CustomCellsOrange 2 2 4 2 49" xfId="23972" xr:uid="{E8ACCB52-9593-41C7-841B-46678FE6B23F}"/>
    <cellStyle name="CustomCellsOrange 2 2 4 2 5" xfId="2143" xr:uid="{FCEEB548-D333-4217-A301-190DDA159851}"/>
    <cellStyle name="CustomCellsOrange 2 2 4 2 50" xfId="24880" xr:uid="{0EC5871F-2C4D-4B33-B6DF-04C230C12D59}"/>
    <cellStyle name="CustomCellsOrange 2 2 4 2 51" xfId="24187" xr:uid="{29FA2488-7218-4DDE-898F-F5F93546E289}"/>
    <cellStyle name="CustomCellsOrange 2 2 4 2 52" xfId="25796" xr:uid="{6BF25F9C-1E3D-4BF0-928A-C790B7FCB98F}"/>
    <cellStyle name="CustomCellsOrange 2 2 4 2 53" xfId="25473" xr:uid="{486FED01-5AD2-475D-A549-3697CDDF6774}"/>
    <cellStyle name="CustomCellsOrange 2 2 4 2 54" xfId="24522" xr:uid="{F76865AC-5AC5-4BD0-970C-8A289EBE22AD}"/>
    <cellStyle name="CustomCellsOrange 2 2 4 2 55" xfId="27084" xr:uid="{AF888000-6A2D-439A-A7EA-211D72D80924}"/>
    <cellStyle name="CustomCellsOrange 2 2 4 2 56" xfId="27503" xr:uid="{B15677B7-AF64-467A-B2F2-2B15960977E3}"/>
    <cellStyle name="CustomCellsOrange 2 2 4 2 57" xfId="26195" xr:uid="{825AD948-7C2A-448F-A65A-48BB066DAE6D}"/>
    <cellStyle name="CustomCellsOrange 2 2 4 2 58" xfId="28630" xr:uid="{BBCF6B72-A1AD-46FE-8C7C-A7B67C6F4173}"/>
    <cellStyle name="CustomCellsOrange 2 2 4 2 59" xfId="29097" xr:uid="{D29B7284-E6A2-4DA8-963D-7BE5115D4192}"/>
    <cellStyle name="CustomCellsOrange 2 2 4 2 6" xfId="2080" xr:uid="{F2FC0610-6631-4B73-AB29-F42C19E00DE4}"/>
    <cellStyle name="CustomCellsOrange 2 2 4 2 60" xfId="28226" xr:uid="{297A68A0-ED95-4270-86EF-F65918DD1CDB}"/>
    <cellStyle name="CustomCellsOrange 2 2 4 2 61" xfId="29886" xr:uid="{D28DCB15-185D-42FA-9BB2-2C2824EB3299}"/>
    <cellStyle name="CustomCellsOrange 2 2 4 2 62" xfId="30292" xr:uid="{267550ED-631D-4B83-AD6A-238BF55687CA}"/>
    <cellStyle name="CustomCellsOrange 2 2 4 2 63" xfId="30709" xr:uid="{22173065-534B-4DF2-A13E-9AFF2E26010D}"/>
    <cellStyle name="CustomCellsOrange 2 2 4 2 64" xfId="30885" xr:uid="{1DAE57B0-FC4E-418C-93CB-5963F83FDB32}"/>
    <cellStyle name="CustomCellsOrange 2 2 4 2 65" xfId="31325" xr:uid="{0C024517-0C98-4E4F-9FE6-6D002E98BA02}"/>
    <cellStyle name="CustomCellsOrange 2 2 4 2 7" xfId="4108" xr:uid="{50B4AD53-7327-4AD9-9F06-E016B9D12166}"/>
    <cellStyle name="CustomCellsOrange 2 2 4 2 8" xfId="4545" xr:uid="{540B5C5F-FBF4-497C-8E14-EA5CB95E7CDD}"/>
    <cellStyle name="CustomCellsOrange 2 2 4 2 9" xfId="1921" xr:uid="{899ADCD1-184F-401D-B398-AD1227437DD4}"/>
    <cellStyle name="CustomCellsOrange 2 2 4 20" xfId="9374" xr:uid="{A9301209-B9E0-4773-8828-B0BC9B29751E}"/>
    <cellStyle name="CustomCellsOrange 2 2 4 21" xfId="9026" xr:uid="{4E465C32-17D3-434A-8F99-FCF0EE98FFAF}"/>
    <cellStyle name="CustomCellsOrange 2 2 4 22" xfId="9334" xr:uid="{A642D948-707B-48CF-80A6-015048B124F4}"/>
    <cellStyle name="CustomCellsOrange 2 2 4 23" xfId="10349" xr:uid="{7B8B0F49-359B-4095-8447-6C0758A8C9E9}"/>
    <cellStyle name="CustomCellsOrange 2 2 4 24" xfId="11928" xr:uid="{9116D4EC-CE5B-4A92-8718-FEABD2F83ABA}"/>
    <cellStyle name="CustomCellsOrange 2 2 4 25" xfId="12401" xr:uid="{9791813D-EC4B-48FD-87C7-55966A622C59}"/>
    <cellStyle name="CustomCellsOrange 2 2 4 26" xfId="12835" xr:uid="{C6C7F09D-9553-42CF-BCE6-75F4E4D68E6F}"/>
    <cellStyle name="CustomCellsOrange 2 2 4 27" xfId="13272" xr:uid="{CE549301-5063-4A49-87A7-F5020A900373}"/>
    <cellStyle name="CustomCellsOrange 2 2 4 28" xfId="13759" xr:uid="{098163AC-ECD4-4CB1-85DB-DFDAA95C28D8}"/>
    <cellStyle name="CustomCellsOrange 2 2 4 29" xfId="14365" xr:uid="{1289188B-59F9-4FCB-A403-5D3440E3BBC2}"/>
    <cellStyle name="CustomCellsOrange 2 2 4 3" xfId="1058" xr:uid="{356EAA67-41E0-4492-A889-E884B1D3DED3}"/>
    <cellStyle name="CustomCellsOrange 2 2 4 30" xfId="14737" xr:uid="{5E6319C4-9910-481F-AC39-3451505C5798}"/>
    <cellStyle name="CustomCellsOrange 2 2 4 31" xfId="14957" xr:uid="{4EE1264F-5AAE-462E-B212-812C3A67BA42}"/>
    <cellStyle name="CustomCellsOrange 2 2 4 32" xfId="15476" xr:uid="{A2A856AE-3117-4E32-B99F-2D03FC9DD6B9}"/>
    <cellStyle name="CustomCellsOrange 2 2 4 33" xfId="14970" xr:uid="{E024C9CA-8C1D-4CBF-8607-5D203F8A08E5}"/>
    <cellStyle name="CustomCellsOrange 2 2 4 34" xfId="16620" xr:uid="{F0C2C035-AC59-4CE3-8DC4-58677BF57249}"/>
    <cellStyle name="CustomCellsOrange 2 2 4 35" xfId="16480" xr:uid="{1C7BBDEF-3CD0-45F1-9207-55B5CE0CC562}"/>
    <cellStyle name="CustomCellsOrange 2 2 4 36" xfId="16123" xr:uid="{53B79DEF-3FAF-4648-B5D5-FB2522E34647}"/>
    <cellStyle name="CustomCellsOrange 2 2 4 37" xfId="17701" xr:uid="{0BAB9A09-9188-4227-B2DE-7C8B8581C1F5}"/>
    <cellStyle name="CustomCellsOrange 2 2 4 38" xfId="18438" xr:uid="{E3BDF152-0D70-4A1C-8250-6C5A1E3466CE}"/>
    <cellStyle name="CustomCellsOrange 2 2 4 39" xfId="18829" xr:uid="{917BBAE8-6945-4AC0-9FCD-25FB29835EB4}"/>
    <cellStyle name="CustomCellsOrange 2 2 4 4" xfId="1583" xr:uid="{5A2FABDA-4DE9-4ECD-898D-5EF8B36D6B32}"/>
    <cellStyle name="CustomCellsOrange 2 2 4 40" xfId="19234" xr:uid="{25369035-4145-4498-9C09-87DA1BDA452A}"/>
    <cellStyle name="CustomCellsOrange 2 2 4 41" xfId="19957" xr:uid="{AB7F7DE6-35F0-4FAE-BCA5-362BCD43A8FC}"/>
    <cellStyle name="CustomCellsOrange 2 2 4 42" xfId="19816" xr:uid="{5B0ECC57-F262-4E31-AECD-DCF2F4149DF9}"/>
    <cellStyle name="CustomCellsOrange 2 2 4 43" xfId="19773" xr:uid="{CD4AC8F9-392F-4581-9A04-E54280DE0C4C}"/>
    <cellStyle name="CustomCellsOrange 2 2 4 44" xfId="21567" xr:uid="{5EB17B68-5616-435C-89C4-EAC24A2A3C18}"/>
    <cellStyle name="CustomCellsOrange 2 2 4 45" xfId="20339" xr:uid="{FD9EB348-C9A9-47BE-B16A-1733883DD3D8}"/>
    <cellStyle name="CustomCellsOrange 2 2 4 46" xfId="21536" xr:uid="{1B6A3CBA-CA7C-44D8-8E0F-37A2166D7508}"/>
    <cellStyle name="CustomCellsOrange 2 2 4 47" xfId="22754" xr:uid="{F8A68BCA-B499-42DD-8381-3CE7A38E1B56}"/>
    <cellStyle name="CustomCellsOrange 2 2 4 48" xfId="23102" xr:uid="{A9D2B154-2561-4AF2-8712-9370C07EC43F}"/>
    <cellStyle name="CustomCellsOrange 2 2 4 49" xfId="23256" xr:uid="{D687BD39-D4D4-4FCF-AD4D-771A7E77F74C}"/>
    <cellStyle name="CustomCellsOrange 2 2 4 5" xfId="2397" xr:uid="{F29A38B6-87B2-45A7-AFB1-9996475098C6}"/>
    <cellStyle name="CustomCellsOrange 2 2 4 50" xfId="23766" xr:uid="{09742D54-A922-4B56-BF7A-D7DDC1838EDA}"/>
    <cellStyle name="CustomCellsOrange 2 2 4 51" xfId="24665" xr:uid="{6D5E87CB-1A30-482B-8B5D-F167DC5437EC}"/>
    <cellStyle name="CustomCellsOrange 2 2 4 52" xfId="24527" xr:uid="{5DADF8FB-7AA5-4C66-85A6-D12003CFBE20}"/>
    <cellStyle name="CustomCellsOrange 2 2 4 53" xfId="25583" xr:uid="{83B4B881-AB7E-462C-B684-D48A30E11F40}"/>
    <cellStyle name="CustomCellsOrange 2 2 4 54" xfId="26057" xr:uid="{F3252905-2299-453C-9913-A2961A41EBE0}"/>
    <cellStyle name="CustomCellsOrange 2 2 4 55" xfId="26583" xr:uid="{ADEBD120-3B8C-494F-8FEC-8E17BD92952D}"/>
    <cellStyle name="CustomCellsOrange 2 2 4 56" xfId="26873" xr:uid="{EE4D8623-A34D-4B52-B16B-36E89FE51AE9}"/>
    <cellStyle name="CustomCellsOrange 2 2 4 57" xfId="27292" xr:uid="{EF424081-77F3-4AAA-9DF8-BE1B4EA22EB2}"/>
    <cellStyle name="CustomCellsOrange 2 2 4 58" xfId="27685" xr:uid="{8D86BB81-8668-4C18-B62C-1771A562998A}"/>
    <cellStyle name="CustomCellsOrange 2 2 4 59" xfId="28415" xr:uid="{3E260527-6B98-4FB2-8D08-A9261B85FCA1}"/>
    <cellStyle name="CustomCellsOrange 2 2 4 6" xfId="2925" xr:uid="{678D5AE3-CE9C-4BFB-9122-76DBBD4066D0}"/>
    <cellStyle name="CustomCellsOrange 2 2 4 60" xfId="28883" xr:uid="{C7019743-00C2-4310-97D9-EF8E468061A9}"/>
    <cellStyle name="CustomCellsOrange 2 2 4 61" xfId="28071" xr:uid="{A3880313-6C9A-4C0A-921C-91BAFC5281ED}"/>
    <cellStyle name="CustomCellsOrange 2 2 4 62" xfId="29673" xr:uid="{2A150ABB-7D5C-454D-B5CF-3A2C53DB886B}"/>
    <cellStyle name="CustomCellsOrange 2 2 4 63" xfId="30081" xr:uid="{14FBAD04-E374-4872-88B0-50FCB64B3DF4}"/>
    <cellStyle name="CustomCellsOrange 2 2 4 64" xfId="30495" xr:uid="{A5EA0043-6A4F-4AF9-B435-C6CE68986B88}"/>
    <cellStyle name="CustomCellsOrange 2 2 4 65" xfId="30874" xr:uid="{90701542-E7B5-4D16-A952-8C1EE27F557E}"/>
    <cellStyle name="CustomCellsOrange 2 2 4 66" xfId="31119" xr:uid="{8294EFA7-6FAE-40ED-8632-08750A9B3907}"/>
    <cellStyle name="CustomCellsOrange 2 2 4 7" xfId="3584" xr:uid="{286A7899-CF9F-4E45-B93E-D506E137B4F1}"/>
    <cellStyle name="CustomCellsOrange 2 2 4 8" xfId="3893" xr:uid="{8ECA5BC7-7AEE-48F1-9D7E-E486B2EADF86}"/>
    <cellStyle name="CustomCellsOrange 2 2 4 9" xfId="4331" xr:uid="{F61D374C-452D-4BD4-A9BB-E999A556F679}"/>
    <cellStyle name="CustomCellsOrange 2 2 40" xfId="17954" xr:uid="{71C5FFCA-4425-4E8B-BAAD-256E01BAF513}"/>
    <cellStyle name="CustomCellsOrange 2 2 41" xfId="18031" xr:uid="{3AF2A0A0-BE72-4A41-A68F-509099ACFDE4}"/>
    <cellStyle name="CustomCellsOrange 2 2 42" xfId="16542" xr:uid="{4E4B126A-0A2C-4ABB-AC85-BD446D7444A9}"/>
    <cellStyle name="CustomCellsOrange 2 2 43" xfId="19248" xr:uid="{94FAF3C4-2622-4B54-AA89-C2E3F8F175DC}"/>
    <cellStyle name="CustomCellsOrange 2 2 44" xfId="19820" xr:uid="{0F4D9B40-E73C-427B-8DC6-F8531CE0F0AE}"/>
    <cellStyle name="CustomCellsOrange 2 2 45" xfId="20577" xr:uid="{9DCB2D39-9DAF-4F89-ACC6-C7C33F9B0BAF}"/>
    <cellStyle name="CustomCellsOrange 2 2 46" xfId="21030" xr:uid="{CACEA62F-C89B-4630-91C6-4662EE49A3FA}"/>
    <cellStyle name="CustomCellsOrange 2 2 47" xfId="20810" xr:uid="{E1C232C8-EED5-4C1C-9CD7-452DC4FD5B0C}"/>
    <cellStyle name="CustomCellsOrange 2 2 48" xfId="21961" xr:uid="{5FEA12D4-5CE2-4E63-A590-13A0D17CAF40}"/>
    <cellStyle name="CustomCellsOrange 2 2 49" xfId="22392" xr:uid="{065CA9A4-7504-4944-A530-8367C3A5E118}"/>
    <cellStyle name="CustomCellsOrange 2 2 5" xfId="676" xr:uid="{AD6EF736-E706-47C9-B6AE-09F74EC2560C}"/>
    <cellStyle name="CustomCellsOrange 2 2 5 10" xfId="4916" xr:uid="{76312272-AFE4-4BFA-BB94-97879CDC6F1A}"/>
    <cellStyle name="CustomCellsOrange 2 2 5 11" xfId="5324" xr:uid="{D9F8B30A-82ED-4D8E-90C6-C7680C000A60}"/>
    <cellStyle name="CustomCellsOrange 2 2 5 12" xfId="5929" xr:uid="{BEEE8C22-1DA6-44F6-8545-3FB4FD889C2B}"/>
    <cellStyle name="CustomCellsOrange 2 2 5 13" xfId="5838" xr:uid="{3BC3A95C-A0C3-45C2-B535-873E14F2FF05}"/>
    <cellStyle name="CustomCellsOrange 2 2 5 14" xfId="4694" xr:uid="{845B5F47-9AE5-416D-9076-69F5249FCA32}"/>
    <cellStyle name="CustomCellsOrange 2 2 5 15" xfId="7396" xr:uid="{C5A13D5A-CBB4-4BBC-9D16-DEEA60AD8E42}"/>
    <cellStyle name="CustomCellsOrange 2 2 5 16" xfId="7916" xr:uid="{1CC2DBEF-C1AF-48A2-B198-6CAD817DEFE1}"/>
    <cellStyle name="CustomCellsOrange 2 2 5 17" xfId="8636" xr:uid="{A8078B74-9C69-4C65-BE3D-C547A31B7246}"/>
    <cellStyle name="CustomCellsOrange 2 2 5 18" xfId="8716" xr:uid="{742FD959-69A3-43BB-BDDF-842428F8A0CE}"/>
    <cellStyle name="CustomCellsOrange 2 2 5 19" xfId="9610" xr:uid="{87D01066-A392-49E0-BD4F-7FFC0DEEC932}"/>
    <cellStyle name="CustomCellsOrange 2 2 5 2" xfId="890" xr:uid="{3B185886-D5DF-4B1C-AAA8-F7B77EF7A0D8}"/>
    <cellStyle name="CustomCellsOrange 2 2 5 2 10" xfId="5538" xr:uid="{DF6703B6-EBCA-4821-8802-294D7C36B1CE}"/>
    <cellStyle name="CustomCellsOrange 2 2 5 2 11" xfId="6032" xr:uid="{FFC02F4E-E1C7-447F-BAAD-6C77E4D7CFCE}"/>
    <cellStyle name="CustomCellsOrange 2 2 5 2 12" xfId="6391" xr:uid="{3EA650DD-A4BC-4C2F-AEF9-3BBEBB08C0E9}"/>
    <cellStyle name="CustomCellsOrange 2 2 5 2 13" xfId="6729" xr:uid="{63FC736D-E75A-421B-A593-5FB005E5F41A}"/>
    <cellStyle name="CustomCellsOrange 2 2 5 2 14" xfId="7610" xr:uid="{55F21080-C415-4DBC-8F3E-EEED6B336283}"/>
    <cellStyle name="CustomCellsOrange 2 2 5 2 15" xfId="8074" xr:uid="{136B241D-5FB1-4555-ABCF-8D766A8D68C7}"/>
    <cellStyle name="CustomCellsOrange 2 2 5 2 16" xfId="8683" xr:uid="{165B251A-7012-4079-B8EE-176B100797B5}"/>
    <cellStyle name="CustomCellsOrange 2 2 5 2 17" xfId="8942" xr:uid="{E6A617B9-7956-48EC-B19A-5AF6BF623F5B}"/>
    <cellStyle name="CustomCellsOrange 2 2 5 2 18" xfId="9824" xr:uid="{EC18D200-1168-458A-9D81-61A863C9291D}"/>
    <cellStyle name="CustomCellsOrange 2 2 5 2 19" xfId="10293" xr:uid="{479A1B83-D83F-4F54-9067-CB5A29303CDF}"/>
    <cellStyle name="CustomCellsOrange 2 2 5 2 2" xfId="1364" xr:uid="{2382D999-46AE-43C3-9D07-89AD346B63AA}"/>
    <cellStyle name="CustomCellsOrange 2 2 5 2 20" xfId="10687" xr:uid="{F6ABD948-92DE-4D26-86F8-6992B01F74D1}"/>
    <cellStyle name="CustomCellsOrange 2 2 5 2 21" xfId="11036" xr:uid="{B1ED2400-55B4-47CF-9DE9-071CF1A907EC}"/>
    <cellStyle name="CustomCellsOrange 2 2 5 2 22" xfId="11346" xr:uid="{5187A8CE-7A31-47AE-AA32-C70BA3A1997B}"/>
    <cellStyle name="CustomCellsOrange 2 2 5 2 23" xfId="12243" xr:uid="{BEF6151B-E4E9-4A14-A005-1B6E300D19F8}"/>
    <cellStyle name="CustomCellsOrange 2 2 5 2 24" xfId="12716" xr:uid="{526A8A18-03F2-413F-80C1-B45CC6D09F6B}"/>
    <cellStyle name="CustomCellsOrange 2 2 5 2 25" xfId="13150" xr:uid="{AC6B590D-0781-494A-9AB8-41E1195128C5}"/>
    <cellStyle name="CustomCellsOrange 2 2 5 2 26" xfId="13587" xr:uid="{E4FB0A04-A540-4F03-AFA4-D3BB32216795}"/>
    <cellStyle name="CustomCellsOrange 2 2 5 2 27" xfId="14059" xr:uid="{690FE986-0432-4B69-BDBA-4E5541D874B7}"/>
    <cellStyle name="CustomCellsOrange 2 2 5 2 28" xfId="14506" xr:uid="{C2BC1844-D8BC-47AC-A794-D691E5A1F543}"/>
    <cellStyle name="CustomCellsOrange 2 2 5 2 29" xfId="14940" xr:uid="{7C805B03-383A-43F2-B5F6-1E02DCF47967}"/>
    <cellStyle name="CustomCellsOrange 2 2 5 2 3" xfId="1813" xr:uid="{6254AB3B-38F0-4107-9F15-86133CC72E0C}"/>
    <cellStyle name="CustomCellsOrange 2 2 5 2 30" xfId="15410" xr:uid="{4355F20F-9D53-45F1-9437-A59F7CE196BD}"/>
    <cellStyle name="CustomCellsOrange 2 2 5 2 31" xfId="15800" xr:uid="{FCBCE94F-6620-4843-A87C-B471E79DB8AF}"/>
    <cellStyle name="CustomCellsOrange 2 2 5 2 32" xfId="16022" xr:uid="{223478B7-DA61-4A7C-989A-6808329057C2}"/>
    <cellStyle name="CustomCellsOrange 2 2 5 2 33" xfId="16935" xr:uid="{467405CA-D738-427D-96A7-F5985D2EA7E8}"/>
    <cellStyle name="CustomCellsOrange 2 2 5 2 34" xfId="17416" xr:uid="{82F17FF6-D852-4D2A-ACFC-A77105676F49}"/>
    <cellStyle name="CustomCellsOrange 2 2 5 2 35" xfId="17857" xr:uid="{1F581219-37B3-4DE7-B2E6-06D87A4FCBA4}"/>
    <cellStyle name="CustomCellsOrange 2 2 5 2 36" xfId="18332" xr:uid="{9DE86FA5-FB42-4ECB-A866-1805AFC8147E}"/>
    <cellStyle name="CustomCellsOrange 2 2 5 2 37" xfId="18753" xr:uid="{46E8C790-92B9-40C7-86FE-70310706250D}"/>
    <cellStyle name="CustomCellsOrange 2 2 5 2 38" xfId="19140" xr:uid="{FD05FABA-244A-4B36-A424-573F5830267D}"/>
    <cellStyle name="CustomCellsOrange 2 2 5 2 39" xfId="19370" xr:uid="{E1382C60-8968-4AB4-BDCA-041DD3FDDB99}"/>
    <cellStyle name="CustomCellsOrange 2 2 5 2 4" xfId="2712" xr:uid="{04BE3C48-62A4-4946-A3D3-6596C38D0186}"/>
    <cellStyle name="CustomCellsOrange 2 2 5 2 40" xfId="20272" xr:uid="{8E9E1313-ABBE-4A90-B907-99A23D1A93A9}"/>
    <cellStyle name="CustomCellsOrange 2 2 5 2 41" xfId="20765" xr:uid="{3E1DD54F-2F2C-4095-AEB0-38C54FC6532E}"/>
    <cellStyle name="CustomCellsOrange 2 2 5 2 42" xfId="21224" xr:uid="{D4FBBD3A-2FA0-4EBC-947C-36C1296EF9EE}"/>
    <cellStyle name="CustomCellsOrange 2 2 5 2 43" xfId="21716" xr:uid="{16393E71-6FFB-4AFB-97B5-D175812A2B42}"/>
    <cellStyle name="CustomCellsOrange 2 2 5 2 44" xfId="22155" xr:uid="{9D83D26F-78F6-4833-8271-3FEFB5076FA8}"/>
    <cellStyle name="CustomCellsOrange 2 2 5 2 45" xfId="22582" xr:uid="{A46EFF6B-5C5E-4D41-B01F-ACB1ECA4882D}"/>
    <cellStyle name="CustomCellsOrange 2 2 5 2 46" xfId="23027" xr:uid="{95E5B57D-13EF-4A38-BCB5-B30A89281119}"/>
    <cellStyle name="CustomCellsOrange 2 2 5 2 47" xfId="23429" xr:uid="{0E34A520-591E-4234-8BA2-F3F1E7E9255D}"/>
    <cellStyle name="CustomCellsOrange 2 2 5 2 48" xfId="23692" xr:uid="{7C73B8F9-3D80-47D5-8B9F-E16DAF48C407}"/>
    <cellStyle name="CustomCellsOrange 2 2 5 2 49" xfId="24072" xr:uid="{D8493D7A-8820-4FAC-95B4-3A70199571D9}"/>
    <cellStyle name="CustomCellsOrange 2 2 5 2 5" xfId="3232" xr:uid="{4290B091-4A43-41D2-B69C-62B8D9649FC0}"/>
    <cellStyle name="CustomCellsOrange 2 2 5 2 50" xfId="24980" xr:uid="{B027D6B7-BA6A-49F3-8CEA-4F52EED7AFC0}"/>
    <cellStyle name="CustomCellsOrange 2 2 5 2 51" xfId="25468" xr:uid="{D16C2E94-7FF8-4C9A-B0C6-FAEACE0977F9}"/>
    <cellStyle name="CustomCellsOrange 2 2 5 2 52" xfId="25896" xr:uid="{6E0CFFE9-857A-4B8C-8432-95E6E25E76AC}"/>
    <cellStyle name="CustomCellsOrange 2 2 5 2 53" xfId="26334" xr:uid="{A3EC429E-0862-45B3-9C9E-217322E1D101}"/>
    <cellStyle name="CustomCellsOrange 2 2 5 2 54" xfId="26763" xr:uid="{F5B17BD4-8816-4547-A4AF-88F1BCF44EBD}"/>
    <cellStyle name="CustomCellsOrange 2 2 5 2 55" xfId="27184" xr:uid="{59213987-E138-497D-9D8D-24799366FC1B}"/>
    <cellStyle name="CustomCellsOrange 2 2 5 2 56" xfId="27603" xr:uid="{B9833E5F-3151-4AB6-995A-247EB30B7FBC}"/>
    <cellStyle name="CustomCellsOrange 2 2 5 2 57" xfId="27841" xr:uid="{7751F299-0122-4F84-BFE2-283D05E23174}"/>
    <cellStyle name="CustomCellsOrange 2 2 5 2 58" xfId="28730" xr:uid="{6D447EBF-71CE-4259-8C5D-CD26104C3031}"/>
    <cellStyle name="CustomCellsOrange 2 2 5 2 59" xfId="29197" xr:uid="{062B5001-CCE3-4B2F-B889-FF93CBC1A301}"/>
    <cellStyle name="CustomCellsOrange 2 2 5 2 6" xfId="3787" xr:uid="{8DA0334A-13E9-45B1-B4A5-7091F79FB708}"/>
    <cellStyle name="CustomCellsOrange 2 2 5 2 60" xfId="29579" xr:uid="{52ED027D-35D4-4B4A-9E3A-D3ADFA51F9B8}"/>
    <cellStyle name="CustomCellsOrange 2 2 5 2 61" xfId="29986" xr:uid="{F9EBAB49-2674-4138-9DE8-DA94DE5BFCF2}"/>
    <cellStyle name="CustomCellsOrange 2 2 5 2 62" xfId="30392" xr:uid="{8C559DEC-B649-4232-ADB0-3FEE1E3A6485}"/>
    <cellStyle name="CustomCellsOrange 2 2 5 2 63" xfId="30809" xr:uid="{BAD81F63-A847-4FAC-826E-2F631A2F9492}"/>
    <cellStyle name="CustomCellsOrange 2 2 5 2 64" xfId="31054" xr:uid="{AF2680BE-C710-4719-A4E5-7BF060FB9E87}"/>
    <cellStyle name="CustomCellsOrange 2 2 5 2 65" xfId="31425" xr:uid="{F99795AA-8542-46D7-8400-0BE08C2ADA2F}"/>
    <cellStyle name="CustomCellsOrange 2 2 5 2 7" xfId="4208" xr:uid="{67EF01D1-BDF6-4F90-84D9-D69C50185827}"/>
    <cellStyle name="CustomCellsOrange 2 2 5 2 8" xfId="4645" xr:uid="{F1CB8206-8484-468F-BEB9-B28F69B3CC11}"/>
    <cellStyle name="CustomCellsOrange 2 2 5 2 9" xfId="5091" xr:uid="{03DD7EA8-79AC-497C-90AA-AD1DBA9B9F18}"/>
    <cellStyle name="CustomCellsOrange 2 2 5 20" xfId="10130" xr:uid="{305DC9F6-9C19-49AA-BFA5-7FDBCF7D6273}"/>
    <cellStyle name="CustomCellsOrange 2 2 5 21" xfId="10540" xr:uid="{9949BEBE-A462-454E-BA13-DE194111D191}"/>
    <cellStyle name="CustomCellsOrange 2 2 5 22" xfId="9232" xr:uid="{10B1CB58-BB15-4D51-BE80-EBC03BB408FC}"/>
    <cellStyle name="CustomCellsOrange 2 2 5 23" xfId="10930" xr:uid="{293C4CF8-0227-4441-ABA9-7CB8E0B1AE03}"/>
    <cellStyle name="CustomCellsOrange 2 2 5 24" xfId="12029" xr:uid="{E8BF9354-EBAA-4905-8ACD-C11A94F4B434}"/>
    <cellStyle name="CustomCellsOrange 2 2 5 25" xfId="12502" xr:uid="{91BF878C-B2E5-41F2-98F8-85DA8F5BBC66}"/>
    <cellStyle name="CustomCellsOrange 2 2 5 26" xfId="12936" xr:uid="{67EAFE6E-80B8-45FF-A40E-E3AB4228F3F6}"/>
    <cellStyle name="CustomCellsOrange 2 2 5 27" xfId="13373" xr:uid="{80CB71B9-3EA6-49DA-93E1-2999B5BB5F32}"/>
    <cellStyle name="CustomCellsOrange 2 2 5 28" xfId="11356" xr:uid="{2A7792B4-C0AC-4CBF-BCF8-88E5E028898B}"/>
    <cellStyle name="CustomCellsOrange 2 2 5 29" xfId="14131" xr:uid="{A8C5B56A-D130-4F95-B304-9B98498BF711}"/>
    <cellStyle name="CustomCellsOrange 2 2 5 3" xfId="1158" xr:uid="{F68486E1-7118-4078-BD92-2F90E3E49BEE}"/>
    <cellStyle name="CustomCellsOrange 2 2 5 30" xfId="14779" xr:uid="{9E43CD3D-131B-47AC-9465-EF1C587A1AE5}"/>
    <cellStyle name="CustomCellsOrange 2 2 5 31" xfId="13706" xr:uid="{CD660A4D-4323-48E9-830D-6A73D2B6F5F5}"/>
    <cellStyle name="CustomCellsOrange 2 2 5 32" xfId="14988" xr:uid="{884E453A-9F20-4B41-A879-891B440C5285}"/>
    <cellStyle name="CustomCellsOrange 2 2 5 33" xfId="15924" xr:uid="{DA325252-C6E0-4CD7-907D-738984096578}"/>
    <cellStyle name="CustomCellsOrange 2 2 5 34" xfId="16721" xr:uid="{BC5DD1B8-5AB2-48F8-B78D-4FCC49670551}"/>
    <cellStyle name="CustomCellsOrange 2 2 5 35" xfId="17249" xr:uid="{72361B5D-5BAC-4235-8306-18A3210D7AA2}"/>
    <cellStyle name="CustomCellsOrange 2 2 5 36" xfId="17693" xr:uid="{A0FFF1F6-5234-4DCB-9B43-C6B6BFC59390}"/>
    <cellStyle name="CustomCellsOrange 2 2 5 37" xfId="16494" xr:uid="{0AE890E1-9E0C-4EEA-AC6E-D4E20F1470E3}"/>
    <cellStyle name="CustomCellsOrange 2 2 5 38" xfId="18539" xr:uid="{573D6E96-A03D-48ED-832E-A2F69907E995}"/>
    <cellStyle name="CustomCellsOrange 2 2 5 39" xfId="18798" xr:uid="{297B6672-92E3-4479-8FB3-69987167477F}"/>
    <cellStyle name="CustomCellsOrange 2 2 5 4" xfId="1375" xr:uid="{09558129-E268-4CA0-8F28-F5344BA96C94}"/>
    <cellStyle name="CustomCellsOrange 2 2 5 40" xfId="17430" xr:uid="{9192BE65-2B33-4BBD-AC1D-BA4E547200B1}"/>
    <cellStyle name="CustomCellsOrange 2 2 5 41" xfId="20058" xr:uid="{B7931B1C-3CC7-4EB6-BAD3-F69AAFA849AF}"/>
    <cellStyle name="CustomCellsOrange 2 2 5 42" xfId="20599" xr:uid="{7BAAC0C6-FC52-424E-9E2B-95933150078E}"/>
    <cellStyle name="CustomCellsOrange 2 2 5 43" xfId="21054" xr:uid="{1625E149-894F-48DD-8CE9-7E2EF390DFF9}"/>
    <cellStyle name="CustomCellsOrange 2 2 5 44" xfId="20648" xr:uid="{4D5EBD4D-D0E1-4D14-97EE-0BD08E2FBB60}"/>
    <cellStyle name="CustomCellsOrange 2 2 5 45" xfId="21985" xr:uid="{D1532CA6-2551-4473-9CE1-37CC72407D0B}"/>
    <cellStyle name="CustomCellsOrange 2 2 5 46" xfId="22416" xr:uid="{6AE1D7AF-C5CE-4041-93F9-F3D2AA94D0FD}"/>
    <cellStyle name="CustomCellsOrange 2 2 5 47" xfId="22481" xr:uid="{ADD14842-DE1F-415D-85FD-7C8F6957A5D6}"/>
    <cellStyle name="CustomCellsOrange 2 2 5 48" xfId="23070" xr:uid="{B6D9B19C-30C6-4C33-92B3-6314B772415A}"/>
    <cellStyle name="CustomCellsOrange 2 2 5 49" xfId="23001" xr:uid="{DCFFF6FE-FA14-409F-8F95-F3659C0217E2}"/>
    <cellStyle name="CustomCellsOrange 2 2 5 5" xfId="2498" xr:uid="{D3E0D247-D211-4BF5-A655-6B9D874707CE}"/>
    <cellStyle name="CustomCellsOrange 2 2 5 50" xfId="23866" xr:uid="{83EE201E-ED1C-4C25-AC90-82AD17D8047A}"/>
    <cellStyle name="CustomCellsOrange 2 2 5 51" xfId="24766" xr:uid="{F8A607FC-BE00-4A4C-B5D5-533ACC6AF878}"/>
    <cellStyle name="CustomCellsOrange 2 2 5 52" xfId="25308" xr:uid="{0831CE1B-D6A1-484B-9F88-E02AA1F09818}"/>
    <cellStyle name="CustomCellsOrange 2 2 5 53" xfId="25684" xr:uid="{7D711AF4-385C-4C0C-9AF1-8B57036013E0}"/>
    <cellStyle name="CustomCellsOrange 2 2 5 54" xfId="24996" xr:uid="{7FA3BB88-7495-4A95-8F50-BC807CDC334C}"/>
    <cellStyle name="CustomCellsOrange 2 2 5 55" xfId="26475" xr:uid="{AE00F77C-F24B-45ED-AE30-97C4A1115DB6}"/>
    <cellStyle name="CustomCellsOrange 2 2 5 56" xfId="26974" xr:uid="{933DDA77-6ADA-4246-BED0-0A91AFE103B1}"/>
    <cellStyle name="CustomCellsOrange 2 2 5 57" xfId="27393" xr:uid="{6AB60126-41BD-4081-974E-4AFC403A19D9}"/>
    <cellStyle name="CustomCellsOrange 2 2 5 58" xfId="27742" xr:uid="{A1478354-948A-40E5-933C-3B8B680B05B8}"/>
    <cellStyle name="CustomCellsOrange 2 2 5 59" xfId="28516" xr:uid="{7017A32F-4C63-4F6B-A346-B43A9A9802F9}"/>
    <cellStyle name="CustomCellsOrange 2 2 5 6" xfId="1993" xr:uid="{1BBD01C5-BD93-482F-BF12-9FAEF9EF81F3}"/>
    <cellStyle name="CustomCellsOrange 2 2 5 60" xfId="28984" xr:uid="{2FFBA214-4D33-4EA5-9799-74E3BFBC03B7}"/>
    <cellStyle name="CustomCellsOrange 2 2 5 61" xfId="29430" xr:uid="{A72039DB-DDCA-40CB-A0E0-BB4FEFD9C83E}"/>
    <cellStyle name="CustomCellsOrange 2 2 5 62" xfId="29774" xr:uid="{4FBC8324-7A65-406B-9D69-328A82DEA7FE}"/>
    <cellStyle name="CustomCellsOrange 2 2 5 63" xfId="30181" xr:uid="{7D466EC6-AAF4-45C5-B558-5180288FB085}"/>
    <cellStyle name="CustomCellsOrange 2 2 5 64" xfId="30596" xr:uid="{3DCE979E-C7F9-46EF-8277-573DED920995}"/>
    <cellStyle name="CustomCellsOrange 2 2 5 65" xfId="31012" xr:uid="{E56F418E-57BF-4C58-89BB-EA0AE9D41DE8}"/>
    <cellStyle name="CustomCellsOrange 2 2 5 66" xfId="31219" xr:uid="{10813742-FC21-42C0-8C3D-C57EEE5D1011}"/>
    <cellStyle name="CustomCellsOrange 2 2 5 7" xfId="3737" xr:uid="{4A2D26AC-4F0C-4070-BBE1-4E2C0B4593F2}"/>
    <cellStyle name="CustomCellsOrange 2 2 5 8" xfId="3994" xr:uid="{F0111376-6542-4F16-A617-73D1135FE40F}"/>
    <cellStyle name="CustomCellsOrange 2 2 5 9" xfId="4432" xr:uid="{DDC99D3D-4CFC-45C6-BA4F-1795DF174801}"/>
    <cellStyle name="CustomCellsOrange 2 2 50" xfId="22857" xr:uid="{ACE2B86E-44C1-4146-8C04-AFE52A72B73A}"/>
    <cellStyle name="CustomCellsOrange 2 2 51" xfId="21646" xr:uid="{85CE34A4-D83E-46A2-A614-CE097AA5A078}"/>
    <cellStyle name="CustomCellsOrange 2 2 52" xfId="23652" xr:uid="{CD50363D-3335-4B2C-B334-9670D92D0F95}"/>
    <cellStyle name="CustomCellsOrange 2 2 53" xfId="23162" xr:uid="{055EB8D9-EFA2-4BE0-BB37-A5A7EC368B1F}"/>
    <cellStyle name="CustomCellsOrange 2 2 54" xfId="24531" xr:uid="{8F447FA7-3978-463A-BB62-582EB82653F6}"/>
    <cellStyle name="CustomCellsOrange 2 2 55" xfId="25285" xr:uid="{E43A3371-18AF-4083-BEF3-57272CCB82EB}"/>
    <cellStyle name="CustomCellsOrange 2 2 56" xfId="25159" xr:uid="{684F7432-A654-4E92-91AE-B252119F1D03}"/>
    <cellStyle name="CustomCellsOrange 2 2 57" xfId="26160" xr:uid="{799E07BB-1E67-4E6D-A2F0-0DBF183F002D}"/>
    <cellStyle name="CustomCellsOrange 2 2 58" xfId="25987" xr:uid="{9F06BC79-8A61-4F30-98D1-7AD8071E5480}"/>
    <cellStyle name="CustomCellsOrange 2 2 59" xfId="26767" xr:uid="{0DA138A0-5049-4CDD-8E16-71EA821B041F}"/>
    <cellStyle name="CustomCellsOrange 2 2 6" xfId="983" xr:uid="{08949393-0845-40DC-8E7B-88218493B908}"/>
    <cellStyle name="CustomCellsOrange 2 2 60" xfId="24311" xr:uid="{04A78698-F78D-47B4-8A0F-81CCE378CB6D}"/>
    <cellStyle name="CustomCellsOrange 2 2 61" xfId="27717" xr:uid="{62AC7B22-E5FA-40FB-8C79-441A04756708}"/>
    <cellStyle name="CustomCellsOrange 2 2 62" xfId="28290" xr:uid="{CAB6B06E-100F-42E6-8285-A175837DAF83}"/>
    <cellStyle name="CustomCellsOrange 2 2 63" xfId="28752" xr:uid="{BA00E0BE-C1E1-4292-8D6C-B5EE7E7FCDDA}"/>
    <cellStyle name="CustomCellsOrange 2 2 64" xfId="29413" xr:uid="{3F6E0145-A197-499B-A8A7-487F527EFB8D}"/>
    <cellStyle name="CustomCellsOrange 2 2 65" xfId="29515" xr:uid="{F28966E6-F45A-4ED5-9AC9-659A52D3667A}"/>
    <cellStyle name="CustomCellsOrange 2 2 66" xfId="29366" xr:uid="{95E2B125-E25C-417F-9828-47560A1ACCBE}"/>
    <cellStyle name="CustomCellsOrange 2 2 67" xfId="29507" xr:uid="{42AA7F8E-F3F5-46BE-9CD6-587F397EF904}"/>
    <cellStyle name="CustomCellsOrange 2 2 68" xfId="28133" xr:uid="{7E8EE413-02E1-4BC7-AC75-13E41515216E}"/>
    <cellStyle name="CustomCellsOrange 2 2 69" xfId="29526" xr:uid="{C57CD66E-D5D4-463E-B262-8CBB6964DD96}"/>
    <cellStyle name="CustomCellsOrange 2 2 7" xfId="1676" xr:uid="{38B6C08C-224A-4818-B070-41E56117A571}"/>
    <cellStyle name="CustomCellsOrange 2 2 8" xfId="2260" xr:uid="{08B7F691-7756-454E-8F6C-86408E7336AD}"/>
    <cellStyle name="CustomCellsOrange 2 2 9" xfId="3040" xr:uid="{36D964C7-1ED3-4327-8FAD-E01E50932C96}"/>
    <cellStyle name="CustomCellsOrange 3" xfId="273" xr:uid="{B46DB08A-F0D9-4532-8D2E-F1E8BAF62251}"/>
    <cellStyle name="CustomCellsOrange 3 10" xfId="3452" xr:uid="{4D971FE7-BC12-464D-8744-907874B3AE92}"/>
    <cellStyle name="CustomCellsOrange 3 11" xfId="3117" xr:uid="{4C1E76BA-3023-4180-A573-B86DE8C54CEF}"/>
    <cellStyle name="CustomCellsOrange 3 12" xfId="3152" xr:uid="{45476034-6ABB-4BC2-A979-2A622C54FBC7}"/>
    <cellStyle name="CustomCellsOrange 3 13" xfId="1826" xr:uid="{33824F39-4803-4C41-BD5A-9F9F75AE1D85}"/>
    <cellStyle name="CustomCellsOrange 3 14" xfId="2751" xr:uid="{777F79B6-C3B4-4B80-9A37-02A3149CF8EE}"/>
    <cellStyle name="CustomCellsOrange 3 15" xfId="4745" xr:uid="{2AB75446-DCF8-4EF8-8664-352903952C85}"/>
    <cellStyle name="CustomCellsOrange 3 16" xfId="6239" xr:uid="{B2DABC96-E37C-4EAA-8869-153566146BDC}"/>
    <cellStyle name="CustomCellsOrange 3 17" xfId="6576" xr:uid="{1C319413-6ECF-4489-BABA-02D3DE161765}"/>
    <cellStyle name="CustomCellsOrange 3 18" xfId="7003" xr:uid="{149BBBE3-5961-47A2-B81F-18B04B1ADD46}"/>
    <cellStyle name="CustomCellsOrange 3 19" xfId="7633" xr:uid="{48D54D43-94BA-4A4F-B379-011069EB5207}"/>
    <cellStyle name="CustomCellsOrange 3 2" xfId="612" xr:uid="{9284A752-E1E3-4975-8A0B-512B08788A80}"/>
    <cellStyle name="CustomCellsOrange 3 2 10" xfId="4777" xr:uid="{F85C545B-96C5-4B2B-8E26-F98C5C81DF05}"/>
    <cellStyle name="CustomCellsOrange 3 2 11" xfId="5260" xr:uid="{9938FAFF-F97E-4913-B317-4356454ADB49}"/>
    <cellStyle name="CustomCellsOrange 3 2 12" xfId="4964" xr:uid="{EE43E4CF-9924-425A-8749-439025C3F4CA}"/>
    <cellStyle name="CustomCellsOrange 3 2 13" xfId="4880" xr:uid="{91A1DAD3-120C-4A07-B2DD-6C5293A95478}"/>
    <cellStyle name="CustomCellsOrange 3 2 14" xfId="6654" xr:uid="{97F14E20-BE6F-426B-BC58-CC769684D914}"/>
    <cellStyle name="CustomCellsOrange 3 2 15" xfId="7332" xr:uid="{3A24AD2D-BF14-4686-8A01-C1D2BE9B078E}"/>
    <cellStyle name="CustomCellsOrange 3 2 16" xfId="7869" xr:uid="{B9F63C40-4C1C-49FA-B503-7832E7385C25}"/>
    <cellStyle name="CustomCellsOrange 3 2 17" xfId="7673" xr:uid="{92498C17-4E71-41AE-8FC4-050858060DCA}"/>
    <cellStyle name="CustomCellsOrange 3 2 18" xfId="8863" xr:uid="{4F49A4BA-860C-4820-93B7-57B711FA0C34}"/>
    <cellStyle name="CustomCellsOrange 3 2 19" xfId="9546" xr:uid="{E609A864-0C4B-4895-AF49-34CFFCEDFB29}"/>
    <cellStyle name="CustomCellsOrange 3 2 2" xfId="827" xr:uid="{6640F02C-9456-4DCC-BCC1-CD589AF180FB}"/>
    <cellStyle name="CustomCellsOrange 3 2 2 10" xfId="5475" xr:uid="{84FCDA40-DE16-4C8F-BAF1-F9A58935E38A}"/>
    <cellStyle name="CustomCellsOrange 3 2 2 11" xfId="4682" xr:uid="{D5ED3761-A9FA-4CBD-8F38-DFF24AB72F08}"/>
    <cellStyle name="CustomCellsOrange 3 2 2 12" xfId="4661" xr:uid="{A2857C66-E69D-4FAC-AD09-1593D7335BC6}"/>
    <cellStyle name="CustomCellsOrange 3 2 2 13" xfId="6581" xr:uid="{D5DC8E6F-D40B-4DA3-B017-37FE341C7901}"/>
    <cellStyle name="CustomCellsOrange 3 2 2 14" xfId="7547" xr:uid="{7B4B9830-A4C2-42F4-883D-A59D4825A57B}"/>
    <cellStyle name="CustomCellsOrange 3 2 2 15" xfId="6869" xr:uid="{38A41BD5-2F61-4366-8602-B81176AD0223}"/>
    <cellStyle name="CustomCellsOrange 3 2 2 16" xfId="8193" xr:uid="{DB1DECAB-7BD4-47AD-B3E1-BC023D8A7F0E}"/>
    <cellStyle name="CustomCellsOrange 3 2 2 17" xfId="8637" xr:uid="{FF4FA140-8629-401A-99A9-5C9D2DD305A9}"/>
    <cellStyle name="CustomCellsOrange 3 2 2 18" xfId="9761" xr:uid="{CD8E00ED-360C-4854-96AF-7F95A9310A16}"/>
    <cellStyle name="CustomCellsOrange 3 2 2 19" xfId="9355" xr:uid="{C4ECDA98-A1E6-44F9-98BD-F44964A89F72}"/>
    <cellStyle name="CustomCellsOrange 3 2 2 2" xfId="1301" xr:uid="{62BFC60C-FD5B-4390-BC29-D542D9717156}"/>
    <cellStyle name="CustomCellsOrange 3 2 2 20" xfId="9395" xr:uid="{D1C0C421-A5EE-4816-AE40-D41E9C0763E5}"/>
    <cellStyle name="CustomCellsOrange 3 2 2 21" xfId="9428" xr:uid="{6C681C00-5D45-432D-9420-FA863DB825C5}"/>
    <cellStyle name="CustomCellsOrange 3 2 2 22" xfId="11251" xr:uid="{DF5EAA50-831F-41FC-8816-9DE1631370F9}"/>
    <cellStyle name="CustomCellsOrange 3 2 2 23" xfId="12180" xr:uid="{57C73FC8-BF8E-4B3C-9B32-AEAD3F3DDE52}"/>
    <cellStyle name="CustomCellsOrange 3 2 2 24" xfId="12653" xr:uid="{694F3C98-68C6-4CA0-B7D9-D707F7763B27}"/>
    <cellStyle name="CustomCellsOrange 3 2 2 25" xfId="13087" xr:uid="{54486740-D3D8-4CFD-A2B2-94E4C75C12D1}"/>
    <cellStyle name="CustomCellsOrange 3 2 2 26" xfId="13524" xr:uid="{0528B9CF-20B3-44F7-BA08-E84D6C2D3F70}"/>
    <cellStyle name="CustomCellsOrange 3 2 2 27" xfId="11796" xr:uid="{70E9A40A-9134-413C-B93A-FB67602E3724}"/>
    <cellStyle name="CustomCellsOrange 3 2 2 28" xfId="12281" xr:uid="{63FE1CAA-B109-4DB8-9AB9-32C44171CC02}"/>
    <cellStyle name="CustomCellsOrange 3 2 2 29" xfId="13919" xr:uid="{4B9C01A4-F668-42A1-A7C5-09648A64824C}"/>
    <cellStyle name="CustomCellsOrange 3 2 2 3" xfId="1502" xr:uid="{678DBD40-343D-473A-8EB1-A8AD09F1A1BF}"/>
    <cellStyle name="CustomCellsOrange 3 2 2 30" xfId="13621" xr:uid="{3C48A8F7-964F-4A08-93AE-B1ED4914E56C}"/>
    <cellStyle name="CustomCellsOrange 3 2 2 31" xfId="15632" xr:uid="{FDF18304-DD45-479C-9510-148562282506}"/>
    <cellStyle name="CustomCellsOrange 3 2 2 32" xfId="14872" xr:uid="{43C6B07F-5597-405B-B8E1-C1D0E10362FF}"/>
    <cellStyle name="CustomCellsOrange 3 2 2 33" xfId="16872" xr:uid="{688C2C71-2D52-443F-9483-D5F19558335A}"/>
    <cellStyle name="CustomCellsOrange 3 2 2 34" xfId="16185" xr:uid="{D1FDBDAC-4921-4EC8-85AE-1D259197CA07}"/>
    <cellStyle name="CustomCellsOrange 3 2 2 35" xfId="16504" xr:uid="{A58407A0-B5F9-4C07-9382-D95785E6FDCF}"/>
    <cellStyle name="CustomCellsOrange 3 2 2 36" xfId="17923" xr:uid="{F94B327B-4D60-4E94-8637-FB8409140340}"/>
    <cellStyle name="CustomCellsOrange 3 2 2 37" xfId="18690" xr:uid="{ACAD9367-54D8-4771-A1B2-76F760194C17}"/>
    <cellStyle name="CustomCellsOrange 3 2 2 38" xfId="17333" xr:uid="{D24FC465-5299-4AF9-A48D-46C7EE6E8964}"/>
    <cellStyle name="CustomCellsOrange 3 2 2 39" xfId="16262" xr:uid="{CD2DA3F6-BFD9-4647-BC65-E39C5C22A9E0}"/>
    <cellStyle name="CustomCellsOrange 3 2 2 4" xfId="2649" xr:uid="{9DC209A9-AB7B-4D03-A9D5-1CBB1C618E97}"/>
    <cellStyle name="CustomCellsOrange 3 2 2 40" xfId="20209" xr:uid="{ADB907D6-AA96-4AEF-874E-78293BD23AF7}"/>
    <cellStyle name="CustomCellsOrange 3 2 2 41" xfId="19374" xr:uid="{DEF80FB5-2EAC-439B-9869-3B5EB39B5668}"/>
    <cellStyle name="CustomCellsOrange 3 2 2 42" xfId="19554" xr:uid="{9D9C2BC1-CF34-49EB-99AF-EEC4DD16806D}"/>
    <cellStyle name="CustomCellsOrange 3 2 2 43" xfId="21272" xr:uid="{2DF70891-D332-445A-86F6-D0429A0BD014}"/>
    <cellStyle name="CustomCellsOrange 3 2 2 44" xfId="21664" xr:uid="{3943FDCF-B391-4A1D-8998-E17DD4989251}"/>
    <cellStyle name="CustomCellsOrange 3 2 2 45" xfId="19834" xr:uid="{B3F2D1D1-217D-406A-9F10-599F1D132EAB}"/>
    <cellStyle name="CustomCellsOrange 3 2 2 46" xfId="21338" xr:uid="{A00888F8-B9EB-4488-9EE7-4AD96C98B658}"/>
    <cellStyle name="CustomCellsOrange 3 2 2 47" xfId="20896" xr:uid="{BB48E6A7-6CF1-463D-B492-DF595A994EF2}"/>
    <cellStyle name="CustomCellsOrange 3 2 2 48" xfId="23287" xr:uid="{A8F5D869-CAB9-4AAC-A5B1-EDF7224A46AD}"/>
    <cellStyle name="CustomCellsOrange 3 2 2 49" xfId="24009" xr:uid="{1C1008A5-D07D-4B01-890C-413A2D0DCDBC}"/>
    <cellStyle name="CustomCellsOrange 3 2 2 5" xfId="2042" xr:uid="{82515E53-7DE5-4980-BB57-2AD92C34C564}"/>
    <cellStyle name="CustomCellsOrange 3 2 2 50" xfId="24917" xr:uid="{9295E6A6-62B4-4B2D-94B8-7CD3373022ED}"/>
    <cellStyle name="CustomCellsOrange 3 2 2 51" xfId="24328" xr:uid="{E58CEBFD-FBAE-4677-9EBF-72EAF9C73B4F}"/>
    <cellStyle name="CustomCellsOrange 3 2 2 52" xfId="25833" xr:uid="{6E212BEB-4B89-408D-9115-A38F5832D706}"/>
    <cellStyle name="CustomCellsOrange 3 2 2 53" xfId="24131" xr:uid="{62AD89E1-5D59-4D51-9642-C5330D6104A2}"/>
    <cellStyle name="CustomCellsOrange 3 2 2 54" xfId="26014" xr:uid="{FED25E77-ACCA-4179-869C-511D0F44E63C}"/>
    <cellStyle name="CustomCellsOrange 3 2 2 55" xfId="27121" xr:uid="{24A58062-17D9-4124-93CE-6D8B1875A69E}"/>
    <cellStyle name="CustomCellsOrange 3 2 2 56" xfId="27540" xr:uid="{12725CFE-6993-4FB5-8040-F9DE8DCF2419}"/>
    <cellStyle name="CustomCellsOrange 3 2 2 57" xfId="26780" xr:uid="{642977DE-0B15-4C53-B7C8-F9AFBBEF9237}"/>
    <cellStyle name="CustomCellsOrange 3 2 2 58" xfId="28667" xr:uid="{77D91953-48EE-4139-B645-125120E3DC26}"/>
    <cellStyle name="CustomCellsOrange 3 2 2 59" xfId="29134" xr:uid="{2262ABF6-4A2E-4D6D-A7D2-3EF77D87B9F0}"/>
    <cellStyle name="CustomCellsOrange 3 2 2 6" xfId="3412" xr:uid="{0CC845A1-58B6-4A7F-B000-9B85DB5031D5}"/>
    <cellStyle name="CustomCellsOrange 3 2 2 60" xfId="28307" xr:uid="{8C3BD8E7-7FCA-483C-BDBA-743637B9B8B5}"/>
    <cellStyle name="CustomCellsOrange 3 2 2 61" xfId="29923" xr:uid="{252A83C3-75BA-437C-9F14-5A40C954A3D6}"/>
    <cellStyle name="CustomCellsOrange 3 2 2 62" xfId="30329" xr:uid="{C59A83F8-CE8F-460B-9525-4DA17C86EB8B}"/>
    <cellStyle name="CustomCellsOrange 3 2 2 63" xfId="30746" xr:uid="{0E99EB0D-BA56-46BB-901B-962473D52BC8}"/>
    <cellStyle name="CustomCellsOrange 3 2 2 64" xfId="29444" xr:uid="{4BF41DD5-FB12-4B7F-89B6-A3396D001BFA}"/>
    <cellStyle name="CustomCellsOrange 3 2 2 65" xfId="31362" xr:uid="{CEF208A9-2D13-4ACA-8D29-FC91F3C82026}"/>
    <cellStyle name="CustomCellsOrange 3 2 2 7" xfId="4145" xr:uid="{74E3BFD1-2A28-46DB-9EA9-74CCCE8AADDA}"/>
    <cellStyle name="CustomCellsOrange 3 2 2 8" xfId="4582" xr:uid="{27F2D462-DF6E-4EE7-9EC3-D2C48901791F}"/>
    <cellStyle name="CustomCellsOrange 3 2 2 9" xfId="4244" xr:uid="{36FA5BA9-75BC-42FB-8B2C-A645E537E49E}"/>
    <cellStyle name="CustomCellsOrange 3 2 20" xfId="10083" xr:uid="{5C5F7069-01CF-480B-94F8-893A3E8DAC6E}"/>
    <cellStyle name="CustomCellsOrange 3 2 21" xfId="10498" xr:uid="{3F6F319C-007E-410E-9C0C-236966E8D6EE}"/>
    <cellStyle name="CustomCellsOrange 3 2 22" xfId="10791" xr:uid="{CD15ED63-626F-4440-84FC-0C9C4558ECC4}"/>
    <cellStyle name="CustomCellsOrange 3 2 23" xfId="9230" xr:uid="{4102AFD1-1B41-462E-89CB-4027B726B893}"/>
    <cellStyle name="CustomCellsOrange 3 2 24" xfId="11965" xr:uid="{3A7C5871-EF44-4537-BE77-55AEF8DA76D1}"/>
    <cellStyle name="CustomCellsOrange 3 2 25" xfId="12438" xr:uid="{B7FF70FC-2493-46EC-8E06-3E853FF06329}"/>
    <cellStyle name="CustomCellsOrange 3 2 26" xfId="12872" xr:uid="{C3FA02D6-78D0-4BF5-816C-3D6858569077}"/>
    <cellStyle name="CustomCellsOrange 3 2 27" xfId="13309" xr:uid="{9572EC8B-E3A6-416E-9FA0-8352C0B75664}"/>
    <cellStyle name="CustomCellsOrange 3 2 28" xfId="13761" xr:uid="{A0FFD597-F679-43C5-8D42-91EC5E81DA58}"/>
    <cellStyle name="CustomCellsOrange 3 2 29" xfId="14349" xr:uid="{FE17EEC1-3DDD-4AEA-8F90-F8CCAC1744AD}"/>
    <cellStyle name="CustomCellsOrange 3 2 3" xfId="1095" xr:uid="{7959D67D-C5DC-4879-9F7D-BA810F108F85}"/>
    <cellStyle name="CustomCellsOrange 3 2 30" xfId="14621" xr:uid="{321CE2E8-0F59-4D89-92A8-212F91D22224}"/>
    <cellStyle name="CustomCellsOrange 3 2 31" xfId="14376" xr:uid="{D8C580F0-1997-438E-A971-E0FEAFC2A5DF}"/>
    <cellStyle name="CustomCellsOrange 3 2 32" xfId="14288" xr:uid="{AE5A8345-44F5-4486-8259-2ED5E385FC08}"/>
    <cellStyle name="CustomCellsOrange 3 2 33" xfId="15898" xr:uid="{A3D09974-24E3-4A27-AA69-16B28AC4D968}"/>
    <cellStyle name="CustomCellsOrange 3 2 34" xfId="16657" xr:uid="{F497BF4B-1FCF-4296-A9CF-8E18CF654C1E}"/>
    <cellStyle name="CustomCellsOrange 3 2 35" xfId="17201" xr:uid="{CDBBC79C-70CB-425A-91B6-DDA9CD32E21E}"/>
    <cellStyle name="CustomCellsOrange 3 2 36" xfId="17647" xr:uid="{0816263C-EE88-47F7-95F1-5E3ECA2E8C80}"/>
    <cellStyle name="CustomCellsOrange 3 2 37" xfId="16096" xr:uid="{CE77012C-D216-4914-8530-62F44789A96F}"/>
    <cellStyle name="CustomCellsOrange 3 2 38" xfId="18475" xr:uid="{18D5B2FB-6B1E-4F02-90AC-494C7790A5EC}"/>
    <cellStyle name="CustomCellsOrange 3 2 39" xfId="17953" xr:uid="{595ACE34-6A39-416C-A82B-1486C6B79854}"/>
    <cellStyle name="CustomCellsOrange 3 2 4" xfId="1755" xr:uid="{BCD820F2-9EA3-4CB8-A4EE-033C326CA99A}"/>
    <cellStyle name="CustomCellsOrange 3 2 40" xfId="17948" xr:uid="{585D0195-E5CC-4C18-B2A9-5366ED866AE4}"/>
    <cellStyle name="CustomCellsOrange 3 2 41" xfId="19994" xr:uid="{20BE59AA-8390-4137-8228-AC5694360EFA}"/>
    <cellStyle name="CustomCellsOrange 3 2 42" xfId="20554" xr:uid="{E210DEE0-47B9-466B-BB5A-8188655F02B4}"/>
    <cellStyle name="CustomCellsOrange 3 2 43" xfId="21007" xr:uid="{0C4A8CC7-2612-4A61-BD89-12C6BFDA56CE}"/>
    <cellStyle name="CustomCellsOrange 3 2 44" xfId="21634" xr:uid="{DEBE1086-D85B-415E-BC3F-9AF3370D329A}"/>
    <cellStyle name="CustomCellsOrange 3 2 45" xfId="21938" xr:uid="{E95E6437-AED7-4337-90E7-55BD8C21CFC7}"/>
    <cellStyle name="CustomCellsOrange 3 2 46" xfId="22370" xr:uid="{BE8587EE-2A8F-437A-98BD-836218B1EF8F}"/>
    <cellStyle name="CustomCellsOrange 3 2 47" xfId="22756" xr:uid="{1645A1AC-132F-4060-9B0C-9E6C4414DA87}"/>
    <cellStyle name="CustomCellsOrange 3 2 48" xfId="22541" xr:uid="{6A024040-9C36-43C4-92AC-DC07EB59FE98}"/>
    <cellStyle name="CustomCellsOrange 3 2 49" xfId="23325" xr:uid="{39AF3061-2C26-4901-B3D3-365B4C32F691}"/>
    <cellStyle name="CustomCellsOrange 3 2 5" xfId="2434" xr:uid="{AA2C6947-A41A-4C50-81E9-CD23B739FFBD}"/>
    <cellStyle name="CustomCellsOrange 3 2 50" xfId="23803" xr:uid="{9160BE05-4380-4248-A2BE-1F4B0903EEEB}"/>
    <cellStyle name="CustomCellsOrange 3 2 51" xfId="24702" xr:uid="{51A3FD98-1CE6-415B-8911-4CF5651D11A6}"/>
    <cellStyle name="CustomCellsOrange 3 2 52" xfId="25262" xr:uid="{8901479D-4DCC-4293-9DE5-BAF1251F8A12}"/>
    <cellStyle name="CustomCellsOrange 3 2 53" xfId="25620" xr:uid="{74616FDC-2243-49FE-BA90-048A9630F333}"/>
    <cellStyle name="CustomCellsOrange 3 2 54" xfId="26060" xr:uid="{757B1E17-0D4D-4A6C-AD7D-C0E1019DCB37}"/>
    <cellStyle name="CustomCellsOrange 3 2 55" xfId="25145" xr:uid="{9A98426A-5261-4461-BA51-28C02B0CA79A}"/>
    <cellStyle name="CustomCellsOrange 3 2 56" xfId="26910" xr:uid="{67A9C6F4-A25A-4D56-8C36-8CD00F53692E}"/>
    <cellStyle name="CustomCellsOrange 3 2 57" xfId="27329" xr:uid="{3E3EAD1D-BFC7-4210-9A8E-8740F9C36DCC}"/>
    <cellStyle name="CustomCellsOrange 3 2 58" xfId="27764" xr:uid="{6B75B24A-B307-4FC8-A5B7-B6E983C87C09}"/>
    <cellStyle name="CustomCellsOrange 3 2 59" xfId="28452" xr:uid="{23C3E867-DDC1-4BEE-982C-4BF2647FDF8F}"/>
    <cellStyle name="CustomCellsOrange 3 2 6" xfId="2928" xr:uid="{E317297A-60CF-40F9-A734-A6A6E145240C}"/>
    <cellStyle name="CustomCellsOrange 3 2 60" xfId="28920" xr:uid="{692A0476-3196-4A7E-87BF-C2EBE3AA6E38}"/>
    <cellStyle name="CustomCellsOrange 3 2 61" xfId="29393" xr:uid="{FBE2BA74-9115-47E1-8A4E-44A999B02325}"/>
    <cellStyle name="CustomCellsOrange 3 2 62" xfId="29710" xr:uid="{F021CE5A-CE33-4ED7-8219-F5F09E8C8F5C}"/>
    <cellStyle name="CustomCellsOrange 3 2 63" xfId="30118" xr:uid="{7FFF3EC6-3940-4358-A079-E00F0E20FE68}"/>
    <cellStyle name="CustomCellsOrange 3 2 64" xfId="30532" xr:uid="{320D1977-8221-42EF-8EC3-26A4D7299DF1}"/>
    <cellStyle name="CustomCellsOrange 3 2 65" xfId="29454" xr:uid="{C41C4C04-B161-47C7-9679-40CB2CD4413C}"/>
    <cellStyle name="CustomCellsOrange 3 2 66" xfId="31156" xr:uid="{1786D1DC-5920-4E5C-B166-3B14E18CF11F}"/>
    <cellStyle name="CustomCellsOrange 3 2 7" xfId="3526" xr:uid="{02582F95-6BD9-4431-A42F-A7507E14816E}"/>
    <cellStyle name="CustomCellsOrange 3 2 8" xfId="3930" xr:uid="{B15F5B10-5A59-4D0D-BCF5-E5017A86C0C5}"/>
    <cellStyle name="CustomCellsOrange 3 2 9" xfId="4368" xr:uid="{E3F1B337-B296-4010-BA21-EA18794BBD79}"/>
    <cellStyle name="CustomCellsOrange 3 20" xfId="8085" xr:uid="{B777108F-6CB4-4965-A8A4-D89F495A91B0}"/>
    <cellStyle name="CustomCellsOrange 3 21" xfId="8903" xr:uid="{81F4E45C-0015-4BC1-BC90-3B7022DDBE97}"/>
    <cellStyle name="CustomCellsOrange 3 22" xfId="9217" xr:uid="{1B9526A7-F68E-4069-8932-F9FB5156F210}"/>
    <cellStyle name="CustomCellsOrange 3 23" xfId="9843" xr:uid="{BEDFF92D-15C5-4DE4-97B4-FE2072CD5FE8}"/>
    <cellStyle name="CustomCellsOrange 3 24" xfId="9293" xr:uid="{B88F4991-A212-4AA0-9255-BC94FC73A273}"/>
    <cellStyle name="CustomCellsOrange 3 25" xfId="10621" xr:uid="{20E1D01D-2F30-4C6C-AD46-E3EAB7968F15}"/>
    <cellStyle name="CustomCellsOrange 3 26" xfId="10396" xr:uid="{632A69EF-93B5-4049-8A2B-657DC5EEE7B6}"/>
    <cellStyle name="CustomCellsOrange 3 27" xfId="11629" xr:uid="{5BEBBF45-17A9-4214-A2DB-D1DF6C7DBC9F}"/>
    <cellStyle name="CustomCellsOrange 3 28" xfId="11766" xr:uid="{06D7C87C-059B-4E7D-BF2D-F6AA3C5CB36D}"/>
    <cellStyle name="CustomCellsOrange 3 29" xfId="11728" xr:uid="{011C0071-4EB3-4D70-9694-8F0991E6661B}"/>
    <cellStyle name="CustomCellsOrange 3 3" xfId="545" xr:uid="{66DB7E48-0FA5-46FC-BBD9-D2BAD618C92C}"/>
    <cellStyle name="CustomCellsOrange 3 3 10" xfId="4723" xr:uid="{9A6EEA95-AEE2-4D5F-9686-F449510F1712}"/>
    <cellStyle name="CustomCellsOrange 3 3 11" xfId="5193" xr:uid="{98397654-6CBB-4913-92FC-7A75A32C1E5E}"/>
    <cellStyle name="CustomCellsOrange 3 3 12" xfId="4798" xr:uid="{AE6B6815-9848-4D0E-8664-42A192BB3BBF}"/>
    <cellStyle name="CustomCellsOrange 3 3 13" xfId="5618" xr:uid="{8A6F0739-F651-4AE9-A3E4-7C48134B3A58}"/>
    <cellStyle name="CustomCellsOrange 3 3 14" xfId="6665" xr:uid="{8C5ACDD9-8934-4BEE-88DC-EC97C4B3135E}"/>
    <cellStyle name="CustomCellsOrange 3 3 15" xfId="7265" xr:uid="{36C7E14E-3C74-43DB-9776-099A43C211A5}"/>
    <cellStyle name="CustomCellsOrange 3 3 16" xfId="7697" xr:uid="{9E5ED5B4-FA6C-45E3-81A9-F16C7CB7A781}"/>
    <cellStyle name="CustomCellsOrange 3 3 17" xfId="7693" xr:uid="{A27147FB-C0E9-4CB6-8A2D-1E89BC5A7391}"/>
    <cellStyle name="CustomCellsOrange 3 3 18" xfId="8471" xr:uid="{79075C14-12EA-4336-8C08-0EE8DC83D9A8}"/>
    <cellStyle name="CustomCellsOrange 3 3 19" xfId="9479" xr:uid="{289D7FA5-320C-4F02-AEB0-001F44E10F5A}"/>
    <cellStyle name="CustomCellsOrange 3 3 2" xfId="760" xr:uid="{79B3952F-E060-4F1A-AC1F-EE7BF5C56043}"/>
    <cellStyle name="CustomCellsOrange 3 3 2 10" xfId="5408" xr:uid="{085187A1-020A-44DF-8F86-34E0814368F3}"/>
    <cellStyle name="CustomCellsOrange 3 3 2 11" xfId="2269" xr:uid="{96171B2B-4FF8-4334-91C5-203C94990061}"/>
    <cellStyle name="CustomCellsOrange 3 3 2 12" xfId="5029" xr:uid="{A210C1FF-2540-43A0-95D9-B859A7D466D8}"/>
    <cellStyle name="CustomCellsOrange 3 3 2 13" xfId="6474" xr:uid="{E1A1782D-DD1D-47D8-B335-F337960C4A65}"/>
    <cellStyle name="CustomCellsOrange 3 3 2 14" xfId="7480" xr:uid="{018B1331-4674-4975-9871-6DAA81D28227}"/>
    <cellStyle name="CustomCellsOrange 3 3 2 15" xfId="7197" xr:uid="{2887A26F-B4E3-4C37-B570-1AC1F502F8B7}"/>
    <cellStyle name="CustomCellsOrange 3 3 2 16" xfId="8370" xr:uid="{03D23686-A74F-48F0-A727-40E6562700CB}"/>
    <cellStyle name="CustomCellsOrange 3 3 2 17" xfId="8873" xr:uid="{72ECED37-23A7-4562-AE59-09D308D0E57A}"/>
    <cellStyle name="CustomCellsOrange 3 3 2 18" xfId="9694" xr:uid="{1FBF55B2-FD1D-4BB7-88BC-1C7267CB2986}"/>
    <cellStyle name="CustomCellsOrange 3 3 2 19" xfId="9410" xr:uid="{59892BBF-11F6-447D-AD3D-0DC93ED8B435}"/>
    <cellStyle name="CustomCellsOrange 3 3 2 2" xfId="1234" xr:uid="{539C94DA-6CE2-4B29-A288-8A07C2FF6F32}"/>
    <cellStyle name="CustomCellsOrange 3 3 2 20" xfId="9829" xr:uid="{DF85C558-63D9-4460-BD9A-C0516981CF69}"/>
    <cellStyle name="CustomCellsOrange 3 3 2 21" xfId="10071" xr:uid="{E6D05515-37D7-4EEA-A09B-02D30ECAFA23}"/>
    <cellStyle name="CustomCellsOrange 3 3 2 22" xfId="11180" xr:uid="{C5ECA778-4BA5-4E24-B78D-4A18346DFA88}"/>
    <cellStyle name="CustomCellsOrange 3 3 2 23" xfId="12113" xr:uid="{AD8A8EBC-51C9-4F90-9AE2-36F357911B79}"/>
    <cellStyle name="CustomCellsOrange 3 3 2 24" xfId="12586" xr:uid="{78A4159E-248A-47A6-AE31-BE1C89369F84}"/>
    <cellStyle name="CustomCellsOrange 3 3 2 25" xfId="13020" xr:uid="{80153770-6BB3-471E-ACAB-F764EDC6B4CC}"/>
    <cellStyle name="CustomCellsOrange 3 3 2 26" xfId="13457" xr:uid="{21AC8E5A-99B3-4497-ACF8-6A8563A0CCB7}"/>
    <cellStyle name="CustomCellsOrange 3 3 2 27" xfId="11815" xr:uid="{9FD42935-F768-4EFB-BEF3-204629A16D05}"/>
    <cellStyle name="CustomCellsOrange 3 3 2 28" xfId="13812" xr:uid="{04A5BB76-4E69-41B9-BBC2-52CB48B55554}"/>
    <cellStyle name="CustomCellsOrange 3 3 2 29" xfId="14142" xr:uid="{009386F4-D125-4397-820D-FBE710631DE0}"/>
    <cellStyle name="CustomCellsOrange 3 3 2 3" xfId="1756" xr:uid="{6622E19C-2597-4A70-B44B-1F56F4B37582}"/>
    <cellStyle name="CustomCellsOrange 3 3 2 30" xfId="15007" xr:uid="{A8AE2228-AE80-459E-B47F-800EB69BA4BF}"/>
    <cellStyle name="CustomCellsOrange 3 3 2 31" xfId="13588" xr:uid="{399EED74-7F5D-4DF5-A6BF-1C8BA9C439A4}"/>
    <cellStyle name="CustomCellsOrange 3 3 2 32" xfId="15704" xr:uid="{7B14075A-A481-44EB-9124-6709F5B7810B}"/>
    <cellStyle name="CustomCellsOrange 3 3 2 33" xfId="16805" xr:uid="{BBCF0164-6885-4730-8D8F-C22ECFD9F6C9}"/>
    <cellStyle name="CustomCellsOrange 3 3 2 34" xfId="16519" xr:uid="{2179FD1A-518A-47BA-B91A-66F8FA800B70}"/>
    <cellStyle name="CustomCellsOrange 3 3 2 35" xfId="16942" xr:uid="{21A27265-54DF-4DA6-AAF2-59464AE26DEC}"/>
    <cellStyle name="CustomCellsOrange 3 3 2 36" xfId="17651" xr:uid="{06EDC44A-2176-4B56-80C4-FE02AA644742}"/>
    <cellStyle name="CustomCellsOrange 3 3 2 37" xfId="18623" xr:uid="{FB3C8471-9F63-43B3-8ED3-4E68364D7BEE}"/>
    <cellStyle name="CustomCellsOrange 3 3 2 38" xfId="18978" xr:uid="{DDBB5C88-8B13-4F38-B386-B68D4782395E}"/>
    <cellStyle name="CustomCellsOrange 3 3 2 39" xfId="19143" xr:uid="{A41CEB3A-47BB-4863-A95C-0385CBC4849C}"/>
    <cellStyle name="CustomCellsOrange 3 3 2 4" xfId="2582" xr:uid="{C4A23EDB-8122-46E0-9B01-2ED153BF4110}"/>
    <cellStyle name="CustomCellsOrange 3 3 2 40" xfId="20142" xr:uid="{6A06F2A9-F9C6-4854-9679-DDBE1ACBE314}"/>
    <cellStyle name="CustomCellsOrange 3 3 2 41" xfId="19855" xr:uid="{D1892B2E-C0BC-44C4-9463-32B981FD37E1}"/>
    <cellStyle name="CustomCellsOrange 3 3 2 42" xfId="20378" xr:uid="{00F789FA-4496-41BE-8160-EE3FE227C29B}"/>
    <cellStyle name="CustomCellsOrange 3 3 2 43" xfId="21472" xr:uid="{58081305-13BD-4936-83FA-D44D258D91C6}"/>
    <cellStyle name="CustomCellsOrange 3 3 2 44" xfId="21150" xr:uid="{0774B2E3-75DE-4643-BC43-63EF401A7F9B}"/>
    <cellStyle name="CustomCellsOrange 3 3 2 45" xfId="20397" xr:uid="{8B926EA7-33EC-43B3-8F69-E8E933C31C46}"/>
    <cellStyle name="CustomCellsOrange 3 3 2 46" xfId="22049" xr:uid="{0813E3C6-76A9-44A8-B7C8-604BAB303582}"/>
    <cellStyle name="CustomCellsOrange 3 3 2 47" xfId="23265" xr:uid="{E7667965-0707-4641-92E3-33CCC26DCC11}"/>
    <cellStyle name="CustomCellsOrange 3 3 2 48" xfId="23305" xr:uid="{81341451-3979-447F-962B-45A590FE04CB}"/>
    <cellStyle name="CustomCellsOrange 3 3 2 49" xfId="23942" xr:uid="{6589D950-657B-4A9F-94D6-B4784C0ED1ED}"/>
    <cellStyle name="CustomCellsOrange 3 3 2 5" xfId="2734" xr:uid="{40569FCD-772E-4A2B-968D-F58010BA4872}"/>
    <cellStyle name="CustomCellsOrange 3 3 2 50" xfId="24850" xr:uid="{DED5C0F2-3C80-474A-AB6E-611D7F7566E3}"/>
    <cellStyle name="CustomCellsOrange 3 3 2 51" xfId="24558" xr:uid="{E5152C3D-8D8D-49D8-B605-837F3E6F7875}"/>
    <cellStyle name="CustomCellsOrange 3 3 2 52" xfId="25766" xr:uid="{424BFAE6-B64F-4E72-A24C-E98C64DC22E3}"/>
    <cellStyle name="CustomCellsOrange 3 3 2 53" xfId="25041" xr:uid="{CE7FAB3E-2431-49DF-91D6-C6ED6C1302DD}"/>
    <cellStyle name="CustomCellsOrange 3 3 2 54" xfId="26599" xr:uid="{C1BECFE1-F256-4BF7-AF3B-D6B4CD38303C}"/>
    <cellStyle name="CustomCellsOrange 3 3 2 55" xfId="27054" xr:uid="{4B11AFA3-7469-48FA-8AC7-0735F70BB93D}"/>
    <cellStyle name="CustomCellsOrange 3 3 2 56" xfId="27473" xr:uid="{C3CFDBF8-ACDE-46E3-AE29-CD2F23F73528}"/>
    <cellStyle name="CustomCellsOrange 3 3 2 57" xfId="26197" xr:uid="{B6871221-9DA3-48A8-AEFC-BCC8E2B62909}"/>
    <cellStyle name="CustomCellsOrange 3 3 2 58" xfId="28600" xr:uid="{BEECE1FA-C495-4851-8C57-DF7B48389C77}"/>
    <cellStyle name="CustomCellsOrange 3 3 2 59" xfId="29067" xr:uid="{D5B369D0-D767-4A9E-B0BF-29908336D472}"/>
    <cellStyle name="CustomCellsOrange 3 3 2 6" xfId="2273" xr:uid="{FED06B1E-7402-435D-A4CF-EEEF0EF40B14}"/>
    <cellStyle name="CustomCellsOrange 3 3 2 60" xfId="27996" xr:uid="{CCB1A5E0-EB6F-4887-9E3B-3842F2D6BE14}"/>
    <cellStyle name="CustomCellsOrange 3 3 2 61" xfId="29856" xr:uid="{1BB09A3F-0908-4056-A899-5412F957F2CE}"/>
    <cellStyle name="CustomCellsOrange 3 3 2 62" xfId="30262" xr:uid="{8C2A5B88-D184-43E0-88E8-AAB3C0F12304}"/>
    <cellStyle name="CustomCellsOrange 3 3 2 63" xfId="30679" xr:uid="{2C8E81D3-E50C-431D-95FB-3C046CB4B685}"/>
    <cellStyle name="CustomCellsOrange 3 3 2 64" xfId="30406" xr:uid="{73565796-3E65-4B1E-90B8-9056C7C4EFD1}"/>
    <cellStyle name="CustomCellsOrange 3 3 2 65" xfId="31295" xr:uid="{373E0C95-EAB6-4EDF-83F2-4F1ED33210DC}"/>
    <cellStyle name="CustomCellsOrange 3 3 2 7" xfId="4078" xr:uid="{7FDB6926-0DDE-4C72-A284-94B6CA10BFEC}"/>
    <cellStyle name="CustomCellsOrange 3 3 2 8" xfId="4515" xr:uid="{50F67D99-8ACF-4466-8F18-A10DC6209908}"/>
    <cellStyle name="CustomCellsOrange 3 3 2 9" xfId="4238" xr:uid="{FE80F10B-D82D-4F35-8BC1-FF5FFAE6408B}"/>
    <cellStyle name="CustomCellsOrange 3 3 20" xfId="9912" xr:uid="{7225F082-1FB0-4BCF-8B56-672937799AF1}"/>
    <cellStyle name="CustomCellsOrange 3 3 21" xfId="10343" xr:uid="{9F07E3AC-80B5-4C5C-B99F-5DD2BF304B94}"/>
    <cellStyle name="CustomCellsOrange 3 3 22" xfId="10846" xr:uid="{D191595D-C268-4EC6-AFBB-0CDAB2753591}"/>
    <cellStyle name="CustomCellsOrange 3 3 23" xfId="10306" xr:uid="{6D036B3D-896E-46E0-B9FD-8824FCAF1C65}"/>
    <cellStyle name="CustomCellsOrange 3 3 24" xfId="11898" xr:uid="{BF1B7FA0-33CF-414D-845E-C272E92FA050}"/>
    <cellStyle name="CustomCellsOrange 3 3 25" xfId="12371" xr:uid="{0E0B0B7D-3433-4263-BAB3-B27021D9AF97}"/>
    <cellStyle name="CustomCellsOrange 3 3 26" xfId="12805" xr:uid="{0E913469-6FF9-42A1-8CF9-EB3C768349B1}"/>
    <cellStyle name="CustomCellsOrange 3 3 27" xfId="13242" xr:uid="{369B3CC7-7E67-4AA7-BA7A-CF4901418592}"/>
    <cellStyle name="CustomCellsOrange 3 3 28" xfId="13703" xr:uid="{1E71A659-FCDE-43D0-BA7D-D3BAF63A1EE3}"/>
    <cellStyle name="CustomCellsOrange 3 3 29" xfId="14415" xr:uid="{A83A8537-6463-4141-B5B0-91433BC1AA25}"/>
    <cellStyle name="CustomCellsOrange 3 3 3" xfId="1028" xr:uid="{92C6D0A0-A2DC-43D3-A90B-6BB65139BE89}"/>
    <cellStyle name="CustomCellsOrange 3 3 30" xfId="14693" xr:uid="{09111644-71D8-4C23-A0AA-7A388C8EB646}"/>
    <cellStyle name="CustomCellsOrange 3 3 31" xfId="14721" xr:uid="{A74E3471-6798-4520-8E43-5B064607BC3C}"/>
    <cellStyle name="CustomCellsOrange 3 3 32" xfId="14550" xr:uid="{F8A1465C-7F81-4CF9-9DDB-E963CE4C6C54}"/>
    <cellStyle name="CustomCellsOrange 3 3 33" xfId="15807" xr:uid="{C03A80A6-C4C6-4750-8F12-879F9EC96B5A}"/>
    <cellStyle name="CustomCellsOrange 3 3 34" xfId="16590" xr:uid="{F2D5C976-9DDB-459C-8FC9-1A23A2990FFA}"/>
    <cellStyle name="CustomCellsOrange 3 3 35" xfId="17025" xr:uid="{37834991-AD7B-47F5-8B8C-EB38F5080849}"/>
    <cellStyle name="CustomCellsOrange 3 3 36" xfId="17472" xr:uid="{2EA14ADE-9A77-4B3A-9763-A2295E3E669F}"/>
    <cellStyle name="CustomCellsOrange 3 3 37" xfId="18092" xr:uid="{2C876C4D-8797-449E-AC5A-B68B9AA28D4E}"/>
    <cellStyle name="CustomCellsOrange 3 3 38" xfId="18408" xr:uid="{41D9387A-5EEA-42EF-B96B-C746B3461C8A}"/>
    <cellStyle name="CustomCellsOrange 3 3 39" xfId="18343" xr:uid="{6DCDB4C7-DD86-4EAF-83B5-739178ECE714}"/>
    <cellStyle name="CustomCellsOrange 3 3 4" xfId="1461" xr:uid="{71325798-D382-4C3D-9706-28939F4E1CBD}"/>
    <cellStyle name="CustomCellsOrange 3 3 40" xfId="19028" xr:uid="{E7FF3184-337B-4911-9AA8-2169B7FFB75E}"/>
    <cellStyle name="CustomCellsOrange 3 3 41" xfId="19927" xr:uid="{497883F5-2AC2-4ED3-88C3-396DAFFA2A9E}"/>
    <cellStyle name="CustomCellsOrange 3 3 42" xfId="20376" xr:uid="{10B49AA9-9A79-4E4B-8927-8BABFFE7495B}"/>
    <cellStyle name="CustomCellsOrange 3 3 43" xfId="20830" xr:uid="{0E5A9663-8D1E-4E1F-9CA9-184B542CC81D}"/>
    <cellStyle name="CustomCellsOrange 3 3 44" xfId="19589" xr:uid="{EF723F9B-0DA8-4622-8D9F-9A50CE8DBE6B}"/>
    <cellStyle name="CustomCellsOrange 3 3 45" xfId="21762" xr:uid="{464113E1-7353-4CFC-A678-B6B862C798D7}"/>
    <cellStyle name="CustomCellsOrange 3 3 46" xfId="22201" xr:uid="{D2C0A112-211E-4D0C-A9FF-41DE422CEDB2}"/>
    <cellStyle name="CustomCellsOrange 3 3 47" xfId="22700" xr:uid="{BC42E2B1-9750-4005-8ABA-F52EA537B1E8}"/>
    <cellStyle name="CustomCellsOrange 3 3 48" xfId="22800" xr:uid="{B1FAC09F-BA9A-46A3-8AB8-3646C727632D}"/>
    <cellStyle name="CustomCellsOrange 3 3 49" xfId="23587" xr:uid="{0C9531B5-59CE-4150-859C-0864E18931EC}"/>
    <cellStyle name="CustomCellsOrange 3 3 5" xfId="2367" xr:uid="{7C38C3C2-5F64-4E7B-B0E1-BE745FFB8E13}"/>
    <cellStyle name="CustomCellsOrange 3 3 50" xfId="23736" xr:uid="{4AC047B6-4A24-491C-93AF-852276C8A211}"/>
    <cellStyle name="CustomCellsOrange 3 3 51" xfId="24635" xr:uid="{6E346D98-EBC0-4AA2-8754-A38E5E2B8444}"/>
    <cellStyle name="CustomCellsOrange 3 3 52" xfId="25087" xr:uid="{652B9582-D83E-4081-8BBE-2352B36C0259}"/>
    <cellStyle name="CustomCellsOrange 3 3 53" xfId="25553" xr:uid="{F9034BD9-7C37-46E2-ADFC-7BE855FF76EC}"/>
    <cellStyle name="CustomCellsOrange 3 3 54" xfId="26005" xr:uid="{C6F5CD9C-2702-4D28-98F0-FB43575FD028}"/>
    <cellStyle name="CustomCellsOrange 3 3 55" xfId="26401" xr:uid="{BCAEADC0-9B8C-4520-A265-AEB5105B5D6D}"/>
    <cellStyle name="CustomCellsOrange 3 3 56" xfId="26843" xr:uid="{EFCB9F86-8EB4-4DF6-AA1C-82EE1C48E7AF}"/>
    <cellStyle name="CustomCellsOrange 3 3 57" xfId="27262" xr:uid="{6DB77D21-F6D2-44B5-B95B-F07D2B3A0A9B}"/>
    <cellStyle name="CustomCellsOrange 3 3 58" xfId="27632" xr:uid="{55384023-B9E9-4C91-8877-71BEF5EDD0E1}"/>
    <cellStyle name="CustomCellsOrange 3 3 59" xfId="28385" xr:uid="{997DF7C2-B826-4644-BCB7-F1E8828A7221}"/>
    <cellStyle name="CustomCellsOrange 3 3 6" xfId="2868" xr:uid="{C0BD6C16-4D5B-4E3A-A4F7-4AA5CF752044}"/>
    <cellStyle name="CustomCellsOrange 3 3 60" xfId="28853" xr:uid="{95777BD6-0DD2-48DD-81D1-EA75D4C00D7C}"/>
    <cellStyle name="CustomCellsOrange 3 3 61" xfId="29242" xr:uid="{767CBD32-AEB7-4CA0-A307-B7215863F6FE}"/>
    <cellStyle name="CustomCellsOrange 3 3 62" xfId="29643" xr:uid="{E2F0DAB9-9F58-401E-B080-FED26E484BB9}"/>
    <cellStyle name="CustomCellsOrange 3 3 63" xfId="30051" xr:uid="{33627A5A-F446-4FE7-91D6-96A7E76276F1}"/>
    <cellStyle name="CustomCellsOrange 3 3 64" xfId="30465" xr:uid="{2458B687-820D-46E1-8A05-DB7B3C09BA21}"/>
    <cellStyle name="CustomCellsOrange 3 3 65" xfId="31016" xr:uid="{328636B0-B5EF-4740-9C96-344B75263C99}"/>
    <cellStyle name="CustomCellsOrange 3 3 66" xfId="31089" xr:uid="{DDED265A-9210-4138-957A-E78FF3612C81}"/>
    <cellStyle name="CustomCellsOrange 3 3 7" xfId="2069" xr:uid="{DC137FAA-2B19-4FA2-88ED-F11B2EE02F4A}"/>
    <cellStyle name="CustomCellsOrange 3 3 8" xfId="3863" xr:uid="{C7D192BB-981A-401D-A246-74A2A7C3CAFA}"/>
    <cellStyle name="CustomCellsOrange 3 3 9" xfId="4301" xr:uid="{CD2271D6-9C04-43F5-BDE5-D86F425C5E5E}"/>
    <cellStyle name="CustomCellsOrange 3 30" xfId="12293" xr:uid="{8EC31270-14FB-4C5B-A243-98425BBC8293}"/>
    <cellStyle name="CustomCellsOrange 3 31" xfId="13994" xr:uid="{2A78CDF5-1692-40AC-B9E5-BCA0C6DDE012}"/>
    <cellStyle name="CustomCellsOrange 3 32" xfId="13792" xr:uid="{D3405585-AE01-460A-87E4-BF688A514903}"/>
    <cellStyle name="CustomCellsOrange 3 33" xfId="11493" xr:uid="{7CF1772B-B5D6-4571-9BBA-C5014ADEAD80}"/>
    <cellStyle name="CustomCellsOrange 3 34" xfId="14568" xr:uid="{8845C498-33EE-4148-A382-A6BA3DE35623}"/>
    <cellStyle name="CustomCellsOrange 3 35" xfId="15694" xr:uid="{D8FA5CF5-A698-4FE1-BE5A-A7E2E5339F0F}"/>
    <cellStyle name="CustomCellsOrange 3 36" xfId="14586" xr:uid="{CA84A2C6-5D42-42B5-81FB-5B672FBB70D4}"/>
    <cellStyle name="CustomCellsOrange 3 37" xfId="16324" xr:uid="{A4042BDC-D6DD-47EC-969A-875D1F7BC65F}"/>
    <cellStyle name="CustomCellsOrange 3 38" xfId="16959" xr:uid="{5C3E502F-CB74-47B0-9155-C9C31B32D148}"/>
    <cellStyle name="CustomCellsOrange 3 39" xfId="16108" xr:uid="{FAFD4471-F413-43F6-96B5-F7B8C00458C9}"/>
    <cellStyle name="CustomCellsOrange 3 4" xfId="558" xr:uid="{DFB20C87-2AE0-4352-8447-D5E437290F71}"/>
    <cellStyle name="CustomCellsOrange 3 4 10" xfId="4218" xr:uid="{6796F529-3B4F-490C-A1AC-BFCCAAA5083E}"/>
    <cellStyle name="CustomCellsOrange 3 4 11" xfId="5206" xr:uid="{4AEFD9D0-0813-46D3-98E4-456F07CAA462}"/>
    <cellStyle name="CustomCellsOrange 3 4 12" xfId="5731" xr:uid="{0334AAFF-0A96-4D80-8510-8D1757420163}"/>
    <cellStyle name="CustomCellsOrange 3 4 13" xfId="6167" xr:uid="{82BFEBCD-3A00-403E-BE8A-D8F53C25BE11}"/>
    <cellStyle name="CustomCellsOrange 3 4 14" xfId="4266" xr:uid="{36F61422-86B8-4D77-A6A3-7D7564751370}"/>
    <cellStyle name="CustomCellsOrange 3 4 15" xfId="7278" xr:uid="{E02790A5-E354-410F-8418-6C6605DDE9D1}"/>
    <cellStyle name="CustomCellsOrange 3 4 16" xfId="7927" xr:uid="{91017441-E522-4BC7-B779-45E7268A3B45}"/>
    <cellStyle name="CustomCellsOrange 3 4 17" xfId="7807" xr:uid="{8320FCA8-C9D8-45F3-BE4F-42D746AD9697}"/>
    <cellStyle name="CustomCellsOrange 3 4 18" xfId="8697" xr:uid="{36081843-4503-41D4-B294-B5C951BA87E2}"/>
    <cellStyle name="CustomCellsOrange 3 4 19" xfId="9492" xr:uid="{CE5DA3C9-E534-43A3-81F6-68B04FF7C423}"/>
    <cellStyle name="CustomCellsOrange 3 4 2" xfId="773" xr:uid="{8C47A215-F1FB-45A7-92CF-FAD03AE41B26}"/>
    <cellStyle name="CustomCellsOrange 3 4 2 10" xfId="5421" xr:uid="{2B0CC5D0-DE40-45C8-8DE9-5AF281EAD01F}"/>
    <cellStyle name="CustomCellsOrange 3 4 2 11" xfId="5954" xr:uid="{589E00F5-FE5D-44F0-8759-2D4891A7350C}"/>
    <cellStyle name="CustomCellsOrange 3 4 2 12" xfId="6035" xr:uid="{F2971CB5-BE1B-4EAF-A1BE-24F8596418B7}"/>
    <cellStyle name="CustomCellsOrange 3 4 2 13" xfId="5109" xr:uid="{56DC7646-D16F-4D19-86BB-7EDFA4AD3C02}"/>
    <cellStyle name="CustomCellsOrange 3 4 2 14" xfId="7493" xr:uid="{1C23F555-9CAA-4D19-9AC3-C53582AF1055}"/>
    <cellStyle name="CustomCellsOrange 3 4 2 15" xfId="7094" xr:uid="{12A57AD3-91A7-4AD5-BD90-66EFEA9CE3BE}"/>
    <cellStyle name="CustomCellsOrange 3 4 2 16" xfId="7170" xr:uid="{DE5C6480-84C7-4CC9-B462-BC44F0C97E70}"/>
    <cellStyle name="CustomCellsOrange 3 4 2 17" xfId="8844" xr:uid="{C38CB589-E213-41BC-AB59-78176E1045AC}"/>
    <cellStyle name="CustomCellsOrange 3 4 2 18" xfId="9707" xr:uid="{0E8B868C-7A80-4C0C-9D26-1F887402DB1A}"/>
    <cellStyle name="CustomCellsOrange 3 4 2 19" xfId="9307" xr:uid="{E30407C8-CC99-4D44-A8D3-6F0D3A96DB11}"/>
    <cellStyle name="CustomCellsOrange 3 4 2 2" xfId="1247" xr:uid="{550C9A66-D853-4046-832F-7468D44BDBD7}"/>
    <cellStyle name="CustomCellsOrange 3 4 2 20" xfId="9932" xr:uid="{1BA4C895-4AAC-4041-BD92-B3FBE1409527}"/>
    <cellStyle name="CustomCellsOrange 3 4 2 21" xfId="9105" xr:uid="{6C060D75-B94A-446D-9A5F-4DE8753A02A5}"/>
    <cellStyle name="CustomCellsOrange 3 4 2 22" xfId="8974" xr:uid="{EEF6A536-9E0B-41FF-BACA-A19B8509D8E5}"/>
    <cellStyle name="CustomCellsOrange 3 4 2 23" xfId="12126" xr:uid="{F81873C3-32BE-462C-9953-EC3C7BFF93DF}"/>
    <cellStyle name="CustomCellsOrange 3 4 2 24" xfId="12599" xr:uid="{5A0CBBAB-19F0-40AF-B0A7-17A1354F859A}"/>
    <cellStyle name="CustomCellsOrange 3 4 2 25" xfId="13033" xr:uid="{4A979A53-F718-48D4-AF7C-C239F9EA428D}"/>
    <cellStyle name="CustomCellsOrange 3 4 2 26" xfId="13470" xr:uid="{7550A0CF-32BD-40EA-B4B1-FEC861DA358E}"/>
    <cellStyle name="CustomCellsOrange 3 4 2 27" xfId="13612" xr:uid="{349FFA5C-2D60-4D44-90E0-93F36299AD24}"/>
    <cellStyle name="CustomCellsOrange 3 4 2 28" xfId="13605" xr:uid="{AE4C28DD-27FC-40E2-9299-98487987961C}"/>
    <cellStyle name="CustomCellsOrange 3 4 2 29" xfId="13944" xr:uid="{1C304F15-F42E-4B85-84F4-21C015C19B8C}"/>
    <cellStyle name="CustomCellsOrange 3 4 2 3" xfId="1430" xr:uid="{660D0E89-F3C8-4D63-8823-001B86300B3E}"/>
    <cellStyle name="CustomCellsOrange 3 4 2 30" xfId="15035" xr:uid="{0089F053-0DFF-4F11-953D-7E376E74E5DE}"/>
    <cellStyle name="CustomCellsOrange 3 4 2 31" xfId="13641" xr:uid="{4D569A49-A6CD-45A5-86D3-86B71A6EF987}"/>
    <cellStyle name="CustomCellsOrange 3 4 2 32" xfId="15657" xr:uid="{28BE9743-7188-4CC5-AE7A-4993500CB8F4}"/>
    <cellStyle name="CustomCellsOrange 3 4 2 33" xfId="16818" xr:uid="{6912052C-2B37-4C8E-AE55-7D36CD059C22}"/>
    <cellStyle name="CustomCellsOrange 3 4 2 34" xfId="16416" xr:uid="{D45FB990-52F5-4987-BC36-9528CDB16233}"/>
    <cellStyle name="CustomCellsOrange 3 4 2 35" xfId="17046" xr:uid="{4A30B2E0-A0EB-435C-9773-92DFE8F705DF}"/>
    <cellStyle name="CustomCellsOrange 3 4 2 36" xfId="17225" xr:uid="{090D0D56-AF27-4C36-9C4B-72B278554E1D}"/>
    <cellStyle name="CustomCellsOrange 3 4 2 37" xfId="18636" xr:uid="{19EABBBA-D1EA-4E0B-AE9A-277B4D138A9A}"/>
    <cellStyle name="CustomCellsOrange 3 4 2 38" xfId="17582" xr:uid="{E853DBB0-8D97-40B3-91C5-1EE5C321DC03}"/>
    <cellStyle name="CustomCellsOrange 3 4 2 39" xfId="19168" xr:uid="{F7FC6E96-6822-433C-8201-2D84A529183F}"/>
    <cellStyle name="CustomCellsOrange 3 4 2 4" xfId="2595" xr:uid="{5701E7B4-7393-4866-8B2A-664CF327AEB7}"/>
    <cellStyle name="CustomCellsOrange 3 4 2 40" xfId="20155" xr:uid="{7C28B9C9-B9FA-4576-889F-28F54E291332}"/>
    <cellStyle name="CustomCellsOrange 3 4 2 41" xfId="19751" xr:uid="{D72BF176-8551-4246-8C3C-83568D94FC36}"/>
    <cellStyle name="CustomCellsOrange 3 4 2 42" xfId="20607" xr:uid="{16CE7CF0-56E1-48EE-B6A9-0401D0ED7ED9}"/>
    <cellStyle name="CustomCellsOrange 3 4 2 43" xfId="21302" xr:uid="{B2BDFF43-8538-4C34-8A88-C6C8D3F7C52F}"/>
    <cellStyle name="CustomCellsOrange 3 4 2 44" xfId="21522" xr:uid="{5E60576A-1521-4F35-B420-B4A76C997470}"/>
    <cellStyle name="CustomCellsOrange 3 4 2 45" xfId="21333" xr:uid="{B44ED62A-B862-4534-9DD2-37202F53B5AE}"/>
    <cellStyle name="CustomCellsOrange 3 4 2 46" xfId="22621" xr:uid="{35DD5F4E-B8BA-4E0D-9B9D-07480A1478D4}"/>
    <cellStyle name="CustomCellsOrange 3 4 2 47" xfId="22474" xr:uid="{77DE54FC-7D55-4ABA-B3CB-FF90CD7A12F5}"/>
    <cellStyle name="CustomCellsOrange 3 4 2 48" xfId="23430" xr:uid="{5FD12114-1589-45CB-B040-44B5CADD2FB4}"/>
    <cellStyle name="CustomCellsOrange 3 4 2 49" xfId="23955" xr:uid="{B344084F-8DD4-49EB-B297-403E91A22605}"/>
    <cellStyle name="CustomCellsOrange 3 4 2 5" xfId="2779" xr:uid="{1E9CE9C3-AD42-409A-A656-092E10B5A57C}"/>
    <cellStyle name="CustomCellsOrange 3 4 2 50" xfId="24863" xr:uid="{496C3508-1B21-4524-9B64-F37EE0377394}"/>
    <cellStyle name="CustomCellsOrange 3 4 2 51" xfId="24244" xr:uid="{3C5CAB05-60E8-4DA8-BBD9-DFFB8DF1ABD9}"/>
    <cellStyle name="CustomCellsOrange 3 4 2 52" xfId="25779" xr:uid="{7CA49C38-337E-437E-9FAF-9AFD67B6391F}"/>
    <cellStyle name="CustomCellsOrange 3 4 2 53" xfId="25925" xr:uid="{1450E994-F4A8-44E4-84C0-5F9FF95A3C37}"/>
    <cellStyle name="CustomCellsOrange 3 4 2 54" xfId="25939" xr:uid="{33813D18-D0D0-4218-87D9-92275241B313}"/>
    <cellStyle name="CustomCellsOrange 3 4 2 55" xfId="27067" xr:uid="{BA310C10-9F7F-465E-A30C-2E059D766FAA}"/>
    <cellStyle name="CustomCellsOrange 3 4 2 56" xfId="27486" xr:uid="{3CD972FA-4B49-44C2-A5CD-5BA0E27C0B4F}"/>
    <cellStyle name="CustomCellsOrange 3 4 2 57" xfId="26770" xr:uid="{021FA56E-B674-4CD0-801A-25F869E797EB}"/>
    <cellStyle name="CustomCellsOrange 3 4 2 58" xfId="28613" xr:uid="{93BB9E5F-B537-430F-BBB6-69733E2ACA30}"/>
    <cellStyle name="CustomCellsOrange 3 4 2 59" xfId="29080" xr:uid="{2BE0B39F-F81E-4411-9273-98C73A3F0AEE}"/>
    <cellStyle name="CustomCellsOrange 3 4 2 6" xfId="1877" xr:uid="{7BD2947D-63A0-44CE-AE68-F5559418FCAB}"/>
    <cellStyle name="CustomCellsOrange 3 4 2 60" xfId="28254" xr:uid="{31C5B11D-2A3A-493A-8506-E8BD7EDB64E1}"/>
    <cellStyle name="CustomCellsOrange 3 4 2 61" xfId="29869" xr:uid="{6E1DF844-8E8F-4C11-9F0C-57BF154682E2}"/>
    <cellStyle name="CustomCellsOrange 3 4 2 62" xfId="30275" xr:uid="{870D65CC-B433-43DA-939E-107DA83C6775}"/>
    <cellStyle name="CustomCellsOrange 3 4 2 63" xfId="30692" xr:uid="{55E58E16-3032-423A-86AB-AEB58EB70F05}"/>
    <cellStyle name="CustomCellsOrange 3 4 2 64" xfId="30003" xr:uid="{9928F66E-1BB9-4219-AD40-F5AE9FC33C38}"/>
    <cellStyle name="CustomCellsOrange 3 4 2 65" xfId="31308" xr:uid="{9DE3FED2-7779-4410-ACA1-4211F0C4F713}"/>
    <cellStyle name="CustomCellsOrange 3 4 2 7" xfId="4091" xr:uid="{259D1A03-98B1-4AA1-945E-E3A91FE5301E}"/>
    <cellStyle name="CustomCellsOrange 3 4 2 8" xfId="4528" xr:uid="{2D5FBF86-3292-4401-9FDB-6DA0E5F2D2C9}"/>
    <cellStyle name="CustomCellsOrange 3 4 2 9" xfId="4455" xr:uid="{90399D20-C3C0-4576-B842-B6263A7EA669}"/>
    <cellStyle name="CustomCellsOrange 3 4 20" xfId="10140" xr:uid="{FB9C3027-EDEB-4EF9-B8A5-B26213B76DA8}"/>
    <cellStyle name="CustomCellsOrange 3 4 21" xfId="10550" xr:uid="{29BC38D0-62A9-456F-A7DA-B55AAB654C64}"/>
    <cellStyle name="CustomCellsOrange 3 4 22" xfId="10502" xr:uid="{5B00F86A-6ABF-4CAB-A3C0-F20FA837A7B5}"/>
    <cellStyle name="CustomCellsOrange 3 4 23" xfId="11163" xr:uid="{AE4A86D0-94F2-45CC-825D-D20DAE930A81}"/>
    <cellStyle name="CustomCellsOrange 3 4 24" xfId="11911" xr:uid="{8B3FF3A8-29F7-4EF7-BF0A-E5DB8A57F39C}"/>
    <cellStyle name="CustomCellsOrange 3 4 25" xfId="12384" xr:uid="{ED21CF89-4F43-48D4-93A7-E5FE5B547D9B}"/>
    <cellStyle name="CustomCellsOrange 3 4 26" xfId="12818" xr:uid="{85349968-1F62-4992-A153-421AEFBD6C42}"/>
    <cellStyle name="CustomCellsOrange 3 4 27" xfId="13255" xr:uid="{C6F5C2A3-E7C6-4C3C-A81C-3780605CA656}"/>
    <cellStyle name="CustomCellsOrange 3 4 28" xfId="11409" xr:uid="{5928676E-506C-48FA-BFCB-7752D62EF999}"/>
    <cellStyle name="CustomCellsOrange 3 4 29" xfId="13811" xr:uid="{A2978A78-A3F1-49AA-9046-0887C18447B1}"/>
    <cellStyle name="CustomCellsOrange 3 4 3" xfId="1041" xr:uid="{E6BCC2BF-2A9F-43F9-B671-0E599EC4C5EE}"/>
    <cellStyle name="CustomCellsOrange 3 4 30" xfId="14866" xr:uid="{DDEDC628-7D04-4447-9296-335DDFB4E67A}"/>
    <cellStyle name="CustomCellsOrange 3 4 31" xfId="12738" xr:uid="{C566DC1B-B429-4670-B07C-D6A4946AC594}"/>
    <cellStyle name="CustomCellsOrange 3 4 32" xfId="15645" xr:uid="{32860B8B-33E3-4A3F-B303-21F1AAFC022D}"/>
    <cellStyle name="CustomCellsOrange 3 4 33" xfId="15933" xr:uid="{B79322A8-ACB5-483C-BFD0-0E4155D0CC48}"/>
    <cellStyle name="CustomCellsOrange 3 4 34" xfId="16603" xr:uid="{94180561-CAF8-4675-963C-6557628CDA6B}"/>
    <cellStyle name="CustomCellsOrange 3 4 35" xfId="17260" xr:uid="{25A34CDE-ABC5-480C-A267-DED5CC76A1C0}"/>
    <cellStyle name="CustomCellsOrange 3 4 36" xfId="17704" xr:uid="{37B22313-61A7-403C-8FBD-FEE996AA68BF}"/>
    <cellStyle name="CustomCellsOrange 3 4 37" xfId="18051" xr:uid="{EF50FCD0-A9EF-4C82-8403-0DC761ABE7EC}"/>
    <cellStyle name="CustomCellsOrange 3 4 38" xfId="18421" xr:uid="{F03E6030-DC00-47CF-8815-2386DD55300A}"/>
    <cellStyle name="CustomCellsOrange 3 4 39" xfId="18772" xr:uid="{F1D8CE88-5F93-470E-95B4-E886A3D506A0}"/>
    <cellStyle name="CustomCellsOrange 3 4 4" xfId="1731" xr:uid="{9DFD7FB4-F6C0-4BA1-ADC5-7D2F196FC65E}"/>
    <cellStyle name="CustomCellsOrange 3 4 40" xfId="18088" xr:uid="{8B14A7EB-A949-43C7-8A63-04452197C917}"/>
    <cellStyle name="CustomCellsOrange 3 4 41" xfId="19940" xr:uid="{B7EBA761-F27E-40D8-802B-BEE2E5663200}"/>
    <cellStyle name="CustomCellsOrange 3 4 42" xfId="20610" xr:uid="{31B17C24-DB73-4413-AC56-90E51F4220A6}"/>
    <cellStyle name="CustomCellsOrange 3 4 43" xfId="21065" xr:uid="{E31C2B08-D1F3-4EFA-8B2D-4322E597B7DD}"/>
    <cellStyle name="CustomCellsOrange 3 4 44" xfId="21232" xr:uid="{C0CE3E5A-163D-4F51-9C4A-72D150C24CF4}"/>
    <cellStyle name="CustomCellsOrange 3 4 45" xfId="21996" xr:uid="{1C42A8A8-DA7F-48B2-8E29-E041251ADEC4}"/>
    <cellStyle name="CustomCellsOrange 3 4 46" xfId="22427" xr:uid="{4B9D4985-071D-4612-AB3D-BAB5CE6C8D1D}"/>
    <cellStyle name="CustomCellsOrange 3 4 47" xfId="22330" xr:uid="{B36B7323-7F5B-4C49-A32E-85FA28B95978}"/>
    <cellStyle name="CustomCellsOrange 3 4 48" xfId="23042" xr:uid="{05A294FB-1F28-4252-8CC6-1B402C53D786}"/>
    <cellStyle name="CustomCellsOrange 3 4 49" xfId="20777" xr:uid="{08A749DC-EA67-4950-91DB-A0FB14A34099}"/>
    <cellStyle name="CustomCellsOrange 3 4 5" xfId="2380" xr:uid="{B5076841-4C78-499C-AA9B-721E416D3A4E}"/>
    <cellStyle name="CustomCellsOrange 3 4 50" xfId="23749" xr:uid="{44FC8EC0-024F-4D3D-8249-257A368201D6}"/>
    <cellStyle name="CustomCellsOrange 3 4 51" xfId="24648" xr:uid="{AFC786AC-F94E-4156-9105-84BA6C464DC6}"/>
    <cellStyle name="CustomCellsOrange 3 4 52" xfId="25318" xr:uid="{C169D6AC-8D29-4997-A877-36E29126FF76}"/>
    <cellStyle name="CustomCellsOrange 3 4 53" xfId="25566" xr:uid="{87029610-D3E5-4429-B62D-EFED388690D2}"/>
    <cellStyle name="CustomCellsOrange 3 4 54" xfId="25007" xr:uid="{BB0F0746-7BED-44EE-A6AC-A5924DE52975}"/>
    <cellStyle name="CustomCellsOrange 3 4 55" xfId="26104" xr:uid="{97996257-C8DF-4F60-AC7C-AFD2495EED43}"/>
    <cellStyle name="CustomCellsOrange 3 4 56" xfId="26856" xr:uid="{415BC9BA-780A-44AB-A4F6-5A5FBDF7E44A}"/>
    <cellStyle name="CustomCellsOrange 3 4 57" xfId="27275" xr:uid="{D010DB8D-18EB-4D60-9C8D-594F65C1228B}"/>
    <cellStyle name="CustomCellsOrange 3 4 58" xfId="26170" xr:uid="{A3B41E92-0356-4D4B-9081-C3F2E1B681A8}"/>
    <cellStyle name="CustomCellsOrange 3 4 59" xfId="28398" xr:uid="{FCF3E3E6-E3A9-427F-B6AF-97C31D145859}"/>
    <cellStyle name="CustomCellsOrange 3 4 6" xfId="2052" xr:uid="{05338CF7-0D44-46DC-BD2E-A844BCA23E0F}"/>
    <cellStyle name="CustomCellsOrange 3 4 60" xfId="28866" xr:uid="{B24E5FBB-CA5C-412C-91B4-47AF9AC4E36C}"/>
    <cellStyle name="CustomCellsOrange 3 4 61" xfId="29440" xr:uid="{A13BF938-0D5D-484A-94BE-D52B11BB5905}"/>
    <cellStyle name="CustomCellsOrange 3 4 62" xfId="29656" xr:uid="{F3792D1C-8C8E-4324-933B-0172947AE4C0}"/>
    <cellStyle name="CustomCellsOrange 3 4 63" xfId="30064" xr:uid="{C226B538-C05F-4083-9825-0BE55A3C43C0}"/>
    <cellStyle name="CustomCellsOrange 3 4 64" xfId="30478" xr:uid="{CA82D441-3221-4EEA-A0B9-B3801FB47F33}"/>
    <cellStyle name="CustomCellsOrange 3 4 65" xfId="31009" xr:uid="{EBD7A809-C5FC-4E37-A7F9-96EEE70CF62B}"/>
    <cellStyle name="CustomCellsOrange 3 4 66" xfId="31102" xr:uid="{3417F68D-A7CE-48CD-82CF-396EEE76F51E}"/>
    <cellStyle name="CustomCellsOrange 3 4 7" xfId="3253" xr:uid="{1F410478-CA73-4036-93F8-9BB40D4901EE}"/>
    <cellStyle name="CustomCellsOrange 3 4 8" xfId="3876" xr:uid="{9B081B3A-6B8F-4650-AFB0-ADFD414B4488}"/>
    <cellStyle name="CustomCellsOrange 3 4 9" xfId="4314" xr:uid="{714A3E6C-47D1-4FCB-9616-72E426E3F148}"/>
    <cellStyle name="CustomCellsOrange 3 40" xfId="18271" xr:uid="{5CAF3068-C150-466D-9319-F746CCFC0030}"/>
    <cellStyle name="CustomCellsOrange 3 41" xfId="17780" xr:uid="{9A8856FC-BE11-4573-94B1-87B2B7AF9D5A}"/>
    <cellStyle name="CustomCellsOrange 3 42" xfId="19095" xr:uid="{DE9FD80F-9F08-454B-8004-1023B2C5F643}"/>
    <cellStyle name="CustomCellsOrange 3 43" xfId="16135" xr:uid="{74EB782F-D797-4E83-A349-F7233750867A}"/>
    <cellStyle name="CustomCellsOrange 3 44" xfId="19657" xr:uid="{495DCF99-A23E-4C66-8AC0-1F2F171C4BDC}"/>
    <cellStyle name="CustomCellsOrange 3 45" xfId="20306" xr:uid="{025BA14F-BF6B-47B3-A3DC-67D2AFB28E85}"/>
    <cellStyle name="CustomCellsOrange 3 46" xfId="20325" xr:uid="{2545D789-04D9-42A1-8F95-1F610052F8DC}"/>
    <cellStyle name="CustomCellsOrange 3 47" xfId="21650" xr:uid="{C32E7B5F-5C90-4435-A556-D6600668DABC}"/>
    <cellStyle name="CustomCellsOrange 3 48" xfId="21062" xr:uid="{655A1BBC-9815-4E34-82A9-274DD5889C0E}"/>
    <cellStyle name="CustomCellsOrange 3 49" xfId="21734" xr:uid="{4C1DBFB8-CDEE-4BBE-B940-6097EE5C2333}"/>
    <cellStyle name="CustomCellsOrange 3 5" xfId="698" xr:uid="{0BAD9F6D-2003-4D19-82FF-6AA7AA69633A}"/>
    <cellStyle name="CustomCellsOrange 3 5 2" xfId="5346" xr:uid="{57DCFCE1-6517-40D0-90E4-2DBF860AD499}"/>
    <cellStyle name="CustomCellsOrange 3 5 3" xfId="18861" xr:uid="{40EF2B4E-4CFA-4B3D-B74D-2DFBF59AF467}"/>
    <cellStyle name="CustomCellsOrange 3 5 4" xfId="20080" xr:uid="{F5DF76F4-48BB-455F-8403-CC3B9F094BEE}"/>
    <cellStyle name="CustomCellsOrange 3 5 5" xfId="24788" xr:uid="{D95DA874-51F3-4567-B3E8-AD6654D6858C}"/>
    <cellStyle name="CustomCellsOrange 3 50" xfId="22965" xr:uid="{21017581-C894-4B63-8DC8-18C9BE86E4EE}"/>
    <cellStyle name="CustomCellsOrange 3 51" xfId="23371" xr:uid="{58EF4480-A5D0-40CC-8750-A63C118DE1A0}"/>
    <cellStyle name="CustomCellsOrange 3 52" xfId="21870" xr:uid="{A6897117-BA43-4D90-A621-B338A9374B42}"/>
    <cellStyle name="CustomCellsOrange 3 53" xfId="23330" xr:uid="{57B2FE59-AFA6-43DC-A689-667D74EC362B}"/>
    <cellStyle name="CustomCellsOrange 3 54" xfId="24377" xr:uid="{6A767F9C-891F-46FB-8A78-71D59FD6DD3E}"/>
    <cellStyle name="CustomCellsOrange 3 55" xfId="25029" xr:uid="{34A1A533-F37E-4B7F-B3CB-9988EBA9DAF4}"/>
    <cellStyle name="CustomCellsOrange 3 56" xfId="25142" xr:uid="{CB37EFCC-10CB-46A6-9CD1-B0055546F120}"/>
    <cellStyle name="CustomCellsOrange 3 57" xfId="25956" xr:uid="{91F4D6D9-6EF5-4090-B464-A280C474E5FC}"/>
    <cellStyle name="CustomCellsOrange 3 58" xfId="24994" xr:uid="{CFB675BF-B6A2-4B51-AC0E-6FAF3DBD2A5F}"/>
    <cellStyle name="CustomCellsOrange 3 59" xfId="26422" xr:uid="{F0FDB235-CF79-4672-8703-3F6C0651029F}"/>
    <cellStyle name="CustomCellsOrange 3 6" xfId="950" xr:uid="{7690B3D0-A6A2-4728-97CD-26AE61EEBC33}"/>
    <cellStyle name="CustomCellsOrange 3 60" xfId="26488" xr:uid="{91A7EFAD-8CC8-4C81-90CC-A849E8ED53B7}"/>
    <cellStyle name="CustomCellsOrange 3 61" xfId="25294" xr:uid="{BFF3C18A-54EC-4774-A012-8F2DCC668D5F}"/>
    <cellStyle name="CustomCellsOrange 3 62" xfId="28148" xr:uid="{2CE0EE9C-8BA9-414F-8912-56D47AD466DA}"/>
    <cellStyle name="CustomCellsOrange 3 63" xfId="28533" xr:uid="{55253B5B-4810-4D0B-8DC2-DE3A794B1429}"/>
    <cellStyle name="CustomCellsOrange 3 64" xfId="28348" xr:uid="{0560409C-2520-4794-B23E-FC787C50ACB9}"/>
    <cellStyle name="CustomCellsOrange 3 65" xfId="28163" xr:uid="{77AC9627-09A6-4C6A-A710-E327DD78E574}"/>
    <cellStyle name="CustomCellsOrange 3 66" xfId="29215" xr:uid="{31F2FB00-2385-4EC5-8B0C-FF94EC37E64F}"/>
    <cellStyle name="CustomCellsOrange 3 67" xfId="28799" xr:uid="{DA1E5057-9BBC-40B1-B6CF-AB0E4D78F6FC}"/>
    <cellStyle name="CustomCellsOrange 3 68" xfId="29996" xr:uid="{76187D21-1FD8-45FB-A044-B96A81EF5B86}"/>
    <cellStyle name="CustomCellsOrange 3 69" xfId="30887" xr:uid="{7156B1EF-E69A-4E9A-8860-0C0B10C81A16}"/>
    <cellStyle name="CustomCellsOrange 3 7" xfId="1531" xr:uid="{6C0D69CD-3E8A-42BB-AF0B-57DBB61F4DFE}"/>
    <cellStyle name="CustomCellsOrange 3 8" xfId="2097" xr:uid="{8A1EF1B6-B3D8-4704-B7DC-A216FB1032C1}"/>
    <cellStyle name="CustomCellsOrange 3 9" xfId="3165" xr:uid="{C7F0DD96-D2F2-4DB1-AAE0-FBA5F255BF03}"/>
    <cellStyle name="CustomizationCells" xfId="18" xr:uid="{BB1BF6A0-41DF-4ECB-B37E-C587182EDBE9}"/>
    <cellStyle name="CustomizationCells 2" xfId="416" xr:uid="{7B2B2E70-3683-4C50-AC50-40F5A32EEFC2}"/>
    <cellStyle name="CustomizationCells 2 2" xfId="439" xr:uid="{5DD9343C-0046-4073-995C-93F641632190}"/>
    <cellStyle name="CustomizationCells 2 2 10" xfId="1975" xr:uid="{E8B082DF-5CB2-4BCD-81B8-18381096675B}"/>
    <cellStyle name="CustomizationCells 2 2 11" xfId="2245" xr:uid="{4B1CF3E3-AEF8-4D4E-B98B-043D5E1BDF1E}"/>
    <cellStyle name="CustomizationCells 2 2 12" xfId="3399" xr:uid="{D86ACC3F-A140-45D8-8883-859FF2BB12D2}"/>
    <cellStyle name="CustomizationCells 2 2 13" xfId="4765" xr:uid="{2E253FCD-4457-4E1C-A686-F808EE7DFBDF}"/>
    <cellStyle name="CustomizationCells 2 2 14" xfId="5093" xr:uid="{5B7AA4A4-41F1-4456-B2BC-C0EABB258D73}"/>
    <cellStyle name="CustomizationCells 2 2 15" xfId="5102" xr:uid="{56AE28F1-C720-4E82-9ED4-44C95FF25819}"/>
    <cellStyle name="CustomizationCells 2 2 16" xfId="5780" xr:uid="{C28BE80E-171C-4020-A8E8-6EAE534E07F7}"/>
    <cellStyle name="CustomizationCells 2 2 17" xfId="6512" xr:uid="{55C27C79-0F0A-434A-97BF-301180019857}"/>
    <cellStyle name="CustomizationCells 2 2 18" xfId="7164" xr:uid="{9633B38F-EFF8-4403-837F-356EF71D3A34}"/>
    <cellStyle name="CustomizationCells 2 2 19" xfId="7923" xr:uid="{CAB0BD3E-E39F-478C-852F-E753322EA677}"/>
    <cellStyle name="CustomizationCells 2 2 2" xfId="509" xr:uid="{9B3AD15B-07C6-4128-A0BA-72C4796F7B78}"/>
    <cellStyle name="CustomizationCells 2 2 2 2" xfId="675" xr:uid="{26DE474B-833E-4BAA-896E-4FAB67DD4634}"/>
    <cellStyle name="CustomizationCells 2 2 2 2 10" xfId="4888" xr:uid="{50EFFDF9-CE05-4E91-97DA-D220E98AA1F6}"/>
    <cellStyle name="CustomizationCells 2 2 2 2 11" xfId="5323" xr:uid="{AB54CE61-E6B8-4081-8696-9493F060C987}"/>
    <cellStyle name="CustomizationCells 2 2 2 2 12" xfId="1973" xr:uid="{DD0089F5-F3B1-4F35-9E44-54A79BB9FD77}"/>
    <cellStyle name="CustomizationCells 2 2 2 2 13" xfId="6139" xr:uid="{E16543FC-FD8F-4D2D-A0F5-2C12EB943815}"/>
    <cellStyle name="CustomizationCells 2 2 2 2 14" xfId="6344" xr:uid="{4DBAE090-BF4C-4B1F-AC89-DC859F8F837D}"/>
    <cellStyle name="CustomizationCells 2 2 2 2 15" xfId="7395" xr:uid="{120D26E9-4C7E-4744-A0F9-B52D25AC02FB}"/>
    <cellStyle name="CustomizationCells 2 2 2 2 16" xfId="7889" xr:uid="{3D5B75B2-6467-433D-A632-1B6F6C8FAB93}"/>
    <cellStyle name="CustomizationCells 2 2 2 2 17" xfId="7619" xr:uid="{EE88FF73-2FFE-4FF1-8993-D14659FD4680}"/>
    <cellStyle name="CustomizationCells 2 2 2 2 18" xfId="8386" xr:uid="{FD1813D7-31FF-400E-B5F8-B528E7936E30}"/>
    <cellStyle name="CustomizationCells 2 2 2 2 19" xfId="9609" xr:uid="{D06C566A-B83A-4D47-8879-D5CD58BC8580}"/>
    <cellStyle name="CustomizationCells 2 2 2 2 2" xfId="889" xr:uid="{3983CAD1-B8BC-4387-A7C1-9F8D670E6DAA}"/>
    <cellStyle name="CustomizationCells 2 2 2 2 2 10" xfId="5537" xr:uid="{FC552A47-4FB1-4390-ADA4-78944837A2C4}"/>
    <cellStyle name="CustomizationCells 2 2 2 2 2 11" xfId="6031" xr:uid="{BA70E067-45E5-4FDB-9DCC-4F588EEBE7D9}"/>
    <cellStyle name="CustomizationCells 2 2 2 2 2 12" xfId="6390" xr:uid="{C92EC1A8-B5AD-4C1A-A814-6A71A25CB742}"/>
    <cellStyle name="CustomizationCells 2 2 2 2 2 13" xfId="6728" xr:uid="{7A5764B0-FE70-4ACB-A558-9607F2B9A055}"/>
    <cellStyle name="CustomizationCells 2 2 2 2 2 14" xfId="7609" xr:uid="{F8C0FC46-A219-46B9-AEF6-CB4AB157CBF0}"/>
    <cellStyle name="CustomizationCells 2 2 2 2 2 15" xfId="8073" xr:uid="{00D0780F-6A38-43C0-B905-6EBB18E45846}"/>
    <cellStyle name="CustomizationCells 2 2 2 2 2 16" xfId="8682" xr:uid="{4A2A45AF-2395-4184-832D-B2152510D747}"/>
    <cellStyle name="CustomizationCells 2 2 2 2 2 17" xfId="8941" xr:uid="{B565A183-335C-46A4-81B4-BB9134D7B29D}"/>
    <cellStyle name="CustomizationCells 2 2 2 2 2 18" xfId="9823" xr:uid="{65724E45-9BA1-4B44-8F0B-4389107EA6D0}"/>
    <cellStyle name="CustomizationCells 2 2 2 2 2 19" xfId="10292" xr:uid="{4C1E26E4-F677-4960-BA9A-5B8A036AC278}"/>
    <cellStyle name="CustomizationCells 2 2 2 2 2 2" xfId="1363" xr:uid="{49F68B3D-A270-4B79-9C76-D39EC8503213}"/>
    <cellStyle name="CustomizationCells 2 2 2 2 2 20" xfId="10686" xr:uid="{B596DCC3-B7EF-4BCC-805B-ACF9BE726AF8}"/>
    <cellStyle name="CustomizationCells 2 2 2 2 2 21" xfId="11035" xr:uid="{7E3D04DF-C637-4D48-BE91-CF5ECD9D4E8C}"/>
    <cellStyle name="CustomizationCells 2 2 2 2 2 22" xfId="11345" xr:uid="{C0E3CCF0-19B5-4203-A622-B0491814BBFC}"/>
    <cellStyle name="CustomizationCells 2 2 2 2 2 23" xfId="12242" xr:uid="{D16A0E45-CAD5-46AE-AC12-A6D50674FE6A}"/>
    <cellStyle name="CustomizationCells 2 2 2 2 2 24" xfId="12715" xr:uid="{48235199-E201-4CE7-BFD7-90875F9B013B}"/>
    <cellStyle name="CustomizationCells 2 2 2 2 2 25" xfId="13149" xr:uid="{BE3E4572-7FE7-4F7F-A64B-81AE63CB754B}"/>
    <cellStyle name="CustomizationCells 2 2 2 2 2 26" xfId="13586" xr:uid="{26A3CD5B-826C-495D-BCCC-CFA7D364788A}"/>
    <cellStyle name="CustomizationCells 2 2 2 2 2 27" xfId="14058" xr:uid="{04AEFD42-8DF9-4D6E-B77B-CFF071430361}"/>
    <cellStyle name="CustomizationCells 2 2 2 2 2 28" xfId="14505" xr:uid="{5868572E-0B3C-46ED-AE43-6261645EB611}"/>
    <cellStyle name="CustomizationCells 2 2 2 2 2 29" xfId="14939" xr:uid="{3D588865-8330-4A7F-8A4B-FDFFA969DF51}"/>
    <cellStyle name="CustomizationCells 2 2 2 2 2 3" xfId="1812" xr:uid="{09066744-BFBE-427C-B791-3BDB896CE92B}"/>
    <cellStyle name="CustomizationCells 2 2 2 2 2 30" xfId="15409" xr:uid="{D49AAFF0-AE82-4384-8D23-CF6E82C20111}"/>
    <cellStyle name="CustomizationCells 2 2 2 2 2 31" xfId="15799" xr:uid="{E4A3E7CB-E8D9-4460-B12B-F2EB7D65BB8A}"/>
    <cellStyle name="CustomizationCells 2 2 2 2 2 32" xfId="16021" xr:uid="{8139E355-CF2F-4E8E-A0A3-F982870306C7}"/>
    <cellStyle name="CustomizationCells 2 2 2 2 2 33" xfId="16934" xr:uid="{B47E1C92-8BCC-421A-82A0-53FA0098E41B}"/>
    <cellStyle name="CustomizationCells 2 2 2 2 2 34" xfId="17415" xr:uid="{33723146-63AD-4A88-AD65-08620E496FDC}"/>
    <cellStyle name="CustomizationCells 2 2 2 2 2 35" xfId="17856" xr:uid="{0C59EAAD-FE20-40F5-8AF8-08CAC726698D}"/>
    <cellStyle name="CustomizationCells 2 2 2 2 2 36" xfId="18331" xr:uid="{E551E95B-82CA-474C-9605-B254CB33072A}"/>
    <cellStyle name="CustomizationCells 2 2 2 2 2 37" xfId="18752" xr:uid="{64EBA32F-F158-42D8-BBA9-3C0C1506D59B}"/>
    <cellStyle name="CustomizationCells 2 2 2 2 2 38" xfId="19139" xr:uid="{8ADCDA0F-1447-4E7E-ABAF-3D50C48E4754}"/>
    <cellStyle name="CustomizationCells 2 2 2 2 2 39" xfId="19369" xr:uid="{B2665758-AD92-4199-BB05-59FC044DBC35}"/>
    <cellStyle name="CustomizationCells 2 2 2 2 2 4" xfId="2711" xr:uid="{6CB2372C-975D-429E-8AF6-958B64300339}"/>
    <cellStyle name="CustomizationCells 2 2 2 2 2 40" xfId="20271" xr:uid="{608580CF-E950-4BC1-8480-D10D0FB878B0}"/>
    <cellStyle name="CustomizationCells 2 2 2 2 2 41" xfId="20764" xr:uid="{7E7E4B4C-0B77-412D-BB1D-45918B5AC9DF}"/>
    <cellStyle name="CustomizationCells 2 2 2 2 2 42" xfId="21223" xr:uid="{1649C339-E63D-4FA2-B60D-02881B9F8A18}"/>
    <cellStyle name="CustomizationCells 2 2 2 2 2 43" xfId="21715" xr:uid="{FB2860C1-DD68-4ACD-A725-CA5E4C0000C7}"/>
    <cellStyle name="CustomizationCells 2 2 2 2 2 44" xfId="22154" xr:uid="{45B2E133-3E48-49FB-B5E2-F4F5B8A35372}"/>
    <cellStyle name="CustomizationCells 2 2 2 2 2 45" xfId="22581" xr:uid="{5C0C0933-4084-4658-B7E8-69AE1B224BA5}"/>
    <cellStyle name="CustomizationCells 2 2 2 2 2 46" xfId="23026" xr:uid="{74F42189-2626-40A0-BFF2-942AF8A68EEF}"/>
    <cellStyle name="CustomizationCells 2 2 2 2 2 47" xfId="23428" xr:uid="{8B438147-80DA-418C-80FD-CE55133EEF1E}"/>
    <cellStyle name="CustomizationCells 2 2 2 2 2 48" xfId="23691" xr:uid="{5E01E989-46E7-4FBD-902E-B95ABF14CC4D}"/>
    <cellStyle name="CustomizationCells 2 2 2 2 2 49" xfId="24071" xr:uid="{504A3C02-D6B9-4912-964F-0172F42466F5}"/>
    <cellStyle name="CustomizationCells 2 2 2 2 2 5" xfId="3231" xr:uid="{07BF588A-7B06-474E-8B36-CD6ECC2136C2}"/>
    <cellStyle name="CustomizationCells 2 2 2 2 2 50" xfId="24979" xr:uid="{26334B7F-001D-4900-A6F1-5463F4A121B1}"/>
    <cellStyle name="CustomizationCells 2 2 2 2 2 51" xfId="25467" xr:uid="{2C9931F3-959A-4E6E-ACAE-13DFF9FDEB27}"/>
    <cellStyle name="CustomizationCells 2 2 2 2 2 52" xfId="25895" xr:uid="{73DBF5C1-EAF2-4851-88B4-B0784A13599E}"/>
    <cellStyle name="CustomizationCells 2 2 2 2 2 53" xfId="26333" xr:uid="{3D2F7798-78CC-429F-BD5E-419D7796EA40}"/>
    <cellStyle name="CustomizationCells 2 2 2 2 2 54" xfId="26762" xr:uid="{5CE560FD-49F2-4ECC-AA4D-42EC2EC3E09B}"/>
    <cellStyle name="CustomizationCells 2 2 2 2 2 55" xfId="27183" xr:uid="{E52B49E3-0E72-4E08-950E-87F01402E150}"/>
    <cellStyle name="CustomizationCells 2 2 2 2 2 56" xfId="27602" xr:uid="{21E819AF-2D47-4E4D-9FFB-19A083BFBE06}"/>
    <cellStyle name="CustomizationCells 2 2 2 2 2 57" xfId="27840" xr:uid="{21654A82-AD8B-469D-AD4C-04ADECC7A76D}"/>
    <cellStyle name="CustomizationCells 2 2 2 2 2 58" xfId="28729" xr:uid="{527CEB9D-F8F8-48ED-9425-2F1210B6202F}"/>
    <cellStyle name="CustomizationCells 2 2 2 2 2 59" xfId="29196" xr:uid="{8F0F1E6F-0530-43E2-955A-4D88D2CA03D3}"/>
    <cellStyle name="CustomizationCells 2 2 2 2 2 6" xfId="3786" xr:uid="{FAEC2241-E639-49BB-BE80-E1FA0FA89E61}"/>
    <cellStyle name="CustomizationCells 2 2 2 2 2 60" xfId="29578" xr:uid="{650922A2-BBD9-49A5-B380-81076702D9A2}"/>
    <cellStyle name="CustomizationCells 2 2 2 2 2 61" xfId="29985" xr:uid="{651E5891-9922-49DC-9BDF-1EAD5DA91394}"/>
    <cellStyle name="CustomizationCells 2 2 2 2 2 62" xfId="30391" xr:uid="{A22DC689-D14C-40E6-8421-EAA8FB0BD267}"/>
    <cellStyle name="CustomizationCells 2 2 2 2 2 63" xfId="30808" xr:uid="{720B2A0A-0167-47B0-926F-5C4DF0A7145A}"/>
    <cellStyle name="CustomizationCells 2 2 2 2 2 64" xfId="31053" xr:uid="{89FE55CA-65BD-4151-91B1-8366B3BBE086}"/>
    <cellStyle name="CustomizationCells 2 2 2 2 2 65" xfId="31424" xr:uid="{22D52BA2-6C91-4894-B3B3-394866666CFF}"/>
    <cellStyle name="CustomizationCells 2 2 2 2 2 7" xfId="4207" xr:uid="{D51A6699-CF49-487E-88C6-56DFA49E35E7}"/>
    <cellStyle name="CustomizationCells 2 2 2 2 2 8" xfId="4644" xr:uid="{240BB34D-01FD-4ACD-B7F0-5C764DC1B611}"/>
    <cellStyle name="CustomizationCells 2 2 2 2 2 9" xfId="5090" xr:uid="{C94554B6-2BFA-4007-8BA8-D60A3A0C6FA9}"/>
    <cellStyle name="CustomizationCells 2 2 2 2 20" xfId="10102" xr:uid="{B4929D52-D0BD-42A6-87E6-03ED892235B3}"/>
    <cellStyle name="CustomizationCells 2 2 2 2 21" xfId="10518" xr:uid="{37244940-5E6B-4A3A-83ED-E671BA79881A}"/>
    <cellStyle name="CustomizationCells 2 2 2 2 22" xfId="10737" xr:uid="{AD85B5F2-D08A-4EB3-8975-88B536FA28EB}"/>
    <cellStyle name="CustomizationCells 2 2 2 2 23" xfId="10935" xr:uid="{855E7270-2CD0-4781-9F51-E9C48C6A8940}"/>
    <cellStyle name="CustomizationCells 2 2 2 2 24" xfId="12028" xr:uid="{0A38C064-9BDA-4649-BFFD-68EF132325D7}"/>
    <cellStyle name="CustomizationCells 2 2 2 2 25" xfId="12501" xr:uid="{E243531B-C72C-4D22-AFC7-FB0D076684D8}"/>
    <cellStyle name="CustomizationCells 2 2 2 2 26" xfId="12935" xr:uid="{D04F9DB2-5005-4353-BEDC-1E3C9CAAD056}"/>
    <cellStyle name="CustomizationCells 2 2 2 2 27" xfId="13372" xr:uid="{330678A9-EB6C-4711-ADD8-E0C023BB3FA8}"/>
    <cellStyle name="CustomizationCells 2 2 2 2 28" xfId="13731" xr:uid="{284566B3-BA49-4F17-8B71-4FC4884E2A3E}"/>
    <cellStyle name="CustomizationCells 2 2 2 2 29" xfId="14327" xr:uid="{263739E8-C23F-4C04-AC76-90991812F4C5}"/>
    <cellStyle name="CustomizationCells 2 2 2 2 3" xfId="1157" xr:uid="{F275D878-7520-43CC-A687-16178C62691B}"/>
    <cellStyle name="CustomizationCells 2 2 2 2 30" xfId="14752" xr:uid="{C403BC4A-32F9-456F-8EC8-64501EDAD051}"/>
    <cellStyle name="CustomizationCells 2 2 2 2 31" xfId="15056" xr:uid="{60B9A895-F508-4456-97F1-9985B257AB59}"/>
    <cellStyle name="CustomizationCells 2 2 2 2 32" xfId="13753" xr:uid="{58ADC85B-4F65-4191-8939-2002219DDF22}"/>
    <cellStyle name="CustomizationCells 2 2 2 2 33" xfId="15912" xr:uid="{B9EDE7DC-9C2B-4C49-B399-1DEBA908DB3A}"/>
    <cellStyle name="CustomizationCells 2 2 2 2 34" xfId="16720" xr:uid="{45C099DB-07F4-4A0D-9F98-712C0A1309D2}"/>
    <cellStyle name="CustomizationCells 2 2 2 2 35" xfId="17221" xr:uid="{798AB9B1-3086-41F4-8EE6-A6FC0599DA77}"/>
    <cellStyle name="CustomizationCells 2 2 2 2 36" xfId="17666" xr:uid="{3CD5C56B-20B1-4CB2-BB19-9C8D3D916541}"/>
    <cellStyle name="CustomizationCells 2 2 2 2 37" xfId="18153" xr:uid="{FC210B34-04D2-4630-90B7-499E3760AAAD}"/>
    <cellStyle name="CustomizationCells 2 2 2 2 38" xfId="18538" xr:uid="{4D4F6968-2BD9-4EAF-BE17-BAA032D9F87E}"/>
    <cellStyle name="CustomizationCells 2 2 2 2 39" xfId="17920" xr:uid="{75E65480-4C1A-42EA-83D2-4ED2272BC595}"/>
    <cellStyle name="CustomizationCells 2 2 2 2 4" xfId="1373" xr:uid="{961B170B-A677-4873-ACC2-DBBA2CB9E02D}"/>
    <cellStyle name="CustomizationCells 2 2 2 2 40" xfId="19331" xr:uid="{3182676A-FFD9-47BB-8816-9EC7A3FEAE70}"/>
    <cellStyle name="CustomizationCells 2 2 2 2 41" xfId="20057" xr:uid="{DE726873-6FD2-4A39-BB20-D188F3E93796}"/>
    <cellStyle name="CustomizationCells 2 2 2 2 42" xfId="20574" xr:uid="{5D64F8F8-70E3-4A46-B81C-79856EBC8F11}"/>
    <cellStyle name="CustomizationCells 2 2 2 2 43" xfId="21027" xr:uid="{EDE34666-7EC2-41F7-B821-27878121C09D}"/>
    <cellStyle name="CustomizationCells 2 2 2 2 44" xfId="21540" xr:uid="{52E0D8B6-6D57-4276-9569-77BB4C541A1A}"/>
    <cellStyle name="CustomizationCells 2 2 2 2 45" xfId="21958" xr:uid="{D1628D5B-D28F-4A66-A2D8-A6AC4B94087D}"/>
    <cellStyle name="CustomizationCells 2 2 2 2 46" xfId="22389" xr:uid="{75AD711C-F040-44F0-9AFF-E1840A1BE25D}"/>
    <cellStyle name="CustomizationCells 2 2 2 2 47" xfId="22727" xr:uid="{DD7DF0AA-AF14-49DC-8168-9858EDA9C9E0}"/>
    <cellStyle name="CustomizationCells 2 2 2 2 48" xfId="21231" xr:uid="{D0785C88-389D-4153-9D1A-585DFD01FA33}"/>
    <cellStyle name="CustomizationCells 2 2 2 2 49" xfId="23355" xr:uid="{913566AB-872A-4C7B-B60C-BFAD36D7CC6B}"/>
    <cellStyle name="CustomizationCells 2 2 2 2 5" xfId="2497" xr:uid="{815E66CE-8C45-49A1-B468-D7BDCD0ACD27}"/>
    <cellStyle name="CustomizationCells 2 2 2 2 50" xfId="23865" xr:uid="{3A486A71-041B-498B-8D2A-4CE202504AE8}"/>
    <cellStyle name="CustomizationCells 2 2 2 2 51" xfId="24765" xr:uid="{E31B142B-E0F7-44F3-9E11-0AD11B0CC48F}"/>
    <cellStyle name="CustomizationCells 2 2 2 2 52" xfId="25282" xr:uid="{3F0BACEB-B295-48D4-926C-4B091E974510}"/>
    <cellStyle name="CustomizationCells 2 2 2 2 53" xfId="25683" xr:uid="{8EF10229-4F49-4CEE-B615-848E0CDAFE51}"/>
    <cellStyle name="CustomizationCells 2 2 2 2 54" xfId="26031" xr:uid="{744F4835-586D-4DD4-AF10-A7A38B04CEB6}"/>
    <cellStyle name="CustomizationCells 2 2 2 2 55" xfId="25240" xr:uid="{89E58C54-466F-43AC-A8D1-1B10ACF72A45}"/>
    <cellStyle name="CustomizationCells 2 2 2 2 56" xfId="26973" xr:uid="{DA0A9541-D6D4-468A-93E2-4BAFADE20C1D}"/>
    <cellStyle name="CustomizationCells 2 2 2 2 57" xfId="27392" xr:uid="{F1F56BE0-F861-49CD-90D3-8432D847C51D}"/>
    <cellStyle name="CustomizationCells 2 2 2 2 58" xfId="24270" xr:uid="{948A0405-0E2B-4395-8C32-F0E16F0B58B4}"/>
    <cellStyle name="CustomizationCells 2 2 2 2 59" xfId="28515" xr:uid="{9E059394-C4ED-436C-A3FF-E833343AA007}"/>
    <cellStyle name="CustomizationCells 2 2 2 2 6" xfId="2896" xr:uid="{E1BCA042-453F-430D-9515-D63806C7149D}"/>
    <cellStyle name="CustomizationCells 2 2 2 2 60" xfId="28983" xr:uid="{9E6E4415-F7E3-4521-9E58-63E40EB5D365}"/>
    <cellStyle name="CustomizationCells 2 2 2 2 61" xfId="29410" xr:uid="{41FCB234-5F35-49AF-9ABE-0C9443D662E2}"/>
    <cellStyle name="CustomizationCells 2 2 2 2 62" xfId="29773" xr:uid="{FEEA52CA-680E-47FF-AA9E-E4782077CE49}"/>
    <cellStyle name="CustomizationCells 2 2 2 2 63" xfId="30180" xr:uid="{ADE1250A-38CD-4294-B7AB-854ABC0133D3}"/>
    <cellStyle name="CustomizationCells 2 2 2 2 64" xfId="30595" xr:uid="{292EC000-39D4-4083-8770-E0CDCA2931D4}"/>
    <cellStyle name="CustomizationCells 2 2 2 2 65" xfId="30902" xr:uid="{2B49D25D-D3AF-4CB2-9781-958D7D20E70E}"/>
    <cellStyle name="CustomizationCells 2 2 2 2 66" xfId="31218" xr:uid="{51ADCA7B-9AD6-491A-BCD0-17E7C1DEDF85}"/>
    <cellStyle name="CustomizationCells 2 2 2 2 7" xfId="2826" xr:uid="{EE88DD43-197A-426F-A4A6-B981D35F1E73}"/>
    <cellStyle name="CustomizationCells 2 2 2 2 8" xfId="3993" xr:uid="{06838B93-203A-4806-A9F4-78D20A1EB4E5}"/>
    <cellStyle name="CustomizationCells 2 2 2 2 9" xfId="4431" xr:uid="{0C7043E5-D7ED-4AAB-AFFA-208C8ADD06F9}"/>
    <cellStyle name="CustomizationCells 2 2 20" xfId="7668" xr:uid="{C6ECF1B7-CA07-49F8-BC80-1AC906DD7636}"/>
    <cellStyle name="CustomizationCells 2 2 21" xfId="7996" xr:uid="{2F45EE5D-F7B0-4F26-9FEC-F1261F95E194}"/>
    <cellStyle name="CustomizationCells 2 2 22" xfId="9379" xr:uid="{0AEC5CA4-7419-4BE9-B988-BB5BFDF95C9F}"/>
    <cellStyle name="CustomizationCells 2 2 23" xfId="10137" xr:uid="{84EF811E-8E5E-491F-BF9B-EAB2F01AEAB0}"/>
    <cellStyle name="CustomizationCells 2 2 24" xfId="10547" xr:uid="{4F2E6395-A4FC-4211-ABC6-D583B717866F}"/>
    <cellStyle name="CustomizationCells 2 2 25" xfId="10018" xr:uid="{C057E6E8-D6BB-4EFC-8540-8BE829161B3D}"/>
    <cellStyle name="CustomizationCells 2 2 26" xfId="10790" xr:uid="{14242432-F216-4A17-B227-C9E4ADA867B7}"/>
    <cellStyle name="CustomizationCells 2 2 27" xfId="11792" xr:uid="{93F96321-7D57-4813-94F1-6BC850CDB3B2}"/>
    <cellStyle name="CustomizationCells 2 2 28" xfId="12266" xr:uid="{CF3E0A51-3B2E-4D47-AA77-78D2DA88EF70}"/>
    <cellStyle name="CustomizationCells 2 2 29" xfId="11371" xr:uid="{F777AAFA-0D07-4229-87E8-BD8A3C66ECDD}"/>
    <cellStyle name="CustomizationCells 2 2 3" xfId="658" xr:uid="{C5A2AD11-AACC-4C4E-9F18-42F7DBA9699F}"/>
    <cellStyle name="CustomizationCells 2 2 3 10" xfId="4987" xr:uid="{54CB82FC-6E52-4E8C-A78E-6D4D95D91FBB}"/>
    <cellStyle name="CustomizationCells 2 2 3 11" xfId="5306" xr:uid="{C4A9E412-2162-4CE2-BC23-FB791768A328}"/>
    <cellStyle name="CustomizationCells 2 2 3 12" xfId="4912" xr:uid="{5B0E3929-6E51-4884-9A86-023563BC1BFC}"/>
    <cellStyle name="CustomizationCells 2 2 3 13" xfId="5950" xr:uid="{E37EEC61-B7F2-4630-B5F5-EEAC680C9845}"/>
    <cellStyle name="CustomizationCells 2 2 3 14" xfId="6626" xr:uid="{723B9F98-8A18-41E9-A572-40A80731E6DD}"/>
    <cellStyle name="CustomizationCells 2 2 3 15" xfId="7378" xr:uid="{62311638-F3F0-4AA0-9F88-D3EEFA430ECF}"/>
    <cellStyle name="CustomizationCells 2 2 3 16" xfId="7747" xr:uid="{0D6B3024-6FD7-4660-A128-03D72F630DA3}"/>
    <cellStyle name="CustomizationCells 2 2 3 17" xfId="8081" xr:uid="{274F45BA-E55D-4C0B-86DE-2D85493CB4BF}"/>
    <cellStyle name="CustomizationCells 2 2 3 18" xfId="8139" xr:uid="{DBC01BF2-5406-45FD-AAB8-320609BEDECF}"/>
    <cellStyle name="CustomizationCells 2 2 3 19" xfId="9592" xr:uid="{A18F2DFC-C1F7-4D5F-A214-DA725E5AD2F4}"/>
    <cellStyle name="CustomizationCells 2 2 3 2" xfId="873" xr:uid="{BE49B008-6FF1-4F3B-8137-FAD9623928EF}"/>
    <cellStyle name="CustomizationCells 2 2 3 2 10" xfId="5521" xr:uid="{01905FB9-EB63-41A6-B0F8-BB7BA158673E}"/>
    <cellStyle name="CustomizationCells 2 2 3 2 11" xfId="6015" xr:uid="{F9A2C439-F965-4648-BBB2-52B0623001F3}"/>
    <cellStyle name="CustomizationCells 2 2 3 2 12" xfId="6374" xr:uid="{EAADF7C9-4ACB-482B-AC58-598B15637943}"/>
    <cellStyle name="CustomizationCells 2 2 3 2 13" xfId="6712" xr:uid="{AA55A6E5-BC87-4183-BD01-E56433CA84BF}"/>
    <cellStyle name="CustomizationCells 2 2 3 2 14" xfId="7593" xr:uid="{4D4448D8-8B2C-429A-8958-E25CC0444D67}"/>
    <cellStyle name="CustomizationCells 2 2 3 2 15" xfId="8057" xr:uid="{441A8FCC-6251-4132-B0B6-0CEAB1F6A218}"/>
    <cellStyle name="CustomizationCells 2 2 3 2 16" xfId="8666" xr:uid="{14E741EF-8B07-4880-B64C-41D886A73F9F}"/>
    <cellStyle name="CustomizationCells 2 2 3 2 17" xfId="8925" xr:uid="{9D86F5F0-638A-46F6-8207-08D55B8337F5}"/>
    <cellStyle name="CustomizationCells 2 2 3 2 18" xfId="9807" xr:uid="{A5C8AA62-63A0-44D6-8865-688661BFBFF1}"/>
    <cellStyle name="CustomizationCells 2 2 3 2 19" xfId="10276" xr:uid="{C5477E81-9797-4A3D-86DD-9A47814F7B50}"/>
    <cellStyle name="CustomizationCells 2 2 3 2 2" xfId="1347" xr:uid="{245D3C0E-56FC-4765-BF25-97863CB039E2}"/>
    <cellStyle name="CustomizationCells 2 2 3 2 20" xfId="10670" xr:uid="{F3EA2709-FC1C-44BA-9CE2-95C57F7F3584}"/>
    <cellStyle name="CustomizationCells 2 2 3 2 21" xfId="11019" xr:uid="{D16ADC01-DB7F-4338-BB80-2D4F7FF34054}"/>
    <cellStyle name="CustomizationCells 2 2 3 2 22" xfId="11329" xr:uid="{628F12ED-1A4C-46BD-9DBB-17D9A1E834DE}"/>
    <cellStyle name="CustomizationCells 2 2 3 2 23" xfId="12226" xr:uid="{46FCBE61-5F5F-444E-AC00-96A097E79FFA}"/>
    <cellStyle name="CustomizationCells 2 2 3 2 24" xfId="12699" xr:uid="{39A9BB89-2C02-4133-A962-1EE6B0A983F3}"/>
    <cellStyle name="CustomizationCells 2 2 3 2 25" xfId="13133" xr:uid="{772DAD65-B244-4263-AC75-369970D3CD8B}"/>
    <cellStyle name="CustomizationCells 2 2 3 2 26" xfId="13570" xr:uid="{BF463C18-A49F-4876-9259-7CC4C11C1C6A}"/>
    <cellStyle name="CustomizationCells 2 2 3 2 27" xfId="14042" xr:uid="{171989A7-C6EF-4A90-B917-7E7BD5870549}"/>
    <cellStyle name="CustomizationCells 2 2 3 2 28" xfId="14489" xr:uid="{70917439-B1D0-49FC-A279-6FEF86A76BFE}"/>
    <cellStyle name="CustomizationCells 2 2 3 2 29" xfId="14923" xr:uid="{9B78E6B6-6C8B-4274-9F72-749D21123D5C}"/>
    <cellStyle name="CustomizationCells 2 2 3 2 3" xfId="1796" xr:uid="{C6659A90-86EB-4A7E-9E01-06C46842325B}"/>
    <cellStyle name="CustomizationCells 2 2 3 2 30" xfId="15393" xr:uid="{C2AE859A-8258-4497-B49E-DE87C12B0B27}"/>
    <cellStyle name="CustomizationCells 2 2 3 2 31" xfId="15783" xr:uid="{413DD07F-F4FB-4504-A8DB-F07ACF16FC6A}"/>
    <cellStyle name="CustomizationCells 2 2 3 2 32" xfId="16005" xr:uid="{460C72A3-6D09-4B08-84A4-C7AF0208A48E}"/>
    <cellStyle name="CustomizationCells 2 2 3 2 33" xfId="16918" xr:uid="{FC4A257B-6679-434A-8149-032871FEA5C2}"/>
    <cellStyle name="CustomizationCells 2 2 3 2 34" xfId="17399" xr:uid="{5B1805BC-A827-4631-92CC-952C57CFC138}"/>
    <cellStyle name="CustomizationCells 2 2 3 2 35" xfId="17840" xr:uid="{C01E1B92-A336-4578-96BC-B29AA002CD75}"/>
    <cellStyle name="CustomizationCells 2 2 3 2 36" xfId="18315" xr:uid="{36015858-17CB-4CBA-AB54-BCCDF940301C}"/>
    <cellStyle name="CustomizationCells 2 2 3 2 37" xfId="18736" xr:uid="{A6C1924C-D1DF-4ED5-B9A7-D1F9558FB7FA}"/>
    <cellStyle name="CustomizationCells 2 2 3 2 38" xfId="19123" xr:uid="{04CEA15C-83B8-4903-B0BA-89948C8E110C}"/>
    <cellStyle name="CustomizationCells 2 2 3 2 39" xfId="19353" xr:uid="{BB99F999-3C8F-4CD5-93D4-25041FD6B6C1}"/>
    <cellStyle name="CustomizationCells 2 2 3 2 4" xfId="2695" xr:uid="{71D0BD5E-008B-4553-A148-84E0FBC2CC3A}"/>
    <cellStyle name="CustomizationCells 2 2 3 2 40" xfId="20255" xr:uid="{6EB563A4-D2D5-4CEF-99E2-7F1FF3BBD8B5}"/>
    <cellStyle name="CustomizationCells 2 2 3 2 41" xfId="20748" xr:uid="{87A2183B-F5C6-4CB1-8D28-F05B3E828B07}"/>
    <cellStyle name="CustomizationCells 2 2 3 2 42" xfId="21207" xr:uid="{691444BA-3A3F-4439-98A7-62A51B9910FA}"/>
    <cellStyle name="CustomizationCells 2 2 3 2 43" xfId="21699" xr:uid="{689ED483-BBEF-4F45-A7E3-617436609C8F}"/>
    <cellStyle name="CustomizationCells 2 2 3 2 44" xfId="22138" xr:uid="{705CB9EF-5939-46FE-81F8-0A43433564D9}"/>
    <cellStyle name="CustomizationCells 2 2 3 2 45" xfId="22565" xr:uid="{989732FE-CE53-4BDD-BDD4-98BA38C9A6F3}"/>
    <cellStyle name="CustomizationCells 2 2 3 2 46" xfId="23010" xr:uid="{39AEE52C-DADF-47D9-AA25-DC6C1649FC42}"/>
    <cellStyle name="CustomizationCells 2 2 3 2 47" xfId="23412" xr:uid="{0C381B8E-E03B-4F5C-8696-BC84441269D5}"/>
    <cellStyle name="CustomizationCells 2 2 3 2 48" xfId="23675" xr:uid="{04D871A8-547E-4CA9-B6E6-4DFF1C90E88A}"/>
    <cellStyle name="CustomizationCells 2 2 3 2 49" xfId="24055" xr:uid="{7C89934D-DC84-4E3D-B8A2-E432AEA35EA5}"/>
    <cellStyle name="CustomizationCells 2 2 3 2 5" xfId="3215" xr:uid="{399BF22F-AE25-4A92-84EA-5A91386EADF1}"/>
    <cellStyle name="CustomizationCells 2 2 3 2 50" xfId="24963" xr:uid="{1D013045-4278-42F5-A4BA-E6BE332EB142}"/>
    <cellStyle name="CustomizationCells 2 2 3 2 51" xfId="25451" xr:uid="{CB374391-F533-48B0-B49A-15AE66EC1547}"/>
    <cellStyle name="CustomizationCells 2 2 3 2 52" xfId="25879" xr:uid="{2F39A4C3-33CD-40DF-B3D3-3147C3F271C3}"/>
    <cellStyle name="CustomizationCells 2 2 3 2 53" xfId="26317" xr:uid="{FB40BE26-0C3F-448D-973F-8114CB226937}"/>
    <cellStyle name="CustomizationCells 2 2 3 2 54" xfId="26746" xr:uid="{77D9C22C-9C20-4D15-9E56-E5455CE40561}"/>
    <cellStyle name="CustomizationCells 2 2 3 2 55" xfId="27167" xr:uid="{EA77F411-CDF6-4734-BF71-6FAEF65EE1D0}"/>
    <cellStyle name="CustomizationCells 2 2 3 2 56" xfId="27586" xr:uid="{566F97DB-1743-4A9A-8805-AA655B21619D}"/>
    <cellStyle name="CustomizationCells 2 2 3 2 57" xfId="25146" xr:uid="{0A710F30-4525-4A2D-8F2F-BBF2B4331AF9}"/>
    <cellStyle name="CustomizationCells 2 2 3 2 58" xfId="28713" xr:uid="{3054C385-E867-48AA-8992-868B3175CD93}"/>
    <cellStyle name="CustomizationCells 2 2 3 2 59" xfId="29180" xr:uid="{A7B735E4-9587-4565-8A6D-F193EEC009C8}"/>
    <cellStyle name="CustomizationCells 2 2 3 2 6" xfId="3770" xr:uid="{68900520-BAEE-44B6-AA36-D0519B7E215B}"/>
    <cellStyle name="CustomizationCells 2 2 3 2 60" xfId="29562" xr:uid="{54309508-8622-422D-B905-77F6FED68646}"/>
    <cellStyle name="CustomizationCells 2 2 3 2 61" xfId="29969" xr:uid="{7A5222B6-11FA-4F07-91D6-BD5611142EDB}"/>
    <cellStyle name="CustomizationCells 2 2 3 2 62" xfId="30375" xr:uid="{88E637C3-2A61-45F6-9EA6-EDFE08BDBE3B}"/>
    <cellStyle name="CustomizationCells 2 2 3 2 63" xfId="30792" xr:uid="{E4440256-A881-43CD-9163-0FD8E825F790}"/>
    <cellStyle name="CustomizationCells 2 2 3 2 64" xfId="31037" xr:uid="{F4BF7E59-3DBF-41D0-BEE2-9DEB4D5B6780}"/>
    <cellStyle name="CustomizationCells 2 2 3 2 65" xfId="31408" xr:uid="{E01B7509-86E5-411F-AFDB-AC9A85BF0C2C}"/>
    <cellStyle name="CustomizationCells 2 2 3 2 7" xfId="4191" xr:uid="{CCED6A7D-7D18-4D86-9C60-9740B246D799}"/>
    <cellStyle name="CustomizationCells 2 2 3 2 8" xfId="4628" xr:uid="{B49BEFF6-07D1-494F-9E12-D8DA8E229B89}"/>
    <cellStyle name="CustomizationCells 2 2 3 2 9" xfId="5074" xr:uid="{10581E06-D5A6-44FE-B6F5-DDE6783EAF53}"/>
    <cellStyle name="CustomizationCells 2 2 3 20" xfId="9961" xr:uid="{5ECA05CD-3099-4F4E-B27B-C5A99E8CC7C1}"/>
    <cellStyle name="CustomizationCells 2 2 3 21" xfId="10390" xr:uid="{33AEB5AF-DD11-4E90-BB6B-5219E9077BD9}"/>
    <cellStyle name="CustomizationCells 2 2 3 22" xfId="10179" xr:uid="{A48072A9-2DE8-4EF0-891C-0EBC7BB4D491}"/>
    <cellStyle name="CustomizationCells 2 2 3 23" xfId="10369" xr:uid="{66382753-FA84-4684-8203-B26282505A87}"/>
    <cellStyle name="CustomizationCells 2 2 3 24" xfId="12011" xr:uid="{FF28B5F0-CF18-49F6-A132-F22A02177D71}"/>
    <cellStyle name="CustomizationCells 2 2 3 25" xfId="12484" xr:uid="{FABE8F72-30A9-45A0-BD84-ED9CA0C863DD}"/>
    <cellStyle name="CustomizationCells 2 2 3 26" xfId="12918" xr:uid="{D8351904-5D43-4AA2-8516-21CD451E405C}"/>
    <cellStyle name="CustomizationCells 2 2 3 27" xfId="13355" xr:uid="{08C58C42-43EF-4C53-8D20-7C3B2B5E9304}"/>
    <cellStyle name="CustomizationCells 2 2 3 28" xfId="13987" xr:uid="{4CA315C3-9F7D-4A72-AE9D-ACE30FBEE535}"/>
    <cellStyle name="CustomizationCells 2 2 3 29" xfId="14202" xr:uid="{F724C25A-7383-489E-BB03-E9E362DB7018}"/>
    <cellStyle name="CustomizationCells 2 2 3 3" xfId="1141" xr:uid="{A664F385-E248-4634-940A-4A35E203A5DD}"/>
    <cellStyle name="CustomizationCells 2 2 3 30" xfId="14613" xr:uid="{62A0C386-845E-446B-9726-AAD7319C138E}"/>
    <cellStyle name="CustomizationCells 2 2 3 31" xfId="14769" xr:uid="{009854EB-F7EE-49A5-859C-38C869CE38A7}"/>
    <cellStyle name="CustomizationCells 2 2 3 32" xfId="14087" xr:uid="{D102F0C4-5F15-442B-AEBA-446442E0E983}"/>
    <cellStyle name="CustomizationCells 2 2 3 33" xfId="15832" xr:uid="{98DD6874-7F23-4A75-8112-58E7DE478428}"/>
    <cellStyle name="CustomizationCells 2 2 3 34" xfId="16703" xr:uid="{CF1C64C0-97B5-47B2-AA23-BCA665B93FA0}"/>
    <cellStyle name="CustomizationCells 2 2 3 35" xfId="17076" xr:uid="{AD92D047-7CA5-49DC-832B-4E4A4EF4F5BE}"/>
    <cellStyle name="CustomizationCells 2 2 3 36" xfId="17523" xr:uid="{13A716E5-A55E-4994-B31D-3E72FB4B2766}"/>
    <cellStyle name="CustomizationCells 2 2 3 37" xfId="17513" xr:uid="{BB9A1D8B-DB89-41AE-A75C-985D7000946E}"/>
    <cellStyle name="CustomizationCells 2 2 3 38" xfId="18521" xr:uid="{387ADF3F-1108-4C4E-B9E1-D2A947122173}"/>
    <cellStyle name="CustomizationCells 2 2 3 39" xfId="16979" xr:uid="{2BBD8F2C-58EB-4EB4-9FC0-F89786F5A965}"/>
    <cellStyle name="CustomizationCells 2 2 3 4" xfId="1518" xr:uid="{650CABC6-59FC-40B2-B6EC-165A832F5EF8}"/>
    <cellStyle name="CustomizationCells 2 2 3 40" xfId="18804" xr:uid="{4BFCDF71-7A06-4CC7-9782-DA6F3EDC6C06}"/>
    <cellStyle name="CustomizationCells 2 2 3 41" xfId="20040" xr:uid="{BF3F962F-4C0D-4D92-85D0-7F299D5DE718}"/>
    <cellStyle name="CustomizationCells 2 2 3 42" xfId="20429" xr:uid="{40BEAB07-0F9E-49E3-BBAE-4D85BB8B01AA}"/>
    <cellStyle name="CustomizationCells 2 2 3 43" xfId="20881" xr:uid="{95EFEA6C-EB76-46CE-9B66-979804DFFF0D}"/>
    <cellStyle name="CustomizationCells 2 2 3 44" xfId="19551" xr:uid="{87FF8D6A-1AED-4406-B4A5-A85C775EE55C}"/>
    <cellStyle name="CustomizationCells 2 2 3 45" xfId="21813" xr:uid="{F9591279-9808-4EFF-8B53-B97730015A53}"/>
    <cellStyle name="CustomizationCells 2 2 3 46" xfId="22248" xr:uid="{E950758E-70B0-4221-B279-5C274FB02785}"/>
    <cellStyle name="CustomizationCells 2 2 3 47" xfId="22959" xr:uid="{F4247E24-3547-4EC0-9D0A-108E5F76800F}"/>
    <cellStyle name="CustomizationCells 2 2 3 48" xfId="22977" xr:uid="{E95DD85F-6F9C-4732-A135-2733D793FF0A}"/>
    <cellStyle name="CustomizationCells 2 2 3 49" xfId="23238" xr:uid="{DFA62F8D-4D2E-4056-8461-C2DC68C0B1E5}"/>
    <cellStyle name="CustomizationCells 2 2 3 5" xfId="2480" xr:uid="{08BF51A4-5868-424C-9EF7-666403B02141}"/>
    <cellStyle name="CustomizationCells 2 2 3 50" xfId="23849" xr:uid="{592391CC-1E28-4165-9046-18F0C06906B6}"/>
    <cellStyle name="CustomizationCells 2 2 3 51" xfId="24748" xr:uid="{420867B2-F4C7-4E55-858C-E747FA658FD4}"/>
    <cellStyle name="CustomizationCells 2 2 3 52" xfId="25136" xr:uid="{C104F893-FDD4-4DD3-AD67-B2661449C181}"/>
    <cellStyle name="CustomizationCells 2 2 3 53" xfId="25666" xr:uid="{402384B2-2565-4BA5-A66F-F924238E96E0}"/>
    <cellStyle name="CustomizationCells 2 2 3 54" xfId="26266" xr:uid="{BBE00607-8F6C-4F4F-86C1-4C6EBAB1739B}"/>
    <cellStyle name="CustomizationCells 2 2 3 55" xfId="26172" xr:uid="{9413C74B-0AC9-459A-9ACF-DC2E081614B2}"/>
    <cellStyle name="CustomizationCells 2 2 3 56" xfId="26956" xr:uid="{3CAF1A66-2FB6-43EF-B601-394D325015CF}"/>
    <cellStyle name="CustomizationCells 2 2 3 57" xfId="27375" xr:uid="{78E77D0B-9A72-4FDF-AA21-FC7BE212DDED}"/>
    <cellStyle name="CustomizationCells 2 2 3 58" xfId="25954" xr:uid="{F43F2223-4DA0-41E7-8699-8B4EE90B1B47}"/>
    <cellStyle name="CustomizationCells 2 2 3 59" xfId="28498" xr:uid="{08084593-BBD6-441F-A410-1271DBF678C4}"/>
    <cellStyle name="CustomizationCells 2 2 3 6" xfId="3158" xr:uid="{8906F643-E147-4D84-9FDC-2599DC392D92}"/>
    <cellStyle name="CustomizationCells 2 2 3 60" xfId="28966" xr:uid="{0F5A5E2B-4877-4A71-B3D4-FCD9F7FCDBC9}"/>
    <cellStyle name="CustomizationCells 2 2 3 61" xfId="29288" xr:uid="{A42EC2F4-43C5-44B6-B052-AC57ECCD234E}"/>
    <cellStyle name="CustomizationCells 2 2 3 62" xfId="29756" xr:uid="{B7392D1D-3504-4600-B9D6-1151C844F536}"/>
    <cellStyle name="CustomizationCells 2 2 3 63" xfId="30164" xr:uid="{C9C512AD-F996-4D15-BF98-FC1BC77968B7}"/>
    <cellStyle name="CustomizationCells 2 2 3 64" xfId="30578" xr:uid="{7EAA1821-EC3B-4094-BD7D-B156720FE9DB}"/>
    <cellStyle name="CustomizationCells 2 2 3 65" xfId="30892" xr:uid="{678E4025-CD98-4395-9BA4-37BCAFEA38DF}"/>
    <cellStyle name="CustomizationCells 2 2 3 66" xfId="31202" xr:uid="{0DAF110C-17DA-4EAD-8985-A27591725BCA}"/>
    <cellStyle name="CustomizationCells 2 2 3 7" xfId="3020" xr:uid="{75631E94-988F-4C01-8DBF-FFDF1CFB5B63}"/>
    <cellStyle name="CustomizationCells 2 2 3 8" xfId="3976" xr:uid="{3DF9B85D-497C-48F5-ACB7-BE312C6F1B46}"/>
    <cellStyle name="CustomizationCells 2 2 3 9" xfId="4414" xr:uid="{774E4E8E-B2DE-46E4-9D27-390631D0B3D9}"/>
    <cellStyle name="CustomizationCells 2 2 30" xfId="11710" xr:uid="{E4B5C5BD-CF34-43AB-8CBF-0F68048EB7C8}"/>
    <cellStyle name="CustomizationCells 2 2 31" xfId="11758" xr:uid="{BFE8DE34-24CA-4E4E-AB0C-8048C42F184C}"/>
    <cellStyle name="CustomizationCells 2 2 32" xfId="14410" xr:uid="{A823F871-E5B3-43B7-BBAC-6B1580B2CF21}"/>
    <cellStyle name="CustomizationCells 2 2 33" xfId="14887" xr:uid="{0A463913-3806-4086-9441-4CE3A0722124}"/>
    <cellStyle name="CustomizationCells 2 2 34" xfId="15228" xr:uid="{724EBF44-9932-4511-8AA6-62095B041E8B}"/>
    <cellStyle name="CustomizationCells 2 2 35" xfId="15653" xr:uid="{B348E8B6-46EE-4F0C-A6AD-EEE2C01202DA}"/>
    <cellStyle name="CustomizationCells 2 2 36" xfId="15931" xr:uid="{BA7F9F43-3E56-4479-B64B-BA34D34735B6}"/>
    <cellStyle name="CustomizationCells 2 2 37" xfId="16485" xr:uid="{8439CBE1-9605-40E8-816D-B4126A790E40}"/>
    <cellStyle name="CustomizationCells 2 2 38" xfId="17256" xr:uid="{0D6D0E28-50FE-4C3D-ACB4-6B7D5088CFEA}"/>
    <cellStyle name="CustomizationCells 2 2 39" xfId="17700" xr:uid="{570D55A7-006C-4DDF-8764-1B5967D59801}"/>
    <cellStyle name="CustomizationCells 2 2 4" xfId="521" xr:uid="{5BCC20F8-D790-4E0C-B598-95763B251E10}"/>
    <cellStyle name="CustomizationCells 2 2 4 10" xfId="4744" xr:uid="{1E2BC784-6F57-4182-94CF-DD1A0A2D00C2}"/>
    <cellStyle name="CustomizationCells 2 2 4 11" xfId="5169" xr:uid="{8A4D1017-6E8E-4D1F-8F08-FC42B41568C4}"/>
    <cellStyle name="CustomizationCells 2 2 4 12" xfId="5099" xr:uid="{0A4A2DFD-5255-49F9-A1BF-E31D09D59F3B}"/>
    <cellStyle name="CustomizationCells 2 2 4 13" xfId="4816" xr:uid="{DC3BA8B6-F96F-4CB2-88BD-A6168198BCE8}"/>
    <cellStyle name="CustomizationCells 2 2 4 14" xfId="6649" xr:uid="{897E7C27-592E-4D9E-8C29-EBE6AC8C68AB}"/>
    <cellStyle name="CustomizationCells 2 2 4 15" xfId="7241" xr:uid="{F5C7D655-05B8-4F29-BFA8-859E07DE5D92}"/>
    <cellStyle name="CustomizationCells 2 2 4 16" xfId="7808" xr:uid="{851ABAFF-247D-4771-8D3B-B77C30F2074F}"/>
    <cellStyle name="CustomizationCells 2 2 4 17" xfId="7850" xr:uid="{07CBEB1C-59AB-49CC-B64C-1D47A4AF9723}"/>
    <cellStyle name="CustomizationCells 2 2 4 18" xfId="8737" xr:uid="{FA30BB7A-E632-4C7E-B73A-02E42329FAF1}"/>
    <cellStyle name="CustomizationCells 2 2 4 19" xfId="9455" xr:uid="{E7E73631-8854-4B5F-BC06-3DE3BA1BF5A5}"/>
    <cellStyle name="CustomizationCells 2 2 4 2" xfId="736" xr:uid="{84CAECDF-A8D8-464A-ADC5-141A25E7412D}"/>
    <cellStyle name="CustomizationCells 2 2 4 2 10" xfId="5384" xr:uid="{0EFE76BD-6D77-42DC-9F1B-5AACEA604C38}"/>
    <cellStyle name="CustomizationCells 2 2 4 2 11" xfId="4957" xr:uid="{3378D444-86A1-4634-B884-5C51F59E5FB4}"/>
    <cellStyle name="CustomizationCells 2 2 4 2 12" xfId="6250" xr:uid="{EE5BF130-05C3-4A19-B003-118D58007E5F}"/>
    <cellStyle name="CustomizationCells 2 2 4 2 13" xfId="5703" xr:uid="{9E90A811-EFEF-49FB-BC39-C12DFBDD3EE0}"/>
    <cellStyle name="CustomizationCells 2 2 4 2 14" xfId="7456" xr:uid="{9F52B034-238E-4540-B49C-5BBC2689A501}"/>
    <cellStyle name="CustomizationCells 2 2 4 2 15" xfId="7192" xr:uid="{F1A52491-9DA9-4AB6-85BD-BA0A01098DBA}"/>
    <cellStyle name="CustomizationCells 2 2 4 2 16" xfId="7725" xr:uid="{930BDD07-AB05-4081-ABCB-429E2BD322E0}"/>
    <cellStyle name="CustomizationCells 2 2 4 2 17" xfId="8715" xr:uid="{87972460-882D-454E-9108-F3D4E6398D1B}"/>
    <cellStyle name="CustomizationCells 2 2 4 2 18" xfId="9670" xr:uid="{114D787C-DD92-4585-9F82-B4C790A0264B}"/>
    <cellStyle name="CustomizationCells 2 2 4 2 19" xfId="9405" xr:uid="{EC87CF81-3EAC-4278-93C3-852D5993A8EB}"/>
    <cellStyle name="CustomizationCells 2 2 4 2 2" xfId="1210" xr:uid="{9B2F23BE-4C1C-4158-A699-71C4178959B3}"/>
    <cellStyle name="CustomizationCells 2 2 4 2 20" xfId="9918" xr:uid="{B6172386-0665-4984-971E-0C4615B36A5C}"/>
    <cellStyle name="CustomizationCells 2 2 4 2 21" xfId="10807" xr:uid="{63D0DC41-F6AE-43D6-A96F-26D58F146DFD}"/>
    <cellStyle name="CustomizationCells 2 2 4 2 22" xfId="10503" xr:uid="{D32DF92E-A688-4877-AE45-0695510BD097}"/>
    <cellStyle name="CustomizationCells 2 2 4 2 23" xfId="12089" xr:uid="{967A92B6-6243-47DC-A9D3-9E9D3251AE2B}"/>
    <cellStyle name="CustomizationCells 2 2 4 2 24" xfId="12562" xr:uid="{C615056B-0893-437B-B286-56B48AC77CEE}"/>
    <cellStyle name="CustomizationCells 2 2 4 2 25" xfId="12996" xr:uid="{C77F6C98-DD6B-48AE-A816-04A9013EA1CC}"/>
    <cellStyle name="CustomizationCells 2 2 4 2 26" xfId="13433" xr:uid="{FD6453FA-E600-4116-AE1E-93B81BAEEF2D}"/>
    <cellStyle name="CustomizationCells 2 2 4 2 27" xfId="11501" xr:uid="{37B7AEFC-293B-4DF6-8273-E8032F3F9546}"/>
    <cellStyle name="CustomizationCells 2 2 4 2 28" xfId="11823" xr:uid="{919C2DBA-45BF-47DD-BD71-43EE9B161053}"/>
    <cellStyle name="CustomizationCells 2 2 4 2 29" xfId="14147" xr:uid="{821B7F96-9F50-48B8-82F4-1B8DBC4F2057}"/>
    <cellStyle name="CustomizationCells 2 2 4 2 3" xfId="1489" xr:uid="{F6ADE442-F943-46F3-B30A-EE576FF1EF6F}"/>
    <cellStyle name="CustomizationCells 2 2 4 2 30" xfId="14763" xr:uid="{4C465D7C-4B05-4178-874F-2F755ACFCF4A}"/>
    <cellStyle name="CustomizationCells 2 2 4 2 31" xfId="14837" xr:uid="{17054EA0-909A-4B47-9694-FEB6B21A2423}"/>
    <cellStyle name="CustomizationCells 2 2 4 2 32" xfId="15565" xr:uid="{9CA2EEC7-DE08-41FC-8DB7-F1145DC05785}"/>
    <cellStyle name="CustomizationCells 2 2 4 2 33" xfId="16781" xr:uid="{A256D509-E839-4082-BF57-D0101EF735D1}"/>
    <cellStyle name="CustomizationCells 2 2 4 2 34" xfId="16514" xr:uid="{B72765D2-6F00-4E64-A217-5397AF322490}"/>
    <cellStyle name="CustomizationCells 2 2 4 2 35" xfId="17032" xr:uid="{984A4B43-7CD3-4A52-A384-DE5ADF3A2F7C}"/>
    <cellStyle name="CustomizationCells 2 2 4 2 36" xfId="17569" xr:uid="{CC5F9A92-2AB8-4E28-9E2A-3B56898B8E71}"/>
    <cellStyle name="CustomizationCells 2 2 4 2 37" xfId="18599" xr:uid="{AB298D3E-3B22-430A-BB2B-10E9A0558DC1}"/>
    <cellStyle name="CustomizationCells 2 2 4 2 38" xfId="18796" xr:uid="{016DFD27-8292-4D86-ABDA-E2946610525C}"/>
    <cellStyle name="CustomizationCells 2 2 4 2 39" xfId="18995" xr:uid="{A392BD52-41D5-45A8-BB37-1128952B4126}"/>
    <cellStyle name="CustomizationCells 2 2 4 2 4" xfId="2558" xr:uid="{D2500B71-CCE9-4F0C-A48D-3955D89D6B8F}"/>
    <cellStyle name="CustomizationCells 2 2 4 2 40" xfId="20118" xr:uid="{BECB8B9A-0EBB-4B18-95B9-A4157C29FCFB}"/>
    <cellStyle name="CustomizationCells 2 2 4 2 41" xfId="19850" xr:uid="{86E446D7-4040-4F16-89EA-DD0B67616AE2}"/>
    <cellStyle name="CustomizationCells 2 2 4 2 42" xfId="19433" xr:uid="{102B2F02-5114-4F57-8772-ED7A080766C6}"/>
    <cellStyle name="CustomizationCells 2 2 4 2 43" xfId="20855" xr:uid="{30DD9A69-2BCC-406A-BBE2-6E4B9334C506}"/>
    <cellStyle name="CustomizationCells 2 2 4 2 44" xfId="19701" xr:uid="{77ED6E16-5380-4829-976E-DCB14E1FAC52}"/>
    <cellStyle name="CustomizationCells 2 2 4 2 45" xfId="21919" xr:uid="{B5AC2420-54FE-457D-9F7C-E8F58031327D}"/>
    <cellStyle name="CustomizationCells 2 2 4 2 46" xfId="21541" xr:uid="{EF5AF2CB-B31E-40C2-B170-67964C26D41F}"/>
    <cellStyle name="CustomizationCells 2 2 4 2 47" xfId="23068" xr:uid="{FBD20078-9FEA-4F63-AEFA-8B7E95855250}"/>
    <cellStyle name="CustomizationCells 2 2 4 2 48" xfId="23589" xr:uid="{9DD822D4-092E-4EEB-8B36-BE4859CC335C}"/>
    <cellStyle name="CustomizationCells 2 2 4 2 49" xfId="23918" xr:uid="{E9D84326-00E6-4F13-882F-03EA9CDBB64C}"/>
    <cellStyle name="CustomizationCells 2 2 4 2 5" xfId="2022" xr:uid="{F3839563-0193-43E7-94A2-71FBBB23D45D}"/>
    <cellStyle name="CustomizationCells 2 2 4 2 50" xfId="24826" xr:uid="{4F8D3F9E-C56A-427C-A29F-237F5351B563}"/>
    <cellStyle name="CustomizationCells 2 2 4 2 51" xfId="24423" xr:uid="{FB82410B-4AEF-4C23-A4B2-3655433B85B0}"/>
    <cellStyle name="CustomizationCells 2 2 4 2 52" xfId="25742" xr:uid="{48D3A0AD-796E-4908-BD31-D7F2F3B0AEDD}"/>
    <cellStyle name="CustomizationCells 2 2 4 2 53" xfId="24394" xr:uid="{8292A76C-DE9A-4458-B565-C1206D2F2E7A}"/>
    <cellStyle name="CustomizationCells 2 2 4 2 54" xfId="26537" xr:uid="{5523758B-38F8-461B-AD65-4923BD21F914}"/>
    <cellStyle name="CustomizationCells 2 2 4 2 55" xfId="27030" xr:uid="{1249F104-48F8-49CB-A424-8043C0E1F73E}"/>
    <cellStyle name="CustomizationCells 2 2 4 2 56" xfId="27449" xr:uid="{7E112F5A-D51F-4BA1-9C49-D98BA4B7D4CC}"/>
    <cellStyle name="CustomizationCells 2 2 4 2 57" xfId="27769" xr:uid="{177EDB30-ACCA-4A6F-BAC1-9B2144744A6F}"/>
    <cellStyle name="CustomizationCells 2 2 4 2 58" xfId="28576" xr:uid="{4198C4A2-E770-48AC-A996-96CA6B56AFE0}"/>
    <cellStyle name="CustomizationCells 2 2 4 2 59" xfId="29043" xr:uid="{9DF1BB71-4AB0-41E4-A7A9-79AA3B5F3451}"/>
    <cellStyle name="CustomizationCells 2 2 4 2 6" xfId="3174" xr:uid="{EFF5D156-A2C9-4815-8F79-1845FEFB0BE2}"/>
    <cellStyle name="CustomizationCells 2 2 4 2 60" xfId="27997" xr:uid="{EB8EE8C8-9C95-443B-B9CE-898B09F13D14}"/>
    <cellStyle name="CustomizationCells 2 2 4 2 61" xfId="29832" xr:uid="{C68E9CB9-3FEB-4D9F-9332-ECB84D6A4637}"/>
    <cellStyle name="CustomizationCells 2 2 4 2 62" xfId="30238" xr:uid="{C715B919-00EC-41FA-B977-2515009E2D34}"/>
    <cellStyle name="CustomizationCells 2 2 4 2 63" xfId="30655" xr:uid="{99DBF12F-FB8F-4941-B3D6-F46D90CC4D39}"/>
    <cellStyle name="CustomizationCells 2 2 4 2 64" xfId="29453" xr:uid="{993C97CB-0F54-4C24-9D1A-B83F57670A73}"/>
    <cellStyle name="CustomizationCells 2 2 4 2 65" xfId="31271" xr:uid="{5233C4E0-7FAF-4602-8BF4-CCFC74692374}"/>
    <cellStyle name="CustomizationCells 2 2 4 2 7" xfId="4054" xr:uid="{F391B52E-50FD-46C8-A796-C988426C9F06}"/>
    <cellStyle name="CustomizationCells 2 2 4 2 8" xfId="4491" xr:uid="{5AB46E2B-2966-45E3-8DD1-D6ED26CF81F6}"/>
    <cellStyle name="CustomizationCells 2 2 4 2 9" xfId="2823" xr:uid="{019A4ACD-D2F6-4088-969D-523B60497DF3}"/>
    <cellStyle name="CustomizationCells 2 2 4 20" xfId="10021" xr:uid="{C5F7425E-3CAE-4C31-AA44-D1FEBE72AFF9}"/>
    <cellStyle name="CustomizationCells 2 2 4 21" xfId="10443" xr:uid="{8CC58441-61AE-48C0-B546-F24FE90D80F7}"/>
    <cellStyle name="CustomizationCells 2 2 4 22" xfId="10787" xr:uid="{77D33ED6-B440-4A0A-A44E-04253E0203CF}"/>
    <cellStyle name="CustomizationCells 2 2 4 23" xfId="10908" xr:uid="{A193F112-CBE3-42C9-9DC0-E2CEE94CCF67}"/>
    <cellStyle name="CustomizationCells 2 2 4 24" xfId="11874" xr:uid="{4B5FA707-CCCC-4A67-9AA2-17BCD4FCA0D8}"/>
    <cellStyle name="CustomizationCells 2 2 4 25" xfId="12347" xr:uid="{1A0FD839-27EC-4ED4-A909-BBA1BED8E942}"/>
    <cellStyle name="CustomizationCells 2 2 4 26" xfId="12781" xr:uid="{F8218D19-218E-48B5-8115-7E250625C76F}"/>
    <cellStyle name="CustomizationCells 2 2 4 27" xfId="13218" xr:uid="{C52E0AF3-33A3-4F00-9DCD-9926372EF710}"/>
    <cellStyle name="CustomizationCells 2 2 4 28" xfId="13737" xr:uid="{579C8A5D-0EC4-460B-B028-6AB5D5F6A286}"/>
    <cellStyle name="CustomizationCells 2 2 4 29" xfId="14346" xr:uid="{39899E06-EAD1-4177-9D55-3EC933545CDA}"/>
    <cellStyle name="CustomizationCells 2 2 4 3" xfId="1004" xr:uid="{B3453A63-953D-4B68-9940-7A71C7F6C5DC}"/>
    <cellStyle name="CustomizationCells 2 2 4 30" xfId="14595" xr:uid="{1D1E5ADE-CDEC-43F4-8E2F-6FE33CE4C433}"/>
    <cellStyle name="CustomizationCells 2 2 4 31" xfId="14677" xr:uid="{C7392CCF-869D-4474-A461-7DA58049B698}"/>
    <cellStyle name="CustomizationCells 2 2 4 32" xfId="15727" xr:uid="{CF7E663E-7495-41E0-8F02-71F409606D44}"/>
    <cellStyle name="CustomizationCells 2 2 4 33" xfId="15862" xr:uid="{4F0325B8-94FB-407B-A20A-3ADC20C18E85}"/>
    <cellStyle name="CustomizationCells 2 2 4 34" xfId="16566" xr:uid="{C09C2653-3684-4FE2-B8C8-C9483804C8BA}"/>
    <cellStyle name="CustomizationCells 2 2 4 35" xfId="17138" xr:uid="{EA055BCC-05EC-4D5A-A268-C30EFD17C7B3}"/>
    <cellStyle name="CustomizationCells 2 2 4 36" xfId="17585" xr:uid="{CAB6F49E-6FED-4A0A-A81A-FA46212766D6}"/>
    <cellStyle name="CustomizationCells 2 2 4 37" xfId="17299" xr:uid="{C861024A-D388-4E33-97CF-4BD1634B5937}"/>
    <cellStyle name="CustomizationCells 2 2 4 38" xfId="18384" xr:uid="{F0F92A07-671E-44E2-80F2-6F076124E5FB}"/>
    <cellStyle name="CustomizationCells 2 2 4 39" xfId="18843" xr:uid="{F88BB07F-73C4-4853-A3BF-D6DE18C79AD0}"/>
    <cellStyle name="CustomizationCells 2 2 4 4" xfId="1597" xr:uid="{3E0FA8F5-3A73-4C97-B5C7-7E65E8D1A3A8}"/>
    <cellStyle name="CustomizationCells 2 2 4 40" xfId="19220" xr:uid="{DED9AFD6-6511-4DB9-BDD2-D39AABA8A9EC}"/>
    <cellStyle name="CustomizationCells 2 2 4 41" xfId="19903" xr:uid="{210C64C0-92D0-4B9A-9F72-5AF474C68798}"/>
    <cellStyle name="CustomizationCells 2 2 4 42" xfId="20491" xr:uid="{C952F6D0-97B8-484D-9946-E958956364A3}"/>
    <cellStyle name="CustomizationCells 2 2 4 43" xfId="20945" xr:uid="{F55C5E5E-A005-4FD5-B2AD-3FED277B9C83}"/>
    <cellStyle name="CustomizationCells 2 2 4 44" xfId="20972" xr:uid="{9F356DEC-9A89-4608-A557-4C2304F7B31C}"/>
    <cellStyle name="CustomizationCells 2 2 4 45" xfId="21874" xr:uid="{C7B2AC3C-B26A-48C0-9F6A-4C8232DB25AB}"/>
    <cellStyle name="CustomizationCells 2 2 4 46" xfId="22310" xr:uid="{F8B4A62E-A740-4F3F-A81E-42395B818CED}"/>
    <cellStyle name="CustomizationCells 2 2 4 47" xfId="22732" xr:uid="{AE43F551-F5AC-4F70-B545-8DB6EEAA8363}"/>
    <cellStyle name="CustomizationCells 2 2 4 48" xfId="23120" xr:uid="{0496723E-37FB-4043-BA49-F319F415F342}"/>
    <cellStyle name="CustomizationCells 2 2 4 49" xfId="22254" xr:uid="{DE54CAEE-C73E-46F1-94F1-4DDFD971C3CE}"/>
    <cellStyle name="CustomizationCells 2 2 4 5" xfId="2343" xr:uid="{3232135F-FEA3-4766-A424-D014968874ED}"/>
    <cellStyle name="CustomizationCells 2 2 4 50" xfId="23712" xr:uid="{29293D9C-4988-4185-9EE7-A1BB18A389C4}"/>
    <cellStyle name="CustomizationCells 2 2 4 51" xfId="24611" xr:uid="{1AA8A786-0EE7-45DB-B4A0-5F24927D5D7F}"/>
    <cellStyle name="CustomizationCells 2 2 4 52" xfId="25199" xr:uid="{EED1AFDF-0671-45B6-AE94-602D1612E171}"/>
    <cellStyle name="CustomizationCells 2 2 4 53" xfId="25529" xr:uid="{876B1A2F-4E52-4F7E-B71B-D2433826B57E}"/>
    <cellStyle name="CustomizationCells 2 2 4 54" xfId="26037" xr:uid="{FFE9ECDB-5829-41BF-9DEC-7B9433114081}"/>
    <cellStyle name="CustomizationCells 2 2 4 55" xfId="26601" xr:uid="{A5247DED-0348-4ECF-9FEF-C8BD68E43371}"/>
    <cellStyle name="CustomizationCells 2 2 4 56" xfId="26819" xr:uid="{07522820-5F3E-447C-83F5-87BC0DBB6060}"/>
    <cellStyle name="CustomizationCells 2 2 4 57" xfId="27238" xr:uid="{251E4F87-B1EE-41F1-A397-C601F16236DF}"/>
    <cellStyle name="CustomizationCells 2 2 4 58" xfId="27643" xr:uid="{941CD39B-7501-4CAD-9928-C73D7459C4CD}"/>
    <cellStyle name="CustomizationCells 2 2 4 59" xfId="28361" xr:uid="{F5FC0ECA-B527-4E97-8A9D-67B14E8B8DB3}"/>
    <cellStyle name="CustomizationCells 2 2 4 6" xfId="2902" xr:uid="{24CC1FAF-5433-4AC3-80A1-B3FDE6967F3D}"/>
    <cellStyle name="CustomizationCells 2 2 4 60" xfId="28829" xr:uid="{CED81A43-7F2B-4C39-9025-F1824887D854}"/>
    <cellStyle name="CustomizationCells 2 2 4 61" xfId="29342" xr:uid="{661DE1B6-EB73-454B-ADD5-7249E2BA135B}"/>
    <cellStyle name="CustomizationCells 2 2 4 62" xfId="29619" xr:uid="{7D78A7DC-699A-4158-8F0C-401A737EADDA}"/>
    <cellStyle name="CustomizationCells 2 2 4 63" xfId="30027" xr:uid="{C9E5D591-FFA5-4EED-9BAA-9116D2354C8C}"/>
    <cellStyle name="CustomizationCells 2 2 4 64" xfId="30441" xr:uid="{1A5B333B-EE78-46EF-9FF2-4B013F87CA5C}"/>
    <cellStyle name="CustomizationCells 2 2 4 65" xfId="31015" xr:uid="{44FADE3D-1821-4294-86AD-22CE3A196496}"/>
    <cellStyle name="CustomizationCells 2 2 4 66" xfId="31065" xr:uid="{61332349-F242-4C92-9753-8D9A4A5C41C0}"/>
    <cellStyle name="CustomizationCells 2 2 4 7" xfId="3522" xr:uid="{07F92DDB-4D49-483A-8949-0AD80D4C9C2B}"/>
    <cellStyle name="CustomizationCells 2 2 4 8" xfId="3839" xr:uid="{5FDA7DED-1A47-4956-B4F5-DCBF5C389D41}"/>
    <cellStyle name="CustomizationCells 2 2 4 9" xfId="4277" xr:uid="{8D2013CD-D31C-4F03-BAE8-0199F15C02CE}"/>
    <cellStyle name="CustomizationCells 2 2 40" xfId="17791" xr:uid="{353505B0-20CB-4AEA-A86A-C5F75042517A}"/>
    <cellStyle name="CustomizationCells 2 2 41" xfId="18011" xr:uid="{CFA2F880-A269-4F0A-A2A7-9AEFA702D618}"/>
    <cellStyle name="CustomizationCells 2 2 42" xfId="17429" xr:uid="{7C4D439B-4B66-4E24-B0A7-CF6A5A6679EF}"/>
    <cellStyle name="CustomizationCells 2 2 43" xfId="19115" xr:uid="{3D5A7D8D-526A-4C61-838F-C22597BF5388}"/>
    <cellStyle name="CustomizationCells 2 2 44" xfId="19821" xr:uid="{5F0E8FAB-30D1-4FFC-97D0-A5768DB93C0F}"/>
    <cellStyle name="CustomizationCells 2 2 45" xfId="20606" xr:uid="{AB5DBF7F-5867-4BB1-A018-8B0B140E800C}"/>
    <cellStyle name="CustomizationCells 2 2 46" xfId="21061" xr:uid="{D1E7E290-CF5F-42E8-AB6B-80E9A72348AF}"/>
    <cellStyle name="CustomizationCells 2 2 47" xfId="21501" xr:uid="{6DE69F6C-10AA-4E4B-9463-FE80C54537D4}"/>
    <cellStyle name="CustomizationCells 2 2 48" xfId="21992" xr:uid="{61806386-3E6E-4695-8024-B3F32F459FE5}"/>
    <cellStyle name="CustomizationCells 2 2 49" xfId="22423" xr:uid="{544E2F85-11F6-4B92-BC4E-0A55D1AC0062}"/>
    <cellStyle name="CustomizationCells 2 2 5" xfId="677" xr:uid="{0D7D558B-8FDB-43D6-8315-E827514C825B}"/>
    <cellStyle name="CustomizationCells 2 2 5 10" xfId="4713" xr:uid="{930A2B10-1D02-482B-9BCB-A2B89F7B1EF6}"/>
    <cellStyle name="CustomizationCells 2 2 5 11" xfId="5325" xr:uid="{DF65F6BB-CA71-4562-A509-05824DC3CCC7}"/>
    <cellStyle name="CustomizationCells 2 2 5 12" xfId="5975" xr:uid="{92CE75C5-7206-41DA-B4DB-E4018390E967}"/>
    <cellStyle name="CustomizationCells 2 2 5 13" xfId="6342" xr:uid="{F5903F05-8CEC-4790-8856-74D8810A2A76}"/>
    <cellStyle name="CustomizationCells 2 2 5 14" xfId="6695" xr:uid="{1D1F8F1C-7950-489D-89E9-A718609FD38F}"/>
    <cellStyle name="CustomizationCells 2 2 5 15" xfId="7397" xr:uid="{D3FD4233-8962-492E-9D17-A5FAA423C104}"/>
    <cellStyle name="CustomizationCells 2 2 5 16" xfId="7710" xr:uid="{07DD44CB-9A8F-4C86-80BD-9B545AB0764F}"/>
    <cellStyle name="CustomizationCells 2 2 5 17" xfId="6847" xr:uid="{A032267E-52C0-4DA1-ACA6-DD88CA61F563}"/>
    <cellStyle name="CustomizationCells 2 2 5 18" xfId="8908" xr:uid="{1EF187FA-450A-4261-8305-AB9DB31F34AC}"/>
    <cellStyle name="CustomizationCells 2 2 5 19" xfId="9611" xr:uid="{E8C3E89F-8501-4733-A673-4FB424AE87C5}"/>
    <cellStyle name="CustomizationCells 2 2 5 2" xfId="891" xr:uid="{9B795696-3D11-4B8E-8065-A2138B20FF91}"/>
    <cellStyle name="CustomizationCells 2 2 5 2 2" xfId="7611" xr:uid="{C14B227A-DEC6-4CAD-A1A2-4165351CD6A8}"/>
    <cellStyle name="CustomizationCells 2 2 5 2 3" xfId="8075" xr:uid="{7D13F96C-7EF7-4842-909A-34FA969CBB36}"/>
    <cellStyle name="CustomizationCells 2 2 5 2 4" xfId="16936" xr:uid="{460DA702-7231-451D-AD2E-3036118B7591}"/>
    <cellStyle name="CustomizationCells 2 2 5 2 5" xfId="17417" xr:uid="{ECBD4238-9F69-4D2D-A07C-BA74BA9E75AE}"/>
    <cellStyle name="CustomizationCells 2 2 5 2 6" xfId="17858" xr:uid="{CBEC4CA6-9075-4BBB-B4C4-101541C5823A}"/>
    <cellStyle name="CustomizationCells 2 2 5 2 7" xfId="27842" xr:uid="{607E7536-981E-419B-90FF-1A0F251F6D88}"/>
    <cellStyle name="CustomizationCells 2 2 5 20" xfId="9924" xr:uid="{C14F99DB-F114-46AB-80B0-1C844D356FE9}"/>
    <cellStyle name="CustomizationCells 2 2 5 21" xfId="10355" xr:uid="{A156783F-12C6-49CA-AB0E-813DBF796261}"/>
    <cellStyle name="CustomizationCells 2 2 5 22" xfId="10900" xr:uid="{1FC86B4E-6044-4130-ACE3-3BDFAF51BB03}"/>
    <cellStyle name="CustomizationCells 2 2 5 23" xfId="11312" xr:uid="{C8BA9F4D-14E5-4833-848B-BD1E805F5A54}"/>
    <cellStyle name="CustomizationCells 2 2 5 24" xfId="12030" xr:uid="{91CB6BA2-F4C7-4713-89E8-679A7C7FE984}"/>
    <cellStyle name="CustomizationCells 2 2 5 25" xfId="12503" xr:uid="{46CEC920-9600-41D8-B0EB-540BC1C6B937}"/>
    <cellStyle name="CustomizationCells 2 2 5 26" xfId="12937" xr:uid="{44C13C4A-EF79-446D-8B4A-14ECD3244D15}"/>
    <cellStyle name="CustomizationCells 2 2 5 27" xfId="13374" xr:uid="{1CB58A86-72FC-4639-8EA3-E2E1C6374637}"/>
    <cellStyle name="CustomizationCells 2 2 5 28" xfId="14011" xr:uid="{7EF2A2F1-99D8-40B4-9385-D161FEB4E612}"/>
    <cellStyle name="CustomizationCells 2 2 5 29" xfId="13888" xr:uid="{C70B9259-D153-4EB9-A9E3-ECB183EFB423}"/>
    <cellStyle name="CustomizationCells 2 2 5 3" xfId="1159" xr:uid="{5DB35EED-8545-4D45-B6D7-0541341BDA97}"/>
    <cellStyle name="CustomizationCells 2 2 5 30" xfId="14576" xr:uid="{63435323-9762-4460-A0F2-382EEFBB365A}"/>
    <cellStyle name="CustomizationCells 2 2 5 31" xfId="15356" xr:uid="{6CF1D10D-C965-4161-94FD-296E8B3BCC36}"/>
    <cellStyle name="CustomizationCells 2 2 5 32" xfId="15302" xr:uid="{CCC2DE9A-7777-425F-B496-C50F8C9710BC}"/>
    <cellStyle name="CustomizationCells 2 2 5 33" xfId="15812" xr:uid="{2A3E26B0-A4CB-4F48-9B2D-C6FB8B87476F}"/>
    <cellStyle name="CustomizationCells 2 2 5 34" xfId="16722" xr:uid="{1F677558-9B12-4A4D-A125-2C58BB01D36A}"/>
    <cellStyle name="CustomizationCells 2 2 5 35" xfId="17038" xr:uid="{1364C66D-F49F-4897-AF6F-80A7FE2C174B}"/>
    <cellStyle name="CustomizationCells 2 2 5 36" xfId="17486" xr:uid="{8906A6EC-87D1-4D1F-9476-D002349F85F2}"/>
    <cellStyle name="CustomizationCells 2 2 5 37" xfId="18287" xr:uid="{C956AD42-A0FF-4907-A8FF-2DB067D1F958}"/>
    <cellStyle name="CustomizationCells 2 2 5 38" xfId="18540" xr:uid="{1ED6E378-0723-45B6-8ECB-6634DF5E17F7}"/>
    <cellStyle name="CustomizationCells 2 2 5 39" xfId="19102" xr:uid="{17FAD56B-EC40-4BFC-B513-115E3B1D84B5}"/>
    <cellStyle name="CustomizationCells 2 2 5 4" xfId="1413" xr:uid="{8B1A3BBC-3D42-484D-BF49-D3EBA0FB62DC}"/>
    <cellStyle name="CustomizationCells 2 2 5 40" xfId="19245" xr:uid="{ABB69040-2ECA-478E-AA1B-AE7398E6C3A4}"/>
    <cellStyle name="CustomizationCells 2 2 5 41" xfId="20059" xr:uid="{8A2B7AFB-3F9C-4EB7-970E-8EDBA0E68FE0}"/>
    <cellStyle name="CustomizationCells 2 2 5 42" xfId="20390" xr:uid="{2FD61544-722C-46F1-A778-FF561CCA4957}"/>
    <cellStyle name="CustomizationCells 2 2 5 43" xfId="20843" xr:uid="{33594C2E-838C-4B4A-80DB-5D401820EBF3}"/>
    <cellStyle name="CustomizationCells 2 2 5 44" xfId="21668" xr:uid="{765C34BC-E2B6-44A1-962B-94BA36E02A10}"/>
    <cellStyle name="CustomizationCells 2 2 5 45" xfId="21776" xr:uid="{0AC83B3E-60B7-489F-8323-9155EBC640F4}"/>
    <cellStyle name="CustomizationCells 2 2 5 46" xfId="22213" xr:uid="{6C574CD0-A924-4C1A-B244-0DBC2B74E7AC}"/>
    <cellStyle name="CustomizationCells 2 2 5 47" xfId="22981" xr:uid="{ED3B9D55-058F-424F-A2C1-4D7F16DDF146}"/>
    <cellStyle name="CustomizationCells 2 2 5 48" xfId="23386" xr:uid="{3DF32B73-79F4-4AD2-8795-4FD6EED26350}"/>
    <cellStyle name="CustomizationCells 2 2 5 49" xfId="23469" xr:uid="{BEB3B9F4-0620-4DD3-98A2-6EC12707A899}"/>
    <cellStyle name="CustomizationCells 2 2 5 5" xfId="2499" xr:uid="{2FDED83C-24F1-4CE2-AA32-625F7E9B0FAE}"/>
    <cellStyle name="CustomizationCells 2 2 5 50" xfId="23867" xr:uid="{876BFD2F-34BC-4FD0-9211-BBCE36AC83BF}"/>
    <cellStyle name="CustomizationCells 2 2 5 51" xfId="24767" xr:uid="{546641E8-D056-4F29-86E0-0AB680EDB4F5}"/>
    <cellStyle name="CustomizationCells 2 2 5 52" xfId="25100" xr:uid="{F96E9431-9AAD-4D30-94BC-8832E03553D2}"/>
    <cellStyle name="CustomizationCells 2 2 5 53" xfId="25685" xr:uid="{C60AB3DC-4617-4571-9554-942B4896EEF8}"/>
    <cellStyle name="CustomizationCells 2 2 5 54" xfId="26289" xr:uid="{FAA4318D-E5C5-4681-A346-D9BF05A90E6C}"/>
    <cellStyle name="CustomizationCells 2 2 5 55" xfId="26396" xr:uid="{EA02385E-4D65-49CC-BB5B-BBC956B80CB4}"/>
    <cellStyle name="CustomizationCells 2 2 5 56" xfId="26975" xr:uid="{0F72D7C0-3F12-4B29-AAC5-2BFE28CC4E6F}"/>
    <cellStyle name="CustomizationCells 2 2 5 57" xfId="27394" xr:uid="{BD19DDC6-7D71-459C-9364-B9E00535D0C0}"/>
    <cellStyle name="CustomizationCells 2 2 5 58" xfId="27620" xr:uid="{F4B6813E-5FCA-4AF0-AF99-29DFB9B7322D}"/>
    <cellStyle name="CustomizationCells 2 2 5 59" xfId="28517" xr:uid="{7BFB408C-3368-4EA6-9267-EFF24EA8AC42}"/>
    <cellStyle name="CustomizationCells 2 2 5 6" xfId="3183" xr:uid="{9B154396-4132-460D-8CD2-6C7144F5C507}"/>
    <cellStyle name="CustomizationCells 2 2 5 60" xfId="28985" xr:uid="{413E4797-F5A8-4691-87D5-EDF31C24CFC7}"/>
    <cellStyle name="CustomizationCells 2 2 5 61" xfId="29254" xr:uid="{8EEF40DE-DC6B-41B7-8BA4-BC2D5F124606}"/>
    <cellStyle name="CustomizationCells 2 2 5 62" xfId="29775" xr:uid="{F0648F08-04BB-4257-8C16-6D23F9B7FEA9}"/>
    <cellStyle name="CustomizationCells 2 2 5 63" xfId="30182" xr:uid="{D774A657-B647-4EBC-882B-D30B3D600AA3}"/>
    <cellStyle name="CustomizationCells 2 2 5 64" xfId="30597" xr:uid="{541FAB00-CC97-4A16-B279-E8981FFF6971}"/>
    <cellStyle name="CustomizationCells 2 2 5 65" xfId="30896" xr:uid="{7E98B170-223C-44ED-B29D-B705023154CC}"/>
    <cellStyle name="CustomizationCells 2 2 5 66" xfId="31220" xr:uid="{2E8DD605-C732-4F5D-8447-51E60BDF6D2D}"/>
    <cellStyle name="CustomizationCells 2 2 5 7" xfId="3534" xr:uid="{B7084D0F-FEDB-4EB3-B07D-52F40F3E6BDD}"/>
    <cellStyle name="CustomizationCells 2 2 5 8" xfId="3995" xr:uid="{A26BD3CF-5015-4D60-891A-933331A86032}"/>
    <cellStyle name="CustomizationCells 2 2 5 9" xfId="4433" xr:uid="{B76395CF-C192-42AF-A0C4-EF6EFC4B843A}"/>
    <cellStyle name="CustomizationCells 2 2 50" xfId="21859" xr:uid="{5F1D1416-872A-44F2-BCEF-A991B1558AE1}"/>
    <cellStyle name="CustomizationCells 2 2 51" xfId="21995" xr:uid="{90FC378E-D14C-4373-A647-CADCEFF8E050}"/>
    <cellStyle name="CustomizationCells 2 2 52" xfId="22660" xr:uid="{75E56643-9A98-435F-8F0D-C6661F1F25A4}"/>
    <cellStyle name="CustomizationCells 2 2 53" xfId="23629" xr:uid="{E9F82B6E-E2CA-46EF-B06C-147FF9B8DAA4}"/>
    <cellStyle name="CustomizationCells 2 2 54" xfId="24532" xr:uid="{5A8382B0-7975-4EE0-B5BB-B86E34C3F212}"/>
    <cellStyle name="CustomizationCells 2 2 55" xfId="25315" xr:uid="{5F475B60-8690-45D5-AB76-EE34473A0B49}"/>
    <cellStyle name="CustomizationCells 2 2 56" xfId="24472" xr:uid="{214BBA7F-4C46-4404-AA45-E7FB5F3D3B3B}"/>
    <cellStyle name="CustomizationCells 2 2 57" xfId="24513" xr:uid="{3D91DD4B-75ED-43C7-A7FD-8814D9542F71}"/>
    <cellStyle name="CustomizationCells 2 2 58" xfId="25143" xr:uid="{10ABE85E-7E0D-4319-BB7C-7A7D3FFBE5F9}"/>
    <cellStyle name="CustomizationCells 2 2 59" xfId="26768" xr:uid="{07B9F4DC-66FF-4CE2-A167-035E31853369}"/>
    <cellStyle name="CustomizationCells 2 2 6" xfId="984" xr:uid="{A6C6411F-75F7-4DEA-93DB-D59300354727}"/>
    <cellStyle name="CustomizationCells 2 2 60" xfId="26409" xr:uid="{4CF9CEEC-B8F9-4D58-BEB7-DD022CCE01AA}"/>
    <cellStyle name="CustomizationCells 2 2 61" xfId="27738" xr:uid="{7C2FB5D7-0DD0-4F71-972D-5AB4A4142A84}"/>
    <cellStyle name="CustomizationCells 2 2 62" xfId="28291" xr:uid="{1B80B4B0-EF09-4849-AE95-BB6DB30C71C1}"/>
    <cellStyle name="CustomizationCells 2 2 63" xfId="28753" xr:uid="{0B0395EB-A565-4D63-B77F-5500547D729B}"/>
    <cellStyle name="CustomizationCells 2 2 64" xfId="29437" xr:uid="{65C7DC70-AF7C-4CF7-8E65-D9868F87B9A4}"/>
    <cellStyle name="CustomizationCells 2 2 65" xfId="29279" xr:uid="{2BC44C4F-D59A-451F-AA1C-AA87281AD9F2}"/>
    <cellStyle name="CustomizationCells 2 2 66" xfId="28247" xr:uid="{AD54C4C3-760E-447C-B08B-014845D28E57}"/>
    <cellStyle name="CustomizationCells 2 2 67" xfId="29268" xr:uid="{9EB189FC-B342-4BFD-A7F9-9168D4C13B0D}"/>
    <cellStyle name="CustomizationCells 2 2 68" xfId="30009" xr:uid="{912B3531-EA23-4DC9-AD99-2CC5A1BEE6D2}"/>
    <cellStyle name="CustomizationCells 2 2 69" xfId="29529" xr:uid="{7AB2E23B-8BB9-44DD-972D-E195C2DB3120}"/>
    <cellStyle name="CustomizationCells 2 2 7" xfId="1707" xr:uid="{898217E4-020E-468C-A3BD-6C195A184291}"/>
    <cellStyle name="CustomizationCells 2 2 8" xfId="2261" xr:uid="{1AC9D26A-AA03-4268-A253-B08251B0DA39}"/>
    <cellStyle name="CustomizationCells 2 2 9" xfId="1827" xr:uid="{25BDF7BE-063D-493E-8DCD-A4705C18F6F5}"/>
    <cellStyle name="CustomizationCells 3" xfId="274" xr:uid="{F19D93EC-0137-4DD6-B11B-E039CE3951BA}"/>
    <cellStyle name="CustomizationCells 3 10" xfId="3736" xr:uid="{523767CC-5E34-45C9-9410-7C112694A528}"/>
    <cellStyle name="CustomizationCells 3 11" xfId="3661" xr:uid="{D04F06C6-44AC-4DB0-840B-63B25F48A8EF}"/>
    <cellStyle name="CustomizationCells 3 12" xfId="2082" xr:uid="{33CE6961-833E-462B-8245-A07A4BC022F0}"/>
    <cellStyle name="CustomizationCells 3 13" xfId="3677" xr:uid="{D1E1B7E0-6122-426E-86B1-A6DC372E85A6}"/>
    <cellStyle name="CustomizationCells 3 14" xfId="4942" xr:uid="{6B6CCF38-AF5B-4930-B83C-4F6577E6F13F}"/>
    <cellStyle name="CustomizationCells 3 15" xfId="5893" xr:uid="{99EAEAD4-EA56-448A-91B3-3F006BA8D2B6}"/>
    <cellStyle name="CustomizationCells 3 16" xfId="6074" xr:uid="{ED5FCB7D-EE91-448A-AA5B-6C51D04F8BD4}"/>
    <cellStyle name="CustomizationCells 3 17" xfId="6694" xr:uid="{5CF6B241-9B2D-49B3-9239-DCAD3CE0937A}"/>
    <cellStyle name="CustomizationCells 3 18" xfId="7004" xr:uid="{1F3B94ED-D4E9-42E2-8368-3EBC7F76D9C0}"/>
    <cellStyle name="CustomizationCells 3 19" xfId="7641" xr:uid="{21955150-D9DB-4D10-ABF3-B7B346224FD6}"/>
    <cellStyle name="CustomizationCells 3 2" xfId="613" xr:uid="{1701FFC5-1036-4DA6-A9F8-59686DB57C09}"/>
    <cellStyle name="CustomizationCells 3 2 10" xfId="4937" xr:uid="{E943678D-A8D0-4180-B3D5-8D66BF6DBC4A}"/>
    <cellStyle name="CustomizationCells 3 2 11" xfId="5261" xr:uid="{6631672D-6B61-4844-850B-DA6D72CAF70D}"/>
    <cellStyle name="CustomizationCells 3 2 12" xfId="5872" xr:uid="{C98D5A1B-84BF-42CE-BCD4-4D6EC0E4CEE6}"/>
    <cellStyle name="CustomizationCells 3 2 13" xfId="5967" xr:uid="{8B892EFD-BB32-41F5-8D62-4064E9AA36DE}"/>
    <cellStyle name="CustomizationCells 3 2 14" xfId="6553" xr:uid="{ADA6DEED-B71A-4F88-BFE7-C5ED4A59DE61}"/>
    <cellStyle name="CustomizationCells 3 2 15" xfId="7333" xr:uid="{239DB809-6992-4A91-8049-2755E8C430F3}"/>
    <cellStyle name="CustomizationCells 3 2 16" xfId="7960" xr:uid="{2D2A0391-E9E8-42A3-ADC1-1196E23B5B76}"/>
    <cellStyle name="CustomizationCells 3 2 17" xfId="6921" xr:uid="{BD483C22-6661-4D11-99E3-101695492B5F}"/>
    <cellStyle name="CustomizationCells 3 2 18" xfId="7943" xr:uid="{2DB5C7BD-A6F7-44DE-B477-19B3E02A92A9}"/>
    <cellStyle name="CustomizationCells 3 2 19" xfId="9547" xr:uid="{A2013875-4E43-487A-80E4-67AFCDF66D5D}"/>
    <cellStyle name="CustomizationCells 3 2 2" xfId="828" xr:uid="{F6A3F8F3-2A15-49B1-95CB-49B92EB85635}"/>
    <cellStyle name="CustomizationCells 3 2 2 10" xfId="5476" xr:uid="{E57A1734-D3E3-49B1-A17A-CABF63AC2EFF}"/>
    <cellStyle name="CustomizationCells 3 2 2 11" xfId="5628" xr:uid="{6660593F-7850-4DE2-8C14-FC33D4CE4222}"/>
    <cellStyle name="CustomizationCells 3 2 2 12" xfId="5038" xr:uid="{F24D1572-048A-42DF-BFEB-C7D093CE6F43}"/>
    <cellStyle name="CustomizationCells 3 2 2 13" xfId="6666" xr:uid="{7F365F67-E296-4BD7-951F-5AA300A56FB6}"/>
    <cellStyle name="CustomizationCells 3 2 2 14" xfId="7548" xr:uid="{02ECF751-901B-4B69-90B5-116479271035}"/>
    <cellStyle name="CustomizationCells 3 2 2 15" xfId="6982" xr:uid="{823A228E-FA1D-4BC7-854A-E8BF599F2835}"/>
    <cellStyle name="CustomizationCells 3 2 2 16" xfId="8333" xr:uid="{6380880B-4BE3-4F0C-BB2D-C9367D35C73A}"/>
    <cellStyle name="CustomizationCells 3 2 2 17" xfId="8274" xr:uid="{C03A97DA-AABF-4D29-9E05-C5C626DC7A55}"/>
    <cellStyle name="CustomizationCells 3 2 2 18" xfId="9762" xr:uid="{728864AE-8A13-4410-9823-CEC7B0806600}"/>
    <cellStyle name="CustomizationCells 3 2 2 19" xfId="9323" xr:uid="{B4372885-8BC4-4A4A-9A78-FDCF57EBBD43}"/>
    <cellStyle name="CustomizationCells 3 2 2 2" xfId="1302" xr:uid="{23F0990B-249E-4C6D-B08A-BC7FC26A4274}"/>
    <cellStyle name="CustomizationCells 3 2 2 20" xfId="9858" xr:uid="{BC02F724-2F4E-4772-A2F1-F042518115D5}"/>
    <cellStyle name="CustomizationCells 3 2 2 21" xfId="9973" xr:uid="{ABDFE182-CAD3-4C94-85BE-6C8CC46F8685}"/>
    <cellStyle name="CustomizationCells 3 2 2 22" xfId="11146" xr:uid="{3F2ACA89-3D1B-4878-AFD9-8CF66E51743D}"/>
    <cellStyle name="CustomizationCells 3 2 2 23" xfId="12181" xr:uid="{6F58C743-9F0B-4765-AA01-C4F8B7ABE4C5}"/>
    <cellStyle name="CustomizationCells 3 2 2 24" xfId="12654" xr:uid="{07354566-4C36-4D8C-A1FE-1883EAE6A4F3}"/>
    <cellStyle name="CustomizationCells 3 2 2 25" xfId="13088" xr:uid="{08065DBD-B6E9-4D6C-86FB-4BBD030A7E5A}"/>
    <cellStyle name="CustomizationCells 3 2 2 26" xfId="13525" xr:uid="{E244775A-FF42-43B3-8A56-0F8959D43D77}"/>
    <cellStyle name="CustomizationCells 3 2 2 27" xfId="13159" xr:uid="{FD05CBE4-512A-4BD2-A6E6-19C1C2DEA77B}"/>
    <cellStyle name="CustomizationCells 3 2 2 28" xfId="12960" xr:uid="{D077A15B-8761-473A-ADB8-E8CACE5D3709}"/>
    <cellStyle name="CustomizationCells 3 2 2 29" xfId="14081" xr:uid="{F3A1EB27-3EED-4E5B-ABE2-EDC9BDEF0B1D}"/>
    <cellStyle name="CustomizationCells 3 2 2 3" xfId="1554" xr:uid="{5D5955AF-3E36-4C35-8F54-BB7F1D623E75}"/>
    <cellStyle name="CustomizationCells 3 2 2 30" xfId="15221" xr:uid="{A76FC85A-20BB-496A-B28C-576E4D0811A1}"/>
    <cellStyle name="CustomizationCells 3 2 2 31" xfId="15550" xr:uid="{0D03DCC9-931F-41FB-B8C4-D3CCEEB734B6}"/>
    <cellStyle name="CustomizationCells 3 2 2 32" xfId="15517" xr:uid="{EB5B60CC-8D40-4FB2-A64A-5716F1C8E993}"/>
    <cellStyle name="CustomizationCells 3 2 2 33" xfId="16873" xr:uid="{D9139020-AC99-40E8-8E55-4F918EA15965}"/>
    <cellStyle name="CustomizationCells 3 2 2 34" xfId="16302" xr:uid="{2D462A6F-6EEA-4483-8D3B-141D9F5DE71F}"/>
    <cellStyle name="CustomizationCells 3 2 2 35" xfId="16242" xr:uid="{519D4D9A-E3E5-4E29-BE17-04AFAF830A0A}"/>
    <cellStyle name="CustomizationCells 3 2 2 36" xfId="17462" xr:uid="{2C88663B-DAF9-46F1-BBFC-580F347C0D03}"/>
    <cellStyle name="CustomizationCells 3 2 2 37" xfId="18691" xr:uid="{97497326-0DD1-41C0-B4BC-44023A096773}"/>
    <cellStyle name="CustomizationCells 3 2 2 38" xfId="18135" xr:uid="{C7981332-DD11-4D6E-A403-5FB414026E3A}"/>
    <cellStyle name="CustomizationCells 3 2 2 39" xfId="17785" xr:uid="{1FFA3B95-2B2D-4D34-8544-EE7A46E0480C}"/>
    <cellStyle name="CustomizationCells 3 2 2 4" xfId="2650" xr:uid="{0BAF8C55-029C-4F2C-882C-5ED9BCA360BA}"/>
    <cellStyle name="CustomizationCells 3 2 2 40" xfId="20210" xr:uid="{91DB21EB-FD57-46CC-9FC7-6031851AA11E}"/>
    <cellStyle name="CustomizationCells 3 2 2 41" xfId="19632" xr:uid="{92CDD1C4-DB69-432A-9785-F92C8ADB3626}"/>
    <cellStyle name="CustomizationCells 3 2 2 42" xfId="20305" xr:uid="{32B777B3-E471-4774-98EB-1F5155FB8BE5}"/>
    <cellStyle name="CustomizationCells 3 2 2 43" xfId="21292" xr:uid="{1897CEFA-0030-4623-A3A0-EACD23AA66B5}"/>
    <cellStyle name="CustomizationCells 3 2 2 44" xfId="19559" xr:uid="{F21E6B64-41E9-4969-9110-0E7632C23B9B}"/>
    <cellStyle name="CustomizationCells 3 2 2 45" xfId="21084" xr:uid="{4AF5C3B5-FB2C-4235-8A33-AE3E6457A1D6}"/>
    <cellStyle name="CustomizationCells 3 2 2 46" xfId="21802" xr:uid="{562A7D96-B3F5-4D7C-8C06-DD142C77BA3B}"/>
    <cellStyle name="CustomizationCells 3 2 2 47" xfId="22813" xr:uid="{C28FAFA1-4727-4B26-8564-B242598E874C}"/>
    <cellStyle name="CustomizationCells 3 2 2 48" xfId="22814" xr:uid="{4E355422-D54A-48A5-832B-570BC92661D4}"/>
    <cellStyle name="CustomizationCells 3 2 2 49" xfId="24010" xr:uid="{57E08943-A61C-4FF6-AE40-36FBBA897242}"/>
    <cellStyle name="CustomizationCells 3 2 2 5" xfId="2276" xr:uid="{A25AEB75-5A2A-48DA-B72F-021D108AD4C4}"/>
    <cellStyle name="CustomizationCells 3 2 2 50" xfId="24918" xr:uid="{B6D1CCE0-881E-4668-B916-E5CF50B7BEE4}"/>
    <cellStyle name="CustomizationCells 3 2 2 51" xfId="24190" xr:uid="{EB9C5D46-92BF-4B27-9134-C183E678B96C}"/>
    <cellStyle name="CustomizationCells 3 2 2 52" xfId="25834" xr:uid="{D03DF0C3-23AE-4903-BEE3-10DF9B14B87F}"/>
    <cellStyle name="CustomizationCells 3 2 2 53" xfId="24536" xr:uid="{A18517F7-B954-4160-BE2E-52DF3189BE02}"/>
    <cellStyle name="CustomizationCells 3 2 2 54" xfId="26534" xr:uid="{61A55680-FE82-4CB4-9A2F-AFAC126074F5}"/>
    <cellStyle name="CustomizationCells 3 2 2 55" xfId="27122" xr:uid="{E8950B38-ADAF-4218-80D4-8480919A271F}"/>
    <cellStyle name="CustomizationCells 3 2 2 56" xfId="27541" xr:uid="{D60D2A8D-7206-4620-9390-96E534FC3A35}"/>
    <cellStyle name="CustomizationCells 3 2 2 57" xfId="26653" xr:uid="{70413B9E-9B6C-4B87-8829-0005CE360655}"/>
    <cellStyle name="CustomizationCells 3 2 2 58" xfId="28668" xr:uid="{CEA1C316-8C24-4E2D-B824-AF351BEB7B64}"/>
    <cellStyle name="CustomizationCells 3 2 2 59" xfId="29135" xr:uid="{0AE9FF2C-F6BC-4B2F-84F6-44B05C51F55A}"/>
    <cellStyle name="CustomizationCells 3 2 2 6" xfId="3291" xr:uid="{777E98FF-2564-4FDD-BF27-ACC394A10675}"/>
    <cellStyle name="CustomizationCells 3 2 2 60" xfId="27893" xr:uid="{1C46172F-6299-4E5E-98EC-5DD6B89DCC57}"/>
    <cellStyle name="CustomizationCells 3 2 2 61" xfId="29924" xr:uid="{EE3FFAA3-7C65-4DC6-8796-0EADA333294C}"/>
    <cellStyle name="CustomizationCells 3 2 2 62" xfId="30330" xr:uid="{1FF0BC8C-6EA5-4910-AC54-1A08C42D130B}"/>
    <cellStyle name="CustomizationCells 3 2 2 63" xfId="30747" xr:uid="{2F1BBCF9-BBDF-4994-A8E0-45A5C04A2D09}"/>
    <cellStyle name="CustomizationCells 3 2 2 64" xfId="30924" xr:uid="{A4623C25-C63E-427B-97EA-7E493B035DF0}"/>
    <cellStyle name="CustomizationCells 3 2 2 65" xfId="31363" xr:uid="{B4BDC3CA-5A2B-423A-8574-E3A73C2A4BEB}"/>
    <cellStyle name="CustomizationCells 3 2 2 7" xfId="4146" xr:uid="{B1E9A258-E148-47EF-8887-A2F8A9EB06A7}"/>
    <cellStyle name="CustomizationCells 3 2 2 8" xfId="4583" xr:uid="{F35DD776-4F98-4C90-A26B-C64C8A997957}"/>
    <cellStyle name="CustomizationCells 3 2 2 9" xfId="2246" xr:uid="{09F4E890-E032-46D7-9925-1F7350967D40}"/>
    <cellStyle name="CustomizationCells 3 2 20" xfId="10174" xr:uid="{E4A95F07-71D3-4E1F-B7E3-79A393F1ED2C}"/>
    <cellStyle name="CustomizationCells 3 2 21" xfId="10581" xr:uid="{F0CE0C75-B6B3-45BF-BDC9-271C64ADF952}"/>
    <cellStyle name="CustomizationCells 3 2 22" xfId="10990" xr:uid="{18C6128B-4E24-4FCA-90E5-4EBC10AC7E26}"/>
    <cellStyle name="CustomizationCells 3 2 23" xfId="10810" xr:uid="{3EBFCC56-2CEB-4C87-A912-9CA0A40401DA}"/>
    <cellStyle name="CustomizationCells 3 2 24" xfId="11966" xr:uid="{246BF2CF-1C6D-4777-AF7A-85D0C0B82BD1}"/>
    <cellStyle name="CustomizationCells 3 2 25" xfId="12439" xr:uid="{0B244DA1-B5D5-48BA-A4E3-0D4A83BAC622}"/>
    <cellStyle name="CustomizationCells 3 2 26" xfId="12873" xr:uid="{4A235B4A-90D8-44B4-9E26-60D40DA8067F}"/>
    <cellStyle name="CustomizationCells 3 2 27" xfId="13310" xr:uid="{FAC88547-83B9-416F-B705-8A9DFCFAD028}"/>
    <cellStyle name="CustomizationCells 3 2 28" xfId="12258" xr:uid="{D9319490-66BE-4B5D-9DEF-63BBAC4F8C8F}"/>
    <cellStyle name="CustomizationCells 3 2 29" xfId="14152" xr:uid="{200FECF7-4884-43A2-A735-E9A986BD3BF6}"/>
    <cellStyle name="CustomizationCells 3 2 3" xfId="1096" xr:uid="{B0559107-19E5-4873-A41D-8546F7979D63}"/>
    <cellStyle name="CustomizationCells 3 2 30" xfId="14799" xr:uid="{10CF9BB1-5A1C-4E98-8A45-B3B3B908E043}"/>
    <cellStyle name="CustomizationCells 3 2 31" xfId="14967" xr:uid="{E09463F5-075F-4234-9BA5-45DFD7CED2B6}"/>
    <cellStyle name="CustomizationCells 3 2 32" xfId="15351" xr:uid="{ED2DE24D-1666-49F9-955B-2CF672E3DCBE}"/>
    <cellStyle name="CustomizationCells 3 2 33" xfId="15948" xr:uid="{D8B69400-483D-4028-B9D4-0A418310E0EA}"/>
    <cellStyle name="CustomizationCells 3 2 34" xfId="16658" xr:uid="{780E4A34-BB1D-46F1-AF86-5215E5B287F9}"/>
    <cellStyle name="CustomizationCells 3 2 35" xfId="17295" xr:uid="{F9D8B58F-54DB-48EA-B393-53C2E42F69E2}"/>
    <cellStyle name="CustomizationCells 3 2 36" xfId="17738" xr:uid="{C4A9DC99-A1E0-4CB1-B002-CBE4963E1785}"/>
    <cellStyle name="CustomizationCells 3 2 37" xfId="18048" xr:uid="{CA2BDC13-0C45-4662-B0C2-81AF162A073D}"/>
    <cellStyle name="CustomizationCells 3 2 38" xfId="18476" xr:uid="{9404DC2C-2C44-4A73-BCCB-75103C7E1A64}"/>
    <cellStyle name="CustomizationCells 3 2 39" xfId="17952" xr:uid="{FE16ACF8-EEBE-4A4E-A4FF-E0DC36F3993B}"/>
    <cellStyle name="CustomizationCells 3 2 4" xfId="1664" xr:uid="{E306DA8F-EC71-40C9-AA7F-37849510F2EC}"/>
    <cellStyle name="CustomizationCells 3 2 40" xfId="19213" xr:uid="{A86AA0CE-6639-4217-A2D7-422E5213F3C0}"/>
    <cellStyle name="CustomizationCells 3 2 41" xfId="19995" xr:uid="{23932F15-32A8-4393-B3B6-F9EE4BE6220A}"/>
    <cellStyle name="CustomizationCells 3 2 42" xfId="20645" xr:uid="{8B580E47-4E27-4612-B020-4D01A735A12B}"/>
    <cellStyle name="CustomizationCells 3 2 43" xfId="21101" xr:uid="{9CB31EA6-0E3F-424D-89EA-CB3BDB9BC7BC}"/>
    <cellStyle name="CustomizationCells 3 2 44" xfId="20343" xr:uid="{409E12C9-F6E9-4197-85A6-1A73E4A4EF63}"/>
    <cellStyle name="CustomizationCells 3 2 45" xfId="22032" xr:uid="{1CC016F0-DC80-477E-A0BC-811D8F0F816B}"/>
    <cellStyle name="CustomizationCells 3 2 46" xfId="22462" xr:uid="{C0337E7A-F7DF-4000-A135-3F103B7A85DB}"/>
    <cellStyle name="CustomizationCells 3 2 47" xfId="22583" xr:uid="{F70F2015-EB3E-4AB0-B53F-46EC568EC423}"/>
    <cellStyle name="CustomizationCells 3 2 48" xfId="22399" xr:uid="{4307301A-D4E7-43EF-B8C2-4F46BDF18FCA}"/>
    <cellStyle name="CustomizationCells 3 2 49" xfId="23541" xr:uid="{0FCEC3E5-724E-46B0-8CB1-A5E87C0BA1D1}"/>
    <cellStyle name="CustomizationCells 3 2 5" xfId="2435" xr:uid="{C81CD8B5-9D8C-48C9-B293-4761119B860B}"/>
    <cellStyle name="CustomizationCells 3 2 50" xfId="23804" xr:uid="{06B33626-B213-4420-AD53-1D0F9473E856}"/>
    <cellStyle name="CustomizationCells 3 2 51" xfId="24703" xr:uid="{B95D1CB8-40DD-4ED5-8C5C-4EC81F32E9BA}"/>
    <cellStyle name="CustomizationCells 3 2 52" xfId="25349" xr:uid="{F32B5E74-FF7A-4206-8CE9-7CB8F803E8D0}"/>
    <cellStyle name="CustomizationCells 3 2 53" xfId="25621" xr:uid="{6BB511FC-B41E-472C-B42B-56FBE6DAFB57}"/>
    <cellStyle name="CustomizationCells 3 2 54" xfId="24238" xr:uid="{6E70E40E-C70B-44A9-8D18-6C8A70BAF6E1}"/>
    <cellStyle name="CustomizationCells 3 2 55" xfId="26352" xr:uid="{9660E481-D1C2-43DD-9F92-749E35943F5E}"/>
    <cellStyle name="CustomizationCells 3 2 56" xfId="26911" xr:uid="{ADC356DB-03E2-4668-81E7-D938CDC90A3F}"/>
    <cellStyle name="CustomizationCells 3 2 57" xfId="27330" xr:uid="{83A16B17-6FE0-49DD-AF84-A8F36ED4BABC}"/>
    <cellStyle name="CustomizationCells 3 2 58" xfId="27642" xr:uid="{CB39C004-7AF5-476A-8F82-386A39AE511D}"/>
    <cellStyle name="CustomizationCells 3 2 59" xfId="28453" xr:uid="{8D999A38-BA6D-476F-9CE0-0323EFBA1A98}"/>
    <cellStyle name="CustomizationCells 3 2 6" xfId="1951" xr:uid="{BC6426A0-66A8-4902-83C4-5EA75518D4F2}"/>
    <cellStyle name="CustomizationCells 3 2 60" xfId="28921" xr:uid="{45912551-D0D4-49BF-B6F9-F1A779B5182E}"/>
    <cellStyle name="CustomizationCells 3 2 61" xfId="29473" xr:uid="{57782AA1-BDE6-4B06-9B2A-FBC26DC93173}"/>
    <cellStyle name="CustomizationCells 3 2 62" xfId="29711" xr:uid="{7EA18429-11A0-42BB-87A2-DD2F2D31D9B6}"/>
    <cellStyle name="CustomizationCells 3 2 63" xfId="30119" xr:uid="{73693F0D-7DDE-4AB1-99DF-AA8954BF09D5}"/>
    <cellStyle name="CustomizationCells 3 2 64" xfId="30533" xr:uid="{8BE69BBD-EED8-4ED3-AC26-25E955169CAC}"/>
    <cellStyle name="CustomizationCells 3 2 65" xfId="28330" xr:uid="{9EA0C283-9E6B-4C57-B4C3-944BB2C3CEAD}"/>
    <cellStyle name="CustomizationCells 3 2 66" xfId="31157" xr:uid="{BF70D943-5752-40EB-B6CF-98632FA5A070}"/>
    <cellStyle name="CustomizationCells 3 2 7" xfId="3469" xr:uid="{EC599A91-1926-4C02-B65D-7DFA038508AD}"/>
    <cellStyle name="CustomizationCells 3 2 8" xfId="3931" xr:uid="{EFA7ED2A-6DF1-4EF7-BFDE-4203D36820A7}"/>
    <cellStyle name="CustomizationCells 3 2 9" xfId="4369" xr:uid="{B0E17878-146C-45A1-BC6A-18A3286C11BA}"/>
    <cellStyle name="CustomizationCells 3 20" xfId="8635" xr:uid="{F0D89606-5549-4AF0-8599-0C7A5FDBA8B7}"/>
    <cellStyle name="CustomizationCells 3 21" xfId="8729" xr:uid="{4D6C9EB7-1458-4EE0-92CC-EA8001AE3D0B}"/>
    <cellStyle name="CustomizationCells 3 22" xfId="9218" xr:uid="{CEB1BA98-8556-4B60-9829-ED317E972256}"/>
    <cellStyle name="CustomizationCells 3 23" xfId="9851" xr:uid="{18EBD831-E445-4F9E-8919-012A509541B9}"/>
    <cellStyle name="CustomizationCells 3 24" xfId="9338" xr:uid="{426F43F4-C511-40D9-91FB-0C5FCC6D4C27}"/>
    <cellStyle name="CustomizationCells 3 25" xfId="10797" xr:uid="{D1711C92-10A8-4A6F-B131-BE7822D0E8CB}"/>
    <cellStyle name="CustomizationCells 3 26" xfId="11311" xr:uid="{51E67DFA-CC23-4E02-91D0-BCDBAEBF2909}"/>
    <cellStyle name="CustomizationCells 3 27" xfId="11630" xr:uid="{A89D4D57-9370-483D-95A2-D7053B6A23C2}"/>
    <cellStyle name="CustomizationCells 3 28" xfId="11479" xr:uid="{EC2C661C-9509-4CB9-9FCF-55A08CB21A03}"/>
    <cellStyle name="CustomizationCells 3 29" xfId="11517" xr:uid="{DC42602E-4FE0-4CDA-89D6-587D46FEB24D}"/>
    <cellStyle name="CustomizationCells 3 3" xfId="640" xr:uid="{1E3C21A3-C638-4BF6-82DC-8F7F54F187BF}"/>
    <cellStyle name="CustomizationCells 3 3 10" xfId="2885" xr:uid="{9BDE82AE-9483-4C98-8127-B48551C84FA1}"/>
    <cellStyle name="CustomizationCells 3 3 11" xfId="5288" xr:uid="{5BEDB95A-E0E3-48F9-A12B-87E972CC7022}"/>
    <cellStyle name="CustomizationCells 3 3 12" xfId="5768" xr:uid="{E56357C7-4E0D-4397-A1EB-B8219EC669B6}"/>
    <cellStyle name="CustomizationCells 3 3 13" xfId="5727" xr:uid="{7A69AFDC-16B4-4E11-A6C4-9C46901417AE}"/>
    <cellStyle name="CustomizationCells 3 3 14" xfId="6463" xr:uid="{3C55AFC2-097F-4D9D-8583-39AD1EEEFFCE}"/>
    <cellStyle name="CustomizationCells 3 3 15" xfId="7360" xr:uid="{C915D8B7-F148-4C1E-AFFA-AE5DE67818B6}"/>
    <cellStyle name="CustomizationCells 3 3 16" xfId="7988" xr:uid="{6DB0B609-0785-451A-A10E-6ACFBDF92F31}"/>
    <cellStyle name="CustomizationCells 3 3 17" xfId="7652" xr:uid="{72E6FDAB-98EB-45DF-B414-E1E3E6AD9D0D}"/>
    <cellStyle name="CustomizationCells 3 3 18" xfId="8194" xr:uid="{382992D7-D8E1-426E-801F-843A731C2245}"/>
    <cellStyle name="CustomizationCells 3 3 19" xfId="9574" xr:uid="{8CCBFFB0-33BF-4E0D-B6F6-03FCCB954311}"/>
    <cellStyle name="CustomizationCells 3 3 2" xfId="855" xr:uid="{65789945-C564-47EC-B5AB-1CF095AC9F12}"/>
    <cellStyle name="CustomizationCells 3 3 2 10" xfId="5503" xr:uid="{C7574D9E-8CE2-42D4-9E3E-7D9C48C3FBEC}"/>
    <cellStyle name="CustomizationCells 3 3 2 11" xfId="4877" xr:uid="{7FE0D9EF-C1E9-4053-93AB-5D160CC02053}"/>
    <cellStyle name="CustomizationCells 3 3 2 12" xfId="6204" xr:uid="{F344E434-15B4-47D4-A8F5-8259B9E9CA47}"/>
    <cellStyle name="CustomizationCells 3 3 2 13" xfId="6612" xr:uid="{3A0BEE35-8A67-42B6-913C-A8D838BD0B4B}"/>
    <cellStyle name="CustomizationCells 3 3 2 14" xfId="7575" xr:uid="{5B4C3336-9EA1-4C51-92AC-5BCE16B800FF}"/>
    <cellStyle name="CustomizationCells 3 3 2 15" xfId="7086" xr:uid="{4F26F091-3CDB-4EA7-B17A-CD8320B890F0}"/>
    <cellStyle name="CustomizationCells 3 3 2 16" xfId="8428" xr:uid="{180F33D3-58BF-44F7-9CF6-83E1F8F7C47B}"/>
    <cellStyle name="CustomizationCells 3 3 2 17" xfId="8756" xr:uid="{26BB873E-9FCF-4548-A9BA-35B88BC5AE32}"/>
    <cellStyle name="CustomizationCells 3 3 2 18" xfId="9789" xr:uid="{B5F64FD4-12BE-41FB-9734-F921829E93FF}"/>
    <cellStyle name="CustomizationCells 3 3 2 19" xfId="9300" xr:uid="{B48118E2-93AC-4B87-8A45-F9CD6CFA765C}"/>
    <cellStyle name="CustomizationCells 3 3 2 2" xfId="1329" xr:uid="{FA0F35BC-3E47-4B9E-90CA-832926DE968E}"/>
    <cellStyle name="CustomizationCells 3 3 2 20" xfId="9969" xr:uid="{9D866C11-7FF1-4472-AD58-24840D920F1F}"/>
    <cellStyle name="CustomizationCells 3 3 2 21" xfId="10854" xr:uid="{31345B92-7143-4643-A398-D0588EE044D6}"/>
    <cellStyle name="CustomizationCells 3 3 2 22" xfId="10771" xr:uid="{32EB7AFC-B3C5-4D0F-96DF-0B2D93588964}"/>
    <cellStyle name="CustomizationCells 3 3 2 23" xfId="12208" xr:uid="{1DF593B1-8867-4394-A087-5348E9A60322}"/>
    <cellStyle name="CustomizationCells 3 3 2 24" xfId="12681" xr:uid="{87B797A8-4BD6-45BC-BF06-7820E1618C13}"/>
    <cellStyle name="CustomizationCells 3 3 2 25" xfId="13115" xr:uid="{7C34811A-CD90-4097-989F-A74E7B74E3B2}"/>
    <cellStyle name="CustomizationCells 3 3 2 26" xfId="13552" xr:uid="{11060A50-0C46-46CB-B2E3-5E368A5B4EB5}"/>
    <cellStyle name="CustomizationCells 3 3 2 27" xfId="13755" xr:uid="{0A737F19-CCE3-411D-B341-B0B0E1A8DF3D}"/>
    <cellStyle name="CustomizationCells 3 3 2 28" xfId="14471" xr:uid="{D369F71A-0940-4027-AED4-A60C665841A9}"/>
    <cellStyle name="CustomizationCells 3 3 2 29" xfId="14219" xr:uid="{D1FCCC4B-8999-405C-A83C-5DFF403FD9B1}"/>
    <cellStyle name="CustomizationCells 3 3 2 3" xfId="1778" xr:uid="{A231156E-7727-41E6-8EBA-040ACA831E9C}"/>
    <cellStyle name="CustomizationCells 3 3 2 30" xfId="14695" xr:uid="{C5ADD909-8236-4709-9322-196DAECA8E81}"/>
    <cellStyle name="CustomizationCells 3 3 2 31" xfId="15326" xr:uid="{7E95E673-01AE-4336-877B-8F6A1CBB13D1}"/>
    <cellStyle name="CustomizationCells 3 3 2 32" xfId="15234" xr:uid="{FF31CB18-4A0F-4A11-B5EF-97704D0B92C4}"/>
    <cellStyle name="CustomizationCells 3 3 2 33" xfId="16900" xr:uid="{5AC5FC46-EF58-4E68-BCCB-F76C60185027}"/>
    <cellStyle name="CustomizationCells 3 3 2 34" xfId="16408" xr:uid="{F5F69960-73B0-45C1-B1D9-0B67B4F03B66}"/>
    <cellStyle name="CustomizationCells 3 3 2 35" xfId="17085" xr:uid="{02D1277A-0CA3-4540-903A-DA88FBB18625}"/>
    <cellStyle name="CustomizationCells 3 3 2 36" xfId="18061" xr:uid="{A060D66C-EAFD-4B83-A491-C4650F3BA307}"/>
    <cellStyle name="CustomizationCells 3 3 2 37" xfId="18718" xr:uid="{5EFD4968-3EA2-41BF-BFE2-7D4FE96CCEEA}"/>
    <cellStyle name="CustomizationCells 3 3 2 38" xfId="17448" xr:uid="{F00B9521-AC71-489E-BF63-6065A1A73AF9}"/>
    <cellStyle name="CustomizationCells 3 3 2 39" xfId="19231" xr:uid="{62BC0D9D-1DF9-4F1D-8C01-C950233ECA23}"/>
    <cellStyle name="CustomizationCells 3 3 2 4" xfId="2677" xr:uid="{D7E4771C-B750-461B-AF71-33EA96668288}"/>
    <cellStyle name="CustomizationCells 3 3 2 40" xfId="20237" xr:uid="{3324E61D-EDB5-44B4-9765-6EFADF4D786B}"/>
    <cellStyle name="CustomizationCells 3 3 2 41" xfId="19743" xr:uid="{767E198E-36E9-4DDE-A06E-0AF05A5BC9AC}"/>
    <cellStyle name="CustomizationCells 3 3 2 42" xfId="20370" xr:uid="{6355A9E5-B5DF-4BFD-AD69-F0C968AB5541}"/>
    <cellStyle name="CustomizationCells 3 3 2 43" xfId="21575" xr:uid="{5B012490-AF9F-4542-B3F3-9EB58FABA36C}"/>
    <cellStyle name="CustomizationCells 3 3 2 44" xfId="20796" xr:uid="{0D61596A-27CE-4D2E-989B-34D081E44FF9}"/>
    <cellStyle name="CustomizationCells 3 3 2 45" xfId="20611" xr:uid="{F525171A-0B1C-4E99-9B6A-B978A3ACFD8E}"/>
    <cellStyle name="CustomizationCells 3 3 2 46" xfId="22750" xr:uid="{B9D74AF2-7348-4B11-9C6C-14C06888DFE7}"/>
    <cellStyle name="CustomizationCells 3 3 2 47" xfId="22855" xr:uid="{4EF710A4-5A0D-4D0C-85AE-0FAA2519E53C}"/>
    <cellStyle name="CustomizationCells 3 3 2 48" xfId="23609" xr:uid="{D0BA94C0-AFDF-4DEA-9E47-AA6C62D26809}"/>
    <cellStyle name="CustomizationCells 3 3 2 49" xfId="24037" xr:uid="{4F0D135E-6E24-452D-B7EB-6F92804E7D04}"/>
    <cellStyle name="CustomizationCells 3 3 2 5" xfId="2921" xr:uid="{0F26EF0C-0477-4F65-B16D-7B8D68F4C436}"/>
    <cellStyle name="CustomizationCells 3 3 2 50" xfId="24945" xr:uid="{D26A9CF1-E86E-450E-81FC-324369461860}"/>
    <cellStyle name="CustomizationCells 3 3 2 51" xfId="24571" xr:uid="{598BCAE3-5DF8-4CE1-AFBD-52922F5C51CD}"/>
    <cellStyle name="CustomizationCells 3 3 2 52" xfId="25861" xr:uid="{521EDA6E-D04B-443C-88A8-B40240B65EDA}"/>
    <cellStyle name="CustomizationCells 3 3 2 53" xfId="25990" xr:uid="{D208BB0F-FD40-40DC-9B43-64B12F6E4F48}"/>
    <cellStyle name="CustomizationCells 3 3 2 54" xfId="26728" xr:uid="{1C595A62-C0D6-4C40-9702-3876D77C05DA}"/>
    <cellStyle name="CustomizationCells 3 3 2 55" xfId="27149" xr:uid="{E6C3F39F-5CBA-40EA-9AC8-B2C0AE4B6766}"/>
    <cellStyle name="CustomizationCells 3 3 2 56" xfId="27568" xr:uid="{7341F549-8546-4008-8674-81D0FC267CE4}"/>
    <cellStyle name="CustomizationCells 3 3 2 57" xfId="27215" xr:uid="{45AC3C3D-9F18-4292-8243-1D37F68E6530}"/>
    <cellStyle name="CustomizationCells 3 3 2 58" xfId="28695" xr:uid="{E6E6B608-3FAC-4DFD-AA3E-2A86BC420D8A}"/>
    <cellStyle name="CustomizationCells 3 3 2 59" xfId="29162" xr:uid="{9577250D-3EA0-4C95-81CB-5BF503573DF5}"/>
    <cellStyle name="CustomizationCells 3 3 2 6" xfId="2139" xr:uid="{E4E1D889-0C6F-4BA1-86CF-1B520BA8AA7C}"/>
    <cellStyle name="CustomizationCells 3 3 2 60" xfId="28802" xr:uid="{69C00370-39D9-4E05-B289-5554623C197F}"/>
    <cellStyle name="CustomizationCells 3 3 2 61" xfId="29951" xr:uid="{3B041AC8-7965-436D-A042-B7375A54725C}"/>
    <cellStyle name="CustomizationCells 3 3 2 62" xfId="30357" xr:uid="{C5BBBADB-E04B-4652-B9B1-75C877DCFDFD}"/>
    <cellStyle name="CustomizationCells 3 3 2 63" xfId="30774" xr:uid="{1674BBE2-FFCE-49A0-9339-64317CA6EDC0}"/>
    <cellStyle name="CustomizationCells 3 3 2 64" xfId="29332" xr:uid="{7BA83085-D65A-483B-873B-7B9748991D6B}"/>
    <cellStyle name="CustomizationCells 3 3 2 65" xfId="31390" xr:uid="{30015A3C-D4D9-4E1A-A65B-4CFBE8474366}"/>
    <cellStyle name="CustomizationCells 3 3 2 7" xfId="4173" xr:uid="{06D733C6-FD3C-4837-AB9B-3DEF75544CF1}"/>
    <cellStyle name="CustomizationCells 3 3 2 8" xfId="4610" xr:uid="{2C047390-4C36-41D5-BB48-ECD9AED699CD}"/>
    <cellStyle name="CustomizationCells 3 3 2 9" xfId="5056" xr:uid="{A49A6D6F-0FDB-456C-83C0-37EC63E0865E}"/>
    <cellStyle name="CustomizationCells 3 3 20" xfId="10204" xr:uid="{D8C53196-D56E-4925-90E9-57BD25A67701}"/>
    <cellStyle name="CustomizationCells 3 3 21" xfId="10608" xr:uid="{35CE2458-B858-4887-9D35-2A2896FFA58B}"/>
    <cellStyle name="CustomizationCells 3 3 22" xfId="10191" xr:uid="{A31BAB2E-F966-4C83-9DD0-CBFF441E2FEF}"/>
    <cellStyle name="CustomizationCells 3 3 23" xfId="11218" xr:uid="{0EBCE989-ADB8-4EE1-8935-6B24EFB95B7F}"/>
    <cellStyle name="CustomizationCells 3 3 24" xfId="11993" xr:uid="{6595BFBA-9643-468D-A54D-63F5A5A7624F}"/>
    <cellStyle name="CustomizationCells 3 3 25" xfId="12466" xr:uid="{415DEDCA-A81F-4209-ABF2-B26561BB56B4}"/>
    <cellStyle name="CustomizationCells 3 3 26" xfId="12900" xr:uid="{C1671AEC-9D0E-4552-8D8F-44C7BD3A14A1}"/>
    <cellStyle name="CustomizationCells 3 3 27" xfId="13337" xr:uid="{BB629A75-9077-4195-B69D-D15D8D6A690D}"/>
    <cellStyle name="CustomizationCells 3 3 28" xfId="11524" xr:uid="{55FAA695-9363-4927-8E7D-C6ACC5BCF3F8}"/>
    <cellStyle name="CustomizationCells 3 3 29" xfId="13604" xr:uid="{F841A69F-6B5A-4AF8-93D3-C5C1DC0016FF}"/>
    <cellStyle name="CustomizationCells 3 3 3" xfId="1123" xr:uid="{57DDA8D3-3057-461A-8D47-5AF576475652}"/>
    <cellStyle name="CustomizationCells 3 3 30" xfId="14154" xr:uid="{CFA9AF5D-A74F-4400-8015-3C350E3B7476}"/>
    <cellStyle name="CustomizationCells 3 3 31" xfId="14968" xr:uid="{78B8042F-149E-478B-B619-AB00AF7EC856}"/>
    <cellStyle name="CustomizationCells 3 3 32" xfId="15588" xr:uid="{CFEB2AB3-B67A-4704-8C00-E3016D310BE5}"/>
    <cellStyle name="CustomizationCells 3 3 33" xfId="15967" xr:uid="{9EC623A7-06A7-4CDF-BC31-FE8FC1613F21}"/>
    <cellStyle name="CustomizationCells 3 3 34" xfId="16685" xr:uid="{8926D54D-2169-4E5D-A666-64F6A99275E4}"/>
    <cellStyle name="CustomizationCells 3 3 35" xfId="17325" xr:uid="{2BE035A6-2038-47FF-B76D-BB26FADEADF1}"/>
    <cellStyle name="CustomizationCells 3 3 36" xfId="17768" xr:uid="{23BEA725-05DD-4333-9749-AB58D812C63C}"/>
    <cellStyle name="CustomizationCells 3 3 37" xfId="17050" xr:uid="{F306B8DD-A334-4753-8EB1-4A0225A20C20}"/>
    <cellStyle name="CustomizationCells 3 3 38" xfId="18503" xr:uid="{D3B24E03-0198-4D95-AADC-6799FA6179D7}"/>
    <cellStyle name="CustomizationCells 3 3 39" xfId="18234" xr:uid="{C68E0819-254B-4663-9498-8DE8C9838A44}"/>
    <cellStyle name="CustomizationCells 3 3 4" xfId="1689" xr:uid="{FED1209F-6250-4B0B-9105-4BB2586FB06D}"/>
    <cellStyle name="CustomizationCells 3 3 40" xfId="19062" xr:uid="{F25376DF-8444-4C0C-B52D-F4FCAD832C3B}"/>
    <cellStyle name="CustomizationCells 3 3 41" xfId="20022" xr:uid="{3FE751AB-0302-49B3-BE7A-DAD53D3028EB}"/>
    <cellStyle name="CustomizationCells 3 3 42" xfId="20676" xr:uid="{B819B0DD-D9AA-4832-B07F-F94FEC013B6D}"/>
    <cellStyle name="CustomizationCells 3 3 43" xfId="21132" xr:uid="{6D3F4D54-45A0-47FF-B703-27704591868F}"/>
    <cellStyle name="CustomizationCells 3 3 44" xfId="21165" xr:uid="{19E59189-5682-4250-AFE5-49ED6113422D}"/>
    <cellStyle name="CustomizationCells 3 3 45" xfId="22064" xr:uid="{3F9A290D-83E5-459C-B863-D4E47AB73453}"/>
    <cellStyle name="CustomizationCells 3 3 46" xfId="22492" xr:uid="{CB62185D-DEC3-4924-9AA9-482B2CBC3A36}"/>
    <cellStyle name="CustomizationCells 3 3 47" xfId="21689" xr:uid="{A462064F-E9BE-4691-86BA-97C9A19976B9}"/>
    <cellStyle name="CustomizationCells 3 3 48" xfId="22948" xr:uid="{7DD0D94E-6275-4407-AC38-8A1DACAB0BBB}"/>
    <cellStyle name="CustomizationCells 3 3 49" xfId="22301" xr:uid="{33125025-F1DB-498B-ABD3-266A3E7FD9DF}"/>
    <cellStyle name="CustomizationCells 3 3 5" xfId="2462" xr:uid="{7391C4D4-8BCD-4D2A-8F2E-77EA552BDBDF}"/>
    <cellStyle name="CustomizationCells 3 3 50" xfId="23831" xr:uid="{034F7376-342C-4F64-B679-29BDB65BBEB3}"/>
    <cellStyle name="CustomizationCells 3 3 51" xfId="24730" xr:uid="{4CE36B66-8F8A-484A-9927-30DD44BBEBB6}"/>
    <cellStyle name="CustomizationCells 3 3 52" xfId="25379" xr:uid="{59FB9824-A328-451C-A466-C1A8A66D0CBA}"/>
    <cellStyle name="CustomizationCells 3 3 53" xfId="25648" xr:uid="{E9CA5175-ECFC-4423-9C2C-5D1499D1D9C5}"/>
    <cellStyle name="CustomizationCells 3 3 54" xfId="24360" xr:uid="{F0B5D830-D773-45DC-AFB3-E53F566F5FB1}"/>
    <cellStyle name="CustomizationCells 3 3 55" xfId="24433" xr:uid="{4451145E-B139-460C-9EBC-89364E7E296D}"/>
    <cellStyle name="CustomizationCells 3 3 56" xfId="26938" xr:uid="{F0DEAB67-4A44-4F48-BF1C-9D7167DA5D08}"/>
    <cellStyle name="CustomizationCells 3 3 57" xfId="27357" xr:uid="{BB885C41-678B-414B-86EA-EAE68F964629}"/>
    <cellStyle name="CustomizationCells 3 3 58" xfId="27729" xr:uid="{9C4F0516-9EAD-4257-87E3-45A4699B469E}"/>
    <cellStyle name="CustomizationCells 3 3 59" xfId="28480" xr:uid="{B80F9F8B-A224-4AC9-8BFB-29AC15A38B55}"/>
    <cellStyle name="CustomizationCells 3 3 6" xfId="2048" xr:uid="{AC7EDC02-39C6-4FC1-94DD-0F63947952A6}"/>
    <cellStyle name="CustomizationCells 3 3 60" xfId="28948" xr:uid="{37798A89-E1DA-4B38-8DD7-035F761CF2A1}"/>
    <cellStyle name="CustomizationCells 3 3 61" xfId="29501" xr:uid="{EB4D061B-D3B5-4A12-AC01-EA9E7AC79668}"/>
    <cellStyle name="CustomizationCells 3 3 62" xfId="29738" xr:uid="{4F44248A-8D3F-4484-9C97-DC0BA42C5CA4}"/>
    <cellStyle name="CustomizationCells 3 3 63" xfId="30146" xr:uid="{9F6C1A2E-7D34-4517-9073-2613A9A6B3A9}"/>
    <cellStyle name="CustomizationCells 3 3 64" xfId="30560" xr:uid="{23DABEA3-5DCE-463E-A704-895D4DE44559}"/>
    <cellStyle name="CustomizationCells 3 3 65" xfId="28339" xr:uid="{97C3E227-7807-49F0-9EA8-9E6AE1A5E88C}"/>
    <cellStyle name="CustomizationCells 3 3 66" xfId="31184" xr:uid="{FD30F047-1F9E-40F6-B5BF-BF0C9B761CE6}"/>
    <cellStyle name="CustomizationCells 3 3 7" xfId="2319" xr:uid="{69EB41CC-8B33-4345-A5D9-287A9EFE0E93}"/>
    <cellStyle name="CustomizationCells 3 3 8" xfId="3958" xr:uid="{EE855558-0944-4B96-9B88-E8716EB06BC0}"/>
    <cellStyle name="CustomizationCells 3 3 9" xfId="4396" xr:uid="{F6A14BA7-7BB1-4D6C-B96A-C4B228C7F062}"/>
    <cellStyle name="CustomizationCells 3 30" xfId="11586" xr:uid="{3DFB93B9-DD74-4F1D-A0F6-42B7D7CC861D}"/>
    <cellStyle name="CustomizationCells 3 31" xfId="13650" xr:uid="{0B35A6B6-7869-4D7E-A4E6-E49F66AC347E}"/>
    <cellStyle name="CustomizationCells 3 32" xfId="13718" xr:uid="{F8DB0A67-5ACA-4ADB-BC1C-4A45A93CD2E1}"/>
    <cellStyle name="CustomizationCells 3 33" xfId="13367" xr:uid="{5A3A01EA-0187-40B6-8E89-183D3C8FD607}"/>
    <cellStyle name="CustomizationCells 3 34" xfId="14873" xr:uid="{90797766-A8CC-48A2-B522-91DF849083B9}"/>
    <cellStyle name="CustomizationCells 3 35" xfId="15101" xr:uid="{9603F25D-0573-4F4A-98DE-7FC7C9CA6DF4}"/>
    <cellStyle name="CustomizationCells 3 36" xfId="15209" xr:uid="{B982297E-4008-4EE4-A7AB-DF7B1873B861}"/>
    <cellStyle name="CustomizationCells 3 37" xfId="16325" xr:uid="{7EC3F07C-2C2C-40DA-99C8-411FDB1DAF65}"/>
    <cellStyle name="CustomizationCells 3 38" xfId="16967" xr:uid="{9BA91523-E9BB-4F4E-AA99-AB0B4A1623F7}"/>
    <cellStyle name="CustomizationCells 3 39" xfId="17418" xr:uid="{4E16CAC2-03A8-4DB0-AE64-C882E9CC166A}"/>
    <cellStyle name="CustomizationCells 3 4" xfId="560" xr:uid="{91D562E2-5125-428C-926B-E30244BC208A}"/>
    <cellStyle name="CustomizationCells 3 4 10" xfId="4012" xr:uid="{D9A468ED-31FE-409E-825A-8F44B0EA15EF}"/>
    <cellStyle name="CustomizationCells 3 4 11" xfId="5208" xr:uid="{4F61281F-20A5-4160-8C8B-0233675CAFC1}"/>
    <cellStyle name="CustomizationCells 3 4 12" xfId="5677" xr:uid="{7CDFADF1-936B-4EB8-9E80-D57A04287DD7}"/>
    <cellStyle name="CustomizationCells 3 4 13" xfId="5828" xr:uid="{4DB85FE7-38EF-4B21-9F37-E5338CF13418}"/>
    <cellStyle name="CustomizationCells 3 4 14" xfId="6184" xr:uid="{CC4E8AAC-751E-4F82-B962-D6C82982051A}"/>
    <cellStyle name="CustomizationCells 3 4 15" xfId="7280" xr:uid="{FBE068BE-1D48-4CB8-BB1A-5C55785F6B57}"/>
    <cellStyle name="CustomizationCells 3 4 16" xfId="7999" xr:uid="{2EA464DE-D136-4DFF-9C9E-BAE3CAD2034A}"/>
    <cellStyle name="CustomizationCells 3 4 17" xfId="8373" xr:uid="{7F3F6DA9-2CD6-44AF-9C3B-073296A7C681}"/>
    <cellStyle name="CustomizationCells 3 4 18" xfId="8787" xr:uid="{6E2BE22A-859A-4C1F-A8E3-564DD15FBB08}"/>
    <cellStyle name="CustomizationCells 3 4 19" xfId="9494" xr:uid="{CDC953C6-A4D1-4DF3-B6F8-AFC82C938E76}"/>
    <cellStyle name="CustomizationCells 3 4 2" xfId="775" xr:uid="{5B462857-72CE-4A6C-8722-0720E4C213AD}"/>
    <cellStyle name="CustomizationCells 3 4 2 10" xfId="5423" xr:uid="{9FAD9E6D-3200-473D-A2DE-2A139D530556}"/>
    <cellStyle name="CustomizationCells 3 4 2 11" xfId="5601" xr:uid="{4AC744E0-D9BC-4132-B105-A4DA13DF251A}"/>
    <cellStyle name="CustomizationCells 3 4 2 12" xfId="5728" xr:uid="{5D12C024-F787-4FD4-8CCD-B4F1EF9ECD83}"/>
    <cellStyle name="CustomizationCells 3 4 2 13" xfId="6084" xr:uid="{59CB72A7-EB5E-4A7B-822C-E97397560E4E}"/>
    <cellStyle name="CustomizationCells 3 4 2 14" xfId="7495" xr:uid="{9ED000B8-4994-4030-B8CE-CA715D4DF587}"/>
    <cellStyle name="CustomizationCells 3 4 2 15" xfId="6732" xr:uid="{40432F41-9377-4B8F-97C7-857C815E3EE3}"/>
    <cellStyle name="CustomizationCells 3 4 2 16" xfId="8378" xr:uid="{3378A0D0-54CC-4E3A-98F3-88474B414ACD}"/>
    <cellStyle name="CustomizationCells 3 4 2 17" xfId="8874" xr:uid="{BBFF2361-F5FF-4E83-928A-42A7182E895A}"/>
    <cellStyle name="CustomizationCells 3 4 2 18" xfId="9709" xr:uid="{8990987E-D25A-4667-B40F-C4C0541917CE}"/>
    <cellStyle name="CustomizationCells 3 4 2 19" xfId="8945" xr:uid="{06137C4B-FDE1-44C4-9BAD-6D88CD46198D}"/>
    <cellStyle name="CustomizationCells 3 4 2 2" xfId="1249" xr:uid="{860CF881-19E1-41F5-B254-84BF4A260FA9}"/>
    <cellStyle name="CustomizationCells 3 4 2 20" xfId="9149" xr:uid="{D9A7EDEF-C594-4B73-BD17-BDA76FAA559A}"/>
    <cellStyle name="CustomizationCells 3 4 2 21" xfId="10580" xr:uid="{5628CE0C-F93A-43CF-8AF8-6E27CC25E865}"/>
    <cellStyle name="CustomizationCells 3 4 2 22" xfId="10841" xr:uid="{2D8CEFDC-64A0-4B18-A0E0-8069F2B6546A}"/>
    <cellStyle name="CustomizationCells 3 4 2 23" xfId="12128" xr:uid="{3C65AEFD-E4B8-4BB2-9C16-AA5FB01C86AA}"/>
    <cellStyle name="CustomizationCells 3 4 2 24" xfId="12601" xr:uid="{853BF1B3-038A-4EA3-A791-52F26B8E4F56}"/>
    <cellStyle name="CustomizationCells 3 4 2 25" xfId="13035" xr:uid="{6448E90D-10BC-4E42-875F-249F6DCE8549}"/>
    <cellStyle name="CustomizationCells 3 4 2 26" xfId="13472" xr:uid="{183A7035-871D-419F-A93F-B79F3D29C575}"/>
    <cellStyle name="CustomizationCells 3 4 2 27" xfId="12751" xr:uid="{CF132BBB-5854-47C6-87E1-1BEE02FEB9E0}"/>
    <cellStyle name="CustomizationCells 3 4 2 28" xfId="12767" xr:uid="{4BAC02AA-6544-462A-8961-14A644A0F822}"/>
    <cellStyle name="CustomizationCells 3 4 2 29" xfId="14134" xr:uid="{9A98FD06-5853-4315-96C6-A9C0919A8905}"/>
    <cellStyle name="CustomizationCells 3 4 2 3" xfId="1429" xr:uid="{DB82E4D9-9340-4BE2-BF9D-FA454EC13C57}"/>
    <cellStyle name="CustomizationCells 3 4 2 30" xfId="15182" xr:uid="{12890769-2891-4568-A451-E66E5CDEE970}"/>
    <cellStyle name="CustomizationCells 3 4 2 31" xfId="15371" xr:uid="{AA4D6D5B-DEA9-4FEB-9806-4B33F4C622D9}"/>
    <cellStyle name="CustomizationCells 3 4 2 32" xfId="11599" xr:uid="{0EF1BFBB-3493-4CAB-9FF6-8D19F90646BE}"/>
    <cellStyle name="CustomizationCells 3 4 2 33" xfId="16820" xr:uid="{7820E8A7-C05B-44BF-81E2-B610013FE2BA}"/>
    <cellStyle name="CustomizationCells 3 4 2 34" xfId="16040" xr:uid="{649D3B9F-6E1F-43D6-8809-3032C4F20C60}"/>
    <cellStyle name="CustomizationCells 3 4 2 35" xfId="16134" xr:uid="{CC9DAC18-01C7-4199-96FB-1C565F60F98A}"/>
    <cellStyle name="CustomizationCells 3 4 2 36" xfId="17520" xr:uid="{CE3D35DF-D8D7-4BA1-B386-EBF4333F940A}"/>
    <cellStyle name="CustomizationCells 3 4 2 37" xfId="18638" xr:uid="{7C335BB1-2881-4EDE-A597-A6D023612552}"/>
    <cellStyle name="CustomizationCells 3 4 2 38" xfId="18977" xr:uid="{F35B099D-2225-426B-9294-5D447713C296}"/>
    <cellStyle name="CustomizationCells 3 4 2 39" xfId="17314" xr:uid="{C5C4E009-13B8-419D-9ADA-0AC8B37A4FB2}"/>
    <cellStyle name="CustomizationCells 3 4 2 4" xfId="2597" xr:uid="{FE34D14D-73D3-47D4-9D42-278B0C35BC8E}"/>
    <cellStyle name="CustomizationCells 3 4 2 40" xfId="20157" xr:uid="{36BF6E51-6D2C-4A36-9111-13B1CA3CE847}"/>
    <cellStyle name="CustomizationCells 3 4 2 41" xfId="19373" xr:uid="{87C513D6-3297-462D-A3D0-73B8F1ED36E2}"/>
    <cellStyle name="CustomizationCells 3 4 2 42" xfId="19416" xr:uid="{C89FA551-0867-47CE-AE08-99E5441E4ACE}"/>
    <cellStyle name="CustomizationCells 3 4 2 43" xfId="21473" xr:uid="{92DA6DC6-89D6-4667-9F1E-B4B7952DDB48}"/>
    <cellStyle name="CustomizationCells 3 4 2 44" xfId="21688" xr:uid="{A7CE419D-56FC-4768-BF4A-5C535E9F309D}"/>
    <cellStyle name="CustomizationCells 3 4 2 45" xfId="22127" xr:uid="{F3B8EF0B-ED1B-4BD4-BC78-464BCF8AFB33}"/>
    <cellStyle name="CustomizationCells 3 4 2 46" xfId="21420" xr:uid="{73D7DD78-45AF-4464-80EC-FB24B0CF6056}"/>
    <cellStyle name="CustomizationCells 3 4 2 47" xfId="23264" xr:uid="{AE8959CC-6A60-4DA1-B599-565C73BF2D5F}"/>
    <cellStyle name="CustomizationCells 3 4 2 48" xfId="23260" xr:uid="{64A8C2BF-6ECE-4362-A57C-734AD317BCDF}"/>
    <cellStyle name="CustomizationCells 3 4 2 49" xfId="23957" xr:uid="{3909D36E-7878-4D5A-B12C-23EC8EF61B7B}"/>
    <cellStyle name="CustomizationCells 3 4 2 5" xfId="2039" xr:uid="{465C8BB2-6AC3-434B-9A82-5EF2A465A3F6}"/>
    <cellStyle name="CustomizationCells 3 4 2 50" xfId="24865" xr:uid="{772F07A5-B9B8-4948-B8E1-9675D4C626FD}"/>
    <cellStyle name="CustomizationCells 3 4 2 51" xfId="24334" xr:uid="{4662EF5D-DDC1-4966-8C21-D6BD97DCF8D6}"/>
    <cellStyle name="CustomizationCells 3 4 2 52" xfId="25781" xr:uid="{F3A136FD-3EB2-4A21-85A2-55985E20D051}"/>
    <cellStyle name="CustomizationCells 3 4 2 53" xfId="25924" xr:uid="{0A2E8BE2-D005-4B0F-A1E1-F054A2721B08}"/>
    <cellStyle name="CustomizationCells 3 4 2 54" xfId="26416" xr:uid="{F61FD7D5-6862-4CDF-9629-8C10D37536CF}"/>
    <cellStyle name="CustomizationCells 3 4 2 55" xfId="27069" xr:uid="{9D71B0AD-E995-4321-82A7-3502983F4351}"/>
    <cellStyle name="CustomizationCells 3 4 2 56" xfId="27488" xr:uid="{57A96B9E-ACD1-4F24-875A-727ED2B5F183}"/>
    <cellStyle name="CustomizationCells 3 4 2 57" xfId="26613" xr:uid="{1A800B49-44E5-44BA-A4AD-552B7E18F1AC}"/>
    <cellStyle name="CustomizationCells 3 4 2 58" xfId="28615" xr:uid="{61B71245-710A-4022-B34B-E2792950CCD5}"/>
    <cellStyle name="CustomizationCells 3 4 2 59" xfId="29082" xr:uid="{05839C1D-7F87-4FF0-9A69-8D3CCEC3A254}"/>
    <cellStyle name="CustomizationCells 3 4 2 6" xfId="3571" xr:uid="{07F3B64E-A646-4A38-BA20-2815EEA3AD6F}"/>
    <cellStyle name="CustomizationCells 3 4 2 60" xfId="28175" xr:uid="{3404C6F1-8F0B-44EE-BA60-08AB6D7EEEBA}"/>
    <cellStyle name="CustomizationCells 3 4 2 61" xfId="29871" xr:uid="{362037E5-E0A9-4DC6-8CD5-87B15C86E7E6}"/>
    <cellStyle name="CustomizationCells 3 4 2 62" xfId="30277" xr:uid="{4950DF9B-D624-4B96-81D0-C483B4959EC0}"/>
    <cellStyle name="CustomizationCells 3 4 2 63" xfId="30694" xr:uid="{8C7513AF-B702-4F8C-A222-CAB40C9506EF}"/>
    <cellStyle name="CustomizationCells 3 4 2 64" xfId="29555" xr:uid="{B470639F-ADAE-4C2A-BDEF-476E1221654A}"/>
    <cellStyle name="CustomizationCells 3 4 2 65" xfId="31310" xr:uid="{460F54B1-47AD-4B6A-898C-9D8D5C035F80}"/>
    <cellStyle name="CustomizationCells 3 4 2 7" xfId="4093" xr:uid="{686E9454-65BA-4EDA-8302-1593D5CFDF51}"/>
    <cellStyle name="CustomizationCells 3 4 2 8" xfId="4530" xr:uid="{53951FB5-2E78-4B7A-A5E3-3D77E37FA4FA}"/>
    <cellStyle name="CustomizationCells 3 4 2 9" xfId="3133" xr:uid="{43C0B525-8F86-477A-8655-43A78FACB6C4}"/>
    <cellStyle name="CustomizationCells 3 4 20" xfId="10216" xr:uid="{64AD971C-FC16-404C-A24F-CE27E0B78EA5}"/>
    <cellStyle name="CustomizationCells 3 4 21" xfId="10618" xr:uid="{FA5BD6F0-871D-4445-869D-D511FB7B075D}"/>
    <cellStyle name="CustomizationCells 3 4 22" xfId="10738" xr:uid="{5EDC5F76-CB15-4A11-AAFC-5477460E8A95}"/>
    <cellStyle name="CustomizationCells 3 4 23" xfId="11187" xr:uid="{A11DDEC5-0419-48A4-B2DC-20610375525D}"/>
    <cellStyle name="CustomizationCells 3 4 24" xfId="11913" xr:uid="{17E81043-58C6-40EC-919A-84889499CF01}"/>
    <cellStyle name="CustomizationCells 3 4 25" xfId="12386" xr:uid="{CC52F7E4-3F1D-4A42-B9C6-8C3C9F5BA95C}"/>
    <cellStyle name="CustomizationCells 3 4 26" xfId="12820" xr:uid="{CBFDA444-C021-420C-B9E2-36C79229482D}"/>
    <cellStyle name="CustomizationCells 3 4 27" xfId="13257" xr:uid="{08E8BDC3-74E6-4F67-BBE6-3C4EEC2FEBC6}"/>
    <cellStyle name="CustomizationCells 3 4 28" xfId="13765" xr:uid="{8D4C686D-093B-4C51-B883-F5D1C472C9F7}"/>
    <cellStyle name="CustomizationCells 3 4 29" xfId="13601" xr:uid="{F4D33F8F-CD70-46E5-8B76-E6C080191728}"/>
    <cellStyle name="CustomizationCells 3 4 3" xfId="1043" xr:uid="{1AC51C54-A3FF-4F58-A3D5-BCC632F19EE5}"/>
    <cellStyle name="CustomizationCells 3 4 30" xfId="14165" xr:uid="{F5D7661E-BDC4-4799-AE28-38D7D12FDBBC}"/>
    <cellStyle name="CustomizationCells 3 4 31" xfId="15085" xr:uid="{54B65F7D-165C-4137-8386-A02273D5B9E6}"/>
    <cellStyle name="CustomizationCells 3 4 32" xfId="15412" xr:uid="{168A9C1D-EA8F-4FE8-BBB4-F7BE158D0A62}"/>
    <cellStyle name="CustomizationCells 3 4 33" xfId="15973" xr:uid="{EB2C6E6B-8396-48FB-9158-44B9139ED5E2}"/>
    <cellStyle name="CustomizationCells 3 4 34" xfId="16605" xr:uid="{FF05D491-48E9-4AEF-A590-D3591EAC6482}"/>
    <cellStyle name="CustomizationCells 3 4 35" xfId="17338" xr:uid="{B0B6CD21-79E7-4DE7-A4C9-765E43351016}"/>
    <cellStyle name="CustomizationCells 3 4 36" xfId="17781" xr:uid="{E4EE7EC8-93FD-47F5-84EF-1CE0A9E00141}"/>
    <cellStyle name="CustomizationCells 3 4 37" xfId="17925" xr:uid="{266E4575-79BA-4071-9E29-90D44165C122}"/>
    <cellStyle name="CustomizationCells 3 4 38" xfId="18423" xr:uid="{6FFC0B49-E44B-4DCC-846A-1789A1AAF2EF}"/>
    <cellStyle name="CustomizationCells 3 4 39" xfId="18144" xr:uid="{71D80971-30B2-48AC-9D9C-136EBFE9397E}"/>
    <cellStyle name="CustomizationCells 3 4 4" xfId="1526" xr:uid="{9F771F35-8C7D-423B-9C79-570847791553}"/>
    <cellStyle name="CustomizationCells 3 4 40" xfId="18957" xr:uid="{9C47E58B-4DDB-4A96-9856-23405D661B42}"/>
    <cellStyle name="CustomizationCells 3 4 41" xfId="19942" xr:uid="{AC5D6370-A5E6-4D6C-A25E-AE34E8796D46}"/>
    <cellStyle name="CustomizationCells 3 4 42" xfId="20689" xr:uid="{9E01B9F0-CA7F-4419-A3B4-20DF0A1B7317}"/>
    <cellStyle name="CustomizationCells 3 4 43" xfId="21145" xr:uid="{56C651FB-6D61-4B38-B0F2-105F977D51C3}"/>
    <cellStyle name="CustomizationCells 3 4 44" xfId="21576" xr:uid="{DA50A5AB-1FE9-4EDB-847F-6DE4601BE62C}"/>
    <cellStyle name="CustomizationCells 3 4 45" xfId="22077" xr:uid="{568FDB7E-AE7A-4A09-B85B-87464CC28250}"/>
    <cellStyle name="CustomizationCells 3 4 46" xfId="22504" xr:uid="{C186E1BF-CBF6-4A16-A13C-34F83E81D201}"/>
    <cellStyle name="CustomizationCells 3 4 47" xfId="22759" xr:uid="{1F63AFAE-0D36-4F60-9AB3-0054BE8E1538}"/>
    <cellStyle name="CustomizationCells 3 4 48" xfId="22868" xr:uid="{FCA7DF92-5580-4D54-A45C-2A60C25832D5}"/>
    <cellStyle name="CustomizationCells 3 4 49" xfId="23246" xr:uid="{1858D7B9-B382-457B-B591-5C59E25D6134}"/>
    <cellStyle name="CustomizationCells 3 4 5" xfId="2382" xr:uid="{687C0E85-0AF2-4A4E-BC3C-40D498F78625}"/>
    <cellStyle name="CustomizationCells 3 4 50" xfId="23751" xr:uid="{00BE0C12-55A4-45B0-A74D-6ED00BA14C9B}"/>
    <cellStyle name="CustomizationCells 3 4 51" xfId="24650" xr:uid="{2266AE0B-3EFF-47DB-BA07-478A44BCA232}"/>
    <cellStyle name="CustomizationCells 3 4 52" xfId="25391" xr:uid="{6F7C8DAA-5FF8-4BEC-AAED-36E385A3870E}"/>
    <cellStyle name="CustomizationCells 3 4 53" xfId="25568" xr:uid="{A06FA2F7-99D0-4D30-A6D3-6EA42E29E561}"/>
    <cellStyle name="CustomizationCells 3 4 54" xfId="26064" xr:uid="{6670EDC1-D0B3-4CE4-AEF4-59FF08729582}"/>
    <cellStyle name="CustomizationCells 3 4 55" xfId="26572" xr:uid="{3E977586-7C93-4E61-8C81-8F3C3016C6CE}"/>
    <cellStyle name="CustomizationCells 3 4 56" xfId="26858" xr:uid="{EC5471A1-EEB8-497A-8264-51099FEE0E7C}"/>
    <cellStyle name="CustomizationCells 3 4 57" xfId="27277" xr:uid="{72E6C56D-7A44-4B7F-935A-55054A4267F9}"/>
    <cellStyle name="CustomizationCells 3 4 58" xfId="27704" xr:uid="{F433078D-B366-452F-94B2-92FAA7F6C013}"/>
    <cellStyle name="CustomizationCells 3 4 59" xfId="28400" xr:uid="{4C9CD117-99A6-467D-A4E6-CFBB9C9FF0E1}"/>
    <cellStyle name="CustomizationCells 3 4 6" xfId="2932" xr:uid="{6F31DDBF-415C-4D06-B094-3EC503B4FF80}"/>
    <cellStyle name="CustomizationCells 3 4 60" xfId="28868" xr:uid="{B5A7D3D7-EC20-4C69-A1D0-5860B5DB2808}"/>
    <cellStyle name="CustomizationCells 3 4 61" xfId="29510" xr:uid="{877B4F87-FB5E-489F-B1B6-A77BC58195DD}"/>
    <cellStyle name="CustomizationCells 3 4 62" xfId="29658" xr:uid="{3174752D-4C81-4390-8621-C5508FCFBA1B}"/>
    <cellStyle name="CustomizationCells 3 4 63" xfId="30066" xr:uid="{A4AE0DF3-D79B-444B-AA7E-054206D77DAF}"/>
    <cellStyle name="CustomizationCells 3 4 64" xfId="30480" xr:uid="{C57E2A3B-8BDC-4A7C-A824-2EFB0138484E}"/>
    <cellStyle name="CustomizationCells 3 4 65" xfId="28280" xr:uid="{F35A6034-5236-47AD-B4C8-5CD6DE3E3BEC}"/>
    <cellStyle name="CustomizationCells 3 4 66" xfId="31104" xr:uid="{2618F02F-65A7-4AA5-B14B-F3A759542350}"/>
    <cellStyle name="CustomizationCells 3 4 7" xfId="2978" xr:uid="{25977C84-91F9-4157-A055-321A2F393A3A}"/>
    <cellStyle name="CustomizationCells 3 4 8" xfId="3878" xr:uid="{C47A2CBD-21D6-4A7F-89F6-0EE75A18FDF7}"/>
    <cellStyle name="CustomizationCells 3 4 9" xfId="4316" xr:uid="{63770412-3C6D-4F76-8B24-10F2407EAEB3}"/>
    <cellStyle name="CustomizationCells 3 40" xfId="16452" xr:uid="{B1954D2A-4FF8-4E91-B4CA-308F1A48DBFC}"/>
    <cellStyle name="CustomizationCells 3 41" xfId="17498" xr:uid="{6C7C40E2-F801-4B49-B2E2-4BEFBBE53F60}"/>
    <cellStyle name="CustomizationCells 3 42" xfId="18923" xr:uid="{76FA6473-6A24-414C-A31B-A88791E14F73}"/>
    <cellStyle name="CustomizationCells 3 43" xfId="19315" xr:uid="{39455C60-19A9-4523-90DB-9B42D9C98FE4}"/>
    <cellStyle name="CustomizationCells 3 44" xfId="19658" xr:uid="{DFAE080F-B3A6-431B-9D3E-8F68C202E25E}"/>
    <cellStyle name="CustomizationCells 3 45" xfId="20314" xr:uid="{EA808313-8B1C-421D-BF9B-99E7C133C6FE}"/>
    <cellStyle name="CustomizationCells 3 46" xfId="20770" xr:uid="{A518CBFD-A913-4193-9FFE-2C7B7E353267}"/>
    <cellStyle name="CustomizationCells 3 47" xfId="21516" xr:uid="{283B3FE3-92F8-48C8-B3F4-3343594FF895}"/>
    <cellStyle name="CustomizationCells 3 48" xfId="21578" xr:uid="{C4CE5A26-1393-4F03-9935-35C3A03EC6D5}"/>
    <cellStyle name="CustomizationCells 3 49" xfId="21736" xr:uid="{B800F3A9-6F30-4A69-9F29-2DD57A923C41}"/>
    <cellStyle name="CustomizationCells 3 5" xfId="699" xr:uid="{F344A04A-2392-4DF5-BEBC-8CED27A7AFF7}"/>
    <cellStyle name="CustomizationCells 3 5 2" xfId="5347" xr:uid="{FB23E2B8-9602-4BF5-A8D3-0094BAC8DC70}"/>
    <cellStyle name="CustomizationCells 3 5 3" xfId="18130" xr:uid="{09D90FBC-F12B-406B-ABEA-B58FCB219690}"/>
    <cellStyle name="CustomizationCells 3 5 4" xfId="20081" xr:uid="{7E63E980-F145-4F54-A1E4-B0E147A7BDD0}"/>
    <cellStyle name="CustomizationCells 3 5 5" xfId="24789" xr:uid="{3603D6BD-0978-4C5F-B623-1BD9E1AD8191}"/>
    <cellStyle name="CustomizationCells 3 50" xfId="22654" xr:uid="{2E0CA44B-B758-4B7D-9BBA-E23FC7CC8D16}"/>
    <cellStyle name="CustomizationCells 3 51" xfId="23205" xr:uid="{EF84008A-F21E-416B-BA8A-B92117CC56DE}"/>
    <cellStyle name="CustomizationCells 3 52" xfId="23224" xr:uid="{C1D84C33-E6BD-4F1D-8B3C-27F6B4A6DD31}"/>
    <cellStyle name="CustomizationCells 3 53" xfId="23472" xr:uid="{4B12416B-D0D5-4F3D-BE88-589AE6BCBB2F}"/>
    <cellStyle name="CustomizationCells 3 54" xfId="24378" xr:uid="{72378142-637B-4AF0-8A95-323559963FDF}"/>
    <cellStyle name="CustomizationCells 3 55" xfId="25002" xr:uid="{1BFEF042-98D7-4FAD-AD45-ADFF2A39A5D0}"/>
    <cellStyle name="CustomizationCells 3 56" xfId="25411" xr:uid="{408E6FFB-92EE-4EED-9DC4-7C948A2CC6D9}"/>
    <cellStyle name="CustomizationCells 3 57" xfId="26288" xr:uid="{D99F1D9B-8E90-4A76-A093-D3893910A4F0}"/>
    <cellStyle name="CustomizationCells 3 58" xfId="26608" xr:uid="{7944A27F-3267-4504-85D2-DD513AF10CA1}"/>
    <cellStyle name="CustomizationCells 3 59" xfId="26290" xr:uid="{640B7CB5-6890-4E62-9EF6-0DE674AA62A9}"/>
    <cellStyle name="CustomizationCells 3 6" xfId="951" xr:uid="{6A24F8C3-4845-4B2F-822D-8A21D6C743CC}"/>
    <cellStyle name="CustomizationCells 3 60" xfId="26529" xr:uid="{9430FB7C-0F8D-4CEF-882B-BEF9BB70019F}"/>
    <cellStyle name="CustomizationCells 3 61" xfId="26805" xr:uid="{D5A3B0BF-7D1B-4991-B79C-9AD5054A2942}"/>
    <cellStyle name="CustomizationCells 3 62" xfId="28149" xr:uid="{C77DDD19-6460-4CE8-B3EB-1BDFBBEF918D}"/>
    <cellStyle name="CustomizationCells 3 63" xfId="28265" xr:uid="{3F162910-1ED7-41D2-BC0F-DA4845BD6736}"/>
    <cellStyle name="CustomizationCells 3 64" xfId="28349" xr:uid="{811274B1-65C9-45C2-ADB3-86E8ABE3C045}"/>
    <cellStyle name="CustomizationCells 3 65" xfId="29319" xr:uid="{67095B3F-BB5B-42CA-9DF3-D3801FB05CDC}"/>
    <cellStyle name="CustomizationCells 3 66" xfId="29330" xr:uid="{97DA6D0F-8812-4CD3-A5C7-8D5A9E1F8C0F}"/>
    <cellStyle name="CustomizationCells 3 67" xfId="30201" xr:uid="{C420A40D-F858-45B1-AB75-EABD6D3FB3CB}"/>
    <cellStyle name="CustomizationCells 3 68" xfId="29540" xr:uid="{8929D2E5-DC80-4219-BF03-44DA1A5F83F9}"/>
    <cellStyle name="CustomizationCells 3 69" xfId="31004" xr:uid="{50E3C045-97CF-4DE0-B659-948AD1EC0EDB}"/>
    <cellStyle name="CustomizationCells 3 7" xfId="1468" xr:uid="{3B6FD13A-DBC8-40F4-8E76-624BBA373067}"/>
    <cellStyle name="CustomizationCells 3 8" xfId="2098" xr:uid="{E3F57AF9-F126-497C-A534-AB13ABA4E280}"/>
    <cellStyle name="CustomizationCells 3 9" xfId="2816" xr:uid="{2A925CD5-4F5E-402F-8D98-E7511E885B26}"/>
    <cellStyle name="CustomizationCells 4" xfId="71" xr:uid="{8E077B7C-BC71-4975-AAE2-BB7BF91CCE8D}"/>
    <cellStyle name="CustomizationCells 4 2" xfId="3085" xr:uid="{854C7E19-07C7-4750-B7F2-8102F73A675D}"/>
    <cellStyle name="CustomizationCells 4 3" xfId="18068" xr:uid="{0B8BB4F3-D653-4C7C-80C7-135C569D943F}"/>
    <cellStyle name="CustomizationCells 4 4" xfId="19456" xr:uid="{79D23207-F9B0-49E3-BB94-E68721439E53}"/>
    <cellStyle name="CustomizationCells 4 5" xfId="24177" xr:uid="{E2FDAC99-ECF8-4458-B3C8-2F4414EC3661}"/>
    <cellStyle name="CustomizationGreenCells" xfId="134" xr:uid="{2C3A333A-1BE1-41E9-A6F1-DF652E2DC317}"/>
    <cellStyle name="CustomizationGreenCells 2" xfId="417" xr:uid="{E5B0F81B-6472-4C6E-9FDE-7DF95CBC69A8}"/>
    <cellStyle name="CustomizationGreenCells 2 2" xfId="3504" xr:uid="{ADAC87E0-7A4A-4629-BA98-D1B950E710BE}"/>
    <cellStyle name="CustomizationGreenCells 2 3" xfId="18764" xr:uid="{94212B73-DE2F-4F94-BC99-E1AE25906418}"/>
    <cellStyle name="CustomizationGreenCells 3" xfId="275" xr:uid="{355192BD-3DC2-41F0-9CC6-412CF953249E}"/>
    <cellStyle name="CustomizationGreenCells 3 10" xfId="3275" xr:uid="{AD5BC51F-C0FC-4169-8942-D9035305A2C7}"/>
    <cellStyle name="CustomizationGreenCells 3 11" xfId="3595" xr:uid="{23880F4B-3274-4515-87F1-AAF3769AC9E1}"/>
    <cellStyle name="CustomizationGreenCells 3 12" xfId="2111" xr:uid="{069C793C-FE5C-4AED-B79A-AEEF0A63047E}"/>
    <cellStyle name="CustomizationGreenCells 3 13" xfId="3813" xr:uid="{218333C5-5A30-4A3B-93C8-5AB2F464AF1C}"/>
    <cellStyle name="CustomizationGreenCells 3 14" xfId="5012" xr:uid="{96DA2388-34C3-4D1C-A601-DCF742DB4433}"/>
    <cellStyle name="CustomizationGreenCells 3 15" xfId="5156" xr:uid="{9F0E3A10-D8F4-4546-9EB4-B32BE536008F}"/>
    <cellStyle name="CustomizationGreenCells 3 16" xfId="3235" xr:uid="{A86CD456-363D-4EA6-9610-87363F8BA472}"/>
    <cellStyle name="CustomizationGreenCells 3 17" xfId="6445" xr:uid="{AC1ABC52-5E8A-41AF-8295-696EA756C8E4}"/>
    <cellStyle name="CustomizationGreenCells 3 18" xfId="7005" xr:uid="{6506C06E-46F9-4407-9942-613D3DD46A12}"/>
    <cellStyle name="CustomizationGreenCells 3 19" xfId="7618" xr:uid="{FBAABD14-DCAA-4D68-88EA-AA5011DD36D7}"/>
    <cellStyle name="CustomizationGreenCells 3 2" xfId="614" xr:uid="{6108A7E4-1F19-4773-8010-A179C2BFF0E8}"/>
    <cellStyle name="CustomizationGreenCells 3 2 10" xfId="4735" xr:uid="{4291A8D5-FDB9-4055-8357-5EB306170C37}"/>
    <cellStyle name="CustomizationGreenCells 3 2 11" xfId="5262" xr:uid="{7EA6D89A-3E74-4E98-AE0B-ED2F3168500E}"/>
    <cellStyle name="CustomizationGreenCells 3 2 12" xfId="5949" xr:uid="{D15B84B5-C174-4F0D-AA75-2AEF5F79EAAC}"/>
    <cellStyle name="CustomizationGreenCells 3 2 13" xfId="4683" xr:uid="{328971B7-8417-4148-80F6-09BF79173DA6}"/>
    <cellStyle name="CustomizationGreenCells 3 2 14" xfId="5811" xr:uid="{86FBC630-7D45-4BCF-80F5-BB1C539B54DE}"/>
    <cellStyle name="CustomizationGreenCells 3 2 15" xfId="7334" xr:uid="{712B6151-59A7-4511-8A08-A3A598522268}"/>
    <cellStyle name="CustomizationGreenCells 3 2 16" xfId="7755" xr:uid="{E14E5C2C-427E-4160-9EFB-C6DA53AA9ED2}"/>
    <cellStyle name="CustomizationGreenCells 3 2 17" xfId="6757" xr:uid="{3396878E-F122-421B-88A7-2860C5BD1A66}"/>
    <cellStyle name="CustomizationGreenCells 3 2 18" xfId="8875" xr:uid="{7EE7C334-EFA1-4030-83F3-8D65731C3492}"/>
    <cellStyle name="CustomizationGreenCells 3 2 19" xfId="9548" xr:uid="{F339235A-C083-48F6-9CB2-AFB5013C1B81}"/>
    <cellStyle name="CustomizationGreenCells 3 2 2" xfId="829" xr:uid="{F92F991F-A9BF-49D5-8BB2-8495BC694C99}"/>
    <cellStyle name="CustomizationGreenCells 3 2 2 10" xfId="5477" xr:uid="{D1086815-6A62-4AD2-AA91-86D1AB3A6B8B}"/>
    <cellStyle name="CustomizationGreenCells 3 2 2 11" xfId="2749" xr:uid="{6539BCA4-9662-481D-8E37-98841AFF8BCB}"/>
    <cellStyle name="CustomizationGreenCells 3 2 2 12" xfId="5909" xr:uid="{946A6272-9C3A-4306-BEDC-CA6731002146}"/>
    <cellStyle name="CustomizationGreenCells 3 2 2 13" xfId="6511" xr:uid="{F7BAEBE3-9E7A-4B32-8A1E-8C6BF82D39A3}"/>
    <cellStyle name="CustomizationGreenCells 3 2 2 14" xfId="7549" xr:uid="{F44178AE-8669-4EBC-BCFF-B2920A5212BA}"/>
    <cellStyle name="CustomizationGreenCells 3 2 2 15" xfId="7922" xr:uid="{FB703CDD-E779-44CE-8626-8462DD843C73}"/>
    <cellStyle name="CustomizationGreenCells 3 2 2 16" xfId="8429" xr:uid="{D9892F65-EEAB-4B8B-BD34-B0F63479BDF2}"/>
    <cellStyle name="CustomizationGreenCells 3 2 2 17" xfId="8146" xr:uid="{A100E64F-0834-4CCA-907D-06E19096AC49}"/>
    <cellStyle name="CustomizationGreenCells 3 2 2 18" xfId="9763" xr:uid="{989D8B29-F0FA-44D7-BF95-B3A89A08BAA8}"/>
    <cellStyle name="CustomizationGreenCells 3 2 2 19" xfId="10136" xr:uid="{84ECBCDF-39DD-494C-A43E-6AF9F69E9AC3}"/>
    <cellStyle name="CustomizationGreenCells 3 2 2 2" xfId="1303" xr:uid="{50ABCD36-2CA1-4B4D-90A4-B1F4FBA5A6E1}"/>
    <cellStyle name="CustomizationGreenCells 3 2 2 20" xfId="10546" xr:uid="{3ECE9492-4DAF-4503-93F2-CAC2483174DB}"/>
    <cellStyle name="CustomizationGreenCells 3 2 2 21" xfId="10616" xr:uid="{55334A34-7F2D-4008-BF3E-A40A6F83511D}"/>
    <cellStyle name="CustomizationGreenCells 3 2 2 22" xfId="11138" xr:uid="{F90847BD-0BA1-4FF7-81C4-A28ED0BD3D29}"/>
    <cellStyle name="CustomizationGreenCells 3 2 2 23" xfId="12182" xr:uid="{A3D6352F-682D-4C98-B972-454610F3F052}"/>
    <cellStyle name="CustomizationGreenCells 3 2 2 24" xfId="12655" xr:uid="{B51BF37A-A977-49B0-9983-C6DE2176C0BA}"/>
    <cellStyle name="CustomizationGreenCells 3 2 2 25" xfId="13089" xr:uid="{A3124D02-32C8-42A5-A5B8-A57370CF7F79}"/>
    <cellStyle name="CustomizationGreenCells 3 2 2 26" xfId="13526" xr:uid="{4869E997-F9EF-4B01-8B6C-9CAD996FEC43}"/>
    <cellStyle name="CustomizationGreenCells 3 2 2 27" xfId="11351" xr:uid="{D79D8781-A416-448D-9FAF-A2E4058E582D}"/>
    <cellStyle name="CustomizationGreenCells 3 2 2 28" xfId="14005" xr:uid="{DF9841FD-2A9A-4973-A7B7-6E74D965F6AA}"/>
    <cellStyle name="CustomizationGreenCells 3 2 2 29" xfId="14784" xr:uid="{B6FE6F9E-47EF-4166-B206-660C44E7C64C}"/>
    <cellStyle name="CustomizationGreenCells 3 2 2 3" xfId="1501" xr:uid="{A27ADCA1-A056-4284-A42D-8495D620E95C}"/>
    <cellStyle name="CustomizationGreenCells 3 2 2 30" xfId="15230" xr:uid="{C6439A02-29A6-48B4-B61C-8495519E51B9}"/>
    <cellStyle name="CustomizationGreenCells 3 2 2 31" xfId="15708" xr:uid="{5D9E159E-CF4A-41E7-ABFB-A9B87A53BBCD}"/>
    <cellStyle name="CustomizationGreenCells 3 2 2 32" xfId="15930" xr:uid="{A98D4D98-6129-416E-A9D5-D93A58BC6AE0}"/>
    <cellStyle name="CustomizationGreenCells 3 2 2 33" xfId="16874" xr:uid="{7117C194-ACB9-4EF6-AF2F-05CA8D0BC2C1}"/>
    <cellStyle name="CustomizationGreenCells 3 2 2 34" xfId="17255" xr:uid="{BAD9AF36-432A-4A77-B8DA-7EE6A84BC291}"/>
    <cellStyle name="CustomizationGreenCells 3 2 2 35" xfId="17699" xr:uid="{4B65626F-ECAD-4F96-83BF-04208830BB60}"/>
    <cellStyle name="CustomizationGreenCells 3 2 2 36" xfId="18168" xr:uid="{4AB121D8-2842-43E9-8C49-0396238AF6D6}"/>
    <cellStyle name="CustomizationGreenCells 3 2 2 37" xfId="18692" xr:uid="{6DA2D74C-B8D3-46F7-B8F6-E85098B5EC19}"/>
    <cellStyle name="CustomizationGreenCells 3 2 2 38" xfId="16417" xr:uid="{B296FC83-8CF8-4637-B2C7-E2DD8F787AE3}"/>
    <cellStyle name="CustomizationGreenCells 3 2 2 39" xfId="17588" xr:uid="{8ECA1A90-A59D-4537-9762-3A69BFD56481}"/>
    <cellStyle name="CustomizationGreenCells 3 2 2 4" xfId="2651" xr:uid="{F59C6490-07C3-462D-88DE-CD2513635DE5}"/>
    <cellStyle name="CustomizationGreenCells 3 2 2 40" xfId="20211" xr:uid="{70B0D87E-ECBE-4D7D-9D5D-A3C41E40E817}"/>
    <cellStyle name="CustomizationGreenCells 3 2 2 41" xfId="20605" xr:uid="{D769D214-A8BF-4E82-AD79-7B64E5E63A1C}"/>
    <cellStyle name="CustomizationGreenCells 3 2 2 42" xfId="21060" xr:uid="{7FF50310-A737-4944-8D16-407375F72286}"/>
    <cellStyle name="CustomizationGreenCells 3 2 2 43" xfId="19826" xr:uid="{71EE3971-402F-4C4D-B3CA-0290B6A7225F}"/>
    <cellStyle name="CustomizationGreenCells 3 2 2 44" xfId="21991" xr:uid="{553665CC-0E10-4926-91E6-EBAA826C29ED}"/>
    <cellStyle name="CustomizationGreenCells 3 2 2 45" xfId="22422" xr:uid="{F27F836D-4345-4190-9330-0FF47E28BEFB}"/>
    <cellStyle name="CustomizationGreenCells 3 2 2 46" xfId="21585" xr:uid="{AE2BAF64-0F91-47AA-A668-463CE6380D0E}"/>
    <cellStyle name="CustomizationGreenCells 3 2 2 47" xfId="22220" xr:uid="{C7DF6354-7105-4F96-B488-A05002615B3D}"/>
    <cellStyle name="CustomizationGreenCells 3 2 2 48" xfId="23041" xr:uid="{F7CE9329-E5DE-491B-968D-2D55E360E06A}"/>
    <cellStyle name="CustomizationGreenCells 3 2 2 49" xfId="24011" xr:uid="{1E43F653-B2D2-47DA-AE8B-C7032BCC0FAC}"/>
    <cellStyle name="CustomizationGreenCells 3 2 2 5" xfId="2290" xr:uid="{745BFD43-185F-4C6B-8F4E-287894725E54}"/>
    <cellStyle name="CustomizationGreenCells 3 2 2 50" xfId="24919" xr:uid="{A6477D16-5C43-4717-B1A9-3FE0781CEB9B}"/>
    <cellStyle name="CustomizationGreenCells 3 2 2 51" xfId="25314" xr:uid="{7003E77A-DC74-48FE-A2DA-01574B22EFC6}"/>
    <cellStyle name="CustomizationGreenCells 3 2 2 52" xfId="25835" xr:uid="{7674C63E-506A-47AE-9CCC-2D60883A5ED8}"/>
    <cellStyle name="CustomizationGreenCells 3 2 2 53" xfId="25488" xr:uid="{F5B7DF7B-5E64-44D8-82FC-CE5D6B1A48AE}"/>
    <cellStyle name="CustomizationGreenCells 3 2 2 54" xfId="26391" xr:uid="{942AFC39-593E-4DE0-928A-8DA912FA9783}"/>
    <cellStyle name="CustomizationGreenCells 3 2 2 55" xfId="27123" xr:uid="{87B0B390-05F4-41B9-9C32-0E1702E0F137}"/>
    <cellStyle name="CustomizationGreenCells 3 2 2 56" xfId="27542" xr:uid="{148D5F45-0261-43A9-AB05-1CC71177C8E6}"/>
    <cellStyle name="CustomizationGreenCells 3 2 2 57" xfId="25385" xr:uid="{13590FA7-3B7A-4905-8A1D-381F273F3CEB}"/>
    <cellStyle name="CustomizationGreenCells 3 2 2 58" xfId="28669" xr:uid="{D4AE626D-6863-4981-B32D-D6AEF35F8DF5}"/>
    <cellStyle name="CustomizationGreenCells 3 2 2 59" xfId="29136" xr:uid="{35E182F3-CC58-4514-8D09-B82F0F737E03}"/>
    <cellStyle name="CustomizationGreenCells 3 2 2 6" xfId="2894" xr:uid="{10582BDB-97D9-418B-BAEC-1944AE93B11F}"/>
    <cellStyle name="CustomizationGreenCells 3 2 2 60" xfId="29436" xr:uid="{2CDD7653-D73E-492C-9966-791E48B949A2}"/>
    <cellStyle name="CustomizationGreenCells 3 2 2 61" xfId="29925" xr:uid="{0BB47C78-8AD8-4921-92C6-959E1C9C4E75}"/>
    <cellStyle name="CustomizationGreenCells 3 2 2 62" xfId="30331" xr:uid="{18D461F1-6B18-4C4C-93F9-B76D46DEB798}"/>
    <cellStyle name="CustomizationGreenCells 3 2 2 63" xfId="30748" xr:uid="{2514AA34-9A1E-4CDC-9D0D-DA45ED8AB0F6}"/>
    <cellStyle name="CustomizationGreenCells 3 2 2 64" xfId="30948" xr:uid="{850E99C8-A05E-4E99-B773-60BFA3CC95BA}"/>
    <cellStyle name="CustomizationGreenCells 3 2 2 65" xfId="31364" xr:uid="{81312857-78E9-46BE-A88E-A3ABCBB1A49E}"/>
    <cellStyle name="CustomizationGreenCells 3 2 2 7" xfId="4147" xr:uid="{6C5926CC-B60D-42A7-87A5-BB983F4C2245}"/>
    <cellStyle name="CustomizationGreenCells 3 2 2 8" xfId="4584" xr:uid="{2D6F48DA-E558-4121-8F0B-D83AD7DE1FDD}"/>
    <cellStyle name="CustomizationGreenCells 3 2 2 9" xfId="3280" xr:uid="{26B70D19-642F-4793-BD72-5A60E94305A8}"/>
    <cellStyle name="CustomizationGreenCells 3 2 20" xfId="9968" xr:uid="{E9C1D739-290B-4FBA-8727-B319686C3BAC}"/>
    <cellStyle name="CustomizationGreenCells 3 2 21" xfId="10397" xr:uid="{43683611-4CCF-4B2B-BF9C-45885BC80727}"/>
    <cellStyle name="CustomizationGreenCells 3 2 22" xfId="10986" xr:uid="{7EC6FBDD-9D91-4F06-8A64-51767AC42168}"/>
    <cellStyle name="CustomizationGreenCells 3 2 23" xfId="11160" xr:uid="{BDB5F311-FE29-4F33-AC37-731AE20B4F33}"/>
    <cellStyle name="CustomizationGreenCells 3 2 24" xfId="11967" xr:uid="{B0A1C5F3-1608-4072-8F0B-70EE9D023926}"/>
    <cellStyle name="CustomizationGreenCells 3 2 25" xfId="12440" xr:uid="{E4A28A19-4404-4729-94E0-6D5A319D9AA2}"/>
    <cellStyle name="CustomizationGreenCells 3 2 26" xfId="12874" xr:uid="{449F273E-5D97-4A4F-824C-34F52641C3E9}"/>
    <cellStyle name="CustomizationGreenCells 3 2 27" xfId="13311" xr:uid="{23FAE649-9DB1-4EE4-A194-593795AA62A8}"/>
    <cellStyle name="CustomizationGreenCells 3 2 28" xfId="11542" xr:uid="{18BC4DD9-3521-410B-961A-E3246D83EBC1}"/>
    <cellStyle name="CustomizationGreenCells 3 2 29" xfId="14401" xr:uid="{51FDF649-5FE9-44A5-8851-3F01F8BD0262}"/>
    <cellStyle name="CustomizationGreenCells 3 2 3" xfId="1097" xr:uid="{EE60D360-FD07-4B06-A23B-080B6B059B38}"/>
    <cellStyle name="CustomizationGreenCells 3 2 30" xfId="14597" xr:uid="{6DCD035E-CDA5-4E9A-86B7-5C46D9439E62}"/>
    <cellStyle name="CustomizationGreenCells 3 2 31" xfId="15135" xr:uid="{7FDD44AB-6D02-4790-B442-10DD11BD2945}"/>
    <cellStyle name="CustomizationGreenCells 3 2 32" xfId="15466" xr:uid="{0B94B6C1-99B6-429B-BECB-3A32D83B1F21}"/>
    <cellStyle name="CustomizationGreenCells 3 2 33" xfId="15837" xr:uid="{EAA9E339-23F2-4336-AE94-9526092F0DFA}"/>
    <cellStyle name="CustomizationGreenCells 3 2 34" xfId="16659" xr:uid="{E823E632-18D2-47F2-A41A-0C4FE88AA559}"/>
    <cellStyle name="CustomizationGreenCells 3 2 35" xfId="17084" xr:uid="{4180CC51-9B43-4A51-A682-F22C1B9B4599}"/>
    <cellStyle name="CustomizationGreenCells 3 2 36" xfId="17531" xr:uid="{13059BB6-E978-41CC-BB28-8597D4D9E9F0}"/>
    <cellStyle name="CustomizationGreenCells 3 2 37" xfId="18214" xr:uid="{6CBC9811-8D4A-4D6C-A167-BBF6F028CF5E}"/>
    <cellStyle name="CustomizationGreenCells 3 2 38" xfId="18477" xr:uid="{D5E51ECC-C3F3-4B57-937A-D6CF3D9FBFEC}"/>
    <cellStyle name="CustomizationGreenCells 3 2 39" xfId="19045" xr:uid="{45497A25-15E8-4C35-B7F9-2DC99DE59E15}"/>
    <cellStyle name="CustomizationGreenCells 3 2 4" xfId="1748" xr:uid="{360DF4A0-96ED-4E02-B737-9A0C3926FD60}"/>
    <cellStyle name="CustomizationGreenCells 3 2 40" xfId="19330" xr:uid="{D33F3E05-4979-4B0F-BC97-F282A269174C}"/>
    <cellStyle name="CustomizationGreenCells 3 2 41" xfId="19996" xr:uid="{8675C3D8-1D77-4929-89BC-C8300ACC577C}"/>
    <cellStyle name="CustomizationGreenCells 3 2 42" xfId="20437" xr:uid="{03C33425-68EC-4B25-B572-8DB3481A7E87}"/>
    <cellStyle name="CustomizationGreenCells 3 2 43" xfId="20889" xr:uid="{871443C8-F7EF-4676-8628-5C9CC3477FE3}"/>
    <cellStyle name="CustomizationGreenCells 3 2 44" xfId="21335" xr:uid="{81652C95-1167-4D3F-B9EC-B46BAD6C1646}"/>
    <cellStyle name="CustomizationGreenCells 3 2 45" xfId="21821" xr:uid="{11A04722-7AC9-4E6B-90FC-660C8C3C9FA0}"/>
    <cellStyle name="CustomizationGreenCells 3 2 46" xfId="22255" xr:uid="{7500C295-BCCC-4D44-ADE3-2A1C770302C2}"/>
    <cellStyle name="CustomizationGreenCells 3 2 47" xfId="22355" xr:uid="{2848B894-59AA-4CDE-A005-11B07F5B8E61}"/>
    <cellStyle name="CustomizationGreenCells 3 2 48" xfId="23322" xr:uid="{C8906529-0E28-4925-B03C-DA7FC81BDE68}"/>
    <cellStyle name="CustomizationGreenCells 3 2 49" xfId="23537" xr:uid="{AC3F4A5F-5650-472B-B48B-E67F305830BF}"/>
    <cellStyle name="CustomizationGreenCells 3 2 5" xfId="2436" xr:uid="{D414DFB6-815D-4685-B673-1FC1DB6FF618}"/>
    <cellStyle name="CustomizationGreenCells 3 2 50" xfId="23805" xr:uid="{FE3E0BBC-EB7E-425E-88C6-AA19FC5918D6}"/>
    <cellStyle name="CustomizationGreenCells 3 2 51" xfId="24704" xr:uid="{510B99FC-DB06-4A1F-8EAD-C5D5C0B6D827}"/>
    <cellStyle name="CustomizationGreenCells 3 2 52" xfId="25144" xr:uid="{B0D40291-B746-484C-A60E-4542FA7487C4}"/>
    <cellStyle name="CustomizationGreenCells 3 2 53" xfId="25622" xr:uid="{2316E350-C23D-4411-A4BA-72B20B0F3553}"/>
    <cellStyle name="CustomizationGreenCells 3 2 54" xfId="25337" xr:uid="{B6EE3779-D192-40BD-BF07-B24C8887297C}"/>
    <cellStyle name="CustomizationGreenCells 3 2 55" xfId="26349" xr:uid="{ECF6A4CF-81A7-4AF7-A179-E21AA4B35759}"/>
    <cellStyle name="CustomizationGreenCells 3 2 56" xfId="26912" xr:uid="{732D7D90-6629-40A3-90AA-7C82FB4DFE47}"/>
    <cellStyle name="CustomizationGreenCells 3 2 57" xfId="27331" xr:uid="{E5FF5729-ECC0-45E0-ACF9-D5A0332E7D33}"/>
    <cellStyle name="CustomizationGreenCells 3 2 58" xfId="27757" xr:uid="{F97BA841-0FC9-4095-B12A-61DCC9668701}"/>
    <cellStyle name="CustomizationGreenCells 3 2 59" xfId="28454" xr:uid="{273A3E97-2BD5-4B09-89EF-170BF6BC85A1}"/>
    <cellStyle name="CustomizationGreenCells 3 2 6" xfId="2149" xr:uid="{8C7C7359-0640-482B-8D2C-3CE967D1D9BB}"/>
    <cellStyle name="CustomizationGreenCells 3 2 60" xfId="28922" xr:uid="{DDAF9C7A-E921-4A77-BEEE-C291E8EF15B9}"/>
    <cellStyle name="CustomizationGreenCells 3 2 61" xfId="29295" xr:uid="{D3638A4F-8940-408B-8F89-2A53614C06CE}"/>
    <cellStyle name="CustomizationGreenCells 3 2 62" xfId="29712" xr:uid="{355B683D-6994-4476-9185-0E3B762CA3AA}"/>
    <cellStyle name="CustomizationGreenCells 3 2 63" xfId="30120" xr:uid="{F2751321-DF35-4EA8-BE26-849BFEB59DBF}"/>
    <cellStyle name="CustomizationGreenCells 3 2 64" xfId="30534" xr:uid="{AF64F13E-43C4-45AF-ABF8-5836AC13320D}"/>
    <cellStyle name="CustomizationGreenCells 3 2 65" xfId="29425" xr:uid="{B473A671-BCFD-4228-9071-B6F54B16D868}"/>
    <cellStyle name="CustomizationGreenCells 3 2 66" xfId="31158" xr:uid="{6F7FE6C0-794B-4386-934F-CC280CE2AE86}"/>
    <cellStyle name="CustomizationGreenCells 3 2 7" xfId="3208" xr:uid="{887EB5CB-29A6-42F9-9442-E59A7ED56C3F}"/>
    <cellStyle name="CustomizationGreenCells 3 2 8" xfId="3932" xr:uid="{9E44AC9B-1F81-4980-AFA8-323934A7FA03}"/>
    <cellStyle name="CustomizationGreenCells 3 2 9" xfId="4370" xr:uid="{6555B008-58E3-4A51-97D7-47E26F123B19}"/>
    <cellStyle name="CustomizationGreenCells 3 20" xfId="6736" xr:uid="{715DA860-D0CA-49EA-A53C-28B0B10FE299}"/>
    <cellStyle name="CustomizationGreenCells 3 21" xfId="8907" xr:uid="{D33FA0DD-3A1E-4481-AF0E-B20AD0446F22}"/>
    <cellStyle name="CustomizationGreenCells 3 22" xfId="9219" xr:uid="{C9758C64-284A-49FC-AB32-3438580F207A}"/>
    <cellStyle name="CustomizationGreenCells 3 23" xfId="9831" xr:uid="{DE5DCF98-AA97-4B7A-8BF0-F287EF7B32EB}"/>
    <cellStyle name="CustomizationGreenCells 3 24" xfId="10157" xr:uid="{2916B1C5-788E-4BEC-BE95-75C9649BB632}"/>
    <cellStyle name="CustomizationGreenCells 3 25" xfId="10905" xr:uid="{1AAAF37B-80B2-436A-A56D-DB3CBC304FDD}"/>
    <cellStyle name="CustomizationGreenCells 3 26" xfId="10914" xr:uid="{24081AA5-8E4E-48A2-84DF-3F1D8796CF39}"/>
    <cellStyle name="CustomizationGreenCells 3 27" xfId="11631" xr:uid="{10FDED83-AB5E-4897-B35C-0A0936B4FCD4}"/>
    <cellStyle name="CustomizationGreenCells 3 28" xfId="11364" xr:uid="{ADD58E68-33C7-45E2-8D0A-80CE04E6C852}"/>
    <cellStyle name="CustomizationGreenCells 3 29" xfId="11778" xr:uid="{4C0620F2-90EF-44F4-9F30-78A2205BED97}"/>
    <cellStyle name="CustomizationGreenCells 3 3" xfId="584" xr:uid="{07B54605-2A2B-4779-9C21-F0226D24A546}"/>
    <cellStyle name="CustomizationGreenCells 3 3 10" xfId="4710" xr:uid="{8F5ABCE8-45F1-4B9B-96B3-575065FDCA33}"/>
    <cellStyle name="CustomizationGreenCells 3 3 11" xfId="5232" xr:uid="{B6DBDC1A-EC4F-4D76-8DAD-4B8C4815B8F3}"/>
    <cellStyle name="CustomizationGreenCells 3 3 12" xfId="3082" xr:uid="{B7FFA331-D622-4440-B0C4-3B9B96A7C0D2}"/>
    <cellStyle name="CustomizationGreenCells 3 3 13" xfId="4845" xr:uid="{5E59BA24-F117-438B-A017-A65FA798C0D6}"/>
    <cellStyle name="CustomizationGreenCells 3 3 14" xfId="6189" xr:uid="{EEC1CD95-5B33-4257-BB16-978E651D13B7}"/>
    <cellStyle name="CustomizationGreenCells 3 3 15" xfId="7304" xr:uid="{517E4DD4-90FE-4B3F-9FEF-496F2A21FB37}"/>
    <cellStyle name="CustomizationGreenCells 3 3 16" xfId="7137" xr:uid="{44AAC5C6-99D1-498F-A0CE-3665DD2D22B1}"/>
    <cellStyle name="CustomizationGreenCells 3 3 17" xfId="6735" xr:uid="{61BECE7E-5C06-483F-817E-0E9A12871360}"/>
    <cellStyle name="CustomizationGreenCells 3 3 18" xfId="7030" xr:uid="{ED2D43D8-D0C9-42C8-9CEA-45D936FBBB9A}"/>
    <cellStyle name="CustomizationGreenCells 3 3 19" xfId="9518" xr:uid="{D377C4B0-6C98-4937-BB0D-3FE2219A22CE}"/>
    <cellStyle name="CustomizationGreenCells 3 3 2" xfId="799" xr:uid="{F9F8D991-1A26-49EB-A40F-E4DDA1C21A04}"/>
    <cellStyle name="CustomizationGreenCells 3 3 2 10" xfId="5447" xr:uid="{CA059C99-CD63-4667-94D4-3D32A0E89FA4}"/>
    <cellStyle name="CustomizationGreenCells 3 3 2 11" xfId="5818" xr:uid="{24537421-A741-4F29-AC19-3880DF044F05}"/>
    <cellStyle name="CustomizationGreenCells 3 3 2 12" xfId="4802" xr:uid="{92A6E27A-60B8-4374-80AA-1AF4B6AA9FBE}"/>
    <cellStyle name="CustomizationGreenCells 3 3 2 13" xfId="5662" xr:uid="{383D192D-44CE-48B6-9555-9F2B1DE1FC54}"/>
    <cellStyle name="CustomizationGreenCells 3 3 2 14" xfId="7519" xr:uid="{5DCBAB03-0A26-4E2B-B4C9-F5E2072EE2B3}"/>
    <cellStyle name="CustomizationGreenCells 3 3 2 15" xfId="7115" xr:uid="{C4BEA7A5-7086-4E2F-B230-7602DE15E123}"/>
    <cellStyle name="CustomizationGreenCells 3 3 2 16" xfId="8018" xr:uid="{ED3A1E64-1337-4480-A045-03BC4E0138F9}"/>
    <cellStyle name="CustomizationGreenCells 3 3 2 17" xfId="8638" xr:uid="{D2C84164-6BCD-483F-8F0A-5E35860FF4BF}"/>
    <cellStyle name="CustomizationGreenCells 3 3 2 18" xfId="9733" xr:uid="{03BE7768-8811-4605-B6D8-77147283D672}"/>
    <cellStyle name="CustomizationGreenCells 3 3 2 19" xfId="9201" xr:uid="{288E2B45-16C1-4E61-92E2-8E7E118F3D45}"/>
    <cellStyle name="CustomizationGreenCells 3 3 2 2" xfId="1273" xr:uid="{58675F23-401D-4B50-A672-56925A1CF2D2}"/>
    <cellStyle name="CustomizationGreenCells 3 3 2 20" xfId="9178" xr:uid="{7F3E924B-6481-4ADC-A886-7439820D37E9}"/>
    <cellStyle name="CustomizationGreenCells 3 3 2 21" xfId="9350" xr:uid="{FA026633-2D5B-45E6-B372-C95A1DC63416}"/>
    <cellStyle name="CustomizationGreenCells 3 3 2 22" xfId="11064" xr:uid="{9532EA83-9041-4793-8B35-7FF0D19D8482}"/>
    <cellStyle name="CustomizationGreenCells 3 3 2 23" xfId="12152" xr:uid="{4544FFE2-A1EB-4D17-8587-70F48F9FD4A4}"/>
    <cellStyle name="CustomizationGreenCells 3 3 2 24" xfId="12625" xr:uid="{A82C6162-E329-4736-A7A5-A8B1E42C81DE}"/>
    <cellStyle name="CustomizationGreenCells 3 3 2 25" xfId="13059" xr:uid="{EF24E178-6A72-482D-8E12-7608C094FFCC}"/>
    <cellStyle name="CustomizationGreenCells 3 3 2 26" xfId="13496" xr:uid="{D8082D95-76F1-4A60-A709-4A7878E9C93F}"/>
    <cellStyle name="CustomizationGreenCells 3 3 2 27" xfId="13726" xr:uid="{A9EB3AA4-1FF2-4286-8C35-2483A2EF2F09}"/>
    <cellStyle name="CustomizationGreenCells 3 3 2 28" xfId="11394" xr:uid="{D7FFDF0E-0AB7-49B7-81FD-9F6A819D71D9}"/>
    <cellStyle name="CustomizationGreenCells 3 3 2 29" xfId="14176" xr:uid="{09A1E5F5-834F-470F-88B1-99F148E85593}"/>
    <cellStyle name="CustomizationGreenCells 3 3 2 3" xfId="1649" xr:uid="{C56329AC-43A2-4D05-B135-E0ECA0482936}"/>
    <cellStyle name="CustomizationGreenCells 3 3 2 30" xfId="14559" xr:uid="{8A192AD8-3357-426A-8AB7-D4C4C6123730}"/>
    <cellStyle name="CustomizationGreenCells 3 3 2 31" xfId="15592" xr:uid="{1D2077E1-5A55-4BDD-8660-DC937D3C6FC6}"/>
    <cellStyle name="CustomizationGreenCells 3 3 2 32" xfId="15369" xr:uid="{74D069C2-776A-4F70-94CF-9B07281A1761}"/>
    <cellStyle name="CustomizationGreenCells 3 3 2 33" xfId="16844" xr:uid="{60A9D925-597A-41A3-BFBC-8B5D6683A586}"/>
    <cellStyle name="CustomizationGreenCells 3 3 2 34" xfId="16437" xr:uid="{60CE5921-2D94-41F4-B12C-A2015E6BBF4B}"/>
    <cellStyle name="CustomizationGreenCells 3 3 2 35" xfId="16991" xr:uid="{C18CE66D-9F84-491A-AD47-7B3AA56ECA64}"/>
    <cellStyle name="CustomizationGreenCells 3 3 2 36" xfId="17275" xr:uid="{E89A3BB6-62A3-4925-B165-6862543F78CA}"/>
    <cellStyle name="CustomizationGreenCells 3 3 2 37" xfId="18662" xr:uid="{03B217DE-9E15-4917-A39B-7F43929EC798}"/>
    <cellStyle name="CustomizationGreenCells 3 3 2 38" xfId="19037" xr:uid="{90257203-65B5-4153-B45E-1B245041B1DF}"/>
    <cellStyle name="CustomizationGreenCells 3 3 2 39" xfId="18078" xr:uid="{A7944DBD-4D97-4EEE-8F2E-66E83A9D04C1}"/>
    <cellStyle name="CustomizationGreenCells 3 3 2 4" xfId="2621" xr:uid="{AC3027C0-274D-48CD-A011-3B6636A5062D}"/>
    <cellStyle name="CustomizationGreenCells 3 3 2 40" xfId="20181" xr:uid="{6F9AB55B-28D5-46C9-9424-43BFAD457583}"/>
    <cellStyle name="CustomizationGreenCells 3 3 2 41" xfId="19769" xr:uid="{383D8109-1514-4915-B8C1-FF25827E6687}"/>
    <cellStyle name="CustomizationGreenCells 3 3 2 42" xfId="20338" xr:uid="{FE896222-0ABA-4D27-9F11-B9E7CAC0906D}"/>
    <cellStyle name="CustomizationGreenCells 3 3 2 43" xfId="19496" xr:uid="{C59196FC-F1D7-4D74-8DF5-0AD754609CF4}"/>
    <cellStyle name="CustomizationGreenCells 3 3 2 44" xfId="21398" xr:uid="{DB3E0C47-608E-4E5C-8EFD-CBC39BF57202}"/>
    <cellStyle name="CustomizationGreenCells 3 3 2 45" xfId="21450" xr:uid="{D367AFC5-148E-474F-9290-D77C2BF621D6}"/>
    <cellStyle name="CustomizationGreenCells 3 3 2 46" xfId="22722" xr:uid="{815651A9-E131-42E6-8ED9-15AD5AC51C02}"/>
    <cellStyle name="CustomizationGreenCells 3 3 2 47" xfId="23314" xr:uid="{2866EED7-B010-4C52-8CC1-A820863F0B6C}"/>
    <cellStyle name="CustomizationGreenCells 3 3 2 48" xfId="23379" xr:uid="{59076220-3A64-49EE-90C7-D9FCA18F6801}"/>
    <cellStyle name="CustomizationGreenCells 3 3 2 49" xfId="23981" xr:uid="{6665ECC3-885C-4BAF-BEF1-3384797A3BA1}"/>
    <cellStyle name="CustomizationGreenCells 3 3 2 5" xfId="2891" xr:uid="{696039FB-314C-4A96-9144-2A0A69CB407A}"/>
    <cellStyle name="CustomizationGreenCells 3 3 2 50" xfId="24889" xr:uid="{DFAA11D1-75DD-42BB-8746-89B48614F108}"/>
    <cellStyle name="CustomizationGreenCells 3 3 2 51" xfId="24315" xr:uid="{81D32FAE-42CC-4EC4-9A72-8A5AEA76F064}"/>
    <cellStyle name="CustomizationGreenCells 3 3 2 52" xfId="25805" xr:uid="{3B378E97-3DAD-46A5-8EEA-C947E8785D9D}"/>
    <cellStyle name="CustomizationGreenCells 3 3 2 53" xfId="26026" xr:uid="{CDF8DFAE-EE79-4217-87EC-5CF39FA7B0B4}"/>
    <cellStyle name="CustomizationGreenCells 3 3 2 54" xfId="26466" xr:uid="{30228582-FE4C-4849-9D28-AA5431752A41}"/>
    <cellStyle name="CustomizationGreenCells 3 3 2 55" xfId="27093" xr:uid="{42E23CE4-FAC2-418B-931C-0C23518CDF4B}"/>
    <cellStyle name="CustomizationGreenCells 3 3 2 56" xfId="27512" xr:uid="{1086EB0C-568B-4B81-8E15-E29736C8419D}"/>
    <cellStyle name="CustomizationGreenCells 3 3 2 57" xfId="26399" xr:uid="{62C4ECB1-174C-4348-9F05-A4DF72CFA99A}"/>
    <cellStyle name="CustomizationGreenCells 3 3 2 58" xfId="28639" xr:uid="{D7CE51E7-2E30-455C-8F72-5AA533DD96A5}"/>
    <cellStyle name="CustomizationGreenCells 3 3 2 59" xfId="29106" xr:uid="{0F052DE2-49B6-448A-8875-AFF82E544EC3}"/>
    <cellStyle name="CustomizationGreenCells 3 3 2 6" xfId="3240" xr:uid="{59726B1A-C568-4B49-8C87-97CD717AE2F9}"/>
    <cellStyle name="CustomizationGreenCells 3 3 2 60" xfId="28313" xr:uid="{FDA7841F-9DFD-4DEC-B00A-C5E64907236E}"/>
    <cellStyle name="CustomizationGreenCells 3 3 2 61" xfId="29895" xr:uid="{E5847583-2934-4B75-A54B-6801677CC841}"/>
    <cellStyle name="CustomizationGreenCells 3 3 2 62" xfId="30301" xr:uid="{45CC9270-F462-494F-9987-45D8877F0A73}"/>
    <cellStyle name="CustomizationGreenCells 3 3 2 63" xfId="30718" xr:uid="{D853725F-9936-4032-950F-EC76FBE08561}"/>
    <cellStyle name="CustomizationGreenCells 3 3 2 64" xfId="27955" xr:uid="{0D3AEF63-8F2F-4A08-B1D2-522D3829FD2A}"/>
    <cellStyle name="CustomizationGreenCells 3 3 2 65" xfId="31334" xr:uid="{4DD8CE61-F9DF-4608-B2E3-8B67189B71F8}"/>
    <cellStyle name="CustomizationGreenCells 3 3 2 7" xfId="4117" xr:uid="{53182425-07A2-41AF-B349-61C7CA68F775}"/>
    <cellStyle name="CustomizationGreenCells 3 3 2 8" xfId="4554" xr:uid="{BD3A5AC7-E0DE-4871-9F51-07ED881D00D6}"/>
    <cellStyle name="CustomizationGreenCells 3 3 2 9" xfId="3120" xr:uid="{9BAF43ED-D968-4573-A69E-512042F131D6}"/>
    <cellStyle name="CustomizationGreenCells 3 3 20" xfId="8982" xr:uid="{F02C6694-32C5-4925-B7E8-ACD926F2B169}"/>
    <cellStyle name="CustomizationGreenCells 3 3 21" xfId="10236" xr:uid="{43D1AAC9-AF30-48D0-A76D-97D9A1FE0BE9}"/>
    <cellStyle name="CustomizationGreenCells 3 3 22" xfId="10321" xr:uid="{C6BE5593-3530-4217-AAE1-D6023C57926F}"/>
    <cellStyle name="CustomizationGreenCells 3 3 23" xfId="11088" xr:uid="{2BDDCE6B-9ABC-4582-9FCF-C29946D87701}"/>
    <cellStyle name="CustomizationGreenCells 3 3 24" xfId="11937" xr:uid="{4A6F43F1-01FC-4E8F-97F9-658674377754}"/>
    <cellStyle name="CustomizationGreenCells 3 3 25" xfId="12410" xr:uid="{89978E38-D597-4C97-8814-84F6EDF728F7}"/>
    <cellStyle name="CustomizationGreenCells 3 3 26" xfId="12844" xr:uid="{4B2EC25A-BAC3-4445-82B5-35C1C464EFF2}"/>
    <cellStyle name="CustomizationGreenCells 3 3 27" xfId="13281" xr:uid="{FED59A30-789D-41D5-9B35-7401DC4AEB7D}"/>
    <cellStyle name="CustomizationGreenCells 3 3 28" xfId="11804" xr:uid="{137BEAA0-D5D8-44E9-82D5-C713919E197B}"/>
    <cellStyle name="CustomizationGreenCells 3 3 29" xfId="13720" xr:uid="{9B239A0A-C4D4-4673-AC89-74C98C617987}"/>
    <cellStyle name="CustomizationGreenCells 3 3 3" xfId="1067" xr:uid="{A9CC69EA-44BE-49A9-896A-9C4B67AC8050}"/>
    <cellStyle name="CustomizationGreenCells 3 3 30" xfId="14689" xr:uid="{0EF18DAD-6D6B-495D-9DDD-49DFBDB8E289}"/>
    <cellStyle name="CustomizationGreenCells 3 3 31" xfId="14542" xr:uid="{CFC467CB-14AD-4CDF-B542-70103A4C94BB}"/>
    <cellStyle name="CustomizationGreenCells 3 3 32" xfId="13628" xr:uid="{880A5820-381B-46D1-8EEF-FEC60EC630C2}"/>
    <cellStyle name="CustomizationGreenCells 3 3 33" xfId="15801" xr:uid="{E32D48D1-E3C6-4850-838E-32D19559E99F}"/>
    <cellStyle name="CustomizationGreenCells 3 3 34" xfId="16629" xr:uid="{99E08CA0-58C9-4392-B902-C8182DFA7FA0}"/>
    <cellStyle name="CustomizationGreenCells 3 3 35" xfId="16460" xr:uid="{05AEC19F-FE06-4793-AD72-E8D5C797DA8A}"/>
    <cellStyle name="CustomizationGreenCells 3 3 36" xfId="17082" xr:uid="{4F0930F1-4BE3-4534-8E3F-1D5170F3E6F6}"/>
    <cellStyle name="CustomizationGreenCells 3 3 37" xfId="18243" xr:uid="{9119F8F3-EB35-442C-9919-9AE0E3E39E86}"/>
    <cellStyle name="CustomizationGreenCells 3 3 38" xfId="18447" xr:uid="{3A51A4F5-B259-42E2-9BA3-300D5248B93A}"/>
    <cellStyle name="CustomizationGreenCells 3 3 39" xfId="16347" xr:uid="{F503CEAE-DAFA-454A-8F70-1EF300CD5EA5}"/>
    <cellStyle name="CustomizationGreenCells 3 3 4" xfId="1729" xr:uid="{18DFFAF3-4595-43BA-9017-76779177FB76}"/>
    <cellStyle name="CustomizationGreenCells 3 3 40" xfId="18877" xr:uid="{E2945CAF-D0DC-4CA8-AEF9-F4AD4FCF2FCA}"/>
    <cellStyle name="CustomizationGreenCells 3 3 41" xfId="19966" xr:uid="{CF21028F-4B05-4F92-BACC-760F358F0413}"/>
    <cellStyle name="CustomizationGreenCells 3 3 42" xfId="20075" xr:uid="{B1202BF7-3EA4-4F21-B954-FDEAD2A3435E}"/>
    <cellStyle name="CustomizationGreenCells 3 3 43" xfId="20420" xr:uid="{BCC09C71-D6F9-47FB-8700-097B65DDF601}"/>
    <cellStyle name="CustomizationGreenCells 3 3 44" xfId="20985" xr:uid="{AA97B78B-E352-4135-8340-1CA1A6A04F7D}"/>
    <cellStyle name="CustomizationGreenCells 3 3 45" xfId="21717" xr:uid="{1B85309F-5901-4CCD-874B-23721F222B32}"/>
    <cellStyle name="CustomizationGreenCells 3 3 46" xfId="22156" xr:uid="{4CDB3DDF-BB61-45EF-AB81-5D7BCDB48748}"/>
    <cellStyle name="CustomizationGreenCells 3 3 47" xfId="21141" xr:uid="{E8ACD661-A442-43F4-A5F2-C1718685A352}"/>
    <cellStyle name="CustomizationGreenCells 3 3 48" xfId="21915" xr:uid="{1DB70EB4-6099-403E-A88B-701365066187}"/>
    <cellStyle name="CustomizationGreenCells 3 3 49" xfId="23339" xr:uid="{BC2D7A4B-390B-4FE7-BCB4-DF8F2F3FDAB5}"/>
    <cellStyle name="CustomizationGreenCells 3 3 5" xfId="2406" xr:uid="{A3CC0FE9-D79E-4CDB-A81A-C7E9F3D1E3D0}"/>
    <cellStyle name="CustomizationGreenCells 3 3 50" xfId="23775" xr:uid="{92A44B0D-8DFB-403A-A1E6-EAA758D5755A}"/>
    <cellStyle name="CustomizationGreenCells 3 3 51" xfId="24674" xr:uid="{4FC0B03E-A68E-4721-BFE4-7848328AB067}"/>
    <cellStyle name="CustomizationGreenCells 3 3 52" xfId="24502" xr:uid="{43213280-F139-4EF6-9D59-93A4D71AF00D}"/>
    <cellStyle name="CustomizationGreenCells 3 3 53" xfId="25592" xr:uid="{0060BB9C-CA4C-4EBB-9CA7-CA78BFF61381}"/>
    <cellStyle name="CustomizationGreenCells 3 3 54" xfId="24353" xr:uid="{4AEBF333-AF68-426F-B6A0-C815D6896372}"/>
    <cellStyle name="CustomizationGreenCells 3 3 55" xfId="26660" xr:uid="{7774D284-D176-4051-AB98-6B160AA6D28E}"/>
    <cellStyle name="CustomizationGreenCells 3 3 56" xfId="26882" xr:uid="{2BBAEE38-C92A-4E11-AA57-F2F3B24A3159}"/>
    <cellStyle name="CustomizationGreenCells 3 3 57" xfId="27301" xr:uid="{10081F88-8F08-45B8-AA41-C89095C519EE}"/>
    <cellStyle name="CustomizationGreenCells 3 3 58" xfId="26471" xr:uid="{EC0F8CC1-66B5-4D56-8BA8-76F36BB319BA}"/>
    <cellStyle name="CustomizationGreenCells 3 3 59" xfId="28424" xr:uid="{EF2D895E-4AD1-4B4A-9C9B-59E35C2E31DE}"/>
    <cellStyle name="CustomizationGreenCells 3 3 6" xfId="2044" xr:uid="{16DBD2A4-EAD4-41F6-BA10-F08044CB4838}"/>
    <cellStyle name="CustomizationGreenCells 3 3 60" xfId="28892" xr:uid="{1A979564-4323-4C91-B3F7-FAEEFD12FF03}"/>
    <cellStyle name="CustomizationGreenCells 3 3 61" xfId="28539" xr:uid="{3BAB2DF7-D8C6-4F48-8714-106A0309B343}"/>
    <cellStyle name="CustomizationGreenCells 3 3 62" xfId="29682" xr:uid="{C7B9AA53-3B2D-44AA-8A43-655E3524F7F1}"/>
    <cellStyle name="CustomizationGreenCells 3 3 63" xfId="30090" xr:uid="{21767A0E-FC63-4418-B721-AC0CF6C678DC}"/>
    <cellStyle name="CustomizationGreenCells 3 3 64" xfId="30504" xr:uid="{454C7365-8215-4CA9-9890-C3476B634C92}"/>
    <cellStyle name="CustomizationGreenCells 3 3 65" xfId="30972" xr:uid="{05CBB301-DBEA-4CEC-8FC4-BEA94869F566}"/>
    <cellStyle name="CustomizationGreenCells 3 3 66" xfId="31128" xr:uid="{FA875D52-8E1F-4EA5-ACDA-D47DED9AF2EB}"/>
    <cellStyle name="CustomizationGreenCells 3 3 7" xfId="2976" xr:uid="{CEAC23BC-8FC6-43EB-96E2-A577F314387F}"/>
    <cellStyle name="CustomizationGreenCells 3 3 8" xfId="3902" xr:uid="{F154578D-11BD-4F49-8932-1887BE03671B}"/>
    <cellStyle name="CustomizationGreenCells 3 3 9" xfId="4340" xr:uid="{B8CB5B95-7D0D-4023-A245-F159967D2D33}"/>
    <cellStyle name="CustomizationGreenCells 3 30" xfId="11590" xr:uid="{5B6965DA-E6F7-4508-96FA-A91E027589AA}"/>
    <cellStyle name="CustomizationGreenCells 3 31" xfId="14010" xr:uid="{1753ED59-D441-416B-843A-4F017BA173FF}"/>
    <cellStyle name="CustomizationGreenCells 3 32" xfId="13179" xr:uid="{75091119-70BA-492C-AA64-8E00EA52DC02}"/>
    <cellStyle name="CustomizationGreenCells 3 33" xfId="14172" xr:uid="{7565E62D-5E13-48E3-88F1-1426454C3022}"/>
    <cellStyle name="CustomizationGreenCells 3 34" xfId="15113" xr:uid="{8E1305D2-6C93-4FB0-AC6C-BD413E87189F}"/>
    <cellStyle name="CustomizationGreenCells 3 35" xfId="15698" xr:uid="{A9B2C7D7-B329-4C59-9697-7014E8F7F100}"/>
    <cellStyle name="CustomizationGreenCells 3 36" xfId="14528" xr:uid="{51795A64-5100-4872-93E4-916AFCC9E087}"/>
    <cellStyle name="CustomizationGreenCells 3 37" xfId="16326" xr:uid="{DF13EA40-3925-41DB-9FF8-AA82E1D1E5E6}"/>
    <cellStyle name="CustomizationGreenCells 3 38" xfId="16944" xr:uid="{37464944-69E4-452A-8BA9-DC8BA27E7333}"/>
    <cellStyle name="CustomizationGreenCells 3 39" xfId="17083" xr:uid="{23690F37-5243-45A1-A17E-C3AFF0B568A4}"/>
    <cellStyle name="CustomizationGreenCells 3 4" xfId="517" xr:uid="{9ECE9F69-FCDB-4ACB-86BA-33AE01D84D86}"/>
    <cellStyle name="CustomizationGreenCells 3 4 10" xfId="4932" xr:uid="{45C3A168-A0B2-42A2-B551-B80B5AFC41FF}"/>
    <cellStyle name="CustomizationGreenCells 3 4 11" xfId="5165" xr:uid="{993453C1-4611-4CBE-9A4A-2A5844E75E63}"/>
    <cellStyle name="CustomizationGreenCells 3 4 12" xfId="5110" xr:uid="{0B636050-80A8-4083-8032-B81E72375C88}"/>
    <cellStyle name="CustomizationGreenCells 3 4 13" xfId="6304" xr:uid="{7EEC1CD6-18D0-4256-8ACE-D9D774B30377}"/>
    <cellStyle name="CustomizationGreenCells 3 4 14" xfId="5992" xr:uid="{26B2E83D-84DE-4003-88BD-EA0328AB6368}"/>
    <cellStyle name="CustomizationGreenCells 3 4 15" xfId="7237" xr:uid="{6DC4669B-6B23-4991-810D-D3CC562C8E33}"/>
    <cellStyle name="CustomizationGreenCells 3 4 16" xfId="7857" xr:uid="{4E08CA7D-ECFF-445B-9D1E-E3AD69D34961}"/>
    <cellStyle name="CustomizationGreenCells 3 4 17" xfId="8249" xr:uid="{36DC6C88-3B0B-4090-A62A-CB7634CB5AA3}"/>
    <cellStyle name="CustomizationGreenCells 3 4 18" xfId="8101" xr:uid="{E3D04541-24DA-46C3-A497-99E145994D81}"/>
    <cellStyle name="CustomizationGreenCells 3 4 19" xfId="9451" xr:uid="{3D7D0920-64F9-4F3D-B132-E8F5D604234B}"/>
    <cellStyle name="CustomizationGreenCells 3 4 2" xfId="732" xr:uid="{17AE64D8-27E4-41D1-9185-7D166140EE7B}"/>
    <cellStyle name="CustomizationGreenCells 3 4 2 10" xfId="5380" xr:uid="{4F8E25FC-DB1D-4E13-8D20-96A905BF354E}"/>
    <cellStyle name="CustomizationGreenCells 3 4 2 11" xfId="5757" xr:uid="{208B54C4-6D10-4F7D-9574-AB75CFE70967}"/>
    <cellStyle name="CustomizationGreenCells 3 4 2 12" xfId="4899" xr:uid="{F069A61A-8DE3-4E83-A7F3-6D4925EA1052}"/>
    <cellStyle name="CustomizationGreenCells 3 4 2 13" xfId="6467" xr:uid="{F1B49EDA-431C-452D-8270-8AB390470519}"/>
    <cellStyle name="CustomizationGreenCells 3 4 2 14" xfId="7452" xr:uid="{56244D2A-80F5-4746-B7A4-04682CB0DFBE}"/>
    <cellStyle name="CustomizationGreenCells 3 4 2 15" xfId="6915" xr:uid="{2153041F-CE2B-4FA3-95B9-AC5CB467366E}"/>
    <cellStyle name="CustomizationGreenCells 3 4 2 16" xfId="8004" xr:uid="{4FEAEC9D-8455-4D38-8837-F6129BF51FD0}"/>
    <cellStyle name="CustomizationGreenCells 3 4 2 17" xfId="8707" xr:uid="{782D2C2C-BF82-4624-AED4-AC736B5E2036}"/>
    <cellStyle name="CustomizationGreenCells 3 4 2 18" xfId="9666" xr:uid="{63BC2F9C-205A-466A-983A-A811155DB1E7}"/>
    <cellStyle name="CustomizationGreenCells 3 4 2 19" xfId="9128" xr:uid="{38664CC3-2C14-48CD-BEBA-3FCB32438987}"/>
    <cellStyle name="CustomizationGreenCells 3 4 2 2" xfId="1206" xr:uid="{E6CB48D7-FD28-4136-9CA9-8EF9A1374A06}"/>
    <cellStyle name="CustomizationGreenCells 3 4 2 20" xfId="9895" xr:uid="{545B8D2B-7865-4EA3-BC7A-E97E05C34646}"/>
    <cellStyle name="CustomizationGreenCells 3 4 2 21" xfId="9978" xr:uid="{B685C56F-CCB7-490D-B100-717D49287960}"/>
    <cellStyle name="CustomizationGreenCells 3 4 2 22" xfId="11257" xr:uid="{94206B8B-BFE7-4C35-9883-6974AC815AF9}"/>
    <cellStyle name="CustomizationGreenCells 3 4 2 23" xfId="12085" xr:uid="{5CFD5559-5B68-427F-882A-14A9792130A3}"/>
    <cellStyle name="CustomizationGreenCells 3 4 2 24" xfId="12558" xr:uid="{2A96498C-3A7C-4352-9C3D-736C0AD97D76}"/>
    <cellStyle name="CustomizationGreenCells 3 4 2 25" xfId="12992" xr:uid="{2B38F0A1-5394-432B-9061-5ED072970A34}"/>
    <cellStyle name="CustomizationGreenCells 3 4 2 26" xfId="13429" xr:uid="{0CD9DA01-2FEB-4BD6-9EF2-5CD2E1734940}"/>
    <cellStyle name="CustomizationGreenCells 3 4 2 27" xfId="12244" xr:uid="{0C8EA68D-2D73-4323-AA98-FB004BD21E19}"/>
    <cellStyle name="CustomizationGreenCells 3 4 2 28" xfId="13818" xr:uid="{1DF593C1-F6D9-4789-8A31-E0337C9C6296}"/>
    <cellStyle name="CustomizationGreenCells 3 4 2 29" xfId="12526" xr:uid="{FA085BEB-8F87-4B30-89FE-17241F5C9EE1}"/>
    <cellStyle name="CustomizationGreenCells 3 4 2 3" xfId="1491" xr:uid="{B495961A-BB26-47B6-9BB7-0D717697FA24}"/>
    <cellStyle name="CustomizationGreenCells 3 4 2 30" xfId="15311" xr:uid="{036A298E-B31B-468B-86F7-6E3177F09E84}"/>
    <cellStyle name="CustomizationGreenCells 3 4 2 31" xfId="15713" xr:uid="{A73FEB36-1956-405D-939B-55177DE55924}"/>
    <cellStyle name="CustomizationGreenCells 3 4 2 32" xfId="15628" xr:uid="{AC77557E-518C-4316-B51C-43FC6EEBAC80}"/>
    <cellStyle name="CustomizationGreenCells 3 4 2 33" xfId="16777" xr:uid="{A5113EBC-9D56-4F20-A505-7EA7DB59385F}"/>
    <cellStyle name="CustomizationGreenCells 3 4 2 34" xfId="16232" xr:uid="{81905F54-C134-4ADE-B6F6-9A446D0CB189}"/>
    <cellStyle name="CustomizationGreenCells 3 4 2 35" xfId="17009" xr:uid="{5AB157DE-C2A6-4C06-96C5-812FCF6F5CCC}"/>
    <cellStyle name="CustomizationGreenCells 3 4 2 36" xfId="18050" xr:uid="{61F96B6D-87FA-4005-AA31-A768309BDFB8}"/>
    <cellStyle name="CustomizationGreenCells 3 4 2 37" xfId="18595" xr:uid="{81352900-4CCA-464C-9F1B-1A5A4E35929D}"/>
    <cellStyle name="CustomizationGreenCells 3 4 2 38" xfId="18787" xr:uid="{9C05A563-80C8-4BAA-9D18-6B7165E7B48E}"/>
    <cellStyle name="CustomizationGreenCells 3 4 2 39" xfId="18133" xr:uid="{E2382032-0BCD-4261-AD4F-EF5C7BFC7C4D}"/>
    <cellStyle name="CustomizationGreenCells 3 4 2 4" xfId="2554" xr:uid="{23B02267-FC0B-44D6-B2D1-19808D44B05A}"/>
    <cellStyle name="CustomizationGreenCells 3 4 2 40" xfId="20114" xr:uid="{19171DF9-494A-429C-8C31-96CE2298BF86}"/>
    <cellStyle name="CustomizationGreenCells 3 4 2 41" xfId="19565" xr:uid="{9D170EC5-890E-45A5-BDDD-04FF34EE0AD8}"/>
    <cellStyle name="CustomizationGreenCells 3 4 2 42" xfId="19521" xr:uid="{8174A68C-19B6-41BF-805A-4E5C5E86C67D}"/>
    <cellStyle name="CustomizationGreenCells 3 4 2 43" xfId="20290" xr:uid="{2C98FEFF-ED47-4FD3-B870-8EBF2A2475CE}"/>
    <cellStyle name="CustomizationGreenCells 3 4 2 44" xfId="20684" xr:uid="{299E2E48-E9BE-476D-8A5A-261939B97E52}"/>
    <cellStyle name="CustomizationGreenCells 3 4 2 45" xfId="21745" xr:uid="{77A8C565-9BA1-4938-B36F-144CE263EFAD}"/>
    <cellStyle name="CustomizationGreenCells 3 4 2 46" xfId="22200" xr:uid="{67197AB3-9ABF-4404-9FC1-E7DA1A45B37F}"/>
    <cellStyle name="CustomizationGreenCells 3 4 2 47" xfId="23059" xr:uid="{2E0D6847-6E67-4CC6-8007-2ABCACB0433B}"/>
    <cellStyle name="CustomizationGreenCells 3 4 2 48" xfId="23550" xr:uid="{BF1A70FD-2FC6-4CF3-991D-C4A8DB5A1754}"/>
    <cellStyle name="CustomizationGreenCells 3 4 2 49" xfId="23914" xr:uid="{23F3F2DC-4F78-4EC4-A431-A68DB267309D}"/>
    <cellStyle name="CustomizationGreenCells 3 4 2 5" xfId="1815" xr:uid="{BDE2F969-6CCA-479B-BC72-E3884FE8BACC}"/>
    <cellStyle name="CustomizationGreenCells 3 4 2 50" xfId="24822" xr:uid="{0A1E5219-E9FD-4C99-95A2-AB247AB2CF45}"/>
    <cellStyle name="CustomizationGreenCells 3 4 2 51" xfId="24286" xr:uid="{20D76290-4CB6-4758-AC85-1D7BECF1FCCF}"/>
    <cellStyle name="CustomizationGreenCells 3 4 2 52" xfId="25738" xr:uid="{FA92E4DE-978A-4E7A-9B16-C4DB0DA9AB9F}"/>
    <cellStyle name="CustomizationGreenCells 3 4 2 53" xfId="25054" xr:uid="{BDB6F257-D307-49AE-AC24-EA86A1FC5B14}"/>
    <cellStyle name="CustomizationGreenCells 3 4 2 54" xfId="26369" xr:uid="{DBD5DCFB-394A-438A-8760-9209E8479FC8}"/>
    <cellStyle name="CustomizationGreenCells 3 4 2 55" xfId="27026" xr:uid="{FB4E5AFA-E90F-4AFD-B376-7C3A9171F499}"/>
    <cellStyle name="CustomizationGreenCells 3 4 2 56" xfId="27445" xr:uid="{897AD3B2-7434-4922-82C5-9F654436A559}"/>
    <cellStyle name="CustomizationGreenCells 3 4 2 57" xfId="27779" xr:uid="{A3BAA042-A614-47D5-AD85-5ACE61A2CC21}"/>
    <cellStyle name="CustomizationGreenCells 3 4 2 58" xfId="28572" xr:uid="{7135439B-0E0E-49FA-AACF-1A3E68C094E8}"/>
    <cellStyle name="CustomizationGreenCells 3 4 2 59" xfId="29039" xr:uid="{658FFE21-71D5-45FB-9A77-807492BC0F95}"/>
    <cellStyle name="CustomizationGreenCells 3 4 2 6" xfId="3342" xr:uid="{1998FB54-89EF-4885-9501-1A047BA58A57}"/>
    <cellStyle name="CustomizationGreenCells 3 4 2 60" xfId="28510" xr:uid="{C38B6422-4581-4D7A-A11D-06C0CD76C032}"/>
    <cellStyle name="CustomizationGreenCells 3 4 2 61" xfId="29828" xr:uid="{5EFD828A-7045-4A8C-A162-4E4D1341CC2B}"/>
    <cellStyle name="CustomizationGreenCells 3 4 2 62" xfId="30234" xr:uid="{F3EC7E17-00BA-4509-999A-D06DB2B80900}"/>
    <cellStyle name="CustomizationGreenCells 3 4 2 63" xfId="30651" xr:uid="{539EA9D8-4DC7-42D7-9B63-A919983DCD0E}"/>
    <cellStyle name="CustomizationGreenCells 3 4 2 64" xfId="29261" xr:uid="{4ADE89E8-12F3-4497-8615-93C8E7F6B462}"/>
    <cellStyle name="CustomizationGreenCells 3 4 2 65" xfId="31267" xr:uid="{36E95BBF-6DF3-4A48-96C2-85AB833CA599}"/>
    <cellStyle name="CustomizationGreenCells 3 4 2 7" xfId="4050" xr:uid="{9AA502D5-739E-4C04-B30A-475161A59684}"/>
    <cellStyle name="CustomizationGreenCells 3 4 2 8" xfId="4487" xr:uid="{A326E2EA-006C-40D7-A09E-890C8960B189}"/>
    <cellStyle name="CustomizationGreenCells 3 4 2 9" xfId="3168" xr:uid="{4BD82A77-5948-4987-8734-5571C4581F76}"/>
    <cellStyle name="CustomizationGreenCells 3 4 20" xfId="10070" xr:uid="{4F64897D-2374-4D5D-9F34-0A4521DF3202}"/>
    <cellStyle name="CustomizationGreenCells 3 4 21" xfId="10487" xr:uid="{B9C325CB-196D-45F3-911C-9FD6D752CBCF}"/>
    <cellStyle name="CustomizationGreenCells 3 4 22" xfId="10980" xr:uid="{ACC4E315-EEE1-462F-9A8F-8CB3432852A6}"/>
    <cellStyle name="CustomizationGreenCells 3 4 23" xfId="9239" xr:uid="{E3CBFABA-7D50-4AE2-939F-E99517E67CF8}"/>
    <cellStyle name="CustomizationGreenCells 3 4 24" xfId="11870" xr:uid="{D47FF6EA-145C-47FC-8F10-6DCFA752A623}"/>
    <cellStyle name="CustomizationGreenCells 3 4 25" xfId="12343" xr:uid="{CF2F7A08-EABA-4DE0-8A18-D70811E6E13B}"/>
    <cellStyle name="CustomizationGreenCells 3 4 26" xfId="12777" xr:uid="{447857EF-D4DA-4472-AEFC-0C2BB2E52DAF}"/>
    <cellStyle name="CustomizationGreenCells 3 4 27" xfId="13214" xr:uid="{F2579478-38E0-4F59-8E4B-AAB2B13ABE3C}"/>
    <cellStyle name="CustomizationGreenCells 3 4 28" xfId="11454" xr:uid="{82586CB6-DFB1-4BB4-8BAD-C7940E8D8CEE}"/>
    <cellStyle name="CustomizationGreenCells 3 4 29" xfId="14146" xr:uid="{6D19F854-8E2C-419B-8CD6-93F390CDEF5F}"/>
    <cellStyle name="CustomizationGreenCells 3 4 3" xfId="1000" xr:uid="{42011DC1-A137-4F33-A1CD-BE2ECDFAE77D}"/>
    <cellStyle name="CustomizationGreenCells 3 4 30" xfId="14585" xr:uid="{94A72B57-09C0-40D2-86E7-2D2F2D0701B1}"/>
    <cellStyle name="CustomizationGreenCells 3 4 31" xfId="14945" xr:uid="{5902674E-70E1-441C-8278-E9EE61BCB794}"/>
    <cellStyle name="CustomizationGreenCells 3 4 32" xfId="14556" xr:uid="{8C6F9EE4-2C5F-4A5A-BC80-4B0C94696F59}"/>
    <cellStyle name="CustomizationGreenCells 3 4 33" xfId="15892" xr:uid="{F7E5127D-DB37-4FA8-A047-BA0D419D875E}"/>
    <cellStyle name="CustomizationGreenCells 3 4 34" xfId="16562" xr:uid="{48F71CC4-1709-4382-B177-F4EECADA33C2}"/>
    <cellStyle name="CustomizationGreenCells 3 4 35" xfId="17187" xr:uid="{DC958944-F50C-4CC3-B08A-72909E5955E6}"/>
    <cellStyle name="CustomizationGreenCells 3 4 36" xfId="17633" xr:uid="{91B0F91F-2408-4061-A3D2-B6DD9D0FF3C9}"/>
    <cellStyle name="CustomizationGreenCells 3 4 37" xfId="17464" xr:uid="{FC4E06D8-4909-4185-BA2B-406373B6B961}"/>
    <cellStyle name="CustomizationGreenCells 3 4 38" xfId="18380" xr:uid="{4B206AA8-7C3A-46CB-8499-BE08B15CDD80}"/>
    <cellStyle name="CustomizationGreenCells 3 4 39" xfId="18053" xr:uid="{88DAB83B-EC5C-4923-A7EB-D2B2B346EC2F}"/>
    <cellStyle name="CustomizationGreenCells 3 4 4" xfId="1680" xr:uid="{13FC4BE2-657B-4DDA-9B89-7D288AE06AA5}"/>
    <cellStyle name="CustomizationGreenCells 3 4 40" xfId="19244" xr:uid="{08F4C826-F11C-4699-86EC-43C994C67B15}"/>
    <cellStyle name="CustomizationGreenCells 3 4 41" xfId="19899" xr:uid="{85840D93-530F-4B7B-853F-0C96B56E302D}"/>
    <cellStyle name="CustomizationGreenCells 3 4 42" xfId="20540" xr:uid="{447F40C0-A92E-4F63-A636-735E8D4F3087}"/>
    <cellStyle name="CustomizationGreenCells 3 4 43" xfId="20993" xr:uid="{91407E57-72B3-432A-810D-C3224FB6FFDA}"/>
    <cellStyle name="CustomizationGreenCells 3 4 44" xfId="19823" xr:uid="{B5E39A94-C579-4CFF-AC08-28183192F0BA}"/>
    <cellStyle name="CustomizationGreenCells 3 4 45" xfId="21924" xr:uid="{F8E2E834-CA1A-4782-9F03-3794AE3B91A2}"/>
    <cellStyle name="CustomizationGreenCells 3 4 46" xfId="22358" xr:uid="{6489ECD9-EAE8-426B-BF5E-9EDB5AD5A3E2}"/>
    <cellStyle name="CustomizationGreenCells 3 4 47" xfId="21754" xr:uid="{E642745D-82BA-419F-B4AE-0918D384D8D1}"/>
    <cellStyle name="CustomizationGreenCells 3 4 48" xfId="22586" xr:uid="{59ABA36B-5A5F-4678-A549-17F863DD3544}"/>
    <cellStyle name="CustomizationGreenCells 3 4 49" xfId="23531" xr:uid="{2335E962-2F1C-4FDA-B613-F833B853E1B6}"/>
    <cellStyle name="CustomizationGreenCells 3 4 5" xfId="2339" xr:uid="{60367D11-6AE5-48AD-942D-4FA3BA3DAA32}"/>
    <cellStyle name="CustomizationGreenCells 3 4 50" xfId="23708" xr:uid="{06155926-B5EA-497B-A5FC-EE782ED928A1}"/>
    <cellStyle name="CustomizationGreenCells 3 4 51" xfId="24607" xr:uid="{CE0E475A-9C6E-454C-B06B-00D22F080AD2}"/>
    <cellStyle name="CustomizationGreenCells 3 4 52" xfId="25248" xr:uid="{DBD67862-0C87-4246-9A72-A5596AC588D5}"/>
    <cellStyle name="CustomizationGreenCells 3 4 53" xfId="25525" xr:uid="{7CDCABAE-383F-419E-92F5-D8A5B1DEE992}"/>
    <cellStyle name="CustomizationGreenCells 3 4 54" xfId="25066" xr:uid="{99A34F51-AB36-4E00-AAE6-3F6F35406D8B}"/>
    <cellStyle name="CustomizationGreenCells 3 4 55" xfId="26042" xr:uid="{D480DEC2-93AE-48F7-BA29-870448F54248}"/>
    <cellStyle name="CustomizationGreenCells 3 4 56" xfId="26815" xr:uid="{A80EF51A-0544-4286-BAAE-8C328D7CB9ED}"/>
    <cellStyle name="CustomizationGreenCells 3 4 57" xfId="27234" xr:uid="{206DB348-9FEA-44F4-AC27-F6188D0DBAE3}"/>
    <cellStyle name="CustomizationGreenCells 3 4 58" xfId="27709" xr:uid="{19C4C121-2E32-4B3E-904A-49D3AED0CEC9}"/>
    <cellStyle name="CustomizationGreenCells 3 4 59" xfId="28357" xr:uid="{8B3DC5BB-4889-4F3E-BB88-0CA8A2CF0AEA}"/>
    <cellStyle name="CustomizationGreenCells 3 4 6" xfId="2024" xr:uid="{C06F9978-DBA6-4040-A943-9507080B5132}"/>
    <cellStyle name="CustomizationGreenCells 3 4 60" xfId="28825" xr:uid="{5967B8D7-8254-4407-967F-82F7715D425F}"/>
    <cellStyle name="CustomizationGreenCells 3 4 61" xfId="29385" xr:uid="{521D72B0-C06C-4795-858C-7F1126D52D61}"/>
    <cellStyle name="CustomizationGreenCells 3 4 62" xfId="29615" xr:uid="{FC793F6C-1158-4978-9E6C-8F9718DE1421}"/>
    <cellStyle name="CustomizationGreenCells 3 4 63" xfId="30023" xr:uid="{FB7324F8-006F-47DB-860E-01D2783F5B71}"/>
    <cellStyle name="CustomizationGreenCells 3 4 64" xfId="30437" xr:uid="{208FC32D-0518-473D-9701-37B309422784}"/>
    <cellStyle name="CustomizationGreenCells 3 4 65" xfId="29391" xr:uid="{EA3FAB0C-2FF1-4D9C-8E51-3AE92ACD2701}"/>
    <cellStyle name="CustomizationGreenCells 3 4 66" xfId="31061" xr:uid="{8123FEDF-797D-4496-BA28-BD564A8848AE}"/>
    <cellStyle name="CustomizationGreenCells 3 4 7" xfId="3108" xr:uid="{233CF129-F4F1-4208-82E4-E714DEC876EF}"/>
    <cellStyle name="CustomizationGreenCells 3 4 8" xfId="3835" xr:uid="{545F7221-FE39-485C-9F9B-136B0AB4DC6C}"/>
    <cellStyle name="CustomizationGreenCells 3 4 9" xfId="4273" xr:uid="{931156DC-9F2F-4F21-B65B-5B5915BE6C81}"/>
    <cellStyle name="CustomizationGreenCells 3 40" xfId="18286" xr:uid="{33716F9D-434E-403B-A7C3-5568B7B7B11B}"/>
    <cellStyle name="CustomizationGreenCells 3 41" xfId="17950" xr:uid="{38D3972B-C3B7-4223-9A08-F5DE1E35CE87}"/>
    <cellStyle name="CustomizationGreenCells 3 42" xfId="19101" xr:uid="{E720578D-DA99-40A7-BA8A-BB1CF037FFC6}"/>
    <cellStyle name="CustomizationGreenCells 3 43" xfId="19235" xr:uid="{16623F2F-623A-42A6-AFEE-AA465681D4EA}"/>
    <cellStyle name="CustomizationGreenCells 3 44" xfId="19659" xr:uid="{D579F2F0-7EC1-4B78-96D5-6F3B3E4D22F0}"/>
    <cellStyle name="CustomizationGreenCells 3 45" xfId="20287" xr:uid="{CFF5C92F-C446-4C02-9806-9295215238C0}"/>
    <cellStyle name="CustomizationGreenCells 3 46" xfId="20644" xr:uid="{36B15E02-8981-4C82-AD44-23E7411AF952}"/>
    <cellStyle name="CustomizationGreenCells 3 47" xfId="21667" xr:uid="{D4469CF6-73F6-4260-B5F1-E171F899D817}"/>
    <cellStyle name="CustomizationGreenCells 3 48" xfId="21336" xr:uid="{6861C2C4-2395-42B6-86B4-27AFA458519E}"/>
    <cellStyle name="CustomizationGreenCells 3 49" xfId="21316" xr:uid="{2A7EA181-0B1A-47B7-808F-C849439B59AB}"/>
    <cellStyle name="CustomizationGreenCells 3 5" xfId="700" xr:uid="{DFA90F83-95EE-4ADF-AB28-864D9D0B1484}"/>
    <cellStyle name="CustomizationGreenCells 3 5 2" xfId="5348" xr:uid="{932FFE8C-B0BF-4F38-A141-ABA9BF482D8F}"/>
    <cellStyle name="CustomizationGreenCells 3 5 3" xfId="19014" xr:uid="{D45F0512-03A5-4770-A053-AAADFFB93DBF}"/>
    <cellStyle name="CustomizationGreenCells 3 50" xfId="22980" xr:uid="{573ABDBF-F9A0-4528-80C7-ECED999C8B26}"/>
    <cellStyle name="CustomizationGreenCells 3 51" xfId="23385" xr:uid="{DE3B3BC1-5D2A-4335-956D-B37C75732989}"/>
    <cellStyle name="CustomizationGreenCells 3 52" xfId="23474" xr:uid="{0B2B4825-7FB0-4071-B51D-95BDF8FF0EB4}"/>
    <cellStyle name="CustomizationGreenCells 3 53" xfId="19407" xr:uid="{D31B33DC-3D79-40CD-8953-2A88F02F32A7}"/>
    <cellStyle name="CustomizationGreenCells 3 54" xfId="24379" xr:uid="{8179E905-8E57-426A-BFF1-5FD89E5ECCB0}"/>
    <cellStyle name="CustomizationGreenCells 3 55" xfId="25028" xr:uid="{F74A7844-6CA7-40BD-A8C8-571E3912BBEE}"/>
    <cellStyle name="CustomizationGreenCells 3 56" xfId="25152" xr:uid="{7514D439-8A5D-4025-8E9C-A21D3A97A534}"/>
    <cellStyle name="CustomizationGreenCells 3 57" xfId="26150" xr:uid="{507D6D7F-A848-4E55-88A1-ACDC74CF611F}"/>
    <cellStyle name="CustomizationGreenCells 3 58" xfId="26094" xr:uid="{DC92846C-29A2-4271-A144-D52B6028E157}"/>
    <cellStyle name="CustomizationGreenCells 3 59" xfId="25340" xr:uid="{C2689C41-4140-42AB-81C9-535C682AC6BD}"/>
    <cellStyle name="CustomizationGreenCells 3 6" xfId="952" xr:uid="{A29D212F-3EA4-46D4-808D-029B882AF930}"/>
    <cellStyle name="CustomizationGreenCells 3 60" xfId="26091" xr:uid="{77A0C549-7DB7-477C-9394-876CADA47AD3}"/>
    <cellStyle name="CustomizationGreenCells 3 61" xfId="26808" xr:uid="{9686D3E7-85C3-4932-8082-7B0F92D06320}"/>
    <cellStyle name="CustomizationGreenCells 3 62" xfId="28150" xr:uid="{B91C90D5-3E52-44D8-A207-598F1057624F}"/>
    <cellStyle name="CustomizationGreenCells 3 63" xfId="28534" xr:uid="{08C84CC3-8CF2-4E3E-A609-49BF8621274B}"/>
    <cellStyle name="CustomizationGreenCells 3 64" xfId="28270" xr:uid="{A5A7AB6B-526C-404F-AE7B-F404D8204C7E}"/>
    <cellStyle name="CustomizationGreenCells 3 65" xfId="28775" xr:uid="{D7E88BCA-9A4C-4E24-8887-35A71BC7DE3D}"/>
    <cellStyle name="CustomizationGreenCells 3 66" xfId="28272" xr:uid="{53FF599A-D49C-43D9-8DAE-7E42802C23B5}"/>
    <cellStyle name="CustomizationGreenCells 3 67" xfId="30014" xr:uid="{2F33171B-4BB4-47FC-992B-3596485AA1BB}"/>
    <cellStyle name="CustomizationGreenCells 3 68" xfId="29336" xr:uid="{443043D9-3C17-4800-95DD-FF6252A98DBE}"/>
    <cellStyle name="CustomizationGreenCells 3 69" xfId="30856" xr:uid="{724FFA99-F4A6-4F35-8959-947897AEB880}"/>
    <cellStyle name="CustomizationGreenCells 3 7" xfId="1584" xr:uid="{FD189033-6091-408E-A692-D83840C6E07D}"/>
    <cellStyle name="CustomizationGreenCells 3 8" xfId="2099" xr:uid="{CBC5F6C9-B53E-406F-8D62-B7162FCF64AC}"/>
    <cellStyle name="CustomizationGreenCells 3 9" xfId="3182" xr:uid="{6BF73046-9E7F-487C-900B-D33EBDD3698F}"/>
    <cellStyle name="DocBox_EmptyRow" xfId="15" xr:uid="{0E983B7B-0025-438A-8AEE-CA3DB5662AD6}"/>
    <cellStyle name="Eingabe" xfId="2" xr:uid="{E0D7D84D-5758-486B-88BE-637DB6BC7FF6}"/>
    <cellStyle name="Eingabe 2" xfId="372" xr:uid="{EAB53CEA-AD2A-4F2F-98D5-A4108CF8A30F}"/>
    <cellStyle name="Eingabe 3" xfId="418" xr:uid="{D1BD14EE-E327-46CF-B4A0-24A5A44517A9}"/>
    <cellStyle name="Eingabe 3 10" xfId="3724" xr:uid="{F9451E32-2568-46CF-B9BC-AD9B7538927F}"/>
    <cellStyle name="Eingabe 3 11" xfId="4705" xr:uid="{C74CF674-F186-41FF-ACD0-CBD7273C3C1F}"/>
    <cellStyle name="Eingabe 3 12" xfId="4947" xr:uid="{60728EDE-8BA8-46DF-8871-825CDCCF2C99}"/>
    <cellStyle name="Eingabe 3 13" xfId="3614" xr:uid="{090D3BCD-CB33-4C9D-B842-90B71FB52A91}"/>
    <cellStyle name="Eingabe 3 14" xfId="6472" xr:uid="{3495FDBC-5CC2-4139-A2EF-2B59F9095E28}"/>
    <cellStyle name="Eingabe 3 15" xfId="7143" xr:uid="{8C5F0FA1-0D43-4D6C-A0FB-6564FBD43487}"/>
    <cellStyle name="Eingabe 3 16" xfId="7827" xr:uid="{B44AB4D7-A989-4281-8952-3761D4589C4E}"/>
    <cellStyle name="Eingabe 3 17" xfId="8604" xr:uid="{7C926E25-8F08-4C8E-AE45-F32B5699FBA4}"/>
    <cellStyle name="Eingabe 3 18" xfId="8719" xr:uid="{362F2C4C-8463-4EB9-82C3-E52E5563CB2F}"/>
    <cellStyle name="Eingabe 3 19" xfId="9358" xr:uid="{64A761F8-BAAB-4DB6-B115-9269056976D2}"/>
    <cellStyle name="Eingabe 3 2" xfId="654" xr:uid="{EF887CAE-2615-4D00-B92C-65EF39A4CB7E}"/>
    <cellStyle name="Eingabe 3 2 10" xfId="4914" xr:uid="{F468C520-2306-4F2C-BB9F-5C9FDD56D1DF}"/>
    <cellStyle name="Eingabe 3 2 11" xfId="5302" xr:uid="{2E398152-78EC-4904-B05F-10EE156D1B78}"/>
    <cellStyle name="Eingabe 3 2 12" xfId="5638" xr:uid="{C3DC84FF-6E9B-4F43-9AD2-1EC3F3D85B64}"/>
    <cellStyle name="Eingabe 3 2 13" xfId="5990" xr:uid="{D661566D-03F7-4E35-8FAF-ACBA999783A8}"/>
    <cellStyle name="Eingabe 3 2 14" xfId="6682" xr:uid="{500DCE59-F494-4D45-9FFA-63A830534180}"/>
    <cellStyle name="Eingabe 3 2 15" xfId="7374" xr:uid="{DF227A81-0067-4300-8970-AA8F0666E572}"/>
    <cellStyle name="Eingabe 3 2 16" xfId="6922" xr:uid="{27073681-E3F3-4D24-9D31-2E8AB6FEE448}"/>
    <cellStyle name="Eingabe 3 2 17" xfId="8098" xr:uid="{B024241C-8DE3-453E-AE2B-FB51EEBEBB2F}"/>
    <cellStyle name="Eingabe 3 2 18" xfId="8843" xr:uid="{2E1AE66B-090F-445E-AA6C-F605C18175B4}"/>
    <cellStyle name="Eingabe 3 2 19" xfId="9588" xr:uid="{A7726EDE-E32C-4591-91E1-1541609B7478}"/>
    <cellStyle name="Eingabe 3 2 2" xfId="869" xr:uid="{50BBFF85-97C3-4C2C-ABED-123DF58B5A75}"/>
    <cellStyle name="Eingabe 3 2 2 10" xfId="5517" xr:uid="{A1057280-8804-4BA7-8405-A1555131890F}"/>
    <cellStyle name="Eingabe 3 2 2 11" xfId="6011" xr:uid="{8641932D-F8DD-4024-B4A0-5C3A7F892325}"/>
    <cellStyle name="Eingabe 3 2 2 12" xfId="6370" xr:uid="{2FA8840C-CFEB-49C4-9242-8FDC2C9C3DF8}"/>
    <cellStyle name="Eingabe 3 2 2 13" xfId="6708" xr:uid="{48473138-BCFC-47D2-9732-998538E8C4B3}"/>
    <cellStyle name="Eingabe 3 2 2 14" xfId="7589" xr:uid="{B84A3465-ED03-4743-8D40-1021DB801352}"/>
    <cellStyle name="Eingabe 3 2 2 15" xfId="8053" xr:uid="{BEDB551D-82BC-49B3-BF64-4896A8D6C853}"/>
    <cellStyle name="Eingabe 3 2 2 16" xfId="8662" xr:uid="{91812A76-69C3-4934-BACD-4EE5C6FDCA51}"/>
    <cellStyle name="Eingabe 3 2 2 17" xfId="8921" xr:uid="{B8711481-F591-42E0-B0D7-9664486233B2}"/>
    <cellStyle name="Eingabe 3 2 2 18" xfId="9803" xr:uid="{35C5938E-2A57-4ECB-AD09-02BC30ACD22B}"/>
    <cellStyle name="Eingabe 3 2 2 19" xfId="10272" xr:uid="{E53F812B-7542-43E3-8A17-86B53DB89E4C}"/>
    <cellStyle name="Eingabe 3 2 2 2" xfId="1343" xr:uid="{ED64EE8E-ABE2-4947-AEFE-F99A8F32921F}"/>
    <cellStyle name="Eingabe 3 2 2 20" xfId="10666" xr:uid="{CE8CE689-0F10-4D09-87BB-CDF6817E64E0}"/>
    <cellStyle name="Eingabe 3 2 2 21" xfId="11015" xr:uid="{E0C9ED9B-CB3A-4B91-9D41-FC14D3495431}"/>
    <cellStyle name="Eingabe 3 2 2 22" xfId="11325" xr:uid="{DA0ED8C4-6E15-47F1-B9D7-F03F1E5197B6}"/>
    <cellStyle name="Eingabe 3 2 2 23" xfId="12222" xr:uid="{177C8103-389A-40E7-AE3A-4ABA15BF6D25}"/>
    <cellStyle name="Eingabe 3 2 2 24" xfId="12695" xr:uid="{2E696FEC-0BC7-489B-979E-14C416F524BE}"/>
    <cellStyle name="Eingabe 3 2 2 25" xfId="13129" xr:uid="{BE9D6D95-5E26-4CA2-9F60-82B1BE3C44A5}"/>
    <cellStyle name="Eingabe 3 2 2 26" xfId="13566" xr:uid="{A9524C0A-5BF4-4BFC-9482-980D61565696}"/>
    <cellStyle name="Eingabe 3 2 2 27" xfId="14038" xr:uid="{F61B3D05-AC01-407B-AF37-D49585DF309D}"/>
    <cellStyle name="Eingabe 3 2 2 28" xfId="14485" xr:uid="{4FD0C637-2CDE-43F6-90B3-0D22C28E6352}"/>
    <cellStyle name="Eingabe 3 2 2 29" xfId="14919" xr:uid="{D621D987-21A4-4241-BA15-C3D6553DB17F}"/>
    <cellStyle name="Eingabe 3 2 2 3" xfId="1792" xr:uid="{700C5427-4664-4538-B2D2-B97736EDCDF7}"/>
    <cellStyle name="Eingabe 3 2 2 30" xfId="15389" xr:uid="{FFC99BF0-899D-461D-8C87-901B5B41F4AC}"/>
    <cellStyle name="Eingabe 3 2 2 31" xfId="15779" xr:uid="{6B32CD64-F185-46BE-8011-B22435121CB0}"/>
    <cellStyle name="Eingabe 3 2 2 32" xfId="16001" xr:uid="{DC688CFC-B3B6-414C-A9BF-A33DE9A5E05D}"/>
    <cellStyle name="Eingabe 3 2 2 33" xfId="16914" xr:uid="{8CB047CD-4C77-44E8-A657-9B5ACE5D939F}"/>
    <cellStyle name="Eingabe 3 2 2 34" xfId="17395" xr:uid="{69E22B0B-CE30-4A63-A288-06DB580CB2BB}"/>
    <cellStyle name="Eingabe 3 2 2 35" xfId="17836" xr:uid="{C95647F1-FB46-4CF2-8427-48FC0C283305}"/>
    <cellStyle name="Eingabe 3 2 2 36" xfId="18311" xr:uid="{A8146135-0233-4D24-91BD-EA03AF7F4677}"/>
    <cellStyle name="Eingabe 3 2 2 37" xfId="18732" xr:uid="{6643CCFB-E1D2-4622-A1CB-77CE6EB357C0}"/>
    <cellStyle name="Eingabe 3 2 2 38" xfId="19119" xr:uid="{324AC385-B29A-40A1-85A7-1A5C39BDBE81}"/>
    <cellStyle name="Eingabe 3 2 2 39" xfId="19349" xr:uid="{77FFF3A5-4D89-47D3-9571-E6D6CE85D3A8}"/>
    <cellStyle name="Eingabe 3 2 2 4" xfId="2691" xr:uid="{D0F423A1-613F-4240-B3E2-56E3A048F47D}"/>
    <cellStyle name="Eingabe 3 2 2 40" xfId="20251" xr:uid="{2DC60B69-688F-4AC9-986B-95EDA7782F58}"/>
    <cellStyle name="Eingabe 3 2 2 41" xfId="20744" xr:uid="{E1D33D28-780D-4348-B7CC-0DA571D8E02F}"/>
    <cellStyle name="Eingabe 3 2 2 42" xfId="21203" xr:uid="{37A9FD6E-3469-48AC-8758-9C8200ADD920}"/>
    <cellStyle name="Eingabe 3 2 2 43" xfId="21695" xr:uid="{7C507A18-841D-40FB-80CD-D2097E343323}"/>
    <cellStyle name="Eingabe 3 2 2 44" xfId="22134" xr:uid="{BA513866-C83A-4463-AF04-C1AF6CA1F676}"/>
    <cellStyle name="Eingabe 3 2 2 45" xfId="22561" xr:uid="{BBF4A049-1CED-4BCD-85EB-AA186E87A29F}"/>
    <cellStyle name="Eingabe 3 2 2 46" xfId="23006" xr:uid="{2862B8A5-F4B6-4E66-822C-70764A66EF5D}"/>
    <cellStyle name="Eingabe 3 2 2 47" xfId="23408" xr:uid="{209B94BC-27B1-4B2A-A693-94E798B301AA}"/>
    <cellStyle name="Eingabe 3 2 2 48" xfId="23671" xr:uid="{F3AED53B-6E97-4AB8-8439-7F69395E920F}"/>
    <cellStyle name="Eingabe 3 2 2 49" xfId="24051" xr:uid="{92A58C15-6C55-438B-9D39-B6F9DC127CD6}"/>
    <cellStyle name="Eingabe 3 2 2 5" xfId="3211" xr:uid="{931FE8D4-C490-4AB6-9B90-1C1D53C55417}"/>
    <cellStyle name="Eingabe 3 2 2 50" xfId="24959" xr:uid="{9596BE4B-FF77-4AAF-A6BE-EC85B52C38F3}"/>
    <cellStyle name="Eingabe 3 2 2 51" xfId="25447" xr:uid="{111FAB0B-2384-4E18-B638-27DF1D5C27CB}"/>
    <cellStyle name="Eingabe 3 2 2 52" xfId="25875" xr:uid="{548D92FF-6AA6-43C2-80CD-0998AA55CC7E}"/>
    <cellStyle name="Eingabe 3 2 2 53" xfId="26313" xr:uid="{8F55A0C1-C90A-4CE1-BC2E-0E783FA6AA35}"/>
    <cellStyle name="Eingabe 3 2 2 54" xfId="26742" xr:uid="{6413C9DC-BAA4-4CC4-B67A-246F46519003}"/>
    <cellStyle name="Eingabe 3 2 2 55" xfId="27163" xr:uid="{A3C1B389-AB9F-43C1-8428-4E929A6FAEC5}"/>
    <cellStyle name="Eingabe 3 2 2 56" xfId="27582" xr:uid="{801C09DF-80F4-4734-B083-E48D632788F5}"/>
    <cellStyle name="Eingabe 3 2 2 57" xfId="25080" xr:uid="{7C61CB8C-9A46-4286-ABBA-EED8B2E3F517}"/>
    <cellStyle name="Eingabe 3 2 2 58" xfId="28709" xr:uid="{861F10F9-F177-4C32-8A12-1D5544D2C514}"/>
    <cellStyle name="Eingabe 3 2 2 59" xfId="29176" xr:uid="{AF63A925-FF95-48D2-8B9C-3CCF7A9524B8}"/>
    <cellStyle name="Eingabe 3 2 2 6" xfId="3766" xr:uid="{06AE26EC-34FE-452A-ACFF-8276782D5993}"/>
    <cellStyle name="Eingabe 3 2 2 60" xfId="29558" xr:uid="{D5E5669C-1331-4EAB-BC4F-BA29B8689AEF}"/>
    <cellStyle name="Eingabe 3 2 2 61" xfId="29965" xr:uid="{05A8E2DE-576F-4FEF-A23C-C5248ACA4E34}"/>
    <cellStyle name="Eingabe 3 2 2 62" xfId="30371" xr:uid="{D2CD8E62-DAA4-4726-9231-2C2CB759254F}"/>
    <cellStyle name="Eingabe 3 2 2 63" xfId="30788" xr:uid="{040C25C3-BCA9-47AD-BA96-E08C99CA89BD}"/>
    <cellStyle name="Eingabe 3 2 2 64" xfId="31033" xr:uid="{8CDBF9D3-5DA7-4A3A-B782-7B1AB3BC65FF}"/>
    <cellStyle name="Eingabe 3 2 2 65" xfId="31404" xr:uid="{F58F25DB-07AB-4C76-A8A8-751CE139C5BD}"/>
    <cellStyle name="Eingabe 3 2 2 7" xfId="4187" xr:uid="{DCE3AC72-5C8E-4C4F-9ADA-8A5CBBF69E92}"/>
    <cellStyle name="Eingabe 3 2 2 8" xfId="4624" xr:uid="{5868CE45-C1F2-4B8B-9C55-D46078D59847}"/>
    <cellStyle name="Eingabe 3 2 2 9" xfId="5070" xr:uid="{48C9C7FD-F4C7-48EC-8FA6-D5C204DAFF21}"/>
    <cellStyle name="Eingabe 3 2 20" xfId="9135" xr:uid="{CAA34F39-109B-46E1-9A33-3B371985270B}"/>
    <cellStyle name="Eingabe 3 2 21" xfId="10256" xr:uid="{0E3DDA4B-9C41-4C89-A91F-A6DBD4A97975}"/>
    <cellStyle name="Eingabe 3 2 22" xfId="9308" xr:uid="{806DDE7B-32F6-4EAE-A5A7-6D36BEA4C306}"/>
    <cellStyle name="Eingabe 3 2 23" xfId="11299" xr:uid="{278CDE4F-C4FE-4F82-BFB5-FC92CB82ED20}"/>
    <cellStyle name="Eingabe 3 2 24" xfId="12007" xr:uid="{F86F8EFC-027E-4866-81BA-47713F79AC29}"/>
    <cellStyle name="Eingabe 3 2 25" xfId="12480" xr:uid="{757A30BA-7627-4F44-B356-424003709D0B}"/>
    <cellStyle name="Eingabe 3 2 26" xfId="12914" xr:uid="{AACE4A0E-08BB-4A87-9B4F-A44672B3AA45}"/>
    <cellStyle name="Eingabe 3 2 27" xfId="13351" xr:uid="{B3FF4D47-99E3-4F3D-A600-CFEE7F7AF2F5}"/>
    <cellStyle name="Eingabe 3 2 28" xfId="11571" xr:uid="{16DC109A-FB93-456A-AAA9-BBC33EBBB9A9}"/>
    <cellStyle name="Eingabe 3 2 29" xfId="14129" xr:uid="{FD58B2A1-B12F-4EB7-8CFE-4892056C9B44}"/>
    <cellStyle name="Eingabe 3 2 3" xfId="1137" xr:uid="{78069D8D-B6EA-4706-A9D6-BF8C404D9185}"/>
    <cellStyle name="Eingabe 3 2 30" xfId="14086" xr:uid="{1D4C92DF-2744-4F40-AA72-D6C724F620BB}"/>
    <cellStyle name="Eingabe 3 2 31" xfId="15078" xr:uid="{9B491536-CF5D-4E48-A2AB-E0F5178486B8}"/>
    <cellStyle name="Eingabe 3 2 32" xfId="14950" xr:uid="{C22C8D8B-4731-4B12-83F3-0666CECBF97F}"/>
    <cellStyle name="Eingabe 3 2 33" xfId="15765" xr:uid="{0D907042-B83B-402B-88C2-7DF675174082}"/>
    <cellStyle name="Eingabe 3 2 34" xfId="16699" xr:uid="{9149FF99-C927-42DD-BDC0-A8052774EE12}"/>
    <cellStyle name="Eingabe 3 2 35" xfId="16239" xr:uid="{33AD5D4A-3676-43A6-8989-C2638E692458}"/>
    <cellStyle name="Eingabe 3 2 36" xfId="17378" xr:uid="{8EFD1C65-2889-4962-8762-0C9468BCA82E}"/>
    <cellStyle name="Eingabe 3 2 37" xfId="18256" xr:uid="{F7936898-9BD5-4B8D-A628-E523471C0066}"/>
    <cellStyle name="Eingabe 3 2 38" xfId="18517" xr:uid="{D34BCF6F-78CB-4BDC-80BF-7154E69617FB}"/>
    <cellStyle name="Eingabe 3 2 39" xfId="19079" xr:uid="{FCC20E61-84DC-4093-9D5C-79A7026222C2}"/>
    <cellStyle name="Eingabe 3 2 4" xfId="1749" xr:uid="{F101BCC8-C4E5-4305-A402-7AB6001C7105}"/>
    <cellStyle name="Eingabe 3 2 40" xfId="17906" xr:uid="{88DC63DB-D2D1-40DD-9E4B-D8E2CCF85DE3}"/>
    <cellStyle name="Eingabe 3 2 41" xfId="20036" xr:uid="{C0631B1D-5729-4CA5-A746-D72A1A8AC5FE}"/>
    <cellStyle name="Eingabe 3 2 42" xfId="19572" xr:uid="{8605F57C-2DB1-41F7-B52E-8E73D38A8B42}"/>
    <cellStyle name="Eingabe 3 2 43" xfId="19584" xr:uid="{FDBBF8CE-A00B-4AA7-8D94-3C3F476F0D2A}"/>
    <cellStyle name="Eingabe 3 2 44" xfId="21117" xr:uid="{DBA4F5A1-AE98-4421-A988-8C38DA9984AE}"/>
    <cellStyle name="Eingabe 3 2 45" xfId="21678" xr:uid="{BB2ED7B4-B535-47CB-9C9E-AF8578060AC7}"/>
    <cellStyle name="Eingabe 3 2 46" xfId="22117" xr:uid="{743D5796-6120-407B-ACC6-B1DF89EDB0FA}"/>
    <cellStyle name="Eingabe 3 2 47" xfId="21342" xr:uid="{942015D2-8510-49EA-BE4D-6B967C3B9AC5}"/>
    <cellStyle name="Eingabe 3 2 48" xfId="23357" xr:uid="{C4A579E6-191E-44BD-820E-A63BB356EC7B}"/>
    <cellStyle name="Eingabe 3 2 49" xfId="23369" xr:uid="{13073AB2-CB6C-4F9F-8AD6-3B5E934BA2A4}"/>
    <cellStyle name="Eingabe 3 2 5" xfId="2476" xr:uid="{CD38B7D4-32E0-4FC4-B3B1-6739302F340E}"/>
    <cellStyle name="Eingabe 3 2 50" xfId="23845" xr:uid="{24E22BFB-FA15-4CB9-A383-722A62350B29}"/>
    <cellStyle name="Eingabe 3 2 51" xfId="24744" xr:uid="{7B716046-F433-47DD-953E-D21768074AF8}"/>
    <cellStyle name="Eingabe 3 2 52" xfId="24293" xr:uid="{08F7F030-2CA4-4F3C-BC79-C1A0A8248A04}"/>
    <cellStyle name="Eingabe 3 2 53" xfId="25662" xr:uid="{BC3AD1D5-A792-4041-A2EA-29D7AE2B785E}"/>
    <cellStyle name="Eingabe 3 2 54" xfId="25320" xr:uid="{840A538F-DA1D-418E-B274-DB78209901E8}"/>
    <cellStyle name="Eingabe 3 2 55" xfId="24482" xr:uid="{6C0EFB54-7A5E-4FC6-B5A6-510E5C986A06}"/>
    <cellStyle name="Eingabe 3 2 56" xfId="26952" xr:uid="{194EBFB9-389A-45CB-BCF0-E956255C3B42}"/>
    <cellStyle name="Eingabe 3 2 57" xfId="27371" xr:uid="{5FD76A48-384B-4D98-9590-76EDA01FB362}"/>
    <cellStyle name="Eingabe 3 2 58" xfId="26565" xr:uid="{F29A738E-1307-4180-B36F-5DC771A427A4}"/>
    <cellStyle name="Eingabe 3 2 59" xfId="28494" xr:uid="{0B223660-1124-41C1-806B-1148C97AE9AC}"/>
    <cellStyle name="Eingabe 3 2 6" xfId="2076" xr:uid="{C49B2C62-56BE-4D7A-A543-EDC5AD250F74}"/>
    <cellStyle name="Eingabe 3 2 60" xfId="28962" xr:uid="{EC3A82DC-D56B-4553-8B30-3AF63BB4352C}"/>
    <cellStyle name="Eingabe 3 2 61" xfId="28088" xr:uid="{AF54D838-08F5-4AA1-B3A5-FB0833418843}"/>
    <cellStyle name="Eingabe 3 2 62" xfId="29752" xr:uid="{81420F78-4CEE-4646-A393-33D624B8A390}"/>
    <cellStyle name="Eingabe 3 2 63" xfId="30160" xr:uid="{A433AE5D-6DD3-4780-B9D4-345963865F62}"/>
    <cellStyle name="Eingabe 3 2 64" xfId="30574" xr:uid="{E2E85ACB-1C9A-4F80-A9C7-86EA40A7A9DB}"/>
    <cellStyle name="Eingabe 3 2 65" xfId="30868" xr:uid="{C8FA2B81-88EC-493A-8807-EA88541640BE}"/>
    <cellStyle name="Eingabe 3 2 66" xfId="31198" xr:uid="{FE43E14D-FF56-44C5-BFCF-92DDBA7B3CAE}"/>
    <cellStyle name="Eingabe 3 2 7" xfId="2937" xr:uid="{1E73BCCF-C10D-4CA3-9A1B-99FFEA26364E}"/>
    <cellStyle name="Eingabe 3 2 8" xfId="3972" xr:uid="{CD21D0E9-6D2A-4ECA-B687-21DDDC4604D1}"/>
    <cellStyle name="Eingabe 3 2 9" xfId="4410" xr:uid="{080B32DA-5668-4ED1-8CED-865050F75F62}"/>
    <cellStyle name="Eingabe 3 20" xfId="10039" xr:uid="{E0986D24-0EC8-4D4A-9AB4-5B21B2A372CC}"/>
    <cellStyle name="Eingabe 3 21" xfId="10876" xr:uid="{BBD29806-CDBE-4905-B250-653268D94921}"/>
    <cellStyle name="Eingabe 3 22" xfId="11771" xr:uid="{4268DD64-BB63-41AA-8E80-3F6FB8F36A5C}"/>
    <cellStyle name="Eingabe 3 23" xfId="12245" xr:uid="{5C7D0111-113A-417D-9966-E5C3D81FD9C1}"/>
    <cellStyle name="Eingabe 3 24" xfId="11350" xr:uid="{C19D0FAE-4CC7-4EB6-B8F5-06FAA09A0DBE}"/>
    <cellStyle name="Eingabe 3 25" xfId="11437" xr:uid="{7C76B7A1-A4CA-4EB5-BC93-08541530C2B5}"/>
    <cellStyle name="Eingabe 3 26" xfId="12522" xr:uid="{C7224FF3-2FA8-4B62-8801-F82F193F19E2}"/>
    <cellStyle name="Eingabe 3 27" xfId="12731" xr:uid="{2DE5773B-FE41-4883-8DE1-D2C9E4AE0A37}"/>
    <cellStyle name="Eingabe 3 28" xfId="15874" xr:uid="{14370EC4-D40A-4923-B847-FE5DBE1812F5}"/>
    <cellStyle name="Eingabe 3 29" xfId="16465" xr:uid="{FCF1D3C4-3680-42D3-9833-EFAF10B2074C}"/>
    <cellStyle name="Eingabe 3 3" xfId="643" xr:uid="{9A973A5C-A347-40AA-9B66-633AF7268A86}"/>
    <cellStyle name="Eingabe 3 3 10" xfId="4951" xr:uid="{CFDF04FC-7224-43EE-B5D6-F899824F0B98}"/>
    <cellStyle name="Eingabe 3 3 11" xfId="5291" xr:uid="{4E1AE41B-FAD6-4AC3-B200-6257F04ACA5D}"/>
    <cellStyle name="Eingabe 3 3 12" xfId="5567" xr:uid="{82A0808D-B86C-4E4C-ADC9-26F2936D5FC9}"/>
    <cellStyle name="Eingabe 3 3 13" xfId="2813" xr:uid="{94201B47-AF66-430C-BAC8-B3FB7800F37B}"/>
    <cellStyle name="Eingabe 3 3 14" xfId="6538" xr:uid="{D119C2F4-84E1-41FF-97A9-55F854A2E9C4}"/>
    <cellStyle name="Eingabe 3 3 15" xfId="7363" xr:uid="{C87D300E-1B44-4FB2-99CD-8DA3CF1C8D31}"/>
    <cellStyle name="Eingabe 3 3 16" xfId="7891" xr:uid="{DB854BEA-02BE-4E14-B11F-1CC4D6669608}"/>
    <cellStyle name="Eingabe 3 3 17" xfId="8543" xr:uid="{423A1D54-0D83-4155-A8D7-4048FC1ED521}"/>
    <cellStyle name="Eingabe 3 3 18" xfId="8864" xr:uid="{0BE0187E-E880-4B41-8D63-4EE4C9A76D7C}"/>
    <cellStyle name="Eingabe 3 3 19" xfId="9577" xr:uid="{0898903B-D2E3-4182-88E4-D2AB68EDFA06}"/>
    <cellStyle name="Eingabe 3 3 2" xfId="858" xr:uid="{13F193EB-297C-435F-B9EA-5B2BF8AFFD5F}"/>
    <cellStyle name="Eingabe 3 3 2 10" xfId="5506" xr:uid="{E9B6905D-4DFF-41C0-BDF4-9AD12EFB3DC3}"/>
    <cellStyle name="Eingabe 3 3 2 11" xfId="4652" xr:uid="{697F26E3-085E-4C1A-8CFF-66C228D8D6C9}"/>
    <cellStyle name="Eingabe 3 3 2 12" xfId="5578" xr:uid="{F2955E60-4D87-4072-9AFB-90765582B0BF}"/>
    <cellStyle name="Eingabe 3 3 2 13" xfId="6484" xr:uid="{A98E1AC8-317A-4114-B9B8-AB3E63B1ABB7}"/>
    <cellStyle name="Eingabe 3 3 2 14" xfId="7578" xr:uid="{59DBF6D6-6175-4764-B110-10984D1531CE}"/>
    <cellStyle name="Eingabe 3 3 2 15" xfId="7228" xr:uid="{EDAEE99D-0BC6-4D9B-82EC-4D85787BD2D3}"/>
    <cellStyle name="Eingabe 3 3 2 16" xfId="7911" xr:uid="{B4F86054-020F-446D-B770-C3EE993F961E}"/>
    <cellStyle name="Eingabe 3 3 2 17" xfId="8871" xr:uid="{D89C2260-F616-41AB-A8BB-31099682393F}"/>
    <cellStyle name="Eingabe 3 3 2 18" xfId="9792" xr:uid="{FAAD4958-DC12-48F3-A43C-F3C88D0750E8}"/>
    <cellStyle name="Eingabe 3 3 2 19" xfId="9632" xr:uid="{128E6B73-4431-4F5B-A791-3230AB2CEAC5}"/>
    <cellStyle name="Eingabe 3 3 2 2" xfId="1332" xr:uid="{4EC6C2BE-FB86-44E6-A481-3664D5ED81A6}"/>
    <cellStyle name="Eingabe 3 3 2 20" xfId="10109" xr:uid="{DDA44FB6-ECB2-4DD0-B204-F555AE35D84B}"/>
    <cellStyle name="Eingabe 3 3 2 21" xfId="10400" xr:uid="{301A88BC-65B0-4CBF-8754-AD124932727D}"/>
    <cellStyle name="Eingabe 3 3 2 22" xfId="10788" xr:uid="{F7CDDD36-DC96-4C4C-9350-C74F849FF663}"/>
    <cellStyle name="Eingabe 3 3 2 23" xfId="12211" xr:uid="{8B528968-4462-42D5-AA2D-BE5C6E0CC5B1}"/>
    <cellStyle name="Eingabe 3 3 2 24" xfId="12684" xr:uid="{5F7B5A52-956E-42C7-AAF4-3E6891266E9C}"/>
    <cellStyle name="Eingabe 3 3 2 25" xfId="13118" xr:uid="{8F356854-7AF1-4F7F-86E4-47EFB7BAD640}"/>
    <cellStyle name="Eingabe 3 3 2 26" xfId="13555" xr:uid="{410DBF8D-E5D8-408E-9048-55C0F62530FB}"/>
    <cellStyle name="Eingabe 3 3 2 27" xfId="13597" xr:uid="{63A6DB46-0419-40E1-850A-F50E6F3C8AA1}"/>
    <cellStyle name="Eingabe 3 3 2 28" xfId="14474" xr:uid="{CD4073FD-76B3-45F0-9D7E-7C5BCB9FE307}"/>
    <cellStyle name="Eingabe 3 3 2 29" xfId="13886" xr:uid="{08EBBB0A-F3B9-4B7A-9117-CBC7CFAF4E90}"/>
    <cellStyle name="Eingabe 3 3 2 3" xfId="1781" xr:uid="{725EE099-915C-445E-B426-36409EFC6D00}"/>
    <cellStyle name="Eingabe 3 3 2 30" xfId="14727" xr:uid="{A97E3F60-D389-4735-9282-E51FE9C294E8}"/>
    <cellStyle name="Eingabe 3 3 2 31" xfId="15496" xr:uid="{A95ED36C-2646-459C-AC8C-F0E7B7DEE056}"/>
    <cellStyle name="Eingabe 3 3 2 32" xfId="14421" xr:uid="{A1C8307A-553C-4C4A-8595-FE58911022B6}"/>
    <cellStyle name="Eingabe 3 3 2 33" xfId="16903" xr:uid="{B8CE10A6-33D3-4DF0-896F-351B10C97E78}"/>
    <cellStyle name="Eingabe 3 3 2 34" xfId="16553" xr:uid="{F447FA53-C816-4EEF-A40B-C6BD7963CC0B}"/>
    <cellStyle name="Eingabe 3 3 2 35" xfId="17228" xr:uid="{C5821D4B-51E3-47DD-AC21-85CD83629327}"/>
    <cellStyle name="Eingabe 3 3 2 36" xfId="16259" xr:uid="{C9C36E3C-A51B-4D82-BB61-85289ED7D07E}"/>
    <cellStyle name="Eingabe 3 3 2 37" xfId="18721" xr:uid="{06C9A81E-CFF8-4FE6-8710-7D5828539C96}"/>
    <cellStyle name="Eingabe 3 3 2 38" xfId="19064" xr:uid="{93C957AC-12AF-4D8A-8893-D07CF4E00CBD}"/>
    <cellStyle name="Eingabe 3 3 2 39" xfId="19160" xr:uid="{2E0DF384-7F0F-4A95-9DE1-4E62686324EC}"/>
    <cellStyle name="Eingabe 3 3 2 4" xfId="2680" xr:uid="{14CECC56-F016-466A-A58F-B1DFC9FE0EC6}"/>
    <cellStyle name="Eingabe 3 3 2 40" xfId="20240" xr:uid="{16E323E5-D0BD-40EF-B819-D59DC79E36C0}"/>
    <cellStyle name="Eingabe 3 3 2 41" xfId="19517" xr:uid="{A1C557AD-9222-47A8-88E9-68784E8C14DB}"/>
    <cellStyle name="Eingabe 3 3 2 42" xfId="20628" xr:uid="{804865CD-21C0-4DF1-99B2-F362C35CF825}"/>
    <cellStyle name="Eingabe 3 3 2 43" xfId="21644" xr:uid="{18F2CCCF-BA90-4A80-89DA-17DA4DF23FDC}"/>
    <cellStyle name="Eingabe 3 3 2 44" xfId="21119" xr:uid="{220F42EF-7657-42FE-B8EC-6D72C19DC4ED}"/>
    <cellStyle name="Eingabe 3 3 2 45" xfId="21260" xr:uid="{77CCC893-C0CF-4FDF-A36C-CB41EDA5251C}"/>
    <cellStyle name="Eingabe 3 3 2 46" xfId="22606" xr:uid="{E2DABE1F-4797-47D7-A0B7-7FFC7E78C5B4}"/>
    <cellStyle name="Eingabe 3 3 2 47" xfId="23340" xr:uid="{5BEAD57C-D395-441F-A02A-A6CD3F67038B}"/>
    <cellStyle name="Eingabe 3 3 2 48" xfId="22681" xr:uid="{E22DE4F7-62BA-4E23-91C4-BA17F1AACF6F}"/>
    <cellStyle name="Eingabe 3 3 2 49" xfId="24040" xr:uid="{AA633AFC-A8FD-4502-ADD8-48F7DB7637BA}"/>
    <cellStyle name="Eingabe 3 3 2 5" xfId="2763" xr:uid="{67547562-1F1E-4CCF-99DE-25F341BE011D}"/>
    <cellStyle name="Eingabe 3 3 2 50" xfId="24948" xr:uid="{AF7045E5-E7B1-42E4-8B4E-66EF68BB7F3F}"/>
    <cellStyle name="Eingabe 3 3 2 51" xfId="24232" xr:uid="{51A642B2-CFD3-4331-A53B-D58751C7FF9E}"/>
    <cellStyle name="Eingabe 3 3 2 52" xfId="25864" xr:uid="{5ED5F79B-FB2E-49CE-A5F3-88259AD9CD94}"/>
    <cellStyle name="Eingabe 3 3 2 53" xfId="25910" xr:uid="{D67E06E8-0365-4006-9623-F172540FA9E1}"/>
    <cellStyle name="Eingabe 3 3 2 54" xfId="26731" xr:uid="{A979DC11-97EF-46EF-B33A-79385CF341E1}"/>
    <cellStyle name="Eingabe 3 3 2 55" xfId="27152" xr:uid="{F9D43C0E-0DF8-4DD6-8B5E-EDA4FA11EDC2}"/>
    <cellStyle name="Eingabe 3 3 2 56" xfId="27571" xr:uid="{7029613D-3AAF-447D-9A6F-225389048611}"/>
    <cellStyle name="Eingabe 3 3 2 57" xfId="27227" xr:uid="{0AA76519-0AD6-4759-AE0D-0160D0A77D4C}"/>
    <cellStyle name="Eingabe 3 3 2 58" xfId="28698" xr:uid="{229A3E8A-EF27-4A27-B7A2-2717D85D9B94}"/>
    <cellStyle name="Eingabe 3 3 2 59" xfId="29165" xr:uid="{DC833544-E6CA-4728-8DAB-EA64EFF772CF}"/>
    <cellStyle name="Eingabe 3 3 2 6" xfId="2880" xr:uid="{9216375A-96B2-4953-9AAB-8F91EB481070}"/>
    <cellStyle name="Eingabe 3 3 2 60" xfId="28185" xr:uid="{8A7E7976-3B7F-4A07-BD34-F9FC44676A73}"/>
    <cellStyle name="Eingabe 3 3 2 61" xfId="29954" xr:uid="{3D33A73E-07C3-4790-B3DE-8EB0E0B6E654}"/>
    <cellStyle name="Eingabe 3 3 2 62" xfId="30360" xr:uid="{4A4B73DA-6250-4A10-B44D-CC7CB805701D}"/>
    <cellStyle name="Eingabe 3 3 2 63" xfId="30777" xr:uid="{9925D170-C204-44DF-A987-26E2B902CF92}"/>
    <cellStyle name="Eingabe 3 3 2 64" xfId="29585" xr:uid="{C28F22EF-D5E9-4CF6-98AD-7E5C958E2A7C}"/>
    <cellStyle name="Eingabe 3 3 2 65" xfId="31393" xr:uid="{E9CB26CE-BB8D-4241-A16F-C06344FD1EA6}"/>
    <cellStyle name="Eingabe 3 3 2 7" xfId="4176" xr:uid="{7BA527F3-1482-46A5-B77C-ECC96E562317}"/>
    <cellStyle name="Eingabe 3 3 2 8" xfId="4613" xr:uid="{D00413B3-6B83-489C-ADBC-44088C5EAFB1}"/>
    <cellStyle name="Eingabe 3 3 2 9" xfId="5059" xr:uid="{D8124410-A71E-490F-95D8-1C15521F5D9B}"/>
    <cellStyle name="Eingabe 3 3 20" xfId="10104" xr:uid="{71B4A937-BC3F-4D1C-9C69-B691029C5EB9}"/>
    <cellStyle name="Eingabe 3 3 21" xfId="10520" xr:uid="{DB4FAE5B-289F-48DA-B105-B104CCA0E12B}"/>
    <cellStyle name="Eingabe 3 3 22" xfId="10988" xr:uid="{C296E19C-EF78-48E0-8213-5B00FC99B9CD}"/>
    <cellStyle name="Eingabe 3 3 23" xfId="11241" xr:uid="{B861113A-799C-4669-8735-149F515261BA}"/>
    <cellStyle name="Eingabe 3 3 24" xfId="11996" xr:uid="{606CA317-3407-49D2-9A14-0E3A928994C2}"/>
    <cellStyle name="Eingabe 3 3 25" xfId="12469" xr:uid="{494D9424-E222-4A49-9FB6-FE203A49871B}"/>
    <cellStyle name="Eingabe 3 3 26" xfId="12903" xr:uid="{72C08854-9829-4B99-AA8B-18B1AADEEAB4}"/>
    <cellStyle name="Eingabe 3 3 27" xfId="13340" xr:uid="{743857BE-7167-4DF9-B905-295ABA513904}"/>
    <cellStyle name="Eingabe 3 3 28" xfId="13839" xr:uid="{404AC0B6-D3B5-46C6-B620-3929D5925C67}"/>
    <cellStyle name="Eingabe 3 3 29" xfId="14166" xr:uid="{ED630501-5D12-49AE-A11F-F5CB3F88E2F8}"/>
    <cellStyle name="Eingabe 3 3 3" xfId="1126" xr:uid="{D0005183-22FD-43DD-BC65-B84A26B8541C}"/>
    <cellStyle name="Eingabe 3 3 30" xfId="14690" xr:uid="{06836CA7-563C-488C-8D0C-415E6F8F21B7}"/>
    <cellStyle name="Eingabe 3 3 31" xfId="15321" xr:uid="{BBDDD999-F39A-4F1B-BF08-A2CB530B7B5C}"/>
    <cellStyle name="Eingabe 3 3 32" xfId="11659" xr:uid="{91310449-A4BC-44CE-BA07-C3680FCA4FD5}"/>
    <cellStyle name="Eingabe 3 3 33" xfId="15914" xr:uid="{4B2FF306-0556-492D-96CB-CDA054490D32}"/>
    <cellStyle name="Eingabe 3 3 34" xfId="16688" xr:uid="{FFCC55A3-60F5-4C82-AAC4-4EADFBD20098}"/>
    <cellStyle name="Eingabe 3 3 35" xfId="17223" xr:uid="{A2B0BB38-0E4E-4020-9560-4355EA69D92B}"/>
    <cellStyle name="Eingabe 3 3 36" xfId="17668" xr:uid="{CE5BA7B6-053A-4375-8B81-02C79ADC35A7}"/>
    <cellStyle name="Eingabe 3 3 37" xfId="17532" xr:uid="{6BAB9A0B-C345-4EEC-BE9E-94EC3D4C3641}"/>
    <cellStyle name="Eingabe 3 3 38" xfId="18506" xr:uid="{65708DC2-A315-4DE9-96A6-4CFDBAE39F63}"/>
    <cellStyle name="Eingabe 3 3 39" xfId="19057" xr:uid="{ED2E3FD5-03A0-434C-83A2-374CD4EF08BD}"/>
    <cellStyle name="Eingabe 3 3 4" xfId="1634" xr:uid="{6F1D6B51-A9BD-4126-897D-1C6A8A19EC4D}"/>
    <cellStyle name="Eingabe 3 3 40" xfId="19334" xr:uid="{E942D3D3-E839-4150-BCA0-B23EECCDF7F1}"/>
    <cellStyle name="Eingabe 3 3 41" xfId="20025" xr:uid="{1BE9E925-4E6F-4314-9DD4-CD1907FED932}"/>
    <cellStyle name="Eingabe 3 3 42" xfId="20576" xr:uid="{9050B071-7826-40B3-9565-7A973123E1F1}"/>
    <cellStyle name="Eingabe 3 3 43" xfId="21029" xr:uid="{2DD9BCBD-BFB1-4AF2-AADE-936776FD441A}"/>
    <cellStyle name="Eingabe 3 3 44" xfId="21356" xr:uid="{B78F01EE-E48C-4699-A1BB-848F3DB7FE8D}"/>
    <cellStyle name="Eingabe 3 3 45" xfId="21960" xr:uid="{650454E9-FD6D-42C3-9838-18AE46A140A2}"/>
    <cellStyle name="Eingabe 3 3 46" xfId="22391" xr:uid="{8C0E0D1B-B3EB-4224-868C-52934F90084E}"/>
    <cellStyle name="Eingabe 3 3 47" xfId="22825" xr:uid="{6BBC1028-19EB-4C52-9E93-45938C7B6385}"/>
    <cellStyle name="Eingabe 3 3 48" xfId="23334" xr:uid="{B4A61A39-4F3D-4CC5-A6CF-34712BB34382}"/>
    <cellStyle name="Eingabe 3 3 49" xfId="23539" xr:uid="{DCAE6A53-84C4-4BA5-B144-F4E7B1F68644}"/>
    <cellStyle name="Eingabe 3 3 5" xfId="2465" xr:uid="{1311E6E7-F8DC-4A9B-91C6-6F48D32FB2C8}"/>
    <cellStyle name="Eingabe 3 3 50" xfId="23834" xr:uid="{4033EAA1-0A21-49B0-9AF7-E8223E748A1A}"/>
    <cellStyle name="Eingabe 3 3 51" xfId="24733" xr:uid="{49B34E4D-97DC-48BB-8C47-781FEC8CB3B2}"/>
    <cellStyle name="Eingabe 3 3 52" xfId="25284" xr:uid="{E9C222F5-6A73-4C79-A9A2-969E34B765CB}"/>
    <cellStyle name="Eingabe 3 3 53" xfId="25651" xr:uid="{C33421EC-C041-4ED8-8FB0-639B9A757A42}"/>
    <cellStyle name="Eingabe 3 3 54" xfId="26129" xr:uid="{F89634AB-59CD-4429-AC54-BACFCD35973F}"/>
    <cellStyle name="Eingabe 3 3 55" xfId="26162" xr:uid="{C7C75C76-BE75-457B-8390-1054B5F73D29}"/>
    <cellStyle name="Eingabe 3 3 56" xfId="26941" xr:uid="{B822A0B1-4420-438F-8B24-CD36AE812EF5}"/>
    <cellStyle name="Eingabe 3 3 57" xfId="27360" xr:uid="{C478D749-0340-4B8D-93B7-23D538CA408C}"/>
    <cellStyle name="Eingabe 3 3 58" xfId="27417" xr:uid="{BA907004-C353-4F8D-9C2B-53168334F15F}"/>
    <cellStyle name="Eingabe 3 3 59" xfId="28483" xr:uid="{F21E1726-FC3A-4AE1-9206-85B16EDBAF7B}"/>
    <cellStyle name="Eingabe 3 3 6" xfId="3005" xr:uid="{E7F527D0-2F29-405A-A8C5-1D0046A5E93C}"/>
    <cellStyle name="Eingabe 3 3 60" xfId="28951" xr:uid="{C8CCE0D9-1E29-4D5C-A41B-6F5D803C53C0}"/>
    <cellStyle name="Eingabe 3 3 61" xfId="29412" xr:uid="{B15A67FA-F3D7-4843-B000-13A0AB605E89}"/>
    <cellStyle name="Eingabe 3 3 62" xfId="29741" xr:uid="{6A80227F-7E14-4112-842A-F51123C79521}"/>
    <cellStyle name="Eingabe 3 3 63" xfId="30149" xr:uid="{E4D1E8EF-45CF-47D2-AC4D-F4ACBEF608D3}"/>
    <cellStyle name="Eingabe 3 3 64" xfId="30563" xr:uid="{F72236F7-1794-4C8A-AF13-67E400D26942}"/>
    <cellStyle name="Eingabe 3 3 65" xfId="29238" xr:uid="{FEE003FA-BFD4-46B1-AB20-23FA90FD0464}"/>
    <cellStyle name="Eingabe 3 3 66" xfId="31187" xr:uid="{3CE90038-A6C2-4D5C-9099-5533D2E4362D}"/>
    <cellStyle name="Eingabe 3 3 7" xfId="2787" xr:uid="{76227686-98DD-46B0-A4A5-74774C39374D}"/>
    <cellStyle name="Eingabe 3 3 8" xfId="3961" xr:uid="{662225BC-F709-425B-8F8E-3999A0E2664E}"/>
    <cellStyle name="Eingabe 3 3 9" xfId="4399" xr:uid="{8A375DDB-0D01-4972-9349-B3B45E08C612}"/>
    <cellStyle name="Eingabe 3 30" xfId="17157" xr:uid="{B7BE54AA-4A99-4D58-BB3F-8CF7E1800F4A}"/>
    <cellStyle name="Eingabe 3 31" xfId="17373" xr:uid="{095585C6-E57C-4D3B-869C-393B70E3A09B}"/>
    <cellStyle name="Eingabe 3 32" xfId="17264" xr:uid="{6B4197DE-A269-40EC-87E8-6D8FD9542DA5}"/>
    <cellStyle name="Eingabe 3 33" xfId="18803" xr:uid="{88B0779C-8933-4ECC-BF9E-8BDFEA0E67D4}"/>
    <cellStyle name="Eingabe 3 34" xfId="19801" xr:uid="{638B9A2A-7899-42AC-B098-2C00FDD3E1A9}"/>
    <cellStyle name="Eingabe 3 35" xfId="20509" xr:uid="{1A795402-05DD-4B61-9E38-7A24CC0CC720}"/>
    <cellStyle name="Eingabe 3 36" xfId="22329" xr:uid="{09C05F7A-78A7-4CE5-A0C8-0DB7A9342114}"/>
    <cellStyle name="Eingabe 3 37" xfId="22088" xr:uid="{E17A0CB8-1C46-441D-8F4C-C9455DF8F48B}"/>
    <cellStyle name="Eingabe 3 38" xfId="23460" xr:uid="{B681DC92-E691-49A9-A289-87187A2843F1}"/>
    <cellStyle name="Eingabe 3 39" xfId="24511" xr:uid="{2571181F-E956-4D90-84AC-A25D33338D45}"/>
    <cellStyle name="Eingabe 3 4" xfId="534" xr:uid="{CCD1D185-4C91-44FE-977A-A626E2FD960E}"/>
    <cellStyle name="Eingabe 3 4 10" xfId="4459" xr:uid="{EAF14560-599A-4EDC-A9BE-C96E421F0CB5}"/>
    <cellStyle name="Eingabe 3 4 11" xfId="5182" xr:uid="{C6976C2A-3590-42CC-9A93-AF05C59C05E2}"/>
    <cellStyle name="Eingabe 3 4 12" xfId="5706" xr:uid="{80893E34-2146-43BA-8938-CBB76F216B39}"/>
    <cellStyle name="Eingabe 3 4 13" xfId="5741" xr:uid="{3FF37011-CE38-47F5-B9DF-0E81CA1E6FA4}"/>
    <cellStyle name="Eingabe 3 4 14" xfId="6397" xr:uid="{6CD16B67-0E1D-4A79-9E88-865AB7A34CD7}"/>
    <cellStyle name="Eingabe 3 4 15" xfId="7254" xr:uid="{2F76AC9A-376E-45EB-8496-61EB2B86044F}"/>
    <cellStyle name="Eingabe 3 4 16" xfId="7947" xr:uid="{B13E458F-73DD-4516-8F70-C385305E93CF}"/>
    <cellStyle name="Eingabe 3 4 17" xfId="7678" xr:uid="{B5687F04-F9BD-4EA9-9701-FF3602DF0931}"/>
    <cellStyle name="Eingabe 3 4 18" xfId="7798" xr:uid="{D709F241-BDFB-4187-A937-719C628F722B}"/>
    <cellStyle name="Eingabe 3 4 19" xfId="9468" xr:uid="{3C3F3C29-D201-4D0D-BE0F-FC0AF5C6D673}"/>
    <cellStyle name="Eingabe 3 4 2" xfId="749" xr:uid="{6702D5F8-BB58-4569-BC45-B859B2EA4A88}"/>
    <cellStyle name="Eingabe 3 4 2 10" xfId="5397" xr:uid="{91671315-5CEE-4590-A2BB-F6DAADDAF728}"/>
    <cellStyle name="Eingabe 3 4 2 11" xfId="4997" xr:uid="{9E75DB36-D27F-424E-9A07-2F746E1CC96B}"/>
    <cellStyle name="Eingabe 3 4 2 12" xfId="5558" xr:uid="{F2149F1C-52D8-4A14-AE7F-F51ADD0567EA}"/>
    <cellStyle name="Eingabe 3 4 2 13" xfId="6087" xr:uid="{4FC1CAD0-83C0-4CC3-ADBE-7EA574B95776}"/>
    <cellStyle name="Eingabe 3 4 2 14" xfId="7469" xr:uid="{8E4640EF-8804-4200-A24C-87B8DA06D5AF}"/>
    <cellStyle name="Eingabe 3 4 2 15" xfId="7112" xr:uid="{ABE0DEFE-7D90-4F7F-A3B5-7F21BEA5781D}"/>
    <cellStyle name="Eingabe 3 4 2 16" xfId="8355" xr:uid="{72D6A368-939B-4233-8C28-0568BDA58F70}"/>
    <cellStyle name="Eingabe 3 4 2 17" xfId="8206" xr:uid="{D68F257C-5189-4DFA-80B8-1FF380B88B53}"/>
    <cellStyle name="Eingabe 3 4 2 18" xfId="9683" xr:uid="{406FDF9F-7B9E-47D7-92AB-790DEAEB5541}"/>
    <cellStyle name="Eingabe 3 4 2 19" xfId="9198" xr:uid="{201086FB-B013-43C4-9A8B-26FEE8F97CC9}"/>
    <cellStyle name="Eingabe 3 4 2 2" xfId="1223" xr:uid="{F0DB0A5D-0628-4ABB-9105-A2106857E96E}"/>
    <cellStyle name="Eingabe 3 4 2 20" xfId="9390" xr:uid="{B812128B-C9CE-4AFB-AA0A-B254802F6BC7}"/>
    <cellStyle name="Eingabe 3 4 2 21" xfId="10853" xr:uid="{759E7B0F-8870-436A-A3E8-227B9F96C615}"/>
    <cellStyle name="Eingabe 3 4 2 22" xfId="11263" xr:uid="{D47307AA-95EC-45D8-9D60-2E0888050D29}"/>
    <cellStyle name="Eingabe 3 4 2 23" xfId="12102" xr:uid="{F8E77D04-8798-42B0-9EDB-266453F8D2E6}"/>
    <cellStyle name="Eingabe 3 4 2 24" xfId="12575" xr:uid="{99439CCE-1E30-49FE-81F6-620D7B738D37}"/>
    <cellStyle name="Eingabe 3 4 2 25" xfId="13009" xr:uid="{1203D521-730C-49E2-9AF5-63A22A502EF3}"/>
    <cellStyle name="Eingabe 3 4 2 26" xfId="13446" xr:uid="{F199E183-21F8-4E31-B635-F16235E93481}"/>
    <cellStyle name="Eingabe 3 4 2 27" xfId="11561" xr:uid="{FDA4EF0F-ADA6-43ED-81DC-FABC24ED83BB}"/>
    <cellStyle name="Eingabe 3 4 2 28" xfId="13642" xr:uid="{3D26B606-5AEE-4CDF-A252-A33F86333051}"/>
    <cellStyle name="Eingabe 3 4 2 29" xfId="13709" xr:uid="{6FF2BAAD-E4D6-4363-AAE7-D0CFB28974DF}"/>
    <cellStyle name="Eingabe 3 4 2 3" xfId="1567" xr:uid="{791E7FA5-7CE3-404A-B4AF-17A6A829C303}"/>
    <cellStyle name="Eingabe 3 4 2 30" xfId="14712" xr:uid="{2C76EC2D-DB45-4586-96A3-75F6C73017ED}"/>
    <cellStyle name="Eingabe 3 4 2 31" xfId="15618" xr:uid="{75F4458F-A3A8-4288-BE43-BAF9538F16D1}"/>
    <cellStyle name="Eingabe 3 4 2 32" xfId="15590" xr:uid="{373BB4C8-0D69-4990-B608-7F10446017B7}"/>
    <cellStyle name="Eingabe 3 4 2 33" xfId="16794" xr:uid="{53A580BD-231D-43E5-8636-AE8F4176B4AF}"/>
    <cellStyle name="Eingabe 3 4 2 34" xfId="16434" xr:uid="{B0169276-350F-4360-A4C0-4597A6F4F446}"/>
    <cellStyle name="Eingabe 3 4 2 35" xfId="16269" xr:uid="{2056AD3A-78D0-4907-AB73-B00D1025EFF5}"/>
    <cellStyle name="Eingabe 3 4 2 36" xfId="16495" xr:uid="{1503431E-0EA5-4590-8485-FFCFC3C49AF4}"/>
    <cellStyle name="Eingabe 3 4 2 37" xfId="18612" xr:uid="{CB258FFC-4BBF-4BF7-8ADA-D5F772D8D2A8}"/>
    <cellStyle name="Eingabe 3 4 2 38" xfId="18041" xr:uid="{F9F24D55-94DF-46FE-B19C-A89AC5F5C473}"/>
    <cellStyle name="Eingabe 3 4 2 39" xfId="17886" xr:uid="{A0A210E4-E316-4B23-BFCD-5CCFB53E13F5}"/>
    <cellStyle name="Eingabe 3 4 2 4" xfId="2571" xr:uid="{D162E2A2-DF51-4118-BE4E-E01570D6371D}"/>
    <cellStyle name="Eingabe 3 4 2 40" xfId="20131" xr:uid="{9E77E04A-31D7-46DD-9A57-CE41BBB5E3EF}"/>
    <cellStyle name="Eingabe 3 4 2 41" xfId="19479" xr:uid="{2B3BF785-EA06-476A-ADF6-459791E4F834}"/>
    <cellStyle name="Eingabe 3 4 2 42" xfId="20340" xr:uid="{6ADE3E55-3A7F-4275-8B17-67D251E6A624}"/>
    <cellStyle name="Eingabe 3 4 2 43" xfId="20291" xr:uid="{5C4B0640-1CC2-4A55-9904-83320B095C3D}"/>
    <cellStyle name="Eingabe 3 4 2 44" xfId="21653" xr:uid="{57C49047-5827-4AC3-88AD-DABACED68B73}"/>
    <cellStyle name="Eingabe 3 4 2 45" xfId="21742" xr:uid="{7BDD4D56-EBBD-408D-84E8-ABDCFE6520EA}"/>
    <cellStyle name="Eingabe 3 4 2 46" xfId="22401" xr:uid="{D55B8FE8-B4D7-45DA-94DB-005A7477720D}"/>
    <cellStyle name="Eingabe 3 4 2 47" xfId="22460" xr:uid="{092662EB-ED27-4F52-A00C-87E1FB6FC397}"/>
    <cellStyle name="Eingabe 3 4 2 48" xfId="23582" xr:uid="{46E89E3B-051C-479F-AFD2-27B71527E133}"/>
    <cellStyle name="Eingabe 3 4 2 49" xfId="23931" xr:uid="{ED5C79B0-128B-4D10-A602-774E6A68ABD5}"/>
    <cellStyle name="Eingabe 3 4 2 5" xfId="1840" xr:uid="{66C8891D-A276-4D97-9C32-0DF00678FF57}"/>
    <cellStyle name="Eingabe 3 4 2 50" xfId="24839" xr:uid="{4F550003-24D0-4C08-A140-15CA734D5698}"/>
    <cellStyle name="Eingabe 3 4 2 51" xfId="24312" xr:uid="{8C05FC15-4C8C-48EC-BD95-799ED5676ECE}"/>
    <cellStyle name="Eingabe 3 4 2 52" xfId="25755" xr:uid="{11BC9469-651A-464E-BB72-E19644F6D74F}"/>
    <cellStyle name="Eingabe 3 4 2 53" xfId="24995" xr:uid="{9B4AD278-6B51-4C8B-A4B2-DC2469CD01DD}"/>
    <cellStyle name="Eingabe 3 4 2 54" xfId="26179" xr:uid="{D8F187F3-1220-4FD0-A3B1-F9F36BAD568B}"/>
    <cellStyle name="Eingabe 3 4 2 55" xfId="27043" xr:uid="{460F72A5-2562-4591-A51E-EB59B0396B0B}"/>
    <cellStyle name="Eingabe 3 4 2 56" xfId="27462" xr:uid="{F3CD32FB-F66C-4C06-867A-334CC4B3082A}"/>
    <cellStyle name="Eingabe 3 4 2 57" xfId="26694" xr:uid="{93D9EFA9-1945-4738-A688-6850B1225C5D}"/>
    <cellStyle name="Eingabe 3 4 2 58" xfId="28589" xr:uid="{3FCFB836-618A-4BDA-9CDA-9EA74354C55A}"/>
    <cellStyle name="Eingabe 3 4 2 59" xfId="29056" xr:uid="{2C3438E4-BFC6-4810-BE7F-C23C0A83F3A7}"/>
    <cellStyle name="Eingabe 3 4 2 6" xfId="2893" xr:uid="{3B8F5F92-E94F-4CDD-B1CD-D724EFCA20D1}"/>
    <cellStyle name="Eingabe 3 4 2 60" xfId="28171" xr:uid="{09023CC5-C89D-41AE-A490-74DECC1A1728}"/>
    <cellStyle name="Eingabe 3 4 2 61" xfId="29845" xr:uid="{000E1984-A97D-4868-ADB9-43E16927651B}"/>
    <cellStyle name="Eingabe 3 4 2 62" xfId="30251" xr:uid="{C7CA80D2-FDB4-4967-8388-527D024A0D3E}"/>
    <cellStyle name="Eingabe 3 4 2 63" xfId="30668" xr:uid="{95D2FA90-8A0E-4DAC-8063-0AF4BB6F9108}"/>
    <cellStyle name="Eingabe 3 4 2 64" xfId="30396" xr:uid="{E9C3D114-EA79-44B1-879C-F53C61E0DE72}"/>
    <cellStyle name="Eingabe 3 4 2 65" xfId="31284" xr:uid="{5378F1F5-0F82-47E3-AB8D-B45EC10CF1CB}"/>
    <cellStyle name="Eingabe 3 4 2 7" xfId="4067" xr:uid="{A02F9BDD-011B-475C-9DB9-FE4A7B31B380}"/>
    <cellStyle name="Eingabe 3 4 2 8" xfId="4504" xr:uid="{32B25CFA-0F7C-4DC5-A057-393B0E49B438}"/>
    <cellStyle name="Eingabe 3 4 2 9" xfId="2741" xr:uid="{7B0FBA78-8658-4E86-B295-54190917D9E8}"/>
    <cellStyle name="Eingabe 3 4 20" xfId="10161" xr:uid="{80B7D361-5743-4613-B7F1-73C586194B7F}"/>
    <cellStyle name="Eingabe 3 4 21" xfId="10569" xr:uid="{41D87878-3A96-40BF-90CA-E02DCB0B9FB9}"/>
    <cellStyle name="Eingabe 3 4 22" xfId="9299" xr:uid="{6DDAC4BE-298F-47C9-AD44-47F2BF944361}"/>
    <cellStyle name="Eingabe 3 4 23" xfId="10813" xr:uid="{A2849D4F-F68F-4444-BFDB-A2B3ACF8AD65}"/>
    <cellStyle name="Eingabe 3 4 24" xfId="11887" xr:uid="{40419323-86A5-427B-B1C9-C4F5876B9973}"/>
    <cellStyle name="Eingabe 3 4 25" xfId="12360" xr:uid="{FD543278-5D0D-4DFA-B4FE-593F4EC581D2}"/>
    <cellStyle name="Eingabe 3 4 26" xfId="12794" xr:uid="{40C2B7C4-DEDD-4826-845D-B1F211D3DF63}"/>
    <cellStyle name="Eingabe 3 4 27" xfId="13231" xr:uid="{11702C35-3236-4F23-AF8D-C2AF2E44AF93}"/>
    <cellStyle name="Eingabe 3 4 28" xfId="13177" xr:uid="{5ACD181E-D590-40A2-B88D-03EAF1165B45}"/>
    <cellStyle name="Eingabe 3 4 29" xfId="13817" xr:uid="{1396846C-680B-4916-B36B-41CADAE50E5C}"/>
    <cellStyle name="Eingabe 3 4 3" xfId="1017" xr:uid="{642BA5C6-DD0D-47E3-9FF3-79546D00E7C0}"/>
    <cellStyle name="Eingabe 3 4 30" xfId="14798" xr:uid="{1E4E8552-94F8-44EC-9AD0-9029344301F5}"/>
    <cellStyle name="Eingabe 3 4 31" xfId="11794" xr:uid="{84390BA9-67F5-4E64-9F36-DE45548BDE5A}"/>
    <cellStyle name="Eingabe 3 4 32" xfId="15434" xr:uid="{F0956E39-1AF8-4B3B-B7A7-06FB205B64DF}"/>
    <cellStyle name="Eingabe 3 4 33" xfId="15942" xr:uid="{4071AF2A-AB81-4581-A916-9BA08B845D9E}"/>
    <cellStyle name="Eingabe 3 4 34" xfId="16579" xr:uid="{60C2D009-73F0-4D3C-8153-52E41B4AE774}"/>
    <cellStyle name="Eingabe 3 4 35" xfId="17280" xr:uid="{E5CBA05E-AB67-489E-AB87-9CB93BF9788A}"/>
    <cellStyle name="Eingabe 3 4 36" xfId="17723" xr:uid="{44C36BF3-3ED1-4B8A-AA64-5678867643F2}"/>
    <cellStyle name="Eingabe 3 4 37" xfId="18176" xr:uid="{943ACF7D-83DB-4A16-AABD-A2DCAA8D016B}"/>
    <cellStyle name="Eingabe 3 4 38" xfId="18397" xr:uid="{60109C9E-C323-42DC-9909-840D64C3F695}"/>
    <cellStyle name="Eingabe 3 4 39" xfId="17940" xr:uid="{4D8DF206-E907-40B3-91A9-39FEA7CC7DCE}"/>
    <cellStyle name="Eingabe 3 4 4" xfId="1700" xr:uid="{23C59E97-ABD4-4735-B769-DDF568018D46}"/>
    <cellStyle name="Eingabe 3 4 40" xfId="17860" xr:uid="{48984724-9E3E-4983-A385-16F20FE377C0}"/>
    <cellStyle name="Eingabe 3 4 41" xfId="19916" xr:uid="{61D766E0-8D85-41C4-A8E7-F0A21A1E14AA}"/>
    <cellStyle name="Eingabe 3 4 42" xfId="20631" xr:uid="{452D0846-9824-47B0-B1AB-AAC0E5632942}"/>
    <cellStyle name="Eingabe 3 4 43" xfId="21086" xr:uid="{72004DC2-12F9-4138-BA21-9A884CD4D22B}"/>
    <cellStyle name="Eingabe 3 4 44" xfId="20492" xr:uid="{725E3103-BAA2-4F34-8657-D7B1AC32B13A}"/>
    <cellStyle name="Eingabe 3 4 45" xfId="22017" xr:uid="{27A39B5A-8F6A-458A-A64D-DFAFB0AFB796}"/>
    <cellStyle name="Eingabe 3 4 46" xfId="22447" xr:uid="{C58D6D21-0711-4819-9557-346B3963AB54}"/>
    <cellStyle name="Eingabe 3 4 47" xfId="22374" xr:uid="{8C63DC98-8626-4EB7-B3F8-67CC2E69C22E}"/>
    <cellStyle name="Eingabe 3 4 48" xfId="22795" xr:uid="{5C5C76BC-0DBB-450D-96F3-E2E47E26A9B2}"/>
    <cellStyle name="Eingabe 3 4 49" xfId="23185" xr:uid="{95D78C95-A4C7-4AE1-8B36-40235CDD2B59}"/>
    <cellStyle name="Eingabe 3 4 5" xfId="2356" xr:uid="{49E00E53-9125-43AA-9814-81E4129D0BD5}"/>
    <cellStyle name="Eingabe 3 4 50" xfId="23725" xr:uid="{4B270B91-2E27-45A0-955A-B984E535497C}"/>
    <cellStyle name="Eingabe 3 4 51" xfId="24624" xr:uid="{D205353E-7877-4E59-BF75-5AB8FF8B2EB9}"/>
    <cellStyle name="Eingabe 3 4 52" xfId="25334" xr:uid="{3EAE02D2-493E-46FD-830F-C23F0A30D350}"/>
    <cellStyle name="Eingabe 3 4 53" xfId="25542" xr:uid="{AD093C45-932B-4CAD-9D44-D59D6D3CBEA1}"/>
    <cellStyle name="Eingabe 3 4 54" xfId="24255" xr:uid="{AF31947D-ED10-45F8-8FC4-EEA7B493287C}"/>
    <cellStyle name="Eingabe 3 4 55" xfId="26032" xr:uid="{BAA51CE8-2C3A-4937-9A87-FA04833E73FE}"/>
    <cellStyle name="Eingabe 3 4 56" xfId="26832" xr:uid="{402A80A3-ED8E-4AA9-866B-BAC2DB98641F}"/>
    <cellStyle name="Eingabe 3 4 57" xfId="27251" xr:uid="{A8D0A673-A80C-4261-BE9F-E701B5080087}"/>
    <cellStyle name="Eingabe 3 4 58" xfId="27705" xr:uid="{171F9CA2-48A1-4C89-8410-C2E3AD6BE809}"/>
    <cellStyle name="Eingabe 3 4 59" xfId="28374" xr:uid="{F935303E-D5E3-4C5D-8595-0B9925D1FBA1}"/>
    <cellStyle name="Eingabe 3 4 6" xfId="2152" xr:uid="{841E7792-5485-4658-A767-5F9FEBFF1CCF}"/>
    <cellStyle name="Eingabe 3 4 60" xfId="28842" xr:uid="{CC5871F4-5C05-43C2-9230-A520E3709604}"/>
    <cellStyle name="Eingabe 3 4 61" xfId="29458" xr:uid="{4B202883-7089-47F7-9DFC-15C877C9AFBA}"/>
    <cellStyle name="Eingabe 3 4 62" xfId="29632" xr:uid="{A6098D45-21EB-4039-8C11-7FAD986595F5}"/>
    <cellStyle name="Eingabe 3 4 63" xfId="30040" xr:uid="{72B27326-8D39-4A2D-8A99-91E93B096A20}"/>
    <cellStyle name="Eingabe 3 4 64" xfId="30454" xr:uid="{FC591C53-F6CD-40D7-BDCF-98EBC92AFF27}"/>
    <cellStyle name="Eingabe 3 4 65" xfId="30965" xr:uid="{B08FB85A-6D9A-4237-AB71-117FA24D0F91}"/>
    <cellStyle name="Eingabe 3 4 66" xfId="31078" xr:uid="{DAF4E378-36A8-4F5E-BEE9-ADD83451DD2B}"/>
    <cellStyle name="Eingabe 3 4 7" xfId="3335" xr:uid="{EC1F4AC3-CF80-456B-BF2A-8F2939763F72}"/>
    <cellStyle name="Eingabe 3 4 8" xfId="3852" xr:uid="{7642E752-A8F5-4E00-9A55-F70CF43CF99E}"/>
    <cellStyle name="Eingabe 3 4 9" xfId="4290" xr:uid="{C6A17007-C4A8-496D-B9F8-1EBB9246C470}"/>
    <cellStyle name="Eingabe 3 40" xfId="25218" xr:uid="{67BCA9F6-20C4-42AA-A3FE-7B87F204B947}"/>
    <cellStyle name="Eingabe 3 41" xfId="25037" xr:uid="{BB49F1E3-49FC-4013-951E-A784F805BE58}"/>
    <cellStyle name="Eingabe 3 42" xfId="25062" xr:uid="{02349FB4-C175-4C90-A162-9A63AF1D9E18}"/>
    <cellStyle name="Eingabe 3 43" xfId="25060" xr:uid="{38AB81DB-B979-4953-8B47-93A0D9909349}"/>
    <cellStyle name="Eingabe 3 44" xfId="24539" xr:uid="{FEC9EED1-BEF3-4CC8-9CB7-6F59241C418B}"/>
    <cellStyle name="Eingabe 3 45" xfId="27672" xr:uid="{D638B384-3634-4069-BF0F-0140BB4C9277}"/>
    <cellStyle name="Eingabe 3 46" xfId="28273" xr:uid="{B4461C9E-E53D-4A7E-850E-0D835946AF3C}"/>
    <cellStyle name="Eingabe 3 47" xfId="28736" xr:uid="{AE73C48C-D453-47A4-8648-DF1B49FCBD9E}"/>
    <cellStyle name="Eingabe 3 48" xfId="28238" xr:uid="{FA25E4B8-01F6-4F68-B684-3D9F0B8D616E}"/>
    <cellStyle name="Eingabe 3 49" xfId="28335" xr:uid="{F083AF35-30E8-459E-A06A-DF5478E87C0B}"/>
    <cellStyle name="Eingabe 3 5" xfId="717" xr:uid="{2ADF658C-B8C9-4170-9705-BC1C66FE51A0}"/>
    <cellStyle name="Eingabe 3 5 10" xfId="5365" xr:uid="{B5B825E5-A728-4004-A7DB-039433DDBA17}"/>
    <cellStyle name="Eingabe 3 5 11" xfId="4867" xr:uid="{7C0140F2-E010-433A-957D-CAC0C84724A8}"/>
    <cellStyle name="Eingabe 3 5 12" xfId="5762" xr:uid="{85BB202F-7BD6-4AB1-AA02-48FECD55AD61}"/>
    <cellStyle name="Eingabe 3 5 13" xfId="6088" xr:uid="{2CCD8EC6-1AC0-4C11-B736-FA3D50278B64}"/>
    <cellStyle name="Eingabe 3 5 14" xfId="7437" xr:uid="{1AA6216D-7B52-413B-9781-75FB025A4C85}"/>
    <cellStyle name="Eingabe 3 5 15" xfId="7918" xr:uid="{8D835EAA-5DA8-4598-A724-4EDA9B2BCCEA}"/>
    <cellStyle name="Eingabe 3 5 16" xfId="8629" xr:uid="{FD60769A-839C-4BC9-AA4E-1FB77095E03D}"/>
    <cellStyle name="Eingabe 3 5 17" xfId="8746" xr:uid="{6E238CD8-9451-46D1-B707-4E213C58EB6E}"/>
    <cellStyle name="Eingabe 3 5 18" xfId="9651" xr:uid="{1840C96C-802C-4FBD-8166-D99F8E155534}"/>
    <cellStyle name="Eingabe 3 5 19" xfId="10132" xr:uid="{F708686B-DCFC-44B1-A22E-FDFC9997BD0B}"/>
    <cellStyle name="Eingabe 3 5 2" xfId="1191" xr:uid="{E45E5F34-170E-44C1-903D-226CB6BB4114}"/>
    <cellStyle name="Eingabe 3 5 20" xfId="10542" xr:uid="{F8032C14-73FF-4D96-B59D-667A230EA75C}"/>
    <cellStyle name="Eingabe 3 5 21" xfId="10224" xr:uid="{5CAC239A-6AB4-46C2-82F5-8C29B76546DC}"/>
    <cellStyle name="Eingabe 3 5 22" xfId="11083" xr:uid="{46C56441-92EB-43E8-9B03-518C8FD2CDE0}"/>
    <cellStyle name="Eingabe 3 5 23" xfId="12070" xr:uid="{0851499E-E137-401A-A525-F4BC5DC41F7B}"/>
    <cellStyle name="Eingabe 3 5 24" xfId="12543" xr:uid="{3E943C4D-A6A4-47E9-A285-8F446E70389B}"/>
    <cellStyle name="Eingabe 3 5 25" xfId="12977" xr:uid="{A24B1722-8382-4D3A-980C-54C11644382B}"/>
    <cellStyle name="Eingabe 3 5 26" xfId="13414" xr:uid="{562DBFFC-1D7C-4A8B-BDC6-26497AD1FB59}"/>
    <cellStyle name="Eingabe 3 5 27" xfId="12336" xr:uid="{9DD95921-3261-4936-B898-2408DF894090}"/>
    <cellStyle name="Eingabe 3 5 28" xfId="13804" xr:uid="{25FC97B5-54EB-4751-877B-E64B62227F63}"/>
    <cellStyle name="Eingabe 3 5 29" xfId="14781" xr:uid="{72B648FD-3537-4603-9954-160AF0DAB746}"/>
    <cellStyle name="Eingabe 3 5 3" xfId="1496" xr:uid="{5BCA9401-CB40-4EF5-8EFE-0CCF80DACE48}"/>
    <cellStyle name="Eingabe 3 5 30" xfId="15147" xr:uid="{2121E5BC-823E-4E4B-8D03-2E2DAEC74ECE}"/>
    <cellStyle name="Eingabe 3 5 31" xfId="14641" xr:uid="{8EA959F4-7222-4E60-BCCB-4A77594E0908}"/>
    <cellStyle name="Eingabe 3 5 32" xfId="15926" xr:uid="{C855A3FD-5015-4FAB-8009-D28D022B6D45}"/>
    <cellStyle name="Eingabe 3 5 33" xfId="16762" xr:uid="{091802BB-C6EA-4A63-B19B-4CC1FBB472AA}"/>
    <cellStyle name="Eingabe 3 5 34" xfId="17251" xr:uid="{ECCAC7BD-BDB2-40B8-96F1-7EC0155CEFDA}"/>
    <cellStyle name="Eingabe 3 5 35" xfId="17695" xr:uid="{A1DC5B8C-4C59-43B2-8DD7-16786EED9266}"/>
    <cellStyle name="Eingabe 3 5 36" xfId="18025" xr:uid="{15AB9809-002E-4BB4-AFE0-0A71A0073008}"/>
    <cellStyle name="Eingabe 3 5 37" xfId="18580" xr:uid="{A9D9932F-65FC-4EE6-8AB0-53A4D96D694F}"/>
    <cellStyle name="Eingabe 3 5 38" xfId="18841" xr:uid="{EAEFE747-8D8E-48B5-B098-37BF2C456E60}"/>
    <cellStyle name="Eingabe 3 5 39" xfId="19067" xr:uid="{7258382F-5D12-4656-9F91-D8C951115F1F}"/>
    <cellStyle name="Eingabe 3 5 4" xfId="2539" xr:uid="{231F4A04-DC74-4B0C-B211-2A5CE54E8F05}"/>
    <cellStyle name="Eingabe 3 5 40" xfId="20099" xr:uid="{07A0239D-33F8-41C7-86A8-14B4AF0CBEE2}"/>
    <cellStyle name="Eingabe 3 5 41" xfId="20601" xr:uid="{EF2BBCF8-72DC-46B9-A8AC-14006839B965}"/>
    <cellStyle name="Eingabe 3 5 42" xfId="21056" xr:uid="{31DFC326-0297-48A4-BC24-96408BBC9718}"/>
    <cellStyle name="Eingabe 3 5 43" xfId="21264" xr:uid="{EDEEE30F-C128-470B-9443-E88E4EA36E0E}"/>
    <cellStyle name="Eingabe 3 5 44" xfId="21987" xr:uid="{5890211C-F24E-4601-ADE8-56675518B2B1}"/>
    <cellStyle name="Eingabe 3 5 45" xfId="22418" xr:uid="{93E867B8-D90B-47D2-802F-78150D94FA9A}"/>
    <cellStyle name="Eingabe 3 5 46" xfId="22500" xr:uid="{B1CA88B3-DDF5-4D23-96FC-159D0AD5D270}"/>
    <cellStyle name="Eingabe 3 5 47" xfId="23117" xr:uid="{2ABD811E-DB33-4DC5-8602-DB6027F0691A}"/>
    <cellStyle name="Eingabe 3 5 48" xfId="23374" xr:uid="{E58AC166-CCBE-4803-BD63-2532778D291D}"/>
    <cellStyle name="Eingabe 3 5 49" xfId="23899" xr:uid="{1746F0C5-52F6-429B-AFD1-2539590852EC}"/>
    <cellStyle name="Eingabe 3 5 5" xfId="1995" xr:uid="{0BBE6A8F-B468-4F81-B226-BD7118D29A52}"/>
    <cellStyle name="Eingabe 3 5 50" xfId="24807" xr:uid="{C5C99DB4-FD0A-460E-BD07-1D9152868520}"/>
    <cellStyle name="Eingabe 3 5 51" xfId="25310" xr:uid="{860164F1-C5D9-4ADA-995C-3F14E6C5D6C3}"/>
    <cellStyle name="Eingabe 3 5 52" xfId="25723" xr:uid="{CDE0647F-5F1B-4322-98F4-DC67C2094C7E}"/>
    <cellStyle name="Eingabe 3 5 53" xfId="25226" xr:uid="{9ED3AA09-7B6D-4A06-9822-EB32FBBAE550}"/>
    <cellStyle name="Eingabe 3 5 54" xfId="24124" xr:uid="{827A9C0E-4C58-43F2-9F93-C67B75587317}"/>
    <cellStyle name="Eingabe 3 5 55" xfId="27011" xr:uid="{E4E70DF1-5B74-436D-A5CC-1166A0590D86}"/>
    <cellStyle name="Eingabe 3 5 56" xfId="27430" xr:uid="{1EF289BD-B900-458E-9EA3-81BA2A88F375}"/>
    <cellStyle name="Eingabe 3 5 57" xfId="27797" xr:uid="{5AC2AB60-60CA-4C4C-941B-612B7B1DA667}"/>
    <cellStyle name="Eingabe 3 5 58" xfId="28557" xr:uid="{844AC79D-665F-494D-9B5F-5E5A78F54BC7}"/>
    <cellStyle name="Eingabe 3 5 59" xfId="29024" xr:uid="{FF6C0451-2F07-415E-9194-640A20A7E18F}"/>
    <cellStyle name="Eingabe 3 5 6" xfId="3727" xr:uid="{31D40574-0952-423C-8BC3-26F47A478E93}"/>
    <cellStyle name="Eingabe 3 5 60" xfId="29432" xr:uid="{156793D1-80B4-4F34-9D17-DED87BB45454}"/>
    <cellStyle name="Eingabe 3 5 61" xfId="29813" xr:uid="{9C93C5A5-F510-4336-9052-29511E03516A}"/>
    <cellStyle name="Eingabe 3 5 62" xfId="30219" xr:uid="{C8533919-659C-4CA6-BAEF-479829EB635D}"/>
    <cellStyle name="Eingabe 3 5 63" xfId="30636" xr:uid="{E0EACB8B-50AC-460F-9A0D-8260FF438663}"/>
    <cellStyle name="Eingabe 3 5 64" xfId="30865" xr:uid="{D2B037EF-02CB-457E-ADA9-8FE00F11039A}"/>
    <cellStyle name="Eingabe 3 5 65" xfId="31252" xr:uid="{B30644B9-24AE-4BBF-9561-E2498655589C}"/>
    <cellStyle name="Eingabe 3 5 7" xfId="4035" xr:uid="{C9A4F110-CDE1-4E4A-BCF8-49B9EA88B69C}"/>
    <cellStyle name="Eingabe 3 5 8" xfId="4472" xr:uid="{17EF9FB7-12E1-4CDC-8816-6906BF85C8DE}"/>
    <cellStyle name="Eingabe 3 5 9" xfId="4231" xr:uid="{006C316A-05EA-408B-8426-6CE29DF7C533}"/>
    <cellStyle name="Eingabe 3 50" xfId="30996" xr:uid="{2D66D734-489F-489F-AFC4-33DE1624A20C}"/>
    <cellStyle name="Eingabe 3 51" xfId="29250" xr:uid="{FF3AC0F0-3D50-43CC-AE92-E39ED1F4158E}"/>
    <cellStyle name="Eingabe 3 6" xfId="980" xr:uid="{99F79151-64A4-4DEC-AA5B-D6396FCE2BDE}"/>
    <cellStyle name="Eingabe 3 7" xfId="2240" xr:uid="{E280F348-CC52-404C-B122-E9EE4C1B7DF7}"/>
    <cellStyle name="Eingabe 3 8" xfId="2256" xr:uid="{4F94F226-A325-4599-9CED-0ACC565BD545}"/>
    <cellStyle name="Eingabe 3 9" xfId="3356" xr:uid="{95C858DD-CEDD-457F-BB29-5F3F4B20BB9A}"/>
    <cellStyle name="Eingabe 4" xfId="277" xr:uid="{7EC864BB-A788-4521-A163-D170778AF113}"/>
    <cellStyle name="Eingabe 4 10" xfId="3435" xr:uid="{71DB8272-FCA7-45AA-AC7E-67DF301DED26}"/>
    <cellStyle name="Eingabe 4 11" xfId="3479" xr:uid="{DF19F3D1-3C22-43E7-9FBE-F1720552629F}"/>
    <cellStyle name="Eingabe 4 12" xfId="5009" xr:uid="{64F78231-03E2-41FA-A871-5372044E803B}"/>
    <cellStyle name="Eingabe 4 13" xfId="3672" xr:uid="{6CD23A38-123F-4E35-8AA8-FD6B936CFD01}"/>
    <cellStyle name="Eingabe 4 14" xfId="6119" xr:uid="{A08102EB-D4B9-4FB0-9961-F38AE3B12F3C}"/>
    <cellStyle name="Eingabe 4 15" xfId="7007" xr:uid="{1B5FB74A-1D12-430E-9169-B52A4BC11FF3}"/>
    <cellStyle name="Eingabe 4 16" xfId="6954" xr:uid="{4558B13C-AAC6-4850-A430-D1EF951697CC}"/>
    <cellStyle name="Eingabe 4 17" xfId="7227" xr:uid="{03C0E1BC-22E6-410A-A117-C25389DB4341}"/>
    <cellStyle name="Eingabe 4 18" xfId="8584" xr:uid="{D868D41D-1259-46E7-AC64-E3109739F5E6}"/>
    <cellStyle name="Eingabe 4 19" xfId="9220" xr:uid="{B1EB79CE-F8A1-42FE-A015-2BBBC93E6463}"/>
    <cellStyle name="Eingabe 4 2" xfId="615" xr:uid="{3555DFF9-4A26-4A02-8D0E-ADE7CE7C7F2B}"/>
    <cellStyle name="Eingabe 4 2 10" xfId="4988" xr:uid="{25F7DDAE-3807-47D7-B925-7E41D9F06647}"/>
    <cellStyle name="Eingabe 4 2 11" xfId="5263" xr:uid="{C171A145-7271-49E0-86D7-DDBDCDC0ABDC}"/>
    <cellStyle name="Eingabe 4 2 12" xfId="4668" xr:uid="{8247A5D3-41A3-42E8-98C6-753199FA8C55}"/>
    <cellStyle name="Eingabe 4 2 13" xfId="5797" xr:uid="{C2ECC11B-09A8-43AC-A69C-C888777DD500}"/>
    <cellStyle name="Eingabe 4 2 14" xfId="6094" xr:uid="{D4AF80F6-FA6E-4354-B9FB-5B9860DAECEC}"/>
    <cellStyle name="Eingabe 4 2 15" xfId="7335" xr:uid="{12F35A83-317B-4C2A-B72B-73778056B96C}"/>
    <cellStyle name="Eingabe 4 2 16" xfId="7937" xr:uid="{07482D5E-A487-4FE1-BF69-130E5EAFE91C}"/>
    <cellStyle name="Eingabe 4 2 17" xfId="7924" xr:uid="{56BBB59B-F258-4E69-915D-9E73ADBC4D0C}"/>
    <cellStyle name="Eingabe 4 2 18" xfId="8505" xr:uid="{86FD3012-CD7B-4FA4-8D24-0340C27AE09D}"/>
    <cellStyle name="Eingabe 4 2 19" xfId="9549" xr:uid="{7AFEF054-65F5-4699-B40F-9D1932F6BB3B}"/>
    <cellStyle name="Eingabe 4 2 2" xfId="830" xr:uid="{A7CAA3B0-0F19-4E99-A6AE-9C5B39E05B72}"/>
    <cellStyle name="Eingabe 4 2 2 10" xfId="5478" xr:uid="{47F3AB10-54F9-4612-9F5E-6BE7FF815DDE}"/>
    <cellStyle name="Eingabe 4 2 2 11" xfId="5119" xr:uid="{FE7D6DDA-DF91-44E1-BC61-98B605C6CF9D}"/>
    <cellStyle name="Eingabe 4 2 2 12" xfId="6104" xr:uid="{A7ED58D4-33C4-4F9D-B57E-2F941ACF4C78}"/>
    <cellStyle name="Eingabe 4 2 2 13" xfId="5559" xr:uid="{E9FA0188-6A63-459F-A84E-61A2DD691689}"/>
    <cellStyle name="Eingabe 4 2 2 14" xfId="7550" xr:uid="{856B20D5-20F0-4EBF-AA3E-7BDD250A4B9F}"/>
    <cellStyle name="Eingabe 4 2 2 15" xfId="7716" xr:uid="{5987B0C6-FB62-4EBC-BEA6-A29CFA1D02F4}"/>
    <cellStyle name="Eingabe 4 2 2 16" xfId="7971" xr:uid="{5A3C50C2-CBE0-4E62-AB8A-4E286659EB06}"/>
    <cellStyle name="Eingabe 4 2 2 17" xfId="8810" xr:uid="{000E1616-84F2-4BAE-8E78-780332C0F4D5}"/>
    <cellStyle name="Eingabe 4 2 2 18" xfId="9764" xr:uid="{B0191E80-7BD7-4E68-9DDC-8F81CAF274BB}"/>
    <cellStyle name="Eingabe 4 2 2 19" xfId="9930" xr:uid="{5BBB8AB6-6EC2-4ABA-AD56-1A6B64463663}"/>
    <cellStyle name="Eingabe 4 2 2 2" xfId="1304" xr:uid="{B3676F41-9DEE-450E-8524-677C6F05ADA5}"/>
    <cellStyle name="Eingabe 4 2 2 20" xfId="10361" xr:uid="{5077C905-2E98-4AA3-A8AE-4767A92F6480}"/>
    <cellStyle name="Eingabe 4 2 2 21" xfId="10750" xr:uid="{D1A54D14-86A4-4C46-8729-F9323E6AB91C}"/>
    <cellStyle name="Eingabe 4 2 2 22" xfId="11229" xr:uid="{895A6CBC-6CF3-493B-AC9F-F6A42A62FEB5}"/>
    <cellStyle name="Eingabe 4 2 2 23" xfId="12183" xr:uid="{159911B3-31EF-4940-AFB3-B0870D37460C}"/>
    <cellStyle name="Eingabe 4 2 2 24" xfId="12656" xr:uid="{055F65F1-78F7-4B4D-AEB0-58206AB31732}"/>
    <cellStyle name="Eingabe 4 2 2 25" xfId="13090" xr:uid="{C47CF64F-FDE1-4AA1-A2E2-6F087132DE61}"/>
    <cellStyle name="Eingabe 4 2 2 26" xfId="13527" xr:uid="{7B16DD60-AA75-49E7-BA1A-AA11BF86C6C1}"/>
    <cellStyle name="Eingabe 4 2 2 27" xfId="13827" xr:uid="{84C54811-17FB-4A46-9CE2-C5ED41630C79}"/>
    <cellStyle name="Eingabe 4 2 2 28" xfId="11736" xr:uid="{FC948B51-CAAC-4CC7-9CA8-29C28B9FCF7E}"/>
    <cellStyle name="Eingabe 4 2 2 29" xfId="14582" xr:uid="{CACF7D57-B74F-4BAD-B1A4-E65C5FC12882}"/>
    <cellStyle name="Eingabe 4 2 2 3" xfId="1553" xr:uid="{8F783D9C-4E71-4B11-8189-6220C0F64256}"/>
    <cellStyle name="Eingabe 4 2 2 30" xfId="14566" xr:uid="{74D15FE1-90A0-41ED-A98D-1B72E7CD3CEA}"/>
    <cellStyle name="Eingabe 4 2 2 31" xfId="15753" xr:uid="{F958D6A2-E358-4636-A50C-541E22D599E7}"/>
    <cellStyle name="Eingabe 4 2 2 32" xfId="15818" xr:uid="{28687F91-C6F7-43F0-8344-40FCF8BA9B8F}"/>
    <cellStyle name="Eingabe 4 2 2 33" xfId="16875" xr:uid="{B05C20F1-D1C3-46DA-B0E6-F77A31D25B7C}"/>
    <cellStyle name="Eingabe 4 2 2 34" xfId="17044" xr:uid="{F2A2960E-0366-4BBC-9905-C5F90B0E7BA3}"/>
    <cellStyle name="Eingabe 4 2 2 35" xfId="17492" xr:uid="{8DC43F65-2E84-4897-B3CE-D0558E3E81FE}"/>
    <cellStyle name="Eingabe 4 2 2 36" xfId="16447" xr:uid="{8520D33B-3B8D-445A-A20A-9608F482744B}"/>
    <cellStyle name="Eingabe 4 2 2 37" xfId="18693" xr:uid="{AF1B241F-7F0C-4C47-8EBC-B0016570C10D}"/>
    <cellStyle name="Eingabe 4 2 2 38" xfId="19030" xr:uid="{8DDE2D49-8B2B-4C7B-A38F-B8B0F03AC387}"/>
    <cellStyle name="Eingabe 4 2 2 39" xfId="19285" xr:uid="{85BDD94B-11D2-40FA-A977-B264167133E4}"/>
    <cellStyle name="Eingabe 4 2 2 4" xfId="2652" xr:uid="{CFDB3BFE-EE7A-4823-A5D1-0EA5DB4B5F0B}"/>
    <cellStyle name="Eingabe 4 2 2 40" xfId="20212" xr:uid="{745B2F70-0ADD-4E2D-A837-F70FEBAE9569}"/>
    <cellStyle name="Eingabe 4 2 2 41" xfId="20396" xr:uid="{DC9F3B4D-D7C9-4F06-BB8F-40267001CBA0}"/>
    <cellStyle name="Eingabe 4 2 2 42" xfId="20849" xr:uid="{AE9BFF91-9A21-4E3C-9713-87F6000226CB}"/>
    <cellStyle name="Eingabe 4 2 2 43" xfId="21355" xr:uid="{5D7BC881-C0B1-42C4-8ACE-D65D4D366B0F}"/>
    <cellStyle name="Eingabe 4 2 2 44" xfId="21782" xr:uid="{EF6B459A-7347-4504-A07D-849E21BFD311}"/>
    <cellStyle name="Eingabe 4 2 2 45" xfId="22219" xr:uid="{AFC36A08-EB28-4E58-9C5D-9AED26AFD1ED}"/>
    <cellStyle name="Eingabe 4 2 2 46" xfId="22815" xr:uid="{9EF60F4A-1CC4-4242-8158-B3512B32070C}"/>
    <cellStyle name="Eingabe 4 2 2 47" xfId="23308" xr:uid="{040DCB48-A969-4DC0-960E-DC8261FDE45E}"/>
    <cellStyle name="Eingabe 4 2 2 48" xfId="23626" xr:uid="{44D61E0F-13AF-4C1B-A8C3-D06CB8BF41D4}"/>
    <cellStyle name="Eingabe 4 2 2 49" xfId="24012" xr:uid="{81A71A4B-EBE8-434B-93DA-EF07027370AB}"/>
    <cellStyle name="Eingabe 4 2 2 5" xfId="2993" xr:uid="{2DFD7423-5D14-4C61-9229-6CE56BE96221}"/>
    <cellStyle name="Eingabe 4 2 2 50" xfId="24920" xr:uid="{CF9271DE-31F6-47AC-BB26-B87F50742FD2}"/>
    <cellStyle name="Eingabe 4 2 2 51" xfId="25106" xr:uid="{ED158952-EC03-4AC0-BD6E-0D64EB8003FE}"/>
    <cellStyle name="Eingabe 4 2 2 52" xfId="25836" xr:uid="{8371E1FE-9722-4355-A1CA-D866B38E5630}"/>
    <cellStyle name="Eingabe 4 2 2 53" xfId="26117" xr:uid="{92DBADA8-85CE-480B-A3C9-DC152FED101F}"/>
    <cellStyle name="Eingabe 4 2 2 54" xfId="26689" xr:uid="{9156126B-0650-4E48-A9C4-0A0D4670EDD0}"/>
    <cellStyle name="Eingabe 4 2 2 55" xfId="27124" xr:uid="{56AA2E08-0034-40BE-A57B-3D592B5D889A}"/>
    <cellStyle name="Eingabe 4 2 2 56" xfId="27543" xr:uid="{65CAB974-B8A0-4F94-A182-437E760A3CAA}"/>
    <cellStyle name="Eingabe 4 2 2 57" xfId="26789" xr:uid="{B16E0162-DB72-468B-8804-DA90D94F2454}"/>
    <cellStyle name="Eingabe 4 2 2 58" xfId="28670" xr:uid="{81D9F751-CF3D-4A98-9A85-350D65E39FE2}"/>
    <cellStyle name="Eingabe 4 2 2 59" xfId="29137" xr:uid="{E8D0A0DE-5BF9-4964-98D2-C634F63148EA}"/>
    <cellStyle name="Eingabe 4 2 2 6" xfId="3555" xr:uid="{C3AF5F28-2E9D-4AB4-91B1-5FC8D624B230}"/>
    <cellStyle name="Eingabe 4 2 2 60" xfId="29260" xr:uid="{5DA5849A-946A-4ACD-81C7-42202E846171}"/>
    <cellStyle name="Eingabe 4 2 2 61" xfId="29926" xr:uid="{D77459B2-D4DC-49E1-B69F-05D3A2B1FE7D}"/>
    <cellStyle name="Eingabe 4 2 2 62" xfId="30332" xr:uid="{45DEEB4C-42B4-44B7-A596-64BEB3A4700C}"/>
    <cellStyle name="Eingabe 4 2 2 63" xfId="30749" xr:uid="{3FCAC748-8343-43EC-8612-DBF6DE026C33}"/>
    <cellStyle name="Eingabe 4 2 2 64" xfId="30831" xr:uid="{B49B5AF8-01EC-4DEC-8379-C0B27F7E6A59}"/>
    <cellStyle name="Eingabe 4 2 2 65" xfId="31365" xr:uid="{C10BE463-A0C2-4782-9C4C-D9288C9C47F8}"/>
    <cellStyle name="Eingabe 4 2 2 7" xfId="4148" xr:uid="{6A9CF7D3-377E-4487-8BF6-8D630205E9C1}"/>
    <cellStyle name="Eingabe 4 2 2 8" xfId="4585" xr:uid="{53549316-F312-4358-B459-51E350164C7C}"/>
    <cellStyle name="Eingabe 4 2 2 9" xfId="3583" xr:uid="{05FB9B00-D3CC-46DA-A9BF-5742C65EC37E}"/>
    <cellStyle name="Eingabe 4 2 20" xfId="10150" xr:uid="{E0AB4C76-0822-4D7B-9F1F-6AE26BE984D1}"/>
    <cellStyle name="Eingabe 4 2 21" xfId="10560" xr:uid="{FCE38ED5-8238-4FDF-B829-94C4B8CA21D1}"/>
    <cellStyle name="Eingabe 4 2 22" xfId="8976" xr:uid="{852FAB97-87DA-410D-B49A-EBD924DB36C2}"/>
    <cellStyle name="Eingabe 4 2 23" xfId="11041" xr:uid="{61D923C6-355E-44D7-80AC-76DF1E51EAFA}"/>
    <cellStyle name="Eingabe 4 2 24" xfId="11968" xr:uid="{2D09E158-6C7C-4847-A4B0-FA4C51E7937A}"/>
    <cellStyle name="Eingabe 4 2 25" xfId="12441" xr:uid="{853EBE04-4628-49C1-8F18-028A2C7651C1}"/>
    <cellStyle name="Eingabe 4 2 26" xfId="12875" xr:uid="{8AC1DF8C-2D29-4D8B-B710-0889EE078380}"/>
    <cellStyle name="Eingabe 4 2 27" xfId="13312" xr:uid="{7B5B2866-40AA-4AE5-8806-6A7132E4B0E6}"/>
    <cellStyle name="Eingabe 4 2 28" xfId="12023" xr:uid="{3A223971-E618-4D95-83AE-2F0BE2FFB38D}"/>
    <cellStyle name="Eingabe 4 2 29" xfId="14203" xr:uid="{EA0D3E9E-3A10-46AF-B793-8AB3E57BC6E8}"/>
    <cellStyle name="Eingabe 4 2 3" xfId="1098" xr:uid="{9A12CED4-42CE-4762-8D7F-FDF6D262E99A}"/>
    <cellStyle name="Eingabe 4 2 30" xfId="14856" xr:uid="{68FDA5F4-2F8A-494F-BDB6-52857F6E984C}"/>
    <cellStyle name="Eingabe 4 2 31" xfId="14156" xr:uid="{4AE4FCDD-949B-4D50-B4E9-7E3AA1B16834}"/>
    <cellStyle name="Eingabe 4 2 32" xfId="15435" xr:uid="{37663ABD-EDA5-4546-AA1A-FC1588B1375B}"/>
    <cellStyle name="Eingabe 4 2 33" xfId="15939" xr:uid="{CB9C9388-1D0C-4E10-8943-6C7CD9FC4BBF}"/>
    <cellStyle name="Eingabe 4 2 34" xfId="16660" xr:uid="{901CD6BA-0888-4FE5-B2AC-B8229084D477}"/>
    <cellStyle name="Eingabe 4 2 35" xfId="17270" xr:uid="{5953702B-0E50-45DC-B916-27A6BDF3514B}"/>
    <cellStyle name="Eingabe 4 2 36" xfId="17714" xr:uid="{7AE35307-DA0C-4985-854C-7526A55B1D79}"/>
    <cellStyle name="Eingabe 4 2 37" xfId="18062" xr:uid="{03B05DB2-9B00-4A3B-B8A9-1960681104CF}"/>
    <cellStyle name="Eingabe 4 2 38" xfId="18478" xr:uid="{9BEF0D16-79A5-43FA-A470-39AFF75F0A51}"/>
    <cellStyle name="Eingabe 4 2 39" xfId="18251" xr:uid="{1D7B27B3-B709-44AA-A69F-BA5314F0F326}"/>
    <cellStyle name="Eingabe 4 2 4" xfId="1657" xr:uid="{446FA318-48AF-47C4-9C1D-FEF279811E82}"/>
    <cellStyle name="Eingabe 4 2 40" xfId="18372" xr:uid="{9A6A46D4-4355-40DC-B0C8-625D7F8E10B8}"/>
    <cellStyle name="Eingabe 4 2 41" xfId="19997" xr:uid="{5C4792A4-1EBA-404E-B38C-C8BE696F8CC1}"/>
    <cellStyle name="Eingabe 4 2 42" xfId="20620" xr:uid="{50A54BE8-D03A-4116-9C12-BF2BAC80AFD7}"/>
    <cellStyle name="Eingabe 4 2 43" xfId="21075" xr:uid="{F80FD31D-CA9E-4A04-82A0-C65F75F630A2}"/>
    <cellStyle name="Eingabe 4 2 44" xfId="19418" xr:uid="{8971E29C-5719-48D7-A58A-8AAC0DE18D20}"/>
    <cellStyle name="Eingabe 4 2 45" xfId="22006" xr:uid="{4E465D09-9255-4C2F-9BB2-30AC7CB206A8}"/>
    <cellStyle name="Eingabe 4 2 46" xfId="22437" xr:uid="{E0EE10B8-F39F-4516-A29C-3DCD934E145C}"/>
    <cellStyle name="Eingabe 4 2 47" xfId="21803" xr:uid="{36814C7B-FE86-4C08-B832-492C489D9F8D}"/>
    <cellStyle name="Eingabe 4 2 48" xfId="22824" xr:uid="{883A4FEE-4D2F-4E9F-AE5A-F2527CF812E9}"/>
    <cellStyle name="Eingabe 4 2 49" xfId="23173" xr:uid="{5A221B77-2829-40BF-8D99-D592ABD890A5}"/>
    <cellStyle name="Eingabe 4 2 5" xfId="2437" xr:uid="{4C1956FC-344A-4C71-B231-10AFA754E083}"/>
    <cellStyle name="Eingabe 4 2 50" xfId="23806" xr:uid="{E697C826-E9F7-4B86-B19D-A86AB0C4E14D}"/>
    <cellStyle name="Eingabe 4 2 51" xfId="24705" xr:uid="{9DF676CF-3047-41FA-B5B5-E4112EDFAAB3}"/>
    <cellStyle name="Eingabe 4 2 52" xfId="25326" xr:uid="{6ED4D8C6-4761-462C-B947-85113F378393}"/>
    <cellStyle name="Eingabe 4 2 53" xfId="25623" xr:uid="{A87612B0-4D72-4F6F-A551-215E879D7A1D}"/>
    <cellStyle name="Eingabe 4 2 54" xfId="25135" xr:uid="{F0BA0939-3CEC-46F2-B40D-0A47D6CEECCC}"/>
    <cellStyle name="Eingabe 4 2 55" xfId="24417" xr:uid="{E2FA8D8B-3526-470D-8E06-83A8DA006C6A}"/>
    <cellStyle name="Eingabe 4 2 56" xfId="26913" xr:uid="{87247397-CF39-48BF-9D31-D2E48987F019}"/>
    <cellStyle name="Eingabe 4 2 57" xfId="27332" xr:uid="{0C2434F3-57A0-434E-8DC4-8303C42F5A8F}"/>
    <cellStyle name="Eingabe 4 2 58" xfId="27634" xr:uid="{027E6189-7A5C-4774-8EDE-54E49CEF9F7A}"/>
    <cellStyle name="Eingabe 4 2 59" xfId="28455" xr:uid="{56579B1A-1EF2-4E8A-A2FC-B334FB989128}"/>
    <cellStyle name="Eingabe 4 2 6" xfId="2123" xr:uid="{4855A67D-C225-4E10-A1B8-E76DBC51D572}"/>
    <cellStyle name="Eingabe 4 2 60" xfId="28923" xr:uid="{EF2F86B7-8939-4345-ACC7-1533D2C2D3E2}"/>
    <cellStyle name="Eingabe 4 2 61" xfId="29449" xr:uid="{1F291982-892D-48C9-B961-6974A182B7F9}"/>
    <cellStyle name="Eingabe 4 2 62" xfId="29713" xr:uid="{C35C36A2-10C2-4497-96C4-231A7963FD3F}"/>
    <cellStyle name="Eingabe 4 2 63" xfId="30121" xr:uid="{94CB8479-2B42-42D5-B1AE-E8E8781BF57E}"/>
    <cellStyle name="Eingabe 4 2 64" xfId="30535" xr:uid="{904A221F-7355-4E1A-8470-266698AAB2CB}"/>
    <cellStyle name="Eingabe 4 2 65" xfId="30427" xr:uid="{493AA3FC-A839-44A9-A016-FFB241254A94}"/>
    <cellStyle name="Eingabe 4 2 66" xfId="31159" xr:uid="{3FA42FE8-3073-453E-A496-68A2AF7A18F5}"/>
    <cellStyle name="Eingabe 4 2 7" xfId="1992" xr:uid="{A3577578-F8C6-43B9-9FFD-54B3151329E1}"/>
    <cellStyle name="Eingabe 4 2 8" xfId="3933" xr:uid="{5037DE16-7335-4D4E-B375-C6ECA54DF286}"/>
    <cellStyle name="Eingabe 4 2 9" xfId="4371" xr:uid="{E2D662F1-78E2-41A0-AAC2-0B5CA898CB30}"/>
    <cellStyle name="Eingabe 4 20" xfId="9296" xr:uid="{4A947B8D-6528-45C4-8B9C-4801F9F402F5}"/>
    <cellStyle name="Eingabe 4 21" xfId="11255" xr:uid="{749E365D-3297-4AFB-941B-79848CFE617B}"/>
    <cellStyle name="Eingabe 4 22" xfId="11633" xr:uid="{97B850E7-871D-4E1A-BAA7-966F6F33AB09}"/>
    <cellStyle name="Eingabe 4 23" xfId="12046" xr:uid="{42C28C52-0468-4285-9647-AEB274BC71BC}"/>
    <cellStyle name="Eingabe 4 24" xfId="11497" xr:uid="{CB2A9B41-1082-4E67-9DD2-3058E3C81A69}"/>
    <cellStyle name="Eingabe 4 25" xfId="12294" xr:uid="{1739EFA0-6BCB-4FE0-A9E2-609DE60C30C8}"/>
    <cellStyle name="Eingabe 4 26" xfId="12762" xr:uid="{B1197FE8-B650-4534-B916-FE717C765491}"/>
    <cellStyle name="Eingabe 4 27" xfId="13668" xr:uid="{89E110A0-18EB-4A14-8DEB-4C79E9FBEAE4}"/>
    <cellStyle name="Eingabe 4 28" xfId="15473" xr:uid="{6B930664-0CA4-4272-8F90-8A92751578C4}"/>
    <cellStyle name="Eingabe 4 29" xfId="16328" xr:uid="{299A0304-D0CA-4FCC-A346-6B5C6C693AF5}"/>
    <cellStyle name="Eingabe 4 3" xfId="542" xr:uid="{EC8B4FA0-BB84-4A2A-B523-A4DAB0D25CB4}"/>
    <cellStyle name="Eingabe 4 3 10" xfId="4728" xr:uid="{5BF5E35F-623C-4ADE-A6BD-0389456B0322}"/>
    <cellStyle name="Eingabe 4 3 11" xfId="5190" xr:uid="{126D28DF-BBBC-4080-93B6-91100270630D}"/>
    <cellStyle name="Eingabe 4 3 12" xfId="5723" xr:uid="{00CF6021-D460-4EB5-8235-929ADFCD521F}"/>
    <cellStyle name="Eingabe 4 3 13" xfId="6278" xr:uid="{6B69DC54-DFBA-4480-97FE-75067D7F5126}"/>
    <cellStyle name="Eingabe 4 3 14" xfId="4726" xr:uid="{19CB68A6-A893-415C-AC37-D4EE0233983F}"/>
    <cellStyle name="Eingabe 4 3 15" xfId="7262" xr:uid="{9A67F4E7-694F-4563-9753-BBCF1C90BE87}"/>
    <cellStyle name="Eingabe 4 3 16" xfId="7955" xr:uid="{B55F925F-F6D8-40A1-971E-5A2E30042B2A}"/>
    <cellStyle name="Eingabe 4 3 17" xfId="8593" xr:uid="{D812650A-F56D-4366-8E30-8E880BC5806C}"/>
    <cellStyle name="Eingabe 4 3 18" xfId="7756" xr:uid="{6CFFB722-5839-4E1B-8D72-1D9453F48FB1}"/>
    <cellStyle name="Eingabe 4 3 19" xfId="9476" xr:uid="{4A0AB20B-DC13-45FA-AD52-CC51C0E0469A}"/>
    <cellStyle name="Eingabe 4 3 2" xfId="757" xr:uid="{25923740-6311-4636-910B-EB3D90F0B298}"/>
    <cellStyle name="Eingabe 4 3 2 10" xfId="5405" xr:uid="{F64F3218-7390-4D95-815B-2D7F676B8545}"/>
    <cellStyle name="Eingabe 4 3 2 11" xfId="4908" xr:uid="{D6583746-2A6B-4071-8662-2AAEE69AB6AE}"/>
    <cellStyle name="Eingabe 4 3 2 12" xfId="5841" xr:uid="{176F61E5-E46F-4605-ACC4-00BF98AC5E66}"/>
    <cellStyle name="Eingabe 4 3 2 13" xfId="6492" xr:uid="{26C7A181-96C4-4F69-86BC-810FF9219258}"/>
    <cellStyle name="Eingabe 4 3 2 14" xfId="7477" xr:uid="{9CD0060F-D20A-4135-A2C9-B422FBA95770}"/>
    <cellStyle name="Eingabe 4 3 2 15" xfId="7057" xr:uid="{29886052-9E85-42FD-8E2B-6B7D6FB4433D}"/>
    <cellStyle name="Eingabe 4 3 2 16" xfId="8533" xr:uid="{9A3EBC73-1E98-4C1B-B610-FBCEA2069A29}"/>
    <cellStyle name="Eingabe 4 3 2 17" xfId="8084" xr:uid="{8A8A59A0-01C4-4394-A68F-E6B24E807DD0}"/>
    <cellStyle name="Eingabe 4 3 2 18" xfId="9691" xr:uid="{CE2193A3-4AD6-4B83-9E9A-84F0F3E6627C}"/>
    <cellStyle name="Eingabe 4 3 2 19" xfId="9270" xr:uid="{05E40FBB-7CD3-4AA8-8EF8-01DF4E805F8B}"/>
    <cellStyle name="Eingabe 4 3 2 2" xfId="1231" xr:uid="{05F3E203-5E2E-4E01-A7D2-55DBDF4CEE79}"/>
    <cellStyle name="Eingabe 4 3 2 20" xfId="10124" xr:uid="{0C7AF562-8749-443F-B587-4C2B655D727E}"/>
    <cellStyle name="Eingabe 4 3 2 21" xfId="10079" xr:uid="{6D7E88B0-7D20-4E92-8011-6B5BC6A19845}"/>
    <cellStyle name="Eingabe 4 3 2 22" xfId="11242" xr:uid="{4F15DA37-5329-4600-B746-02A4486F1A30}"/>
    <cellStyle name="Eingabe 4 3 2 23" xfId="12110" xr:uid="{52F4D1FC-C7A9-4E15-8EEB-F7FCA5643272}"/>
    <cellStyle name="Eingabe 4 3 2 24" xfId="12583" xr:uid="{0BF1E46F-5336-4258-A01F-D2480294DFCA}"/>
    <cellStyle name="Eingabe 4 3 2 25" xfId="13017" xr:uid="{7B98319E-2027-49EF-BFEE-8DF5BF91CDD8}"/>
    <cellStyle name="Eingabe 4 3 2 26" xfId="13454" xr:uid="{2DB20955-8D16-45A6-BE23-2683BD83DA53}"/>
    <cellStyle name="Eingabe 4 3 2 27" xfId="12298" xr:uid="{C1A8CFEC-A415-4304-84A5-C83426295280}"/>
    <cellStyle name="Eingabe 4 3 2 28" xfId="11713" xr:uid="{258E537B-303E-4CBD-8388-6C4A120A327D}"/>
    <cellStyle name="Eingabe 4 3 2 29" xfId="13977" xr:uid="{FDCCF03B-F9BF-4F4C-B3B6-530A8F016ACE}"/>
    <cellStyle name="Eingabe 4 3 2 3" xfId="1563" xr:uid="{D8B2C1A5-AEEC-4991-97C0-A4B88C5E475C}"/>
    <cellStyle name="Eingabe 4 3 2 30" xfId="15014" xr:uid="{EB10A82D-4549-45D6-92C1-7F3425809454}"/>
    <cellStyle name="Eingabe 4 3 2 31" xfId="15462" xr:uid="{2A8AAE27-8F05-4EA9-8BD5-FCA20F09DEDC}"/>
    <cellStyle name="Eingabe 4 3 2 32" xfId="15505" xr:uid="{EE58D020-8E97-4163-932D-35B14E9FAE78}"/>
    <cellStyle name="Eingabe 4 3 2 33" xfId="16802" xr:uid="{ED328A55-70AA-4FF7-B3BE-3806D7DE96D4}"/>
    <cellStyle name="Eingabe 4 3 2 34" xfId="16379" xr:uid="{38F4E531-AA76-4E39-A63C-30DC88B146B4}"/>
    <cellStyle name="Eingabe 4 3 2 35" xfId="17243" xr:uid="{ECDC977B-B0E4-4179-9E76-B5BBC0021596}"/>
    <cellStyle name="Eingabe 4 3 2 36" xfId="17899" xr:uid="{DCE96B94-E7DD-4369-922C-C6F9F7BF9EB7}"/>
    <cellStyle name="Eingabe 4 3 2 37" xfId="18620" xr:uid="{FA38BE91-6908-4C53-B889-7DB365304662}"/>
    <cellStyle name="Eingabe 4 3 2 38" xfId="16401" xr:uid="{F9004B78-DE1A-4695-B0FE-0CC8B52D4E53}"/>
    <cellStyle name="Eingabe 4 3 2 39" xfId="18101" xr:uid="{A5ABB2E7-3642-49C7-A699-0FFA2C1AB835}"/>
    <cellStyle name="Eingabe 4 3 2 4" xfId="2579" xr:uid="{261A5440-E78D-4C89-BBD0-393E1DF9EBE3}"/>
    <cellStyle name="Eingabe 4 3 2 40" xfId="20139" xr:uid="{41D968A8-7266-4FC9-9B3C-6E94E2CA9AB7}"/>
    <cellStyle name="Eingabe 4 3 2 41" xfId="19713" xr:uid="{213B390B-46A4-4146-99B6-6EDD4E69B99E}"/>
    <cellStyle name="Eingabe 4 3 2 42" xfId="19807" xr:uid="{40E448AE-7EBC-43D0-83EE-0C1F7B3CCB20}"/>
    <cellStyle name="Eingabe 4 3 2 43" xfId="21257" xr:uid="{F6B3E45B-71EB-48E5-8624-D73541382973}"/>
    <cellStyle name="Eingabe 4 3 2 44" xfId="21306" xr:uid="{C115BF84-5CF7-4E4E-AA9C-149AC73CE82F}"/>
    <cellStyle name="Eingabe 4 3 2 45" xfId="21942" xr:uid="{5C6DE950-FAF7-4EAA-8D04-44BEA0B51699}"/>
    <cellStyle name="Eingabe 4 3 2 46" xfId="21143" xr:uid="{11DD1DC2-295A-46AE-A5DC-AF4F8B8C1D15}"/>
    <cellStyle name="Eingabe 4 3 2 47" xfId="22665" xr:uid="{FF4FC067-A306-4293-8962-725632F36FBA}"/>
    <cellStyle name="Eingabe 4 3 2 48" xfId="23404" xr:uid="{536FB395-240B-4355-BEBB-B7005D26E38D}"/>
    <cellStyle name="Eingabe 4 3 2 49" xfId="23939" xr:uid="{D56FE75C-A9D3-4A94-ADD1-E9401641078B}"/>
    <cellStyle name="Eingabe 4 3 2 5" xfId="2180" xr:uid="{B353F893-66C2-4A78-908C-864B9BAD2548}"/>
    <cellStyle name="Eingabe 4 3 2 50" xfId="24847" xr:uid="{D1AA2FF3-C86C-4FD7-A76C-4D5D76846DD3}"/>
    <cellStyle name="Eingabe 4 3 2 51" xfId="24422" xr:uid="{BAAF968C-BA40-4514-AB3A-CDBC1A2EEB4F}"/>
    <cellStyle name="Eingabe 4 3 2 52" xfId="25763" xr:uid="{38D89DD3-A8AB-40D9-A05E-EEA64DD6B213}"/>
    <cellStyle name="Eingabe 4 3 2 53" xfId="24239" xr:uid="{5C51D846-E861-4311-8EB0-2CE0FB15E9FC}"/>
    <cellStyle name="Eingabe 4 3 2 54" xfId="26411" xr:uid="{643F364F-061B-4E6D-B18E-1FE53E459B4B}"/>
    <cellStyle name="Eingabe 4 3 2 55" xfId="27051" xr:uid="{CAA5E637-5E5F-4BEC-A866-A694FC0E5EF6}"/>
    <cellStyle name="Eingabe 4 3 2 56" xfId="27470" xr:uid="{3394AC1D-0B30-4283-9D9C-AAEE4EAA5938}"/>
    <cellStyle name="Eingabe 4 3 2 57" xfId="26707" xr:uid="{3E52E12E-93E9-4685-B75C-40D8128EBDB3}"/>
    <cellStyle name="Eingabe 4 3 2 58" xfId="28597" xr:uid="{47199812-0F6A-41BB-909F-9D1E0771A9B4}"/>
    <cellStyle name="Eingabe 4 3 2 59" xfId="29064" xr:uid="{54FB50A3-8627-46E5-9C36-8083D3413D6B}"/>
    <cellStyle name="Eingabe 4 3 2 6" xfId="3601" xr:uid="{5565DA75-CC20-4FE0-A3AA-E44A98A2FC58}"/>
    <cellStyle name="Eingabe 4 3 2 60" xfId="28005" xr:uid="{A3FC8DF1-64FF-4A0D-BF23-26873460E566}"/>
    <cellStyle name="Eingabe 4 3 2 61" xfId="29853" xr:uid="{493E8CC1-2071-42A1-86C7-2B1F18EC0DF8}"/>
    <cellStyle name="Eingabe 4 3 2 62" xfId="30259" xr:uid="{CB7C88C1-4F79-4A94-9BFF-961842690EE9}"/>
    <cellStyle name="Eingabe 4 3 2 63" xfId="30676" xr:uid="{0268C876-D5A3-4B3C-85AD-2CCF69CFE6A9}"/>
    <cellStyle name="Eingabe 4 3 2 64" xfId="29201" xr:uid="{B5B92A13-2E56-4074-8AD9-3B59413C4D4D}"/>
    <cellStyle name="Eingabe 4 3 2 65" xfId="31292" xr:uid="{A442EDA5-84B4-4A18-8ECB-1D6B1D4F6C1B}"/>
    <cellStyle name="Eingabe 4 3 2 7" xfId="4075" xr:uid="{47B28BA0-DE90-4D6F-AA6F-59E550F3EA29}"/>
    <cellStyle name="Eingabe 4 3 2 8" xfId="4512" xr:uid="{D0E6D163-C10B-48FC-B97C-C18D5A4220B3}"/>
    <cellStyle name="Eingabe 4 3 2 9" xfId="3508" xr:uid="{CEC3C7D1-A993-495D-92F7-9A11CA273AE7}"/>
    <cellStyle name="Eingabe 4 3 20" xfId="10170" xr:uid="{F337892C-31BB-4923-86E0-B120C3106F3E}"/>
    <cellStyle name="Eingabe 4 3 21" xfId="10577" xr:uid="{5031F19D-888E-404D-8658-271E9CED25C7}"/>
    <cellStyle name="Eingabe 4 3 22" xfId="9896" xr:uid="{C52A994E-B50D-4C3D-8442-68E399337F83}"/>
    <cellStyle name="Eingabe 4 3 23" xfId="11254" xr:uid="{762DD66C-0020-46DE-83EB-69DAEA8251FD}"/>
    <cellStyle name="Eingabe 4 3 24" xfId="11895" xr:uid="{E32D9078-CB0B-41AB-9574-D064A33FD51E}"/>
    <cellStyle name="Eingabe 4 3 25" xfId="12368" xr:uid="{5B76A32B-D4BE-418F-BC16-453934ABEE40}"/>
    <cellStyle name="Eingabe 4 3 26" xfId="12802" xr:uid="{89F653EE-2670-4D51-99E4-235368EA7B69}"/>
    <cellStyle name="Eingabe 4 3 27" xfId="13239" xr:uid="{061A091C-6A5C-471A-8105-A485D9B51114}"/>
    <cellStyle name="Eingabe 4 3 28" xfId="11735" xr:uid="{947A1283-F30B-47A4-85C9-A4051B02109A}"/>
    <cellStyle name="Eingabe 4 3 29" xfId="14291" xr:uid="{859BB7AE-77FC-40DE-A3B0-1CB67E49B9E2}"/>
    <cellStyle name="Eingabe 4 3 3" xfId="1025" xr:uid="{1425F744-48EF-48BC-9787-DB623C9E7D06}"/>
    <cellStyle name="Eingabe 4 3 30" xfId="14765" xr:uid="{9A4032AE-6C11-4748-BA3F-1D76810C318B}"/>
    <cellStyle name="Eingabe 4 3 31" xfId="15299" xr:uid="{55E6E015-25DC-45AD-90F9-E270CE1A65C5}"/>
    <cellStyle name="Eingabe 4 3 32" xfId="15171" xr:uid="{DB4ACE7E-FE87-4077-A16C-533611C0C066}"/>
    <cellStyle name="Eingabe 4 3 33" xfId="15945" xr:uid="{B17E4558-C798-4465-8416-1DF22A30FB18}"/>
    <cellStyle name="Eingabe 4 3 34" xfId="16587" xr:uid="{9136D4AD-0A68-4E8B-A71C-08253E1AAD74}"/>
    <cellStyle name="Eingabe 4 3 35" xfId="17290" xr:uid="{3B1B50AD-1716-4921-9955-CDF8D0179CCA}"/>
    <cellStyle name="Eingabe 4 3 36" xfId="17733" xr:uid="{13518D0C-C1A9-4F0C-AA1D-413E7A62A198}"/>
    <cellStyle name="Eingabe 4 3 37" xfId="17132" xr:uid="{545C7A0E-3394-449A-9B82-C71703770141}"/>
    <cellStyle name="Eingabe 4 3 38" xfId="18405" xr:uid="{EDE8D692-6830-47A4-804F-9B3355622566}"/>
    <cellStyle name="Eingabe 4 3 39" xfId="16483" xr:uid="{73A78524-DC10-4520-8044-533C2694D83A}"/>
    <cellStyle name="Eingabe 4 3 4" xfId="1746" xr:uid="{3C1F2D20-E33A-47F7-A258-91E9A4963DE9}"/>
    <cellStyle name="Eingabe 4 3 40" xfId="18561" xr:uid="{F39C8759-49BB-48A5-9ABF-A65014F0570E}"/>
    <cellStyle name="Eingabe 4 3 41" xfId="19924" xr:uid="{3988B514-7728-4412-A12A-AB0CF6940450}"/>
    <cellStyle name="Eingabe 4 3 42" xfId="20640" xr:uid="{7621E866-7779-4B63-BB90-0B2A66C12DEA}"/>
    <cellStyle name="Eingabe 4 3 43" xfId="21096" xr:uid="{02D2B4F5-7B81-4C60-8514-43DDDB92019B}"/>
    <cellStyle name="Eingabe 4 3 44" xfId="20582" xr:uid="{7EF26757-D7F0-4E45-A4B8-2782077FFA60}"/>
    <cellStyle name="Eingabe 4 3 45" xfId="22027" xr:uid="{EDCBCC8E-4DE1-40AC-90B7-42A1006A3217}"/>
    <cellStyle name="Eingabe 4 3 46" xfId="22457" xr:uid="{5CEFACED-0A38-40D0-9D40-5483C380C1C2}"/>
    <cellStyle name="Eingabe 4 3 47" xfId="22409" xr:uid="{54C4634F-FCC4-44A4-BD83-754DFAE06B76}"/>
    <cellStyle name="Eingabe 4 3 48" xfId="22668" xr:uid="{60AD9055-DEAE-46D4-B1E1-814F1760C43C}"/>
    <cellStyle name="Eingabe 4 3 49" xfId="23193" xr:uid="{502D61CB-7E7C-4353-B7F8-C94A9A82BE7D}"/>
    <cellStyle name="Eingabe 4 3 5" xfId="2364" xr:uid="{FBE68D9D-B73A-431A-A233-BEEFEC5A3C5B}"/>
    <cellStyle name="Eingabe 4 3 50" xfId="23733" xr:uid="{E25B6F80-4A43-400B-B6ED-A5CA71D4D30D}"/>
    <cellStyle name="Eingabe 4 3 51" xfId="24632" xr:uid="{1B2FA057-37E3-43A9-A4DE-9AC370CB5FAE}"/>
    <cellStyle name="Eingabe 4 3 52" xfId="25344" xr:uid="{6251F508-EAE4-4855-8274-ECE9006E38E4}"/>
    <cellStyle name="Eingabe 4 3 53" xfId="25550" xr:uid="{83CA477B-710A-49D3-A430-18A9A69F5906}"/>
    <cellStyle name="Eingabe 4 3 54" xfId="24544" xr:uid="{4BD2DDE7-CDB0-4357-8E12-14EB5FE7374A}"/>
    <cellStyle name="Eingabe 4 3 55" xfId="24345" xr:uid="{6184EBFC-57AE-40D6-B589-C5D6014EE845}"/>
    <cellStyle name="Eingabe 4 3 56" xfId="26840" xr:uid="{1946FFC3-5CFB-44BE-8E86-B0C65B7DC7D4}"/>
    <cellStyle name="Eingabe 4 3 57" xfId="27259" xr:uid="{C2C4CFC0-6B39-4ACE-BBD1-B58C12D3B9AC}"/>
    <cellStyle name="Eingabe 4 3 58" xfId="27760" xr:uid="{94E2664C-52BE-4A39-8024-5BF43BD64499}"/>
    <cellStyle name="Eingabe 4 3 59" xfId="28382" xr:uid="{6A3F6FA7-B689-4467-93DB-5526076EA803}"/>
    <cellStyle name="Eingabe 4 3 6" xfId="1911" xr:uid="{B997BB3C-733F-44CB-A3D3-DDEC75833839}"/>
    <cellStyle name="Eingabe 4 3 60" xfId="28850" xr:uid="{A56025AD-7247-4883-87F1-11692C3C5151}"/>
    <cellStyle name="Eingabe 4 3 61" xfId="29468" xr:uid="{04DA0A66-3DEF-4B70-AE16-8ACF31065EDD}"/>
    <cellStyle name="Eingabe 4 3 62" xfId="29640" xr:uid="{1CF93455-8892-4551-A5F2-1FC14C963795}"/>
    <cellStyle name="Eingabe 4 3 63" xfId="30048" xr:uid="{84EAA656-BAE7-4E4F-8A53-63B754465CF3}"/>
    <cellStyle name="Eingabe 4 3 64" xfId="30462" xr:uid="{B2CE5B44-44EF-422B-B072-B05950E51357}"/>
    <cellStyle name="Eingabe 4 3 65" xfId="29229" xr:uid="{0F501A5D-E488-462B-889A-7A129EC121BA}"/>
    <cellStyle name="Eingabe 4 3 66" xfId="31086" xr:uid="{808780E0-C4F1-40F9-828C-7ABF952A526D}"/>
    <cellStyle name="Eingabe 4 3 7" xfId="3069" xr:uid="{755FEE82-C16D-4E89-95EA-322971624366}"/>
    <cellStyle name="Eingabe 4 3 8" xfId="3860" xr:uid="{9292BEA3-DF5C-41F9-AFBD-E447F080DB16}"/>
    <cellStyle name="Eingabe 4 3 9" xfId="4298" xr:uid="{AB8A0E00-2B80-434A-8270-8474844644F8}"/>
    <cellStyle name="Eingabe 4 30" xfId="16273" xr:uid="{01C6E296-ECDF-4AA3-88F6-070BD0B61BB5}"/>
    <cellStyle name="Eingabe 4 31" xfId="18220" xr:uid="{E07E67A5-EF77-4A4E-9FAC-66E67103270D}"/>
    <cellStyle name="Eingabe 4 32" xfId="17989" xr:uid="{1E13DE65-0AD7-48C4-B644-F605FCBADE15}"/>
    <cellStyle name="Eingabe 4 33" xfId="18367" xr:uid="{7B37EF44-509D-4CF9-BDDF-C182C6E0F746}"/>
    <cellStyle name="Eingabe 4 34" xfId="19661" xr:uid="{54416302-D7BB-4027-8942-56EC22F29A5C}"/>
    <cellStyle name="Eingabe 4 35" xfId="19604" xr:uid="{D794F295-F0E2-4B59-BD07-3D63766A226A}"/>
    <cellStyle name="Eingabe 4 36" xfId="21875" xr:uid="{7730796E-75DA-4FCA-A147-A8818962FC3E}"/>
    <cellStyle name="Eingabe 4 37" xfId="22526" xr:uid="{57BCE8FB-513F-4610-B46E-A942BFA98A00}"/>
    <cellStyle name="Eingabe 4 38" xfId="23645" xr:uid="{13FF8F29-791F-45AF-A61F-3103B8C0B28D}"/>
    <cellStyle name="Eingabe 4 39" xfId="24381" xr:uid="{D183CC35-739F-4852-96E5-E2435497AD5B}"/>
    <cellStyle name="Eingabe 4 4" xfId="518" xr:uid="{35070198-6ED0-40B5-A81B-595AE4FD849C}"/>
    <cellStyle name="Eingabe 4 4 10" xfId="4729" xr:uid="{E11944D9-9470-4DE7-AFFD-5DFCAB3BB5F2}"/>
    <cellStyle name="Eingabe 4 4 11" xfId="5166" xr:uid="{B2F345B4-6352-4DF4-98EA-BD4BF7A9708B}"/>
    <cellStyle name="Eingabe 4 4 12" xfId="3648" xr:uid="{387BDB18-5A24-4991-8FC1-787CAB130938}"/>
    <cellStyle name="Eingabe 4 4 13" xfId="2981" xr:uid="{1913B406-0266-41AA-B915-7C2A0A72062A}"/>
    <cellStyle name="Eingabe 4 4 14" xfId="6411" xr:uid="{C334B5BC-C655-4C62-BD53-F0B80E581884}"/>
    <cellStyle name="Eingabe 4 4 15" xfId="7238" xr:uid="{436CB343-76D1-4A34-84A8-9C6EA87D493A}"/>
    <cellStyle name="Eingabe 4 4 16" xfId="7925" xr:uid="{7A31413A-B673-4547-8BE1-81E0F372CDB4}"/>
    <cellStyle name="Eingabe 4 4 17" xfId="8047" xr:uid="{AAFCA581-94BE-431A-ABF5-82423A0F9C7A}"/>
    <cellStyle name="Eingabe 4 4 18" xfId="8234" xr:uid="{A721C579-62B5-426A-BBD4-D25898D73BCA}"/>
    <cellStyle name="Eingabe 4 4 19" xfId="9452" xr:uid="{40771209-E672-4614-8472-28A852D7F231}"/>
    <cellStyle name="Eingabe 4 4 2" xfId="733" xr:uid="{A8748FCD-B7DA-4241-B902-4E52A304BF5B}"/>
    <cellStyle name="Eingabe 4 4 2 10" xfId="5381" xr:uid="{1F065FD1-746E-4D66-9E1B-84093A59453F}"/>
    <cellStyle name="Eingabe 4 4 2 11" xfId="5131" xr:uid="{DE722EA6-6C0A-4B17-B2E6-1C843DCCAEB0}"/>
    <cellStyle name="Eingabe 4 4 2 12" xfId="5867" xr:uid="{1CE53549-4263-402C-B797-CD440F7A282B}"/>
    <cellStyle name="Eingabe 4 4 2 13" xfId="6407" xr:uid="{7C25861E-02C4-44AA-89A4-D5B570443387}"/>
    <cellStyle name="Eingabe 4 4 2 14" xfId="7453" xr:uid="{EBBEA94D-8ACF-49D7-988C-B06332408E6E}"/>
    <cellStyle name="Eingabe 4 4 2 15" xfId="6782" xr:uid="{3AC76CE8-6443-405D-8D72-846BC4810E05}"/>
    <cellStyle name="Eingabe 4 4 2 16" xfId="8452" xr:uid="{1434C0EA-6E79-4E8B-A37B-83625441B8C9}"/>
    <cellStyle name="Eingabe 4 4 2 17" xfId="8768" xr:uid="{8B6A2CD3-621A-4416-BF66-9BBC29A65A55}"/>
    <cellStyle name="Eingabe 4 4 2 18" xfId="9667" xr:uid="{6FF0FBAB-6EF8-46AE-940F-F0245C0FED3C}"/>
    <cellStyle name="Eingabe 4 4 2 19" xfId="8994" xr:uid="{1038797E-9EFC-4AB6-87CD-12B5E7300B88}"/>
    <cellStyle name="Eingabe 4 4 2 2" xfId="1207" xr:uid="{7A9C4534-4677-43C1-B40A-57DE3A2718EA}"/>
    <cellStyle name="Eingabe 4 4 2 20" xfId="10015" xr:uid="{BE690946-DA12-4117-8BE2-F358AA0A98EE}"/>
    <cellStyle name="Eingabe 4 4 2 21" xfId="9984" xr:uid="{B87652B1-EB5E-421F-88A2-44B401DEE686}"/>
    <cellStyle name="Eingabe 4 4 2 22" xfId="11070" xr:uid="{43E3949E-9A2F-47FD-B17B-610B841C43E5}"/>
    <cellStyle name="Eingabe 4 4 2 23" xfId="12086" xr:uid="{F718E14D-6812-4933-9E44-DD5F883ED073}"/>
    <cellStyle name="Eingabe 4 4 2 24" xfId="12559" xr:uid="{16C3BBA1-E397-4B5B-8759-45D22994FB9A}"/>
    <cellStyle name="Eingabe 4 4 2 25" xfId="12993" xr:uid="{B5227708-80F1-4D85-8B69-CBEA32CDADFB}"/>
    <cellStyle name="Eingabe 4 4 2 26" xfId="13430" xr:uid="{FA0FD21F-D1F1-4006-A3BB-861DAE00AD5F}"/>
    <cellStyle name="Eingabe 4 4 2 27" xfId="11862" xr:uid="{7CCEFCEC-5401-4C14-8ACF-8F4FEE308235}"/>
    <cellStyle name="Eingabe 4 4 2 28" xfId="13844" xr:uid="{A78A6A7C-C35F-49E4-B709-3B27E4D293D3}"/>
    <cellStyle name="Eingabe 4 4 2 29" xfId="14188" xr:uid="{73FD5064-D91E-4B24-9970-7421F2720027}"/>
    <cellStyle name="Eingabe 4 4 2 3" xfId="1440" xr:uid="{EC59E080-E5E5-4A9B-8822-471CCC7F5A41}"/>
    <cellStyle name="Eingabe 4 4 2 30" xfId="15008" xr:uid="{84966F9F-1046-4C1E-9EFD-58B6BCC6FC03}"/>
    <cellStyle name="Eingabe 4 4 2 31" xfId="15224" xr:uid="{08C28DD5-FBBC-451F-87D8-B615E87F299A}"/>
    <cellStyle name="Eingabe 4 4 2 32" xfId="15312" xr:uid="{E66AB616-BA9C-4526-A9C6-8FC3259EAB34}"/>
    <cellStyle name="Eingabe 4 4 2 33" xfId="16778" xr:uid="{174ACF8E-404F-4299-BC8E-8A014492BF8C}"/>
    <cellStyle name="Eingabe 4 4 2 34" xfId="16091" xr:uid="{862D4321-F650-46BA-B557-5881AB502A45}"/>
    <cellStyle name="Eingabe 4 4 2 35" xfId="17131" xr:uid="{2D7B841E-EC14-4D57-83CE-C15E2A00B847}"/>
    <cellStyle name="Eingabe 4 4 2 36" xfId="17984" xr:uid="{C5EBCF29-D7E1-4FD4-91F3-A5BB757076E7}"/>
    <cellStyle name="Eingabe 4 4 2 37" xfId="18596" xr:uid="{4AF40857-048A-46E9-80A2-1C67DE0A486C}"/>
    <cellStyle name="Eingabe 4 4 2 38" xfId="18882" xr:uid="{1230AB99-1123-472C-B735-0C43A1C3EDA1}"/>
    <cellStyle name="Eingabe 4 4 2 39" xfId="18163" xr:uid="{EAE5CFF2-E895-410D-9958-CCB796B67B41}"/>
    <cellStyle name="Eingabe 4 4 2 4" xfId="2555" xr:uid="{5290FE32-2DB4-4F55-AB32-EA337D64417D}"/>
    <cellStyle name="Eingabe 4 4 2 40" xfId="20115" xr:uid="{D35564A9-9A46-43CA-B908-6D3F22AC9655}"/>
    <cellStyle name="Eingabe 4 4 2 41" xfId="19424" xr:uid="{DD406387-8B80-4004-A864-2FC37D8CAE2E}"/>
    <cellStyle name="Eingabe 4 4 2 42" xfId="19548" xr:uid="{E63713FE-496E-435C-BD5D-CF704CAC1E06}"/>
    <cellStyle name="Eingabe 4 4 2 43" xfId="21377" xr:uid="{A360A1C3-E4F2-498F-AAD3-B41E74F61201}"/>
    <cellStyle name="Eingabe 4 4 2 44" xfId="21100" xr:uid="{C9112D81-9AD8-42BF-8A3C-FF59370A9F36}"/>
    <cellStyle name="Eingabe 4 4 2 45" xfId="21866" xr:uid="{9C3F5D92-432F-46E6-B7F2-63C66FB6054E}"/>
    <cellStyle name="Eingabe 4 4 2 46" xfId="22190" xr:uid="{1B5EA439-14C5-4688-8268-67B46C787183}"/>
    <cellStyle name="Eingabe 4 4 2 47" xfId="23157" xr:uid="{188E0180-A0D1-4362-BF19-E65AE7F52045}"/>
    <cellStyle name="Eingabe 4 4 2 48" xfId="22241" xr:uid="{0D248825-1E46-437E-9BA4-AE939574624E}"/>
    <cellStyle name="Eingabe 4 4 2 49" xfId="23915" xr:uid="{5BC322CE-0A4B-4DC5-8ADB-E148CB167E2F}"/>
    <cellStyle name="Eingabe 4 4 2 5" xfId="2310" xr:uid="{BA68C170-C3A7-4A31-B4E7-C1B9FDE1899E}"/>
    <cellStyle name="Eingabe 4 4 2 50" xfId="24823" xr:uid="{421E33F3-9231-4082-ADE3-BF096F57AB90}"/>
    <cellStyle name="Eingabe 4 4 2 51" xfId="24147" xr:uid="{74F13F9D-3901-4C05-9128-29AA620E64DE}"/>
    <cellStyle name="Eingabe 4 4 2 52" xfId="25739" xr:uid="{A2F47EA3-AC48-4DA4-9B38-E6443FA4FA9D}"/>
    <cellStyle name="Eingabe 4 4 2 53" xfId="25244" xr:uid="{B372CC9B-732A-4072-AE21-518F84C50B80}"/>
    <cellStyle name="Eingabe 4 4 2 54" xfId="26360" xr:uid="{94BA0F22-F490-452E-8936-62804632CA25}"/>
    <cellStyle name="Eingabe 4 4 2 55" xfId="27027" xr:uid="{EDC88DB7-0B5E-4961-B683-08884AA4E95A}"/>
    <cellStyle name="Eingabe 4 4 2 56" xfId="27446" xr:uid="{C3ECE681-A8FB-488C-B1BC-FF6FB9C76AD1}"/>
    <cellStyle name="Eingabe 4 4 2 57" xfId="27659" xr:uid="{D7A39A37-7AA0-43D7-95D3-F2652BCAF59E}"/>
    <cellStyle name="Eingabe 4 4 2 58" xfId="28573" xr:uid="{58600DD0-D860-4253-A4BE-A804EAEF3272}"/>
    <cellStyle name="Eingabe 4 4 2 59" xfId="29040" xr:uid="{3426A54A-BC37-4FFD-AF8C-BD9BEAC518AA}"/>
    <cellStyle name="Eingabe 4 4 2 6" xfId="2882" xr:uid="{C321CB59-F633-4020-BE99-23BE8E2DBB86}"/>
    <cellStyle name="Eingabe 4 4 2 60" xfId="28331" xr:uid="{7090EB60-D976-473E-9D8F-05511166B76A}"/>
    <cellStyle name="Eingabe 4 4 2 61" xfId="29829" xr:uid="{FC6FB243-43CB-42E7-AC22-8E98CB3F27A8}"/>
    <cellStyle name="Eingabe 4 4 2 62" xfId="30235" xr:uid="{4A551C67-FCB9-4CCB-BF53-65E503FFD995}"/>
    <cellStyle name="Eingabe 4 4 2 63" xfId="30652" xr:uid="{1D69C06A-6743-40FA-A06C-9B4474C11B8F}"/>
    <cellStyle name="Eingabe 4 4 2 64" xfId="29343" xr:uid="{C6A0B51B-E44C-4A2A-9A5E-DA90E3475E42}"/>
    <cellStyle name="Eingabe 4 4 2 65" xfId="31268" xr:uid="{BEDF5DBF-3EA9-48BD-867F-0D1496B2210E}"/>
    <cellStyle name="Eingabe 4 4 2 7" xfId="4051" xr:uid="{A9E436A1-FE91-4D02-8316-ED5BFDF72383}"/>
    <cellStyle name="Eingabe 4 4 2 8" xfId="4488" xr:uid="{622A74E1-A95B-4D77-8DA2-E5A9884F9218}"/>
    <cellStyle name="Eingabe 4 4 2 9" xfId="4233" xr:uid="{0759532C-A939-4C40-BF78-529F8B2383E5}"/>
    <cellStyle name="Eingabe 4 4 20" xfId="10139" xr:uid="{80D7D792-EFF2-4F17-ABCA-A8D57D31E1F7}"/>
    <cellStyle name="Eingabe 4 4 21" xfId="10549" xr:uid="{B0B0AAF6-A87B-4DC1-ABC4-485E3CFB4F8C}"/>
    <cellStyle name="Eingabe 4 4 22" xfId="9430" xr:uid="{D460979C-6F2E-4192-AA02-1AB102E473A2}"/>
    <cellStyle name="Eingabe 4 4 23" xfId="10881" xr:uid="{87708FFE-4D85-4ADD-8BA3-E94AF4F71AB3}"/>
    <cellStyle name="Eingabe 4 4 24" xfId="11871" xr:uid="{D309F6B6-FDE4-47C8-9675-5C2C59027B6A}"/>
    <cellStyle name="Eingabe 4 4 25" xfId="12344" xr:uid="{D976E1D6-034A-4A1E-9DE2-062232552259}"/>
    <cellStyle name="Eingabe 4 4 26" xfId="12778" xr:uid="{A0C088E5-E154-4616-8526-035E88C836AC}"/>
    <cellStyle name="Eingabe 4 4 27" xfId="13215" xr:uid="{A57A52C3-7A1C-4E12-BA83-71BE7071E02B}"/>
    <cellStyle name="Eingabe 4 4 28" xfId="13176" xr:uid="{585B05C6-9E64-4553-BB85-F1A206E43211}"/>
    <cellStyle name="Eingabe 4 4 29" xfId="14286" xr:uid="{35AAF0EC-55EF-4083-82C3-243DAFF73DF7}"/>
    <cellStyle name="Eingabe 4 4 3" xfId="1001" xr:uid="{D0F46336-42F8-4AF6-940B-285891C80C9B}"/>
    <cellStyle name="Eingabe 4 4 30" xfId="14875" xr:uid="{841A09BE-CDE6-4731-931E-5908636C6A53}"/>
    <cellStyle name="Eingabe 4 4 31" xfId="15163" xr:uid="{8AC35845-3DA5-4185-A322-526BFE734DE9}"/>
    <cellStyle name="Eingabe 4 4 32" xfId="14790" xr:uid="{10136BA5-E5C5-445F-A52E-06F8884DCBF9}"/>
    <cellStyle name="Eingabe 4 4 33" xfId="15932" xr:uid="{956323F0-B648-464A-8EF3-044EB19A2A34}"/>
    <cellStyle name="Eingabe 4 4 34" xfId="16563" xr:uid="{F53C4B94-1BD9-482C-B5DC-A29D4CB3776A}"/>
    <cellStyle name="Eingabe 4 4 35" xfId="17258" xr:uid="{C7A080E8-BAD4-4097-968F-679B6D5460A7}"/>
    <cellStyle name="Eingabe 4 4 36" xfId="17702" xr:uid="{4D1762DF-DFC6-4A61-AC43-E5FC274C3C73}"/>
    <cellStyle name="Eingabe 4 4 37" xfId="17894" xr:uid="{4314659A-0617-4176-AC06-1D3B1CFE0FE8}"/>
    <cellStyle name="Eingabe 4 4 38" xfId="18381" xr:uid="{365372EA-C9B4-4897-AC8B-33A2D61B2EF4}"/>
    <cellStyle name="Eingabe 4 4 39" xfId="18276" xr:uid="{108EBFDE-13B4-4F47-8A83-879CA780FD28}"/>
    <cellStyle name="Eingabe 4 4 4" xfId="1710" xr:uid="{9F9DEFF6-5E6F-4BA6-8B7B-0239F3A53BAD}"/>
    <cellStyle name="Eingabe 4 4 40" xfId="17742" xr:uid="{38465016-9D04-4647-8769-D822F708659A}"/>
    <cellStyle name="Eingabe 4 4 41" xfId="19900" xr:uid="{2147B4F4-8EE6-498B-ABEA-5906CE58FC03}"/>
    <cellStyle name="Eingabe 4 4 42" xfId="20608" xr:uid="{D3A6C7FF-7291-4A79-B9C4-2F8A31E7C48C}"/>
    <cellStyle name="Eingabe 4 4 43" xfId="21063" xr:uid="{00D399D8-2FF3-45D7-A17E-55DF65B7519F}"/>
    <cellStyle name="Eingabe 4 4 44" xfId="21180" xr:uid="{70220C6C-9EE6-46B0-9880-DCFAFEB48552}"/>
    <cellStyle name="Eingabe 4 4 45" xfId="21994" xr:uid="{6F1860CD-5A53-454A-95E4-A20610EEC882}"/>
    <cellStyle name="Eingabe 4 4 46" xfId="22425" xr:uid="{11CFE7E8-9CDB-4303-83A8-0DAF0DC6F703}"/>
    <cellStyle name="Eingabe 4 4 47" xfId="22203" xr:uid="{5029FD67-1FD9-4883-ACBD-B2912C125FBD}"/>
    <cellStyle name="Eingabe 4 4 48" xfId="22227" xr:uid="{C51F4E5D-DE6C-4192-88C0-831E7820767A}"/>
    <cellStyle name="Eingabe 4 4 49" xfId="22894" xr:uid="{3E1CECB0-2AD3-41A7-B634-85CB6B79A628}"/>
    <cellStyle name="Eingabe 4 4 5" xfId="2340" xr:uid="{C28EAC10-E295-48D7-876C-645CB2FD927F}"/>
    <cellStyle name="Eingabe 4 4 50" xfId="23709" xr:uid="{A01ECFF3-0D0E-431B-8BD0-30270D367E43}"/>
    <cellStyle name="Eingabe 4 4 51" xfId="24608" xr:uid="{E329AAC7-26E8-4A53-A0CB-EC838F427597}"/>
    <cellStyle name="Eingabe 4 4 52" xfId="25317" xr:uid="{66BA5D55-AAD8-4393-B15E-68E6B774F0D5}"/>
    <cellStyle name="Eingabe 4 4 53" xfId="25526" xr:uid="{7D212C99-02E2-4D41-BADF-87AF57289A9E}"/>
    <cellStyle name="Eingabe 4 4 54" xfId="25487" xr:uid="{623C91ED-19AA-4C92-94A6-643820E52C81}"/>
    <cellStyle name="Eingabe 4 4 55" xfId="25963" xr:uid="{BC6B90C0-50EF-4E06-9878-4961E96C73F9}"/>
    <cellStyle name="Eingabe 4 4 56" xfId="26816" xr:uid="{11F6B2BC-88C4-4AD0-A549-D5AD0DD87C77}"/>
    <cellStyle name="Eingabe 4 4 57" xfId="27235" xr:uid="{14FFBF02-9967-478A-B452-BEC9D6CD73A2}"/>
    <cellStyle name="Eingabe 4 4 58" xfId="27813" xr:uid="{9A13E6CD-3A19-477D-A3E4-DDA218B7674D}"/>
    <cellStyle name="Eingabe 4 4 59" xfId="28358" xr:uid="{CA245A87-860A-4995-A1F5-3BFD3663A527}"/>
    <cellStyle name="Eingabe 4 4 6" xfId="2248" xr:uid="{A0A556E7-19B6-48FE-9447-F3872FAACED4}"/>
    <cellStyle name="Eingabe 4 4 60" xfId="28826" xr:uid="{747D883D-02A8-4E33-AC23-7809C36665FB}"/>
    <cellStyle name="Eingabe 4 4 61" xfId="29439" xr:uid="{568FDC6D-9F8D-42E7-B609-5F1C1132C460}"/>
    <cellStyle name="Eingabe 4 4 62" xfId="29616" xr:uid="{AB6DC529-2060-485E-AFC4-D656B049A24B}"/>
    <cellStyle name="Eingabe 4 4 63" xfId="30024" xr:uid="{8C6AB2E2-A052-4A29-A360-B6B2F725C154}"/>
    <cellStyle name="Eingabe 4 4 64" xfId="30438" xr:uid="{350F17A1-5396-46EB-ACAC-94958EDBAFD1}"/>
    <cellStyle name="Eingabe 4 4 65" xfId="30911" xr:uid="{78AA2CDA-E910-459A-80A4-12E7456FD264}"/>
    <cellStyle name="Eingabe 4 4 66" xfId="31062" xr:uid="{2F566551-AD15-45E4-92F6-3CA608FE6530}"/>
    <cellStyle name="Eingabe 4 4 7" xfId="3289" xr:uid="{B134546B-5F89-4619-BD3A-E5C0D53963F6}"/>
    <cellStyle name="Eingabe 4 4 8" xfId="3836" xr:uid="{A68CF9BD-1D13-494E-995C-B8D42C5833C3}"/>
    <cellStyle name="Eingabe 4 4 9" xfId="4274" xr:uid="{FBC4AEF0-332B-4D78-B59C-00B3DD11394D}"/>
    <cellStyle name="Eingabe 4 40" xfId="25026" xr:uid="{668D789D-AA56-416E-BA78-C0D5F0A857D8}"/>
    <cellStyle name="Eingabe 4 41" xfId="25052" xr:uid="{AD1325EA-2B43-4EEC-AF68-FD83D1862D8C}"/>
    <cellStyle name="Eingabe 4 42" xfId="24358" xr:uid="{E9687A44-A31F-4F59-BA1E-04EEC0CCCCFD}"/>
    <cellStyle name="Eingabe 4 43" xfId="25491" xr:uid="{05476491-BD5C-454D-9C9A-79801FC0BA99}"/>
    <cellStyle name="Eingabe 4 44" xfId="26602" xr:uid="{8CF5760C-93FE-4A4B-AD5E-E42AAF825A9C}"/>
    <cellStyle name="Eingabe 4 45" xfId="26799" xr:uid="{6940DD68-5648-44BB-AFB2-81FA154D2720}"/>
    <cellStyle name="Eingabe 4 46" xfId="28152" xr:uid="{4BDB8BB6-2914-47C8-9459-1BE4ABDE6CA6}"/>
    <cellStyle name="Eingabe 4 47" xfId="28013" xr:uid="{83D2534E-5C05-4322-9AB3-B7701AE3AAC6}"/>
    <cellStyle name="Eingabe 4 48" xfId="29349" xr:uid="{BC2CF399-5ED8-4B59-A6D3-7A8E4D4CD1D2}"/>
    <cellStyle name="Eingabe 4 49" xfId="28747" xr:uid="{88894E0F-4DB5-4F60-A5BD-D19440EC2985}"/>
    <cellStyle name="Eingabe 4 5" xfId="701" xr:uid="{1FB3C6B0-AFA7-4EED-8D74-73264D0E70AD}"/>
    <cellStyle name="Eingabe 4 5 10" xfId="5349" xr:uid="{73768721-F851-4047-AF1E-9BCF008E8A5B}"/>
    <cellStyle name="Eingabe 4 5 11" xfId="5832" xr:uid="{9048C687-D4F0-445B-BD4B-823F72900DF6}"/>
    <cellStyle name="Eingabe 4 5 12" xfId="5133" xr:uid="{A978B913-0464-4728-9C59-59BD72E52106}"/>
    <cellStyle name="Eingabe 4 5 13" xfId="6135" xr:uid="{B1A20847-B3F6-48CA-A493-4C30CB1294AA}"/>
    <cellStyle name="Eingabe 4 5 14" xfId="7421" xr:uid="{C2BCEFEE-7BD4-4460-A314-B530C80278BE}"/>
    <cellStyle name="Eingabe 4 5 15" xfId="7980" xr:uid="{FD43CAD5-4252-46A4-BCC0-9FD2845D63EB}"/>
    <cellStyle name="Eingabe 4 5 16" xfId="6765" xr:uid="{89F00370-F6F4-4036-84F9-672ED10B5D3F}"/>
    <cellStyle name="Eingabe 4 5 17" xfId="8700" xr:uid="{322BBD6C-89BA-4A9B-967E-F6C11C8D1E09}"/>
    <cellStyle name="Eingabe 4 5 18" xfId="9635" xr:uid="{CB260773-454E-43D7-99B4-A18A521EA6CD}"/>
    <cellStyle name="Eingabe 4 5 19" xfId="10196" xr:uid="{1D49C75D-2575-49A9-8A0E-7E0E519F198F}"/>
    <cellStyle name="Eingabe 4 5 2" xfId="1176" xr:uid="{D44CC2AE-0DB4-4E48-9892-1E5C565662EA}"/>
    <cellStyle name="Eingabe 4 5 20" xfId="10600" xr:uid="{A7BAA882-EA40-4A60-B172-D282A7E82550}"/>
    <cellStyle name="Eingabe 4 5 21" xfId="9953" xr:uid="{3B0B599F-7CC8-45CE-98DD-FE53756F91DF}"/>
    <cellStyle name="Eingabe 4 5 22" xfId="11011" xr:uid="{BDAC7527-8716-4681-8C5E-0D8516710D36}"/>
    <cellStyle name="Eingabe 4 5 23" xfId="12054" xr:uid="{06161BF1-FD46-49C0-A254-DD6AF634152A}"/>
    <cellStyle name="Eingabe 4 5 24" xfId="12527" xr:uid="{483F06AF-98CB-4678-B8C6-6593B7D6761E}"/>
    <cellStyle name="Eingabe 4 5 25" xfId="12961" xr:uid="{58493730-C398-4C2A-9111-D556FC5BF880}"/>
    <cellStyle name="Eingabe 4 5 26" xfId="13398" xr:uid="{B9FD127E-B353-4C31-A731-610A7860B19D}"/>
    <cellStyle name="Eingabe 4 5 27" xfId="12718" xr:uid="{3FB84FE5-F298-44B2-BAA8-2AF514D735A6}"/>
    <cellStyle name="Eingabe 4 5 28" xfId="14298" xr:uid="{DBDA0B6E-9460-4999-A400-B8584DAB4362}"/>
    <cellStyle name="Eingabe 4 5 29" xfId="14846" xr:uid="{3132F034-0E78-4697-ADFF-ADDEE789556E}"/>
    <cellStyle name="Eingabe 4 5 3" xfId="1374" xr:uid="{E16B3E19-DA5C-48BE-9920-08BCCDE262A9}"/>
    <cellStyle name="Eingabe 4 5 30" xfId="14635" xr:uid="{EC98450B-2E9F-4367-82D4-E774D478C54F}"/>
    <cellStyle name="Eingabe 4 5 31" xfId="15484" xr:uid="{30AFED37-178C-4E58-9505-87E6EE82E280}"/>
    <cellStyle name="Eingabe 4 5 32" xfId="15959" xr:uid="{9D391C0F-0785-4D1D-ADF9-27771C678A8D}"/>
    <cellStyle name="Eingabe 4 5 33" xfId="16746" xr:uid="{40C94E07-2610-4D44-8C31-4EA84830C008}"/>
    <cellStyle name="Eingabe 4 5 34" xfId="17317" xr:uid="{65FCDF90-8DA4-4213-91CB-094D9EDCE38A}"/>
    <cellStyle name="Eingabe 4 5 35" xfId="17760" xr:uid="{ADB5B5CC-8724-46CC-A379-43046DB2EC10}"/>
    <cellStyle name="Eingabe 4 5 36" xfId="17946" xr:uid="{BEE2FB46-5E4B-4CCD-8CFA-5CD699D13145}"/>
    <cellStyle name="Eingabe 4 5 37" xfId="18564" xr:uid="{6DFA444E-D2C9-494E-AD03-DC75E98CCE9F}"/>
    <cellStyle name="Eingabe 4 5 38" xfId="18777" xr:uid="{ADB6A1A6-789D-44FF-92C1-18E11556FBB6}"/>
    <cellStyle name="Eingabe 4 5 39" xfId="18976" xr:uid="{11CF398C-5884-4AD1-91ED-F064404FEFC5}"/>
    <cellStyle name="Eingabe 4 5 4" xfId="2523" xr:uid="{2CD5C536-4E2B-47F0-B539-855092B26D98}"/>
    <cellStyle name="Eingabe 4 5 40" xfId="20083" xr:uid="{A581AE55-2415-40A5-8773-B4162F17AB99}"/>
    <cellStyle name="Eingabe 4 5 41" xfId="20668" xr:uid="{AB9D247C-F450-4F08-AA6C-6EFC4F9C4008}"/>
    <cellStyle name="Eingabe 4 5 42" xfId="21124" xr:uid="{A7EB9B5E-4E96-42B3-8549-4577F1E5CC84}"/>
    <cellStyle name="Eingabe 4 5 43" xfId="21239" xr:uid="{C1DEC66A-B15C-4D67-8864-7F16D4D00E96}"/>
    <cellStyle name="Eingabe 4 5 44" xfId="22056" xr:uid="{E9E75937-B938-4C39-922A-EEFAB3C0335B}"/>
    <cellStyle name="Eingabe 4 5 45" xfId="22484" xr:uid="{F68681D7-D2EF-4842-BA8D-C499A84B3360}"/>
    <cellStyle name="Eingabe 4 5 46" xfId="21832" xr:uid="{A8D4E8D6-645F-47BA-BC82-C41F07F20EAB}"/>
    <cellStyle name="Eingabe 4 5 47" xfId="23048" xr:uid="{93AB88D6-D172-4F74-9F85-9231B628ECAC}"/>
    <cellStyle name="Eingabe 4 5 48" xfId="22443" xr:uid="{15EE1D1A-4E50-4C48-8108-123FBB643407}"/>
    <cellStyle name="Eingabe 4 5 49" xfId="23884" xr:uid="{ECDF2761-0BE8-4407-AC82-96490E2397F8}"/>
    <cellStyle name="Eingabe 4 5 5" xfId="1817" xr:uid="{109C429A-407C-433F-8CFC-795C8292875E}"/>
    <cellStyle name="Eingabe 4 5 50" xfId="24791" xr:uid="{BB6588AB-795D-4AF7-877C-18F81E9D269F}"/>
    <cellStyle name="Eingabe 4 5 51" xfId="25371" xr:uid="{4832D7B2-2F7F-4D84-A4B5-8A6F61C77F8A}"/>
    <cellStyle name="Eingabe 4 5 52" xfId="25707" xr:uid="{276B7754-52CA-41DD-A78C-7C836F744D9B}"/>
    <cellStyle name="Eingabe 4 5 53" xfId="24545" xr:uid="{25A72312-BC14-450B-85CA-9DA98FFA6464}"/>
    <cellStyle name="Eingabe 4 5 54" xfId="26139" xr:uid="{1DC2A987-623D-4DF1-9B88-3827C74A1770}"/>
    <cellStyle name="Eingabe 4 5 55" xfId="26995" xr:uid="{6988F765-BFD6-47C5-82D4-169954B9D5E9}"/>
    <cellStyle name="Eingabe 4 5 56" xfId="27414" xr:uid="{F512E7B7-7393-4C1A-A45B-4F5CAD6CFD1F}"/>
    <cellStyle name="Eingabe 4 5 57" xfId="27796" xr:uid="{20C0306F-E43A-44D7-95BC-7F27ED535AF7}"/>
    <cellStyle name="Eingabe 4 5 58" xfId="28541" xr:uid="{4D4EB36D-BF94-49C5-BDD6-EA9F99534BEA}"/>
    <cellStyle name="Eingabe 4 5 59" xfId="29008" xr:uid="{A53817E0-DAF9-4CA5-B8E0-5303DDA28FB0}"/>
    <cellStyle name="Eingabe 4 5 6" xfId="3625" xr:uid="{33638E2B-A89E-4628-9456-FAC1401F686E}"/>
    <cellStyle name="Eingabe 4 5 60" xfId="29493" xr:uid="{04DA30BF-30F5-41E8-83F3-1C6AB4A2FCF1}"/>
    <cellStyle name="Eingabe 4 5 61" xfId="29798" xr:uid="{C443DC61-FEF8-4494-98C7-15D34F70A984}"/>
    <cellStyle name="Eingabe 4 5 62" xfId="30204" xr:uid="{19CD23B6-3C7F-4137-9E14-F7D5B678C884}"/>
    <cellStyle name="Eingabe 4 5 63" xfId="30620" xr:uid="{538982F2-45DF-47CE-A2E1-EFE26AD3C99C}"/>
    <cellStyle name="Eingabe 4 5 64" xfId="30999" xr:uid="{46E48E66-B20F-443A-A47D-AC6309F6CE7A}"/>
    <cellStyle name="Eingabe 4 5 65" xfId="31237" xr:uid="{3DD12B5F-62EF-41C0-A955-5263B5FE5B51}"/>
    <cellStyle name="Eingabe 4 5 7" xfId="4019" xr:uid="{CC5BB9A9-0C45-41A5-83A3-6FCA94A71602}"/>
    <cellStyle name="Eingabe 4 5 8" xfId="4456" xr:uid="{DC1A24DE-963F-4671-88E7-164136D2849B}"/>
    <cellStyle name="Eingabe 4 5 9" xfId="4646" xr:uid="{53F782C2-E3FD-474D-943E-CE49936AFF19}"/>
    <cellStyle name="Eingabe 4 50" xfId="27932" xr:uid="{046E7A5F-79DA-4903-80D4-7460D82672DE}"/>
    <cellStyle name="Eingabe 4 51" xfId="30846" xr:uid="{41292BE0-C900-42AB-85F2-5DFB7AC95621}"/>
    <cellStyle name="Eingabe 4 6" xfId="953" xr:uid="{348FC9C9-2483-44F1-882D-22F640684867}"/>
    <cellStyle name="Eingabe 4 7" xfId="2101" xr:uid="{EBBE3A41-9BAF-46D7-8B0A-75D79EBAB53F}"/>
    <cellStyle name="Eingabe 4 8" xfId="1893" xr:uid="{8022ACF6-A7CA-4BC5-8242-9850EF806E9C}"/>
    <cellStyle name="Eingabe 4 9" xfId="3260" xr:uid="{1B50DC7A-9994-4106-A82F-B0FCF91D10A2}"/>
    <cellStyle name="Eingabe 5" xfId="552" xr:uid="{5810992B-E58A-4D10-90D0-103BAAFFAD27}"/>
    <cellStyle name="Eingabe 5 10" xfId="5027" xr:uid="{7A892D4B-F517-480C-A74A-C4CFAF31E60C}"/>
    <cellStyle name="Eingabe 5 11" xfId="5200" xr:uid="{F5444AE4-84A5-4E33-8F72-B3F8FC88CD36}"/>
    <cellStyle name="Eingabe 5 12" xfId="5117" xr:uid="{DB11495C-2F73-409D-9D7A-88B13BCF0C4D}"/>
    <cellStyle name="Eingabe 5 13" xfId="6141" xr:uid="{58BC8BD8-FDEC-4473-A939-DFB5F9FC9801}"/>
    <cellStyle name="Eingabe 5 14" xfId="5591" xr:uid="{CA6CFD61-D05E-4650-87CC-43C6CA4E903D}"/>
    <cellStyle name="Eingabe 5 15" xfId="7272" xr:uid="{D907AEA1-34CF-4B6D-85D4-493C6328D863}"/>
    <cellStyle name="Eingabe 5 16" xfId="7855" xr:uid="{8D2E2C14-AEF9-437C-87DE-AE471C428925}"/>
    <cellStyle name="Eingabe 5 17" xfId="8648" xr:uid="{19A24864-CEFA-4640-A5BE-999FAABBC515}"/>
    <cellStyle name="Eingabe 5 18" xfId="8877" xr:uid="{67F13E99-EB19-4DAA-8022-54B138927322}"/>
    <cellStyle name="Eingabe 5 19" xfId="9486" xr:uid="{B7E1DA4C-9591-401B-AF94-9C3365A2C90C}"/>
    <cellStyle name="Eingabe 5 2" xfId="767" xr:uid="{3FEC3DCA-626E-4E19-A099-212B989FF8B0}"/>
    <cellStyle name="Eingabe 5 2 10" xfId="5415" xr:uid="{35058794-A3FE-4C17-85C6-1B23D5DECFFE}"/>
    <cellStyle name="Eingabe 5 2 11" xfId="5921" xr:uid="{51C47446-A1B2-4FEE-87E5-9B80380D856C}"/>
    <cellStyle name="Eingabe 5 2 12" xfId="6040" xr:uid="{F6A48D12-15B5-478C-A67B-FA7DA7B52B21}"/>
    <cellStyle name="Eingabe 5 2 13" xfId="6551" xr:uid="{17F9E993-C20D-4046-B043-47E2F4CF025F}"/>
    <cellStyle name="Eingabe 5 2 14" xfId="7487" xr:uid="{4C21F6A3-9867-4B87-A637-520F4B569350}"/>
    <cellStyle name="Eingabe 5 2 15" xfId="7093" xr:uid="{05506B4A-8D90-4C0A-8D6B-430B479ED01B}"/>
    <cellStyle name="Eingabe 5 2 16" xfId="8013" xr:uid="{07F9977E-77CB-481E-AD82-158E7F2EBE54}"/>
    <cellStyle name="Eingabe 5 2 17" xfId="8789" xr:uid="{6FA94F46-82E9-4F4C-9922-B057B7AEBE86}"/>
    <cellStyle name="Eingabe 5 2 18" xfId="9701" xr:uid="{632203C6-BB9D-4617-929C-73753CD25C51}"/>
    <cellStyle name="Eingabe 5 2 19" xfId="9306" xr:uid="{2BFA8141-B05C-4F56-9094-85FE8F746A74}"/>
    <cellStyle name="Eingabe 5 2 2" xfId="1241" xr:uid="{BAC1BF07-CC86-4AC2-900D-16E718A230D8}"/>
    <cellStyle name="Eingabe 5 2 20" xfId="9960" xr:uid="{AA9533EB-B343-43AC-9594-54E5A41FB7C0}"/>
    <cellStyle name="Eingabe 5 2 21" xfId="9872" xr:uid="{3F91C0C4-3DA6-42C7-866D-6AD49EBB2A3D}"/>
    <cellStyle name="Eingabe 5 2 22" xfId="11081" xr:uid="{7C196A65-E3CA-43EF-9D07-2722710893B5}"/>
    <cellStyle name="Eingabe 5 2 23" xfId="12120" xr:uid="{F88CB068-21CD-43CB-BE03-2315F40DB3F9}"/>
    <cellStyle name="Eingabe 5 2 24" xfId="12593" xr:uid="{AAE777BD-2E5D-4D34-ABBC-78B223F90604}"/>
    <cellStyle name="Eingabe 5 2 25" xfId="13027" xr:uid="{33D5BAE5-277A-40AA-BDAD-63ED2287758E}"/>
    <cellStyle name="Eingabe 5 2 26" xfId="13464" xr:uid="{CC42C81E-EA9C-4E45-9388-F62EEF4B010C}"/>
    <cellStyle name="Eingabe 5 2 27" xfId="12313" xr:uid="{F9497F68-AD54-46BD-BCBF-0912D57B198B}"/>
    <cellStyle name="Eingabe 5 2 28" xfId="13802" xr:uid="{9634DA74-05AE-40A1-811F-121E904A2AD6}"/>
    <cellStyle name="Eingabe 5 2 29" xfId="13622" xr:uid="{BB942A81-349A-4663-880C-30B32BB17DAB}"/>
    <cellStyle name="Eingabe 5 2 3" xfId="1572" xr:uid="{1999158B-5A03-41F7-B2DA-A2C9A1B005CC}"/>
    <cellStyle name="Eingabe 5 2 30" xfId="15111" xr:uid="{41D4DAB9-A0A4-4C55-92F7-A0FB2F34862C}"/>
    <cellStyle name="Eingabe 5 2 31" xfId="15458" xr:uid="{553FA110-DD8C-4ABF-B8C9-E216D9B3F98E}"/>
    <cellStyle name="Eingabe 5 2 32" xfId="14246" xr:uid="{A7DE5D71-5104-4D07-A197-E43E5159FA46}"/>
    <cellStyle name="Eingabe 5 2 33" xfId="16812" xr:uid="{92F57F38-8066-4D08-83FC-5C6CB0AC9C16}"/>
    <cellStyle name="Eingabe 5 2 34" xfId="16415" xr:uid="{603784CC-CF8D-4171-89B2-5C86265CF835}"/>
    <cellStyle name="Eingabe 5 2 35" xfId="17073" xr:uid="{1BF9EA05-49B4-4E20-AABB-402E6670A93C}"/>
    <cellStyle name="Eingabe 5 2 36" xfId="18096" xr:uid="{3C90675B-B599-488E-B0A9-896D55094EC0}"/>
    <cellStyle name="Eingabe 5 2 37" xfId="18630" xr:uid="{CF32B823-D74F-4365-90FD-CA1A52F00EB1}"/>
    <cellStyle name="Eingabe 5 2 38" xfId="18916" xr:uid="{30E0A3A7-7508-4A6D-9C10-08E6F48E6C2B}"/>
    <cellStyle name="Eingabe 5 2 39" xfId="19099" xr:uid="{F8353B03-8992-4DAE-BB71-23E698EBE64D}"/>
    <cellStyle name="Eingabe 5 2 4" xfId="2589" xr:uid="{934E99B6-F6CB-42CB-9372-329BAF049E85}"/>
    <cellStyle name="Eingabe 5 2 40" xfId="20149" xr:uid="{5F26D285-39A9-434E-ADF3-242BFC53179D}"/>
    <cellStyle name="Eingabe 5 2 41" xfId="19750" xr:uid="{FC1E185C-A765-4AF7-BAAA-25A4F6EC2309}"/>
    <cellStyle name="Eingabe 5 2 42" xfId="19501" xr:uid="{E558773D-67C6-4E92-B82D-1E00B360CFCC}"/>
    <cellStyle name="Eingabe 5 2 43" xfId="20280" xr:uid="{7C2EA50B-C15E-4B82-A9DB-8007CBEEF1E6}"/>
    <cellStyle name="Eingabe 5 2 44" xfId="21358" xr:uid="{F9182C93-89E0-44AD-96BB-28A7032BD5CC}"/>
    <cellStyle name="Eingabe 5 2 45" xfId="21564" xr:uid="{77A5BA8E-9623-41EF-8B1E-B577D86EAC41}"/>
    <cellStyle name="Eingabe 5 2 46" xfId="22426" xr:uid="{043EA5B7-C3FD-45C3-8BEB-4D4E759BA6A3}"/>
    <cellStyle name="Eingabe 5 2 47" xfId="23197" xr:uid="{06474C10-EC3F-450E-B3EF-AEC80EA1F25F}"/>
    <cellStyle name="Eingabe 5 2 48" xfId="23435" xr:uid="{1C4678CF-6083-48F4-AB8B-F318E24AD628}"/>
    <cellStyle name="Eingabe 5 2 49" xfId="23949" xr:uid="{D4ED47B4-1BF9-4C7F-A5CA-EF7A0CA859CA}"/>
    <cellStyle name="Eingabe 5 2 5" xfId="1935" xr:uid="{E6D71D0B-F06A-452D-99E5-62CA0D038A3E}"/>
    <cellStyle name="Eingabe 5 2 50" xfId="24857" xr:uid="{E4FB95F7-3A02-4321-ACE0-705B7BE9827B}"/>
    <cellStyle name="Eingabe 5 2 51" xfId="24243" xr:uid="{3556DDAE-788F-45DE-8938-06A1D3848822}"/>
    <cellStyle name="Eingabe 5 2 52" xfId="25773" xr:uid="{7C6F6146-E595-4E6E-98DE-4C959A55D508}"/>
    <cellStyle name="Eingabe 5 2 53" xfId="25297" xr:uid="{BA84069E-9918-4BD2-9409-7AE4C9EBCFA7}"/>
    <cellStyle name="Eingabe 5 2 54" xfId="26615" xr:uid="{3523939B-B821-4747-989E-8F64ECD05CE1}"/>
    <cellStyle name="Eingabe 5 2 55" xfId="27061" xr:uid="{CE5339BB-65E3-452F-A8CA-55BE0C346334}"/>
    <cellStyle name="Eingabe 5 2 56" xfId="27480" xr:uid="{2C8F267E-634C-46C3-A814-B373150DEFC9}"/>
    <cellStyle name="Eingabe 5 2 57" xfId="26392" xr:uid="{ABD2627E-DFBF-443B-9AF1-D863CC4C33D1}"/>
    <cellStyle name="Eingabe 5 2 58" xfId="28607" xr:uid="{020D505E-B08A-473F-A452-C56524A17765}"/>
    <cellStyle name="Eingabe 5 2 59" xfId="29074" xr:uid="{E6F62A3A-740E-4471-A3D1-03B68BE5B3A4}"/>
    <cellStyle name="Eingabe 5 2 6" xfId="2314" xr:uid="{78D3B845-FBD1-4BDA-96AB-6EA1E4F12BF3}"/>
    <cellStyle name="Eingabe 5 2 60" xfId="28072" xr:uid="{B0CD4729-6AD6-4122-AA00-10D0355EF8A5}"/>
    <cellStyle name="Eingabe 5 2 61" xfId="29863" xr:uid="{99E39AAD-6F17-44C6-8AF2-6D703F320355}"/>
    <cellStyle name="Eingabe 5 2 62" xfId="30269" xr:uid="{DEBE3131-FE5C-4871-A4D5-F1133D8A0DBE}"/>
    <cellStyle name="Eingabe 5 2 63" xfId="30686" xr:uid="{8090FA81-8662-4429-976B-FF1636D145EE}"/>
    <cellStyle name="Eingabe 5 2 64" xfId="28193" xr:uid="{1226CD8B-29E0-412F-AE5E-E78BBF058B75}"/>
    <cellStyle name="Eingabe 5 2 65" xfId="31302" xr:uid="{F990FA7D-6A2C-4D35-BECD-CA5A5F1C7695}"/>
    <cellStyle name="Eingabe 5 2 7" xfId="4085" xr:uid="{1564D6D0-C951-4C0B-B3E7-5AD8D73B013B}"/>
    <cellStyle name="Eingabe 5 2 8" xfId="4522" xr:uid="{15E54CBC-6BF7-4BDA-9D70-8842F74DB4BC}"/>
    <cellStyle name="Eingabe 5 2 9" xfId="3657" xr:uid="{915EFAEF-3A4B-448D-8DB2-6771A1CD8615}"/>
    <cellStyle name="Eingabe 5 20" xfId="10068" xr:uid="{FF4F36D7-9783-4251-9A4E-1175C42E4A2D}"/>
    <cellStyle name="Eingabe 5 21" xfId="10485" xr:uid="{54F2C4C8-0708-4714-939E-B1B8E9F281EC}"/>
    <cellStyle name="Eingabe 5 22" xfId="10987" xr:uid="{7E35B9F9-DF70-4288-91B6-CA50F14150A1}"/>
    <cellStyle name="Eingabe 5 23" xfId="10978" xr:uid="{46C49C9A-9935-4F8C-93C8-A40415048676}"/>
    <cellStyle name="Eingabe 5 24" xfId="11905" xr:uid="{97526F23-8052-49BA-A133-C7E371F95137}"/>
    <cellStyle name="Eingabe 5 25" xfId="12378" xr:uid="{0C99C226-2F83-4A17-AD2C-4B30A794BD12}"/>
    <cellStyle name="Eingabe 5 26" xfId="12812" xr:uid="{FF504461-9CD7-422F-8017-90E1B7011D6D}"/>
    <cellStyle name="Eingabe 5 27" xfId="13249" xr:uid="{E4338732-D9AD-4F1F-991E-32AA64F2EC56}"/>
    <cellStyle name="Eingabe 5 28" xfId="12057" xr:uid="{BCF8DEA5-5285-4479-8F01-DCAD972F1336}"/>
    <cellStyle name="Eingabe 5 29" xfId="14241" xr:uid="{6196BEF1-6F8E-4E87-8710-F36231C1F6FF}"/>
    <cellStyle name="Eingabe 5 3" xfId="1035" xr:uid="{561E0E3F-A31E-4FB7-8090-4A2B4C6CB377}"/>
    <cellStyle name="Eingabe 5 30" xfId="14706" xr:uid="{3188445E-2938-447D-8A2C-204B83138E71}"/>
    <cellStyle name="Eingabe 5 31" xfId="14558" xr:uid="{75A59A30-93DD-4F35-8A5E-75D9E8E1B2F4}"/>
    <cellStyle name="Eingabe 5 32" xfId="14961" xr:uid="{AF95E4D2-8C66-4A86-B50B-9B264342E4CD}"/>
    <cellStyle name="Eingabe 5 33" xfId="15890" xr:uid="{BB977160-1BAE-4B0A-86FA-9991DCEFB3A3}"/>
    <cellStyle name="Eingabe 5 34" xfId="16597" xr:uid="{BE81248A-8FE2-4B83-B88C-5FED687CF9A0}"/>
    <cellStyle name="Eingabe 5 35" xfId="17185" xr:uid="{93A9F6C7-B58B-44FB-8505-2BDE623EB8F3}"/>
    <cellStyle name="Eingabe 5 36" xfId="17631" xr:uid="{FF7CA752-1B3F-4070-AC7E-74120A55D2FA}"/>
    <cellStyle name="Eingabe 5 37" xfId="17451" xr:uid="{F8EAD0C1-7BBB-4415-98F6-6ADDEE032949}"/>
    <cellStyle name="Eingabe 5 38" xfId="18415" xr:uid="{0F9E5CAA-9DA6-42F4-8B2B-C8CED06EEE55}"/>
    <cellStyle name="Eingabe 5 39" xfId="18975" xr:uid="{DBC0FC7A-6E12-4A0A-82E7-694C6910A885}"/>
    <cellStyle name="Eingabe 5 4" xfId="1411" xr:uid="{E34AE605-C262-4A80-98F5-3B6BD5027B1F}"/>
    <cellStyle name="Eingabe 5 40" xfId="19246" xr:uid="{8D86807C-2EC9-4B62-B499-27575813BD9B}"/>
    <cellStyle name="Eingabe 5 41" xfId="19934" xr:uid="{4A50E072-9781-4159-910C-8B3653F4D981}"/>
    <cellStyle name="Eingabe 5 42" xfId="20538" xr:uid="{C167E4EC-03A6-4FBC-845D-58BA0C5AAE4B}"/>
    <cellStyle name="Eingabe 5 43" xfId="20991" xr:uid="{235A9121-3512-47EC-9EE8-0E88831C3626}"/>
    <cellStyle name="Eingabe 5 44" xfId="21462" xr:uid="{D2BEBDE9-81D3-4EC3-A411-083E302BB0A3}"/>
    <cellStyle name="Eingabe 5 45" xfId="21922" xr:uid="{8EACBF08-B8A9-48A1-B4FF-39E80D775B7D}"/>
    <cellStyle name="Eingabe 5 46" xfId="22356" xr:uid="{C4280768-7E80-4612-9C73-C206BE1D9094}"/>
    <cellStyle name="Eingabe 5 47" xfId="21765" xr:uid="{2609201A-68FC-4FDC-A774-6EC6F91403BE}"/>
    <cellStyle name="Eingabe 5 48" xfId="23261" xr:uid="{6135FB67-57CC-4367-991A-49CB5561B4B0}"/>
    <cellStyle name="Eingabe 5 49" xfId="23538" xr:uid="{1A9C61AE-9B84-4FFA-975A-A9BD7DCC38C9}"/>
    <cellStyle name="Eingabe 5 5" xfId="2374" xr:uid="{262292E1-1B4A-4BD1-BF3A-886B83BE4AFF}"/>
    <cellStyle name="Eingabe 5 50" xfId="23743" xr:uid="{1CAB7344-D947-4E36-A879-85AE1AACEDA4}"/>
    <cellStyle name="Eingabe 5 51" xfId="24642" xr:uid="{8EFCBE64-61BC-4F2E-A816-BF67B14108BA}"/>
    <cellStyle name="Eingabe 5 52" xfId="25246" xr:uid="{B4AD1130-A6C9-48AA-8870-BB45F3D6CE7B}"/>
    <cellStyle name="Eingabe 5 53" xfId="25560" xr:uid="{58AFCCD8-DF8C-41B5-97BB-FF795C3D453E}"/>
    <cellStyle name="Eingabe 5 54" xfId="25182" xr:uid="{4B9D3412-C902-4C34-ACB9-ABC484450124}"/>
    <cellStyle name="Eingabe 5 55" xfId="26088" xr:uid="{C614844A-F7D8-4F9C-89A6-5CF391642C81}"/>
    <cellStyle name="Eingabe 5 56" xfId="26850" xr:uid="{E95A7D72-E621-4F60-865F-3C2136139056}"/>
    <cellStyle name="Eingabe 5 57" xfId="27269" xr:uid="{D5DE9566-C819-4563-A139-196DDDBEC899}"/>
    <cellStyle name="Eingabe 5 58" xfId="27736" xr:uid="{5A1CBDAA-BB58-4D65-A727-AB42068BAC05}"/>
    <cellStyle name="Eingabe 5 59" xfId="28392" xr:uid="{98BA9A79-FA4F-4F41-AE75-61389720D948}"/>
    <cellStyle name="Eingabe 5 6" xfId="2067" xr:uid="{E594FF1E-9CBB-493B-AD03-D630D1A18AF6}"/>
    <cellStyle name="Eingabe 5 60" xfId="28860" xr:uid="{FF35AE42-9BC2-41C1-A1D2-B0916FE54312}"/>
    <cellStyle name="Eingabe 5 61" xfId="29383" xr:uid="{D8DD71E0-DD96-41FD-9412-67EB26840D03}"/>
    <cellStyle name="Eingabe 5 62" xfId="29650" xr:uid="{F8A77FFA-0D9D-42E6-961E-7EE544F97208}"/>
    <cellStyle name="Eingabe 5 63" xfId="30058" xr:uid="{2292B7F9-9063-419D-8923-2D60B049A485}"/>
    <cellStyle name="Eingabe 5 64" xfId="30472" xr:uid="{469D9731-ACE6-42F4-ACBD-3F37174A9C9D}"/>
    <cellStyle name="Eingabe 5 65" xfId="30993" xr:uid="{443380F1-F1E7-4244-889C-9369BAFB767B}"/>
    <cellStyle name="Eingabe 5 66" xfId="31096" xr:uid="{80E065A3-1CB0-421A-8FC5-D8F656CCE32A}"/>
    <cellStyle name="Eingabe 5 7" xfId="3750" xr:uid="{C3FF8039-E388-41C6-BB97-039698EA5C32}"/>
    <cellStyle name="Eingabe 5 8" xfId="3870" xr:uid="{4A19FA68-21A0-46C0-898C-0BA21BE2C245}"/>
    <cellStyle name="Eingabe 5 9" xfId="4308" xr:uid="{65893A50-7DD4-4BA7-89B6-48E62A2085F1}"/>
    <cellStyle name="Eingabe 6" xfId="629" xr:uid="{B190DC21-AB64-42ED-A864-4F0CE325EE4C}"/>
    <cellStyle name="Eingabe 6 10" xfId="4893" xr:uid="{45A9296C-3480-4986-B2EF-8F793BA3E15F}"/>
    <cellStyle name="Eingabe 6 11" xfId="5277" xr:uid="{CB7E23E3-C3FD-4841-848A-5B2A02BF884F}"/>
    <cellStyle name="Eingabe 6 12" xfId="5049" xr:uid="{4EC62F3F-9D03-4211-93C6-8B0119889B00}"/>
    <cellStyle name="Eingabe 6 13" xfId="5054" xr:uid="{BCB71A98-6329-4F37-B597-345B4427D4B3}"/>
    <cellStyle name="Eingabe 6 14" xfId="5540" xr:uid="{0721F161-B07D-4D67-8F15-C6DD384B3337}"/>
    <cellStyle name="Eingabe 6 15" xfId="7349" xr:uid="{FE992923-7888-4E0B-9D92-6392ADA881DF}"/>
    <cellStyle name="Eingabe 6 16" xfId="7987" xr:uid="{97020031-7923-4326-959F-B9163B1CF63C}"/>
    <cellStyle name="Eingabe 6 17" xfId="8581" xr:uid="{68CB401D-29B9-4DB5-8540-E3879D9670EA}"/>
    <cellStyle name="Eingabe 6 18" xfId="8506" xr:uid="{1101F830-349D-413E-BB15-69AB98A0D23F}"/>
    <cellStyle name="Eingabe 6 19" xfId="9563" xr:uid="{AFAD1BD7-4E63-4015-8AD4-4CF403AB8D2A}"/>
    <cellStyle name="Eingabe 6 2" xfId="844" xr:uid="{5116CD5D-D055-4AE6-B8CF-9FDBF1074D0F}"/>
    <cellStyle name="Eingabe 6 2 10" xfId="5492" xr:uid="{7A90B166-266F-4077-A513-4E2DC600440F}"/>
    <cellStyle name="Eingabe 6 2 11" xfId="5802" xr:uid="{8E8EEF2A-3A06-4261-A855-C892329F436C}"/>
    <cellStyle name="Eingabe 6 2 12" xfId="5820" xr:uid="{5B8C1793-2DCA-40B4-B22D-54E85995D79A}"/>
    <cellStyle name="Eingabe 6 2 13" xfId="5970" xr:uid="{73196EEB-0F7D-42C1-8990-2FB0FD040FFB}"/>
    <cellStyle name="Eingabe 6 2 14" xfId="7564" xr:uid="{DE66068A-BB3E-4A38-B59E-0D1660CB8A5F}"/>
    <cellStyle name="Eingabe 6 2 15" xfId="6748" xr:uid="{99FF3024-4875-404A-89C2-CBCF9CA40FCA}"/>
    <cellStyle name="Eingabe 6 2 16" xfId="7070" xr:uid="{2724185B-3AF5-411F-A61F-756F544825CE}"/>
    <cellStyle name="Eingabe 6 2 17" xfId="8763" xr:uid="{ECF170BD-CE7F-4B94-B42A-DD86E4061744}"/>
    <cellStyle name="Eingabe 6 2 18" xfId="9778" xr:uid="{C890D3A4-F16E-4DE8-BD0E-4328FD036CBC}"/>
    <cellStyle name="Eingabe 6 2 19" xfId="8960" xr:uid="{9125A936-07F1-40F3-9578-A80DEDDB113A}"/>
    <cellStyle name="Eingabe 6 2 2" xfId="1318" xr:uid="{C122B110-D60B-41BC-A03B-E2C26C5F9AB1}"/>
    <cellStyle name="Eingabe 6 2 20" xfId="10108" xr:uid="{CBCAAA9D-760D-4F45-8FFB-62E7B9E4D5DF}"/>
    <cellStyle name="Eingabe 6 2 21" xfId="10388" xr:uid="{FFDA2D93-900E-45FA-A940-C9202ED0104A}"/>
    <cellStyle name="Eingabe 6 2 22" xfId="10434" xr:uid="{366521D5-5115-48DF-BA8F-121A2015E6D4}"/>
    <cellStyle name="Eingabe 6 2 23" xfId="12197" xr:uid="{C19A0370-2C39-46ED-8403-6ED05701F386}"/>
    <cellStyle name="Eingabe 6 2 24" xfId="12670" xr:uid="{0A3FD9A4-15AA-4207-B4F0-987F2A7A524E}"/>
    <cellStyle name="Eingabe 6 2 25" xfId="13104" xr:uid="{ED8B1848-43BB-478F-9FDE-E1AD72CBEB72}"/>
    <cellStyle name="Eingabe 6 2 26" xfId="13541" xr:uid="{21C4CD42-372E-434E-B727-B2099DC1530C}"/>
    <cellStyle name="Eingabe 6 2 27" xfId="13617" xr:uid="{E21B70D3-593B-48ED-A432-061D2F7111BE}"/>
    <cellStyle name="Eingabe 6 2 28" xfId="13901" xr:uid="{2A87BC6B-6B43-4D69-94C2-84F42D91D4DB}"/>
    <cellStyle name="Eingabe 6 2 29" xfId="13914" xr:uid="{32BC2C66-408D-43A3-9AC7-DAD8250C27BE}"/>
    <cellStyle name="Eingabe 6 2 3" xfId="1767" xr:uid="{FA12ABEB-9A27-48F7-8E96-30E9E772CB8C}"/>
    <cellStyle name="Eingabe 6 2 30" xfId="15236" xr:uid="{F5172082-0076-426D-A2A0-40B2910FEA91}"/>
    <cellStyle name="Eingabe 6 2 31" xfId="15587" xr:uid="{534CD008-C0CD-47FA-820F-AC7910A9156E}"/>
    <cellStyle name="Eingabe 6 2 32" xfId="15000" xr:uid="{FADF362E-A549-4007-B2DB-4FE8C25653EF}"/>
    <cellStyle name="Eingabe 6 2 33" xfId="16889" xr:uid="{A7A903BD-65BF-4E5E-BC55-23A833896DDF}"/>
    <cellStyle name="Eingabe 6 2 34" xfId="16057" xr:uid="{8E52ECC3-3FDD-42D9-8326-D677692C5236}"/>
    <cellStyle name="Eingabe 6 2 35" xfId="17227" xr:uid="{E46DA2B5-0914-46EF-9EDE-F8AF368F1EA7}"/>
    <cellStyle name="Eingabe 6 2 36" xfId="17902" xr:uid="{512054F3-A593-49DC-AFEF-0A0C6E868E79}"/>
    <cellStyle name="Eingabe 6 2 37" xfId="18707" xr:uid="{F65578A0-4A48-494F-B99C-60E637D03BEE}"/>
    <cellStyle name="Eingabe 6 2 38" xfId="18826" xr:uid="{D1FA2D66-9FB9-4BDA-8298-28AC9332E9C2}"/>
    <cellStyle name="Eingabe 6 2 39" xfId="19173" xr:uid="{3630C89D-1F79-4FC1-86F7-23239D7E82FB}"/>
    <cellStyle name="Eingabe 6 2 4" xfId="2666" xr:uid="{BC8AB8EF-815E-4F47-811E-B138B9E47DD5}"/>
    <cellStyle name="Eingabe 6 2 40" xfId="20226" xr:uid="{53B5E78A-BD9A-4A5F-9CFF-9CA993678B83}"/>
    <cellStyle name="Eingabe 6 2 41" xfId="19390" xr:uid="{679DE63E-14C9-4FB9-8E37-F8558E34FA41}"/>
    <cellStyle name="Eingabe 6 2 42" xfId="20707" xr:uid="{5ECD672C-EAC9-4C8B-AF79-08E075DA21B9}"/>
    <cellStyle name="Eingabe 6 2 43" xfId="21431" xr:uid="{437C2337-50D8-467F-8045-B245C3903D99}"/>
    <cellStyle name="Eingabe 6 2 44" xfId="20987" xr:uid="{65CC4D0C-BD47-44C9-A948-AE128509DD69}"/>
    <cellStyle name="Eingabe 6 2 45" xfId="21878" xr:uid="{9EFBDC55-CFBA-4CA8-9716-35056BB11B9E}"/>
    <cellStyle name="Eingabe 6 2 46" xfId="22626" xr:uid="{F30DC7D0-54E2-4DDC-8EBD-15BC6F14CA9A}"/>
    <cellStyle name="Eingabe 6 2 47" xfId="23098" xr:uid="{149404A3-B4BB-46CC-AEBB-8EE9EB0EBE40}"/>
    <cellStyle name="Eingabe 6 2 48" xfId="23111" xr:uid="{DA843F37-E9DC-47B4-B399-E744E5A2D1CF}"/>
    <cellStyle name="Eingabe 6 2 49" xfId="24026" xr:uid="{3C8B73A8-EAC0-4151-B38F-979ECFBEF14C}"/>
    <cellStyle name="Eingabe 6 2 5" xfId="2784" xr:uid="{4038FD6C-1F94-4305-9B75-C41A365D799F}"/>
    <cellStyle name="Eingabe 6 2 50" xfId="24934" xr:uid="{3B19FEC8-F8BB-472C-B332-91BCB26F9CE9}"/>
    <cellStyle name="Eingabe 6 2 51" xfId="24100" xr:uid="{FAF3B71E-785C-404F-909E-C07D29D93FFD}"/>
    <cellStyle name="Eingabe 6 2 52" xfId="25850" xr:uid="{3016DB70-32DB-436D-8E78-0D4C87F5E499}"/>
    <cellStyle name="Eingabe 6 2 53" xfId="25055" xr:uid="{C307D63A-AB21-4170-8D7C-F5D71E073B85}"/>
    <cellStyle name="Eingabe 6 2 54" xfId="24597" xr:uid="{5FAAB301-0488-4467-84A1-EB9C0A3100F9}"/>
    <cellStyle name="Eingabe 6 2 55" xfId="27138" xr:uid="{48A15749-7204-48B3-88A9-3BF98C9A4F0C}"/>
    <cellStyle name="Eingabe 6 2 56" xfId="27557" xr:uid="{19ACB513-A66A-4F3B-81CA-740C0FF684B4}"/>
    <cellStyle name="Eingabe 6 2 57" xfId="27722" xr:uid="{5FAA6F6B-F86D-44A0-9629-78768AB63D95}"/>
    <cellStyle name="Eingabe 6 2 58" xfId="28684" xr:uid="{5AA1C3B2-CD2B-4FD5-9798-C998FC82480C}"/>
    <cellStyle name="Eingabe 6 2 59" xfId="29151" xr:uid="{AB3DAFCE-D7E7-45A8-A409-1BD9B2276752}"/>
    <cellStyle name="Eingabe 6 2 6" xfId="3255" xr:uid="{51C5A85F-289F-4051-8893-0F2501211A21}"/>
    <cellStyle name="Eingabe 6 2 60" xfId="27985" xr:uid="{5299209A-F3D5-4069-8F25-5A6E7B66835B}"/>
    <cellStyle name="Eingabe 6 2 61" xfId="29940" xr:uid="{C29066C3-E944-4F5F-BB1B-F64E43A71CB4}"/>
    <cellStyle name="Eingabe 6 2 62" xfId="30346" xr:uid="{FEC04782-1B7F-4700-BF15-1056672658DE}"/>
    <cellStyle name="Eingabe 6 2 63" xfId="30763" xr:uid="{A0A152B4-49B9-4AE7-BC66-F810A646AEEF}"/>
    <cellStyle name="Eingabe 6 2 64" xfId="29797" xr:uid="{ECFF9715-F2AE-42D2-AB45-E71CD8CE6C14}"/>
    <cellStyle name="Eingabe 6 2 65" xfId="31379" xr:uid="{4715DED3-7BDB-445E-A022-11AEFD6DF770}"/>
    <cellStyle name="Eingabe 6 2 7" xfId="4162" xr:uid="{D7EF430B-1ED3-4982-BA25-446FAF320A00}"/>
    <cellStyle name="Eingabe 6 2 8" xfId="4599" xr:uid="{4D3C1DB1-0155-402E-9DCC-C8B888BB8B50}"/>
    <cellStyle name="Eingabe 6 2 9" xfId="3247" xr:uid="{9C9BDB03-26AD-41E0-8230-ED8F8D0A6AA9}"/>
    <cellStyle name="Eingabe 6 20" xfId="10203" xr:uid="{3D2CEF7C-A67C-41F9-A16A-7ED79EBB8E08}"/>
    <cellStyle name="Eingabe 6 21" xfId="10607" xr:uid="{A1E52CF5-EB7F-4E4B-A20A-99A5B86BC94E}"/>
    <cellStyle name="Eingabe 6 22" xfId="9936" xr:uid="{B968DAED-159E-4C4F-8704-E336A426FAB9}"/>
    <cellStyle name="Eingabe 6 23" xfId="10896" xr:uid="{8AB5555E-A2D6-4497-B1CC-02B3E69A09B8}"/>
    <cellStyle name="Eingabe 6 24" xfId="11982" xr:uid="{9536883B-F46E-44A5-8BAE-EB2F86F51452}"/>
    <cellStyle name="Eingabe 6 25" xfId="12455" xr:uid="{C178D9C6-F8EB-4D9B-A122-5AF79CDCC0DB}"/>
    <cellStyle name="Eingabe 6 26" xfId="12889" xr:uid="{745E4B28-1DFE-4053-BD52-3FEC3912CF1C}"/>
    <cellStyle name="Eingabe 6 27" xfId="13326" xr:uid="{0188C47C-226A-490E-A5FD-2E7B23DD314C}"/>
    <cellStyle name="Eingabe 6 28" xfId="11717" xr:uid="{F1ACEB6D-A53C-463E-BA0D-D98908C6DD2D}"/>
    <cellStyle name="Eingabe 6 29" xfId="14440" xr:uid="{2045755E-1B0D-4508-B37F-D037C40F2C11}"/>
    <cellStyle name="Eingabe 6 3" xfId="1112" xr:uid="{3C70A5CB-43FD-4C2F-9279-13F6CAAF2F9B}"/>
    <cellStyle name="Eingabe 6 30" xfId="14433" xr:uid="{70B70BB2-425B-421C-B06A-7156E1B16B08}"/>
    <cellStyle name="Eingabe 6 31" xfId="15184" xr:uid="{00C3C2ED-96D5-4F84-8703-A0D1B8737604}"/>
    <cellStyle name="Eingabe 6 32" xfId="15511" xr:uid="{8549D97D-DB01-4571-B2E8-E14FE16EB77D}"/>
    <cellStyle name="Eingabe 6 33" xfId="15966" xr:uid="{835966EE-CAE7-4670-8844-A21257C8A6D1}"/>
    <cellStyle name="Eingabe 6 34" xfId="16674" xr:uid="{59F31ADD-78F0-4312-9B47-AC98218E373C}"/>
    <cellStyle name="Eingabe 6 35" xfId="17324" xr:uid="{C72E0B49-3E91-43F3-AE0B-C4C85341E256}"/>
    <cellStyle name="Eingabe 6 36" xfId="17767" xr:uid="{7265C84E-1619-4C49-9EB9-8B8E778A77C8}"/>
    <cellStyle name="Eingabe 6 37" xfId="17972" xr:uid="{EFE56CA7-963A-4FEF-A8B8-C1AC95914415}"/>
    <cellStyle name="Eingabe 6 38" xfId="18492" xr:uid="{05B879B3-E650-40D6-AA23-641F182FDB1D}"/>
    <cellStyle name="Eingabe 6 39" xfId="17343" xr:uid="{96B9BE43-3EAE-4B13-BE90-5A6C961B5DF7}"/>
    <cellStyle name="Eingabe 6 4" xfId="1718" xr:uid="{9AAD5FEC-7A93-4EF0-906D-CB50E652CF13}"/>
    <cellStyle name="Eingabe 6 40" xfId="18776" xr:uid="{857F7AAA-CCE6-4258-A269-7F7AA3F78117}"/>
    <cellStyle name="Eingabe 6 41" xfId="20011" xr:uid="{9FF91746-1C24-4301-BA90-0EC253EF6FAA}"/>
    <cellStyle name="Eingabe 6 42" xfId="20675" xr:uid="{8A155932-9224-449C-9D78-CF8896B1E481}"/>
    <cellStyle name="Eingabe 6 43" xfId="21131" xr:uid="{25FBB39B-241B-4E30-8338-FD7BF0AE9F4D}"/>
    <cellStyle name="Eingabe 6 44" xfId="21166" xr:uid="{F3C69D54-FBA1-46C2-9955-D9888C166A18}"/>
    <cellStyle name="Eingabe 6 45" xfId="22063" xr:uid="{13573A8A-FC4D-4927-B950-3DFF929363FD}"/>
    <cellStyle name="Eingabe 6 46" xfId="22491" xr:uid="{6E56C08E-4DD1-4A9B-BF06-0F22D785323F}"/>
    <cellStyle name="Eingabe 6 47" xfId="22510" xr:uid="{15DF23AA-0B9F-4468-8202-170CD20A7C90}"/>
    <cellStyle name="Eingabe 6 48" xfId="22860" xr:uid="{9FF865E4-FBA9-4F6C-9307-6B7532D04715}"/>
    <cellStyle name="Eingabe 6 49" xfId="23113" xr:uid="{1CFA4F73-05B4-4833-9561-A064913660B6}"/>
    <cellStyle name="Eingabe 6 5" xfId="2451" xr:uid="{4122DFD8-290B-4A58-A953-784312142084}"/>
    <cellStyle name="Eingabe 6 50" xfId="23820" xr:uid="{C3B1B47A-02AF-45AB-9FE5-8271F8256A19}"/>
    <cellStyle name="Eingabe 6 51" xfId="24719" xr:uid="{0BF6FF46-E4D5-4025-84B6-0B936325A0D1}"/>
    <cellStyle name="Eingabe 6 52" xfId="25378" xr:uid="{5010A36E-DA6C-4757-A12B-A349DB018AD1}"/>
    <cellStyle name="Eingabe 6 53" xfId="25637" xr:uid="{E45773B4-50F7-425D-ADDF-A3F4115E8F52}"/>
    <cellStyle name="Eingabe 6 54" xfId="25280" xr:uid="{FAD8CE04-B06D-4B6C-A52B-B2CE15C4F52F}"/>
    <cellStyle name="Eingabe 6 55" xfId="26625" xr:uid="{DB9E508F-AD8D-4CD8-93CB-481BD210E0BF}"/>
    <cellStyle name="Eingabe 6 56" xfId="26927" xr:uid="{EE7F87E9-2678-436D-8052-9C4A91F78E02}"/>
    <cellStyle name="Eingabe 6 57" xfId="27346" xr:uid="{5AE4CF51-F687-400D-A5E6-6ABCDA97B9C6}"/>
    <cellStyle name="Eingabe 6 58" xfId="26231" xr:uid="{14C9FB2F-8753-4F33-9433-57E43418D47E}"/>
    <cellStyle name="Eingabe 6 59" xfId="28469" xr:uid="{7AA9A446-C163-4B39-B5CA-7443FE9E641F}"/>
    <cellStyle name="Eingabe 6 6" xfId="1912" xr:uid="{3807B060-38E8-4D38-B605-EA181E04333F}"/>
    <cellStyle name="Eingabe 6 60" xfId="28937" xr:uid="{8A6E8E65-C238-4456-A0FD-0AE70737A64A}"/>
    <cellStyle name="Eingabe 6 61" xfId="29500" xr:uid="{BF465A61-AD79-4D2C-98FC-61B435F1865F}"/>
    <cellStyle name="Eingabe 6 62" xfId="29727" xr:uid="{79C85364-C099-4BB2-A7D6-D730C33CBA64}"/>
    <cellStyle name="Eingabe 6 63" xfId="30135" xr:uid="{8A5C3807-60D8-4019-8E5C-2447ADFAF656}"/>
    <cellStyle name="Eingabe 6 64" xfId="30549" xr:uid="{24F3ADB4-DCC6-45C3-A76E-D4330167844B}"/>
    <cellStyle name="Eingabe 6 65" xfId="30904" xr:uid="{5C6D973E-C649-4B79-B895-BA84DCDA47C3}"/>
    <cellStyle name="Eingabe 6 66" xfId="31173" xr:uid="{6BDADB00-C8B9-430C-898C-AB9FE3B7E34B}"/>
    <cellStyle name="Eingabe 6 7" xfId="1831" xr:uid="{077B4B5A-3230-46DC-BE66-6D88951A486E}"/>
    <cellStyle name="Eingabe 6 8" xfId="3947" xr:uid="{42CDE33C-F763-4873-A36A-7034BDAFA968}"/>
    <cellStyle name="Eingabe 6 9" xfId="4385" xr:uid="{DF86EBF6-9D27-400C-A3A7-3E7D6C8E5B64}"/>
    <cellStyle name="Eingabe 7" xfId="672" xr:uid="{F6F4C502-10F8-4C67-B55F-8808F25BCBA8}"/>
    <cellStyle name="Eingabe 7 10" xfId="4984" xr:uid="{C9AD6F8A-0AD1-45AA-90E1-E4B78E34A4A7}"/>
    <cellStyle name="Eingabe 7 11" xfId="5320" xr:uid="{8D20C6AC-EE09-4F38-A7AF-1BC7D82EAE53}"/>
    <cellStyle name="Eingabe 7 12" xfId="5739" xr:uid="{141CD4E4-5F01-425D-BCEC-DEA8D5BF0CFB}"/>
    <cellStyle name="Eingabe 7 13" xfId="4930" xr:uid="{B28B4E40-FE59-47FE-B9DA-E2E8AA05F830}"/>
    <cellStyle name="Eingabe 7 14" xfId="6209" xr:uid="{7F846A1F-3471-4303-88EB-612356954E20}"/>
    <cellStyle name="Eingabe 7 15" xfId="7392" xr:uid="{F221FDAA-D823-482C-88BD-30250CF5A49A}"/>
    <cellStyle name="Eingabe 7 16" xfId="7986" xr:uid="{C3159696-323F-4636-B305-749C28E1DE62}"/>
    <cellStyle name="Eingabe 7 17" xfId="8248" xr:uid="{7BFF70C5-9A95-432C-941A-F0EE46496038}"/>
    <cellStyle name="Eingabe 7 18" xfId="8689" xr:uid="{3C6BF2B2-507F-4672-89CD-453D49E35D91}"/>
    <cellStyle name="Eingabe 7 19" xfId="9606" xr:uid="{9551AAF6-E9D7-4796-A240-BB14BE138502}"/>
    <cellStyle name="Eingabe 7 2" xfId="886" xr:uid="{860E101F-154A-44BE-9116-B4A77788ACA4}"/>
    <cellStyle name="Eingabe 7 2 10" xfId="5534" xr:uid="{48C05CB0-6BC6-4A97-B9B8-FFD862854D52}"/>
    <cellStyle name="Eingabe 7 2 11" xfId="6028" xr:uid="{5E492AFE-A9E9-47F1-A0CE-411D414BB83C}"/>
    <cellStyle name="Eingabe 7 2 12" xfId="6387" xr:uid="{75021544-1BBE-4E03-9C3F-D02FC52297D0}"/>
    <cellStyle name="Eingabe 7 2 13" xfId="6725" xr:uid="{4C5B5444-51FE-45D2-BB3C-3B34C0E09D20}"/>
    <cellStyle name="Eingabe 7 2 14" xfId="7606" xr:uid="{D781AE22-3375-47F3-8914-16BDCC2C38D1}"/>
    <cellStyle name="Eingabe 7 2 15" xfId="8070" xr:uid="{09CE729E-38D1-4DC1-8BE4-7710168A47F9}"/>
    <cellStyle name="Eingabe 7 2 16" xfId="8679" xr:uid="{5CF1885C-F392-4E08-9FF9-E2AC0E65A64F}"/>
    <cellStyle name="Eingabe 7 2 17" xfId="8938" xr:uid="{B5C3652C-4115-4149-BCED-03179C248A0A}"/>
    <cellStyle name="Eingabe 7 2 18" xfId="9820" xr:uid="{2CE9335E-99EC-4FE8-9005-008CFB40CB1E}"/>
    <cellStyle name="Eingabe 7 2 19" xfId="10289" xr:uid="{423C2ACD-E4A2-4E8A-B0D1-27E486009F4A}"/>
    <cellStyle name="Eingabe 7 2 2" xfId="1360" xr:uid="{959EA604-63ED-47F4-A5D9-3352BB37B708}"/>
    <cellStyle name="Eingabe 7 2 20" xfId="10683" xr:uid="{7423C7DE-8C9A-42FC-813E-EEB372AEFC60}"/>
    <cellStyle name="Eingabe 7 2 21" xfId="11032" xr:uid="{651D3B74-109E-46CC-A895-859B8F00FADC}"/>
    <cellStyle name="Eingabe 7 2 22" xfId="11342" xr:uid="{32B6E104-64BF-4FA2-BCA2-E4977E2C1580}"/>
    <cellStyle name="Eingabe 7 2 23" xfId="12239" xr:uid="{46D3B3FB-C75A-4BDC-96C8-49E0D5FC6DAA}"/>
    <cellStyle name="Eingabe 7 2 24" xfId="12712" xr:uid="{39FD42FB-14FB-4102-B5B1-486CD8C9F4C6}"/>
    <cellStyle name="Eingabe 7 2 25" xfId="13146" xr:uid="{255ECD36-40A7-441B-BD81-2721E88BAACE}"/>
    <cellStyle name="Eingabe 7 2 26" xfId="13583" xr:uid="{5556CA67-B487-412E-9F09-4C58E27BF2C6}"/>
    <cellStyle name="Eingabe 7 2 27" xfId="14055" xr:uid="{69CC6D4F-40F7-4E36-865C-C07B00720D19}"/>
    <cellStyle name="Eingabe 7 2 28" xfId="14502" xr:uid="{7FFDB37C-E5A5-440B-82D0-252723C5ED66}"/>
    <cellStyle name="Eingabe 7 2 29" xfId="14936" xr:uid="{ADF4A140-2A60-4513-AD01-E789604B9C0A}"/>
    <cellStyle name="Eingabe 7 2 3" xfId="1809" xr:uid="{3AE327B1-57CA-404B-85ED-A0D8F58A02D2}"/>
    <cellStyle name="Eingabe 7 2 30" xfId="15406" xr:uid="{4095CC79-2515-478B-9FB0-2BF25E52976E}"/>
    <cellStyle name="Eingabe 7 2 31" xfId="15796" xr:uid="{D65580CC-D994-489E-BD41-A4B452502DEE}"/>
    <cellStyle name="Eingabe 7 2 32" xfId="16018" xr:uid="{69A434A4-0F3D-4806-A7DB-C9567E776877}"/>
    <cellStyle name="Eingabe 7 2 33" xfId="16931" xr:uid="{22794975-A6C0-4CCB-AB21-CEA1ECAE2C27}"/>
    <cellStyle name="Eingabe 7 2 34" xfId="17412" xr:uid="{E9638F6C-00E2-4E72-8DD1-36A7706FC51C}"/>
    <cellStyle name="Eingabe 7 2 35" xfId="17853" xr:uid="{257C5043-0657-47FC-A0AF-2BA44F858CAF}"/>
    <cellStyle name="Eingabe 7 2 36" xfId="18328" xr:uid="{F13AF769-599C-44E9-ADE1-221E897DDAEB}"/>
    <cellStyle name="Eingabe 7 2 37" xfId="18749" xr:uid="{1678AAC9-67CD-44D1-9494-8BCE5D2B88D2}"/>
    <cellStyle name="Eingabe 7 2 38" xfId="19136" xr:uid="{AC1F34C2-2F36-4969-BCF6-700537E01F21}"/>
    <cellStyle name="Eingabe 7 2 39" xfId="19366" xr:uid="{E1487FB0-7E38-438D-892E-0371FE570B2C}"/>
    <cellStyle name="Eingabe 7 2 4" xfId="2708" xr:uid="{C7FFED40-B555-40A0-BFDF-570C70CFD30B}"/>
    <cellStyle name="Eingabe 7 2 40" xfId="20268" xr:uid="{4901A9E7-9FA5-47E3-B94F-30489D144706}"/>
    <cellStyle name="Eingabe 7 2 41" xfId="20761" xr:uid="{70124721-3B2D-44CB-B069-13DEA9F8C206}"/>
    <cellStyle name="Eingabe 7 2 42" xfId="21220" xr:uid="{A5DB7097-0325-4EAF-A442-AFD10F965095}"/>
    <cellStyle name="Eingabe 7 2 43" xfId="21712" xr:uid="{D328E402-0188-47A1-A603-5FB18FFC4FB3}"/>
    <cellStyle name="Eingabe 7 2 44" xfId="22151" xr:uid="{DC76673A-8B13-4A0D-85A6-59A2317B8E1B}"/>
    <cellStyle name="Eingabe 7 2 45" xfId="22578" xr:uid="{8D80F69A-754A-48AF-91E1-42AFDC53438D}"/>
    <cellStyle name="Eingabe 7 2 46" xfId="23023" xr:uid="{FB931AA1-79B9-48A6-A769-4C7FB0605F0D}"/>
    <cellStyle name="Eingabe 7 2 47" xfId="23425" xr:uid="{EF796BA9-CD06-40D1-8708-872BC72A10AC}"/>
    <cellStyle name="Eingabe 7 2 48" xfId="23688" xr:uid="{E79D5CD7-03BC-4C41-BC0F-A5F3938BF51F}"/>
    <cellStyle name="Eingabe 7 2 49" xfId="24068" xr:uid="{88F161E3-B440-4BC4-8F9E-31601C525F60}"/>
    <cellStyle name="Eingabe 7 2 5" xfId="3228" xr:uid="{E59BC98B-DFD9-4B67-A82D-412DF3EEEA55}"/>
    <cellStyle name="Eingabe 7 2 50" xfId="24976" xr:uid="{A5F0F795-9BCE-4DCC-840C-75F690689E07}"/>
    <cellStyle name="Eingabe 7 2 51" xfId="25464" xr:uid="{B715BD13-2296-4F3F-AC97-745CE148A1C7}"/>
    <cellStyle name="Eingabe 7 2 52" xfId="25892" xr:uid="{CEDCFB3C-6285-4A2A-8EC9-7EFACDEFDC36}"/>
    <cellStyle name="Eingabe 7 2 53" xfId="26330" xr:uid="{2AF6FACD-0229-41C8-8898-070B7F05541F}"/>
    <cellStyle name="Eingabe 7 2 54" xfId="26759" xr:uid="{770C62C1-50DF-423D-B1CB-6FEDAA446141}"/>
    <cellStyle name="Eingabe 7 2 55" xfId="27180" xr:uid="{B334A37F-BE76-40F1-AEAF-50173A11FA57}"/>
    <cellStyle name="Eingabe 7 2 56" xfId="27599" xr:uid="{A913AB8B-B026-4543-B22C-935080846E9F}"/>
    <cellStyle name="Eingabe 7 2 57" xfId="27837" xr:uid="{C7FDD698-03E8-4AB6-8743-8A50252530F9}"/>
    <cellStyle name="Eingabe 7 2 58" xfId="28726" xr:uid="{CED5B8BC-CBBB-494E-B894-6ED73A0C274E}"/>
    <cellStyle name="Eingabe 7 2 59" xfId="29193" xr:uid="{588EB08F-A4BA-4ED8-8D4C-E161ADB46C13}"/>
    <cellStyle name="Eingabe 7 2 6" xfId="3783" xr:uid="{57E792C7-90FA-4D68-8163-19011B4FF88F}"/>
    <cellStyle name="Eingabe 7 2 60" xfId="29575" xr:uid="{8E58F5F9-A157-4E74-BCDA-4F2E42061374}"/>
    <cellStyle name="Eingabe 7 2 61" xfId="29982" xr:uid="{4578F387-3A08-4BB8-806C-649FA0C2BE2C}"/>
    <cellStyle name="Eingabe 7 2 62" xfId="30388" xr:uid="{63F7A409-4312-494D-811E-EBA4A51D4A17}"/>
    <cellStyle name="Eingabe 7 2 63" xfId="30805" xr:uid="{54668454-8E76-4407-8052-C58AB6481641}"/>
    <cellStyle name="Eingabe 7 2 64" xfId="31050" xr:uid="{FD6F12AF-D14D-4DF5-8C69-C147005AB011}"/>
    <cellStyle name="Eingabe 7 2 65" xfId="31421" xr:uid="{66034BAC-F91B-419B-81F4-2373997361A1}"/>
    <cellStyle name="Eingabe 7 2 7" xfId="4204" xr:uid="{FBB78E5C-5622-48BD-8370-8F60A4FA7B41}"/>
    <cellStyle name="Eingabe 7 2 8" xfId="4641" xr:uid="{B22B1F05-8C40-4038-AF66-711F10E8491A}"/>
    <cellStyle name="Eingabe 7 2 9" xfId="5087" xr:uid="{25C14539-A87A-439E-AFC8-2BE078A74179}"/>
    <cellStyle name="Eingabe 7 20" xfId="10202" xr:uid="{ECCEFA53-EE61-4DE3-AC11-D517A626575F}"/>
    <cellStyle name="Eingabe 7 21" xfId="10606" xr:uid="{A0A9FC80-2E14-410A-AB15-0B0E4F89DA6D}"/>
    <cellStyle name="Eingabe 7 22" xfId="10537" xr:uid="{E7E3FA8F-F6A3-4BFB-99A2-FDFD7FD4B9C6}"/>
    <cellStyle name="Eingabe 7 23" xfId="9949" xr:uid="{D181F9E3-017C-42E7-9958-3117CAB89DB6}"/>
    <cellStyle name="Eingabe 7 24" xfId="12025" xr:uid="{2C2CCC37-357E-4625-A33F-8F22AECFA741}"/>
    <cellStyle name="Eingabe 7 25" xfId="12498" xr:uid="{9FA902AD-CB0C-4F42-9ED3-02586FE7FCB2}"/>
    <cellStyle name="Eingabe 7 26" xfId="12932" xr:uid="{356DDAE2-73A6-46CE-91A1-F5EE041B0D7C}"/>
    <cellStyle name="Eingabe 7 27" xfId="13369" xr:uid="{BEDAFDC7-FE6F-4962-85C6-402FD2E4710A}"/>
    <cellStyle name="Eingabe 7 28" xfId="11507" xr:uid="{0436D139-D119-4C18-8833-EFC4E2DD69AC}"/>
    <cellStyle name="Eingabe 7 29" xfId="14199" xr:uid="{CFF46BFC-E107-494F-9B4C-C68088C8B6AB}"/>
    <cellStyle name="Eingabe 7 3" xfId="1154" xr:uid="{E3FCCA24-036B-4D9E-92FE-A9FCEA498912}"/>
    <cellStyle name="Eingabe 7 30" xfId="14852" xr:uid="{2A6B8D26-C0AB-45F8-8CDC-AC94000C68CE}"/>
    <cellStyle name="Eingabe 7 31" xfId="15204" xr:uid="{5E1F47D7-DD2B-44B9-88F0-BC0EBF0BF2C2}"/>
    <cellStyle name="Eingabe 7 32" xfId="15629" xr:uid="{AD472C36-06B0-475B-A364-5B7F00E26245}"/>
    <cellStyle name="Eingabe 7 33" xfId="15965" xr:uid="{87FAD395-3AC6-4818-9EB3-84497B309C8A}"/>
    <cellStyle name="Eingabe 7 34" xfId="16717" xr:uid="{339B32D4-C1AC-47CF-BF1A-34E7F8BC27DE}"/>
    <cellStyle name="Eingabe 7 35" xfId="17323" xr:uid="{C7BCA02E-B9F6-498C-B13B-1E11C548C92F}"/>
    <cellStyle name="Eingabe 7 36" xfId="17766" xr:uid="{1823D256-6E98-4756-975E-2E5585EA1810}"/>
    <cellStyle name="Eingabe 7 37" xfId="17629" xr:uid="{FF03A7BB-54D7-4067-8AFF-F370F9F856FB}"/>
    <cellStyle name="Eingabe 7 38" xfId="18535" xr:uid="{7D86C068-37C6-42B3-88D4-675B7839535E}"/>
    <cellStyle name="Eingabe 7 39" xfId="18761" xr:uid="{704BD9DC-0D6D-4B0C-8E69-CD701EE3BCD2}"/>
    <cellStyle name="Eingabe 7 4" xfId="1629" xr:uid="{63A948C9-833B-417C-8601-2E275A766F73}"/>
    <cellStyle name="Eingabe 7 40" xfId="16267" xr:uid="{5C57B172-1CAF-4D31-9EFB-BD8567A03EE7}"/>
    <cellStyle name="Eingabe 7 41" xfId="20054" xr:uid="{78CBE48D-4A53-4E31-BE3E-AAD0E9EA41A8}"/>
    <cellStyle name="Eingabe 7 42" xfId="20674" xr:uid="{930D9359-E8A4-45FF-8B7B-CC5894506180}"/>
    <cellStyle name="Eingabe 7 43" xfId="21130" xr:uid="{5466CF0E-AE74-4034-9FBB-A23FF135DCD3}"/>
    <cellStyle name="Eingabe 7 44" xfId="19876" xr:uid="{4FB58F77-0BBE-4811-B7AD-F3E34770B769}"/>
    <cellStyle name="Eingabe 7 45" xfId="22062" xr:uid="{44D0E641-5C5B-47F4-ABBE-0AE8F121505A}"/>
    <cellStyle name="Eingabe 7 46" xfId="22490" xr:uid="{82F6F9C6-0348-46A1-8EBD-FA10490A656E}"/>
    <cellStyle name="Eingabe 7 47" xfId="22338" xr:uid="{BAE002C6-8A2C-46CD-BF66-8E2ED28D6D9A}"/>
    <cellStyle name="Eingabe 7 48" xfId="23029" xr:uid="{A37A6596-6E6D-4725-A284-211BCDA5093D}"/>
    <cellStyle name="Eingabe 7 49" xfId="22779" xr:uid="{2D5083EC-C5FF-42D9-9D92-9078A6BA4ECD}"/>
    <cellStyle name="Eingabe 7 5" xfId="2494" xr:uid="{09EFBC2B-EB07-4F82-B2D7-7C2BC66D7911}"/>
    <cellStyle name="Eingabe 7 50" xfId="23862" xr:uid="{57C28B3F-E932-439D-883B-6DDBC866B008}"/>
    <cellStyle name="Eingabe 7 51" xfId="24762" xr:uid="{60782C4C-651B-4EBB-BCD8-690086521E9F}"/>
    <cellStyle name="Eingabe 7 52" xfId="25377" xr:uid="{8DE9E346-7214-4CA2-9A21-0482E56F613D}"/>
    <cellStyle name="Eingabe 7 53" xfId="25680" xr:uid="{E725C79C-3971-4E1A-835F-C474617476E4}"/>
    <cellStyle name="Eingabe 7 54" xfId="24530" xr:uid="{41EA6F21-E255-49A3-84FA-62484E5BA16E}"/>
    <cellStyle name="Eingabe 7 55" xfId="26111" xr:uid="{98EE5BAC-42AB-45BB-ABC1-C5279007C0AF}"/>
    <cellStyle name="Eingabe 7 56" xfId="26970" xr:uid="{FB9CFA9F-787E-4FF1-A63B-294F026B6252}"/>
    <cellStyle name="Eingabe 7 57" xfId="27389" xr:uid="{BD5FCCC0-BF18-4658-AA8E-425752CDC02E}"/>
    <cellStyle name="Eingabe 7 58" xfId="27727" xr:uid="{CEC89D53-4C5D-40A3-820D-38DE6784EFBB}"/>
    <cellStyle name="Eingabe 7 59" xfId="28512" xr:uid="{28B1C65C-501C-435F-8FDD-3671E4BA809B}"/>
    <cellStyle name="Eingabe 7 6" xfId="1953" xr:uid="{DE2D08B8-8480-4B9F-95CB-144C809DBBE4}"/>
    <cellStyle name="Eingabe 7 60" xfId="28980" xr:uid="{912C2692-F37A-4832-B60B-146A7111F1AE}"/>
    <cellStyle name="Eingabe 7 61" xfId="29499" xr:uid="{22EDE90E-EE26-42C6-BBD3-170BEDAC2A8D}"/>
    <cellStyle name="Eingabe 7 62" xfId="29770" xr:uid="{BF8B30C0-E7FE-40D1-8169-C2EC81096FE7}"/>
    <cellStyle name="Eingabe 7 63" xfId="30177" xr:uid="{2749F3E7-4BFA-4EA3-A77C-D63C0D3A0772}"/>
    <cellStyle name="Eingabe 7 64" xfId="30592" xr:uid="{639354FD-CE36-436B-B6A2-B3AC31B9AC8A}"/>
    <cellStyle name="Eingabe 7 65" xfId="28301" xr:uid="{EB4F539D-ACC1-41EC-8C1C-556EC0F91183}"/>
    <cellStyle name="Eingabe 7 66" xfId="31215" xr:uid="{45BE028D-9E19-4821-9AE7-71CDB59B3996}"/>
    <cellStyle name="Eingabe 7 7" xfId="2994" xr:uid="{FA509A0C-297E-452F-A8DC-B7CE58B44129}"/>
    <cellStyle name="Eingabe 7 8" xfId="3990" xr:uid="{E2CAFCF8-A46F-44F0-A4A5-3CEC4F8E1748}"/>
    <cellStyle name="Eingabe 7 9" xfId="4428" xr:uid="{F7F3BD3A-16B1-4432-8E0E-C34A4B13F0EF}"/>
    <cellStyle name="Eingabe 8" xfId="681" xr:uid="{CDEB5699-7D30-44E2-B92C-726181CB3B45}"/>
    <cellStyle name="Eingabe 8 10" xfId="5329" xr:uid="{D03D8000-DCE5-4998-B53F-1F9FAB015002}"/>
    <cellStyle name="Eingabe 8 11" xfId="4672" xr:uid="{2E4429B6-4E9F-46DE-8450-CDF9C2B0E2CB}"/>
    <cellStyle name="Eingabe 8 12" xfId="6261" xr:uid="{90A6B828-96A2-4E74-B8E8-0A37A464E685}"/>
    <cellStyle name="Eingabe 8 13" xfId="6337" xr:uid="{5E7D6163-3BB7-4A7F-A094-D267BFDA44AD}"/>
    <cellStyle name="Eingabe 8 14" xfId="7401" xr:uid="{516795F7-9BB4-486F-B824-0BCECEEF35AC}"/>
    <cellStyle name="Eingabe 8 15" xfId="7210" xr:uid="{1BBA9DEF-D542-4F1E-894B-61EB921D5E4A}"/>
    <cellStyle name="Eingabe 8 16" xfId="8650" xr:uid="{8CDF76E8-DC1C-45B7-8376-02339559AE10}"/>
    <cellStyle name="Eingabe 8 17" xfId="8188" xr:uid="{CFB46D4A-1423-4CAE-A52B-9FE4F5F93BB0}"/>
    <cellStyle name="Eingabe 8 18" xfId="9615" xr:uid="{71FDCF07-CBE1-43B0-9892-26E361515631}"/>
    <cellStyle name="Eingabe 8 19" xfId="9424" xr:uid="{45642921-22E6-47FF-ADB1-CE3123308068}"/>
    <cellStyle name="Eingabe 8 2" xfId="1163" xr:uid="{9946D51A-EC2B-4D6F-B5F4-8034E3DB0233}"/>
    <cellStyle name="Eingabe 8 20" xfId="9921" xr:uid="{8120DDF1-AFE5-4ABA-A94D-D3CD782CF50B}"/>
    <cellStyle name="Eingabe 8 21" xfId="10959" xr:uid="{30E5E55A-3ABF-4AE2-A3FC-FDF2787D6AF9}"/>
    <cellStyle name="Eingabe 8 22" xfId="11252" xr:uid="{F8466BD8-394B-419A-8BCB-B1805D8AB5D0}"/>
    <cellStyle name="Eingabe 8 23" xfId="12034" xr:uid="{C198F251-4B1C-4498-9E0A-F61CD4242022}"/>
    <cellStyle name="Eingabe 8 24" xfId="12507" xr:uid="{144B5B06-B3F2-44A2-B801-1D66F1AE74BE}"/>
    <cellStyle name="Eingabe 8 25" xfId="12941" xr:uid="{653AF54D-AEC1-404A-B89D-8115291F8259}"/>
    <cellStyle name="Eingabe 8 26" xfId="13378" xr:uid="{7DF31C66-753E-43E4-9CFD-BC2270AA83BE}"/>
    <cellStyle name="Eingabe 8 27" xfId="12323" xr:uid="{F3E620C1-AB33-4EF8-AC84-150E4229D77C}"/>
    <cellStyle name="Eingabe 8 28" xfId="14153" xr:uid="{0A1921E8-81C6-49D2-A0D6-16350620E270}"/>
    <cellStyle name="Eingabe 8 29" xfId="13645" xr:uid="{423F1FF8-8238-4206-89AC-806922E87CBB}"/>
    <cellStyle name="Eingabe 8 3" xfId="1598" xr:uid="{0217C734-094C-4F15-AB27-C0EE54A0B6CC}"/>
    <cellStyle name="Eingabe 8 30" xfId="14959" xr:uid="{A57369B6-7DF3-4924-BFBA-8759E1B268F6}"/>
    <cellStyle name="Eingabe 8 31" xfId="14158" xr:uid="{83C1F1C7-7730-4133-A99D-7677732D289C}"/>
    <cellStyle name="Eingabe 8 32" xfId="15717" xr:uid="{F9B2933A-4856-491C-8E24-D0E26AE9A03C}"/>
    <cellStyle name="Eingabe 8 33" xfId="16726" xr:uid="{5A962748-B14D-41DB-B80B-408F8362BC28}"/>
    <cellStyle name="Eingabe 8 34" xfId="16533" xr:uid="{A2FDAA1D-A8E3-4A86-9F39-41F93C411F76}"/>
    <cellStyle name="Eingabe 8 35" xfId="17035" xr:uid="{306BB440-B3A7-45B8-BAE8-4D9C8AA715EF}"/>
    <cellStyle name="Eingabe 8 36" xfId="17444" xr:uid="{857DA7A7-A042-4340-ADB3-4917E76ECC6D}"/>
    <cellStyle name="Eingabe 8 37" xfId="18544" xr:uid="{DF85C08B-84A8-4EC1-9725-875C472BA7D2}"/>
    <cellStyle name="Eingabe 8 38" xfId="16344" xr:uid="{99F5A7C2-7BE1-4FF4-8C70-2A1D403DC5D7}"/>
    <cellStyle name="Eingabe 8 39" xfId="19071" xr:uid="{2371D33E-CA42-402A-A383-DE0407948E62}"/>
    <cellStyle name="Eingabe 8 4" xfId="2503" xr:uid="{103C307C-372B-445E-BEC3-CF95C3B69038}"/>
    <cellStyle name="Eingabe 8 40" xfId="20063" xr:uid="{EB435D5B-6094-4A5B-88E4-39279488302F}"/>
    <cellStyle name="Eingabe 8 41" xfId="19869" xr:uid="{E0A2C62D-1F08-4389-9765-226A2C8E47AE}"/>
    <cellStyle name="Eingabe 8 42" xfId="20724" xr:uid="{F7A83F22-6376-43D4-97BA-14340F94E513}"/>
    <cellStyle name="Eingabe 8 43" xfId="19837" xr:uid="{CC1AC9D2-0753-409A-B58F-C3466A13672F}"/>
    <cellStyle name="Eingabe 8 44" xfId="20281" xr:uid="{755FA1D8-9AC3-4E40-826C-846613DF7ABF}"/>
    <cellStyle name="Eingabe 8 45" xfId="21757" xr:uid="{6404320E-B744-4F43-BF43-C663FC57398E}"/>
    <cellStyle name="Eingabe 8 46" xfId="21718" xr:uid="{44318A05-1B53-48FA-BC36-BB95C650DDB7}"/>
    <cellStyle name="Eingabe 8 47" xfId="22852" xr:uid="{41B604E2-C0F6-4BE2-BCE0-0A3901CBCE0E}"/>
    <cellStyle name="Eingabe 8 48" xfId="23517" xr:uid="{989B5862-484A-4E94-9C8A-7CCEF919D718}"/>
    <cellStyle name="Eingabe 8 49" xfId="23871" xr:uid="{A1EA0007-3601-48EA-89A9-67B628139263}"/>
    <cellStyle name="Eingabe 8 5" xfId="1981" xr:uid="{4CC89F43-4872-4D50-BA6A-9A016A1BF81B}"/>
    <cellStyle name="Eingabe 8 50" xfId="24771" xr:uid="{71846E66-E813-4325-A1E4-6FA91B3CECCF}"/>
    <cellStyle name="Eingabe 8 51" xfId="24572" xr:uid="{15B8CCB8-89AA-48F1-B401-A6A7156BE8E7}"/>
    <cellStyle name="Eingabe 8 52" xfId="25689" xr:uid="{CBA6ABE1-F0C2-4835-A636-ADD8A96C6957}"/>
    <cellStyle name="Eingabe 8 53" xfId="25042" xr:uid="{C28DF4C2-3A54-4BB1-85DD-827EB6A3023A}"/>
    <cellStyle name="Eingabe 8 54" xfId="26132" xr:uid="{165837C6-752B-45C5-89B8-13A89D778D44}"/>
    <cellStyle name="Eingabe 8 55" xfId="26979" xr:uid="{A2A6C4C8-735F-425B-B4B5-EA385B4E6385}"/>
    <cellStyle name="Eingabe 8 56" xfId="27398" xr:uid="{FA22FA33-489D-4C01-BAA9-246E7ED83406}"/>
    <cellStyle name="Eingabe 8 57" xfId="27661" xr:uid="{6F474D61-6FA2-4A1B-AA2B-FEB8D2A1455D}"/>
    <cellStyle name="Eingabe 8 58" xfId="28521" xr:uid="{CB476C95-9B9C-4E89-9CC5-34CF8886DA93}"/>
    <cellStyle name="Eingabe 8 59" xfId="28989" xr:uid="{796FEED0-46E1-447A-86E2-0F7B6003D01F}"/>
    <cellStyle name="Eingabe 8 6" xfId="3752" xr:uid="{AA22CC7B-1E24-4D87-97DA-DEFB50C773CF}"/>
    <cellStyle name="Eingabe 8 60" xfId="28803" xr:uid="{B45FAEFA-4880-4B18-BCAD-BAB7D63B68EA}"/>
    <cellStyle name="Eingabe 8 61" xfId="29779" xr:uid="{9C6E29D9-6E37-478B-A0DB-723B1CA5C1C9}"/>
    <cellStyle name="Eingabe 8 62" xfId="30186" xr:uid="{FFE47F9D-0D7A-49C6-8191-50E896E95111}"/>
    <cellStyle name="Eingabe 8 63" xfId="30601" xr:uid="{44916ECD-9996-4119-B1CF-E95300F5C7AA}"/>
    <cellStyle name="Eingabe 8 64" xfId="30927" xr:uid="{8ADA6A67-DF05-4D9F-934E-77A9570A80F9}"/>
    <cellStyle name="Eingabe 8 65" xfId="31224" xr:uid="{24B63A5C-153B-45C4-83C3-C65D30FDBF98}"/>
    <cellStyle name="Eingabe 8 7" xfId="3999" xr:uid="{676EE7C9-AE4F-4683-8DA8-A7A6B349FD5B}"/>
    <cellStyle name="Eingabe 8 8" xfId="4437" xr:uid="{1EE90F39-5827-481C-A1B2-19A599E6377E}"/>
    <cellStyle name="Eingabe 8 9" xfId="4938" xr:uid="{35C67430-0821-4BA2-9A1E-5DAA41C04D19}"/>
    <cellStyle name="Empty_B_border" xfId="21" xr:uid="{B4BD9299-5FF0-4E98-8DD8-8F919F985E72}"/>
    <cellStyle name="Ergebnis" xfId="49" hidden="1" xr:uid="{9735342D-F300-496D-8A6C-A709DDEB5EC0}"/>
    <cellStyle name="Ergebnis" xfId="896" hidden="1" xr:uid="{0C824B67-9479-40A1-9D9B-526EE10970C2}"/>
    <cellStyle name="Ergebnis" xfId="993" hidden="1" xr:uid="{CA3D25A2-70B2-417C-BECF-E2D9777E2E4E}"/>
    <cellStyle name="Ergebnis" xfId="1390" hidden="1" xr:uid="{66114861-91CE-4FB0-9B55-78A47FAF2365}"/>
    <cellStyle name="Ergebnis" xfId="1735" hidden="1" xr:uid="{F2E023B9-559F-4F18-8968-739CCC5DF223}"/>
    <cellStyle name="Ergebnis" xfId="1872" hidden="1" xr:uid="{254A0BF5-C1E8-423B-87EC-3D330E756CE8}"/>
    <cellStyle name="Ergebnis" xfId="2320" hidden="1" xr:uid="{625DA030-6682-415E-B2BA-758BBFE54E5E}"/>
    <cellStyle name="Ergebnis" xfId="2821" hidden="1" xr:uid="{980641CD-DBE0-4158-BAF2-03DF39E5A057}"/>
    <cellStyle name="Ergebnis" xfId="3057" hidden="1" xr:uid="{728FF2B3-F445-4D8E-B0C0-C9A38BD20DC8}"/>
    <cellStyle name="Ergebnis" xfId="2769" hidden="1" xr:uid="{68382C56-830F-4442-8CC1-89794D3C3741}"/>
    <cellStyle name="Ergebnis" xfId="3302" hidden="1" xr:uid="{5FEE5505-0DA0-4D2E-80B1-7E3352539F52}"/>
    <cellStyle name="Ergebnis" xfId="2129" hidden="1" xr:uid="{CB563F49-3EDE-420A-9672-345F4172A41B}"/>
    <cellStyle name="Ergebnis" xfId="3668" hidden="1" xr:uid="{44FD125B-562B-4402-9043-98B516420F8A}"/>
    <cellStyle name="Ergebnis" xfId="2112" hidden="1" xr:uid="{C7894D50-527C-478F-9D51-A1690AA07A39}"/>
    <cellStyle name="Ergebnis" xfId="3417" hidden="1" xr:uid="{79F0C350-F2DD-4C3D-AF8F-143C3037FE47}"/>
    <cellStyle name="Ergebnis" xfId="3149" hidden="1" xr:uid="{D16DAB64-CBA3-457F-9A97-EDF43C68A4E7}"/>
    <cellStyle name="Ergebnis" xfId="3656" hidden="1" xr:uid="{E2B5ED22-D900-4D41-AF9D-9EE875AB1E95}"/>
    <cellStyle name="Ergebnis" xfId="3336" hidden="1" xr:uid="{D19E92D2-A587-4136-B640-C50FC517C041}"/>
    <cellStyle name="Ergebnis" xfId="3790" hidden="1" xr:uid="{F420E3D0-647F-4E2C-A6D3-ADF5571C2A05}"/>
    <cellStyle name="Ergebnis" xfId="3735" hidden="1" xr:uid="{B32D7310-2FCB-4337-9E90-8825A7591692}"/>
    <cellStyle name="Ergebnis" xfId="5153" hidden="1" xr:uid="{1A30B648-9307-4049-B990-B74A436CF6C5}"/>
    <cellStyle name="Ergebnis" xfId="5901" hidden="1" xr:uid="{DD1C6D00-4863-4B1F-89C8-E3A0CE0C2A00}"/>
    <cellStyle name="Ergebnis" xfId="4923" hidden="1" xr:uid="{E0A054E4-E710-423C-A4B7-D110A538B0E8}"/>
    <cellStyle name="Ergebnis" xfId="3796" hidden="1" xr:uid="{3DDACD79-C69C-4277-A6A6-E151A5DAC963}"/>
    <cellStyle name="Ergebnis" xfId="4859" hidden="1" xr:uid="{B6F48AAD-3F19-4040-9BD7-6067B3AA375C}"/>
    <cellStyle name="Ergebnis" xfId="5687" hidden="1" xr:uid="{B6C4B76D-E73C-4844-B770-15B64A56C68F}"/>
    <cellStyle name="Ergebnis" xfId="6310" hidden="1" xr:uid="{E6F3168C-2885-4E93-BC07-5006B7AABDC2}"/>
    <cellStyle name="Ergebnis" xfId="3558" hidden="1" xr:uid="{B0DC6DE1-0BA3-4CFE-B39A-9A2ADEAD1C61}"/>
    <cellStyle name="Ergebnis" xfId="6224" hidden="1" xr:uid="{8D3173BD-BAC6-4CCD-A4FB-9506913300B9}"/>
    <cellStyle name="Ergebnis" xfId="6611" hidden="1" xr:uid="{1EC9CA30-AE0B-4556-B410-BA275EF0D701}"/>
    <cellStyle name="Ergebnis" xfId="6175" hidden="1" xr:uid="{D382A2AA-1D68-4CAD-A14D-5E541E68C9B5}"/>
    <cellStyle name="Ergebnis" xfId="5659" hidden="1" xr:uid="{78AC18FA-8B08-4C2D-8285-E66E37DE9C8E}"/>
    <cellStyle name="Ergebnis" xfId="6518" hidden="1" xr:uid="{943382D2-A81C-4113-B37F-929FEFA963C5}"/>
    <cellStyle name="Ergebnis" xfId="6530" hidden="1" xr:uid="{4925F3AF-86A6-40BB-8153-D92FA641C9A1}"/>
    <cellStyle name="Ergebnis" xfId="6540" hidden="1" xr:uid="{35BDD541-DDF7-4C1D-B013-CFDA5A43BFC1}"/>
    <cellStyle name="Ergebnis" xfId="6459" hidden="1" xr:uid="{B5E61A08-25D0-4E6A-9406-22689E7AA5AE}"/>
    <cellStyle name="Ergebnis" xfId="6615" hidden="1" xr:uid="{F36BDCB2-8571-4310-9703-A09398746E4C}"/>
    <cellStyle name="Ergebnis" xfId="6786" hidden="1" xr:uid="{0769A98D-C335-4FB4-AB64-4641A581384F}"/>
    <cellStyle name="Ergebnis" xfId="7224" hidden="1" xr:uid="{7C63A9A4-2A7A-489F-9C08-BE04CE5BDFD9}"/>
    <cellStyle name="Ergebnis" xfId="7706" hidden="1" xr:uid="{7E346B6A-E86B-46E3-A7C1-A50411DB6C2F}"/>
    <cellStyle name="Ergebnis" xfId="6731" hidden="1" xr:uid="{DDA1C49A-4A59-46E7-A39F-6DBD88BE45FE}"/>
    <cellStyle name="Ergebnis" xfId="8128" hidden="1" xr:uid="{B8D60D09-6BC3-4B2B-BB5D-9A6F189D9E53}"/>
    <cellStyle name="Ergebnis" xfId="7768" hidden="1" xr:uid="{B1847758-FC65-4BC2-A1E5-EB1C9E40972F}"/>
    <cellStyle name="Ergebnis" xfId="8397" hidden="1" xr:uid="{4F3E2089-CBAE-42F7-A0B7-3B2CD93BC2B9}"/>
    <cellStyle name="Ergebnis" xfId="8090" hidden="1" xr:uid="{5B11276B-B1A4-437A-AD3C-C3D7A1AD73A8}"/>
    <cellStyle name="Ergebnis" xfId="8032" hidden="1" xr:uid="{4A1ED992-9551-4BD0-94F6-BB368EAEA3B5}"/>
    <cellStyle name="Ergebnis" xfId="8151" hidden="1" xr:uid="{E43AB100-E5AC-4EED-A9ED-16BD5D8283A2}"/>
    <cellStyle name="Ergebnis" xfId="7099" hidden="1" xr:uid="{F98E94F9-B55E-4C3E-8E56-BDCE87D9CDF2}"/>
    <cellStyle name="Ergebnis" xfId="8122" hidden="1" xr:uid="{E7A6F85E-66A5-49D1-8F42-706D80F9EBBF}"/>
    <cellStyle name="Ergebnis" xfId="8304" hidden="1" xr:uid="{01B6C51C-E23B-4AD1-8DDD-57758A35FA42}"/>
    <cellStyle name="Ergebnis" xfId="8421" hidden="1" xr:uid="{DFE80C15-CFF1-4798-88BB-E1E87B1E5453}"/>
    <cellStyle name="Ergebnis" xfId="8290" hidden="1" xr:uid="{257312F5-A4B4-44E8-9C49-4ADEBE216E80}"/>
    <cellStyle name="Ergebnis" xfId="7078" hidden="1" xr:uid="{24F4B63F-7ED5-4941-BAA6-FB389998AC85}"/>
    <cellStyle name="Ergebnis" xfId="7659" hidden="1" xr:uid="{7E8B4E91-433D-40FF-9C6C-523994E589AD}"/>
    <cellStyle name="Ergebnis" xfId="8486" hidden="1" xr:uid="{80ECE5C7-D118-4BBE-BCB0-971F26432BAF}"/>
    <cellStyle name="Ergebnis" xfId="8116" hidden="1" xr:uid="{9FC6892E-7C4B-48AF-83B9-B40BA61A6C71}"/>
    <cellStyle name="Ergebnis" xfId="8722" hidden="1" xr:uid="{D96243CB-DC53-477D-8CAF-E04046B3F83B}"/>
    <cellStyle name="Ergebnis" xfId="6945" hidden="1" xr:uid="{9461498F-B82E-49CF-A522-7420661694A9}"/>
    <cellStyle name="Ergebnis" xfId="8545" hidden="1" xr:uid="{3EFE6D07-E2FA-4A74-93DC-7094C5695CA0}"/>
    <cellStyle name="Ergebnis" xfId="8352" hidden="1" xr:uid="{4DF124BB-D4B9-4186-B6BE-96A9136CA416}"/>
    <cellStyle name="Ergebnis" xfId="8998" hidden="1" xr:uid="{8B790A20-807F-411C-9DA8-E4FAB34FC69E}"/>
    <cellStyle name="Ergebnis" xfId="9437" hidden="1" xr:uid="{FA2CAA68-34CC-4E74-ABC1-1005C396F3BD}"/>
    <cellStyle name="Ergebnis" xfId="9919" hidden="1" xr:uid="{503DF931-1A52-4FC0-9589-5139F7064438}"/>
    <cellStyle name="Ergebnis" xfId="8944" hidden="1" xr:uid="{6D2C4CE8-C111-4EA5-A2E5-87BC033B649A}"/>
    <cellStyle name="Ergebnis" xfId="10350" hidden="1" xr:uid="{774FB1D7-1CE7-4200-A674-5E85CC1F0432}"/>
    <cellStyle name="Ergebnis" xfId="9904" hidden="1" xr:uid="{CD011580-F63D-4A03-BD4A-21AE0B25A779}"/>
    <cellStyle name="Ergebnis" xfId="8977" hidden="1" xr:uid="{3909E574-59A7-46E3-8B2D-25FCFA2EEFDB}"/>
    <cellStyle name="Ergebnis" xfId="10845" hidden="1" xr:uid="{548D840D-114F-41A8-865A-97AEBE060E13}"/>
    <cellStyle name="Ergebnis" xfId="10823" hidden="1" xr:uid="{38A3F7F6-AE38-42EF-BDEB-9C676D1F337C}"/>
    <cellStyle name="Ergebnis" xfId="11124" hidden="1" xr:uid="{4D5ED972-987E-48C4-81E8-7215ABB6C6A6}"/>
    <cellStyle name="Ergebnis" xfId="10995" hidden="1" xr:uid="{667FC709-F498-462A-846F-1EDFF297EB66}"/>
    <cellStyle name="Ergebnis" xfId="9885" hidden="1" xr:uid="{8304F8FF-13AA-47DB-8C84-69DC724E3194}"/>
    <cellStyle name="Ergebnis" xfId="8948" hidden="1" xr:uid="{7CF62E8E-7A28-4B8D-B949-578B749FC9CE}"/>
    <cellStyle name="Ergebnis" xfId="10992" hidden="1" xr:uid="{D1AE6F1B-A4C0-47EE-8F67-4009EC60CAD3}"/>
    <cellStyle name="Ergebnis" xfId="10993" hidden="1" xr:uid="{1587EB80-920D-4F45-8922-4305F2267E6F}"/>
    <cellStyle name="Ergebnis" xfId="11404" hidden="1" xr:uid="{D15E9D5E-0FFE-4148-B6BB-EF9A4C3A6FF3}"/>
    <cellStyle name="Ergebnis" xfId="11855" hidden="1" xr:uid="{1FC14124-0507-4935-994A-9918759D71B0}"/>
    <cellStyle name="Ergebnis" xfId="12257" hidden="1" xr:uid="{3B55328F-6150-4EB5-B5C5-2A8435410366}"/>
    <cellStyle name="Ergebnis" xfId="11700" hidden="1" xr:uid="{4467B3D9-E8A2-48DC-8E16-1DB8FB1F4839}"/>
    <cellStyle name="Ergebnis" xfId="11513" hidden="1" xr:uid="{676A18C0-6F2F-4309-9F80-1F94D1E98624}"/>
    <cellStyle name="Ergebnis" xfId="13655" hidden="1" xr:uid="{ED28117C-E2C7-48B1-A3C2-70BC29CE9B2D}"/>
    <cellStyle name="Ergebnis" xfId="13889" hidden="1" xr:uid="{023FB725-6314-4CD2-A69E-7D2F0EC8B10E}"/>
    <cellStyle name="Ergebnis" xfId="13602" hidden="1" xr:uid="{3713D6EA-4432-42FE-9316-9AC2C87F711F}"/>
    <cellStyle name="Ergebnis" xfId="14312" hidden="1" xr:uid="{5BCFF3E5-9584-475F-9738-B383BAE3AA65}"/>
    <cellStyle name="Ergebnis" xfId="14138" hidden="1" xr:uid="{410455B5-3ABA-4D0B-B218-970AC44BEAB7}"/>
    <cellStyle name="Ergebnis" xfId="14867" hidden="1" xr:uid="{D5D391D2-977B-41B0-B52B-58DC27592E1E}"/>
    <cellStyle name="Ergebnis" xfId="11678" hidden="1" xr:uid="{2E5E7E2F-51C7-4FDC-AEA5-A8728B72FF4B}"/>
    <cellStyle name="Ergebnis" xfId="15279" hidden="1" xr:uid="{A6ED3E17-9C73-4158-B292-E4DFA48A2B81}"/>
    <cellStyle name="Ergebnis" xfId="14825" hidden="1" xr:uid="{A1383A28-824D-4E11-93AB-1A698788B541}"/>
    <cellStyle name="Ergebnis" xfId="14701" hidden="1" xr:uid="{52D10A8C-7EC7-448B-A594-DC7584FF9892}"/>
    <cellStyle name="Ergebnis" xfId="15281" hidden="1" xr:uid="{070E11C2-CCD5-4958-8C53-AB6CA5281429}"/>
    <cellStyle name="Ergebnis" xfId="14620" hidden="1" xr:uid="{7091AF5E-A3B8-4585-992E-FD73E206F53C}"/>
    <cellStyle name="Ergebnis" xfId="15686" hidden="1" xr:uid="{3472CE3C-5FCC-4C6D-9D41-B99A8D03179D}"/>
    <cellStyle name="Ergebnis" xfId="15310" hidden="1" xr:uid="{E4B21ED1-94D8-4008-A6ED-742A76C6B681}"/>
    <cellStyle name="Ergebnis" xfId="15189" hidden="1" xr:uid="{1297BE19-7914-49CA-B26A-CBAEC13E8C2A}"/>
    <cellStyle name="Ergebnis" xfId="15594" hidden="1" xr:uid="{F4CB2EFE-75E1-47E5-A295-6A2EDF57FCC7}"/>
    <cellStyle name="Ergebnis" xfId="15284" hidden="1" xr:uid="{44DD7FC2-AEB0-4A16-8E5B-3AF85DBE20FA}"/>
    <cellStyle name="Ergebnis" xfId="15977" hidden="1" xr:uid="{8F5DD7F5-5CE9-4F4C-9C78-CACEE50CC8ED}"/>
    <cellStyle name="Ergebnis" xfId="15133" hidden="1" xr:uid="{2C61E977-FAEE-44F3-B68C-E54964D6EE67}"/>
    <cellStyle name="Ergebnis" xfId="16036" hidden="1" xr:uid="{245C6103-C221-44B7-A5AB-38B5EA8FE318}"/>
    <cellStyle name="Ergebnis" xfId="16095" hidden="1" xr:uid="{50B3A027-C0E4-4D7A-9885-B082ADE5495B}"/>
    <cellStyle name="Ergebnis" xfId="16547" hidden="1" xr:uid="{D8808DA7-82A0-474C-82C5-7EC7FB726EA6}"/>
    <cellStyle name="Ergebnis" xfId="17033" hidden="1" xr:uid="{B78694F2-1A69-4D9F-9BA9-9B4AC5558CBA}"/>
    <cellStyle name="Ergebnis" xfId="16039" hidden="1" xr:uid="{3B357EA1-B0EF-4C65-904C-DF3A19996A88}"/>
    <cellStyle name="Ergebnis" xfId="17481" hidden="1" xr:uid="{73DF06B5-2D68-4C4E-894A-CA7D66099E25}"/>
    <cellStyle name="Ergebnis" xfId="17018" hidden="1" xr:uid="{05E0CC83-EB96-489C-9CD5-B8D50588BA77}"/>
    <cellStyle name="Ergebnis" xfId="17911" hidden="1" xr:uid="{8AA15717-54AF-4ABF-A9E3-BCCAA37477F9}"/>
    <cellStyle name="Ergebnis" xfId="18128" hidden="1" xr:uid="{C29F856A-3E10-426B-8AF0-95DD7B05DDBA}"/>
    <cellStyle name="Ergebnis" xfId="16116" hidden="1" xr:uid="{F49DEBE2-EA1D-4B76-B6BB-EC8A22914351}"/>
    <cellStyle name="Ergebnis" xfId="17652" hidden="1" xr:uid="{8BF39765-B211-4B57-8FD2-B3D6238190F6}"/>
    <cellStyle name="Ergebnis" xfId="17874" hidden="1" xr:uid="{F624E160-60CF-4FD7-97F6-FDC2EE7FC045}"/>
    <cellStyle name="Ergebnis" xfId="18012" hidden="1" xr:uid="{99E04B29-C126-4C5B-B81D-0A6C207079AA}"/>
    <cellStyle name="Ergebnis" xfId="18807" hidden="1" xr:uid="{94B28687-03FF-4000-B9E9-CF78BCD62888}"/>
    <cellStyle name="Ergebnis" xfId="18982" hidden="1" xr:uid="{2737336E-4473-408C-890D-98496BC4CF29}"/>
    <cellStyle name="Ergebnis" xfId="17895" hidden="1" xr:uid="{CA27DA5D-1F5A-4FF0-BF35-6C809881961F}"/>
    <cellStyle name="Ergebnis" xfId="17833" hidden="1" xr:uid="{022F966D-F378-43BD-ADCE-AC7312A85BC9}"/>
    <cellStyle name="Ergebnis" xfId="19187" hidden="1" xr:uid="{FFE89003-3421-44D7-A1AF-04F295E9C862}"/>
    <cellStyle name="Ergebnis" xfId="18935" hidden="1" xr:uid="{A3948429-C287-4633-80B3-11819AB7B390}"/>
    <cellStyle name="Ergebnis" xfId="19428" hidden="1" xr:uid="{75670AE0-F885-4B3B-B8EE-FA2F08D3108D}"/>
    <cellStyle name="Ergebnis" xfId="19884" hidden="1" xr:uid="{997A467D-D5B2-4BD9-8163-4F0592CDE41D}"/>
    <cellStyle name="Ergebnis" xfId="20385" hidden="1" xr:uid="{6B1A9FE6-E2B4-4907-94FC-05DEB01A0C80}"/>
    <cellStyle name="Ergebnis" xfId="20332" hidden="1" xr:uid="{85851344-D838-493D-ACAE-3E004E2DEA96}"/>
    <cellStyle name="Ergebnis" xfId="20838" hidden="1" xr:uid="{490F971D-19E8-49A9-A7DE-AAEBDD120C7C}"/>
    <cellStyle name="Ergebnis" xfId="20373" hidden="1" xr:uid="{EAB112BE-ED64-4DB9-9684-FF75FAA7A43D}"/>
    <cellStyle name="Ergebnis" xfId="20840" hidden="1" xr:uid="{0F46D023-65AD-42CA-9E0A-E979D352BAE3}"/>
    <cellStyle name="Ergebnis" xfId="21640" hidden="1" xr:uid="{213C9EB0-DC01-481A-9104-779160068478}"/>
    <cellStyle name="Ergebnis" xfId="21085" hidden="1" xr:uid="{934139D3-41A9-4B5C-B35A-A362DAC94ACA}"/>
    <cellStyle name="Ergebnis" xfId="21520" hidden="1" xr:uid="{F2F988DD-ADCA-42A9-BF3C-E6231C36735C}"/>
    <cellStyle name="Ergebnis" xfId="21771" hidden="1" xr:uid="{21FAE0B6-3032-456E-AA2E-2EC72B1845C3}"/>
    <cellStyle name="Ergebnis" xfId="21489" hidden="1" xr:uid="{08F62B33-F97C-4620-954F-E31CFAF546A0}"/>
    <cellStyle name="Ergebnis" xfId="22208" hidden="1" xr:uid="{E779E93A-BF69-4EFC-A39B-3626BF1E6487}"/>
    <cellStyle name="Ergebnis" xfId="22429" hidden="1" xr:uid="{6C26DF02-3F38-4CE8-A3E5-BD2D8A2A8F60}"/>
    <cellStyle name="Ergebnis" xfId="22658" hidden="1" xr:uid="{83E7AC27-DFB7-4382-89D0-9AFC7A7200A5}"/>
    <cellStyle name="Ergebnis" xfId="22869" hidden="1" xr:uid="{3E9938BB-AC06-4F1D-9F92-275192BA745B}"/>
    <cellStyle name="Ergebnis" xfId="22915" hidden="1" xr:uid="{7762383D-311E-4C3D-BFFF-A7A31C2598F2}"/>
    <cellStyle name="Ergebnis" xfId="23081" hidden="1" xr:uid="{C5AF20A4-4302-4CEC-9493-B253DBA67CDF}"/>
    <cellStyle name="Ergebnis" xfId="23269" hidden="1" xr:uid="{EDEB7DBC-634F-43A3-A06E-EE22F219DF89}"/>
    <cellStyle name="Ergebnis" xfId="21435" hidden="1" xr:uid="{8DB5842D-9122-4628-AB0E-839603F95203}"/>
    <cellStyle name="Ergebnis" xfId="23218" hidden="1" xr:uid="{8EE75A1E-E44D-47DF-9F49-7CDFAB746A30}"/>
    <cellStyle name="Ergebnis" xfId="23275" hidden="1" xr:uid="{81036AB8-A6B7-4BCD-A5DB-F18D48B6435F}"/>
    <cellStyle name="Ergebnis" xfId="23655" hidden="1" xr:uid="{0BD70D34-142C-4BA3-9D17-EB2031453EFD}"/>
    <cellStyle name="Ergebnis" xfId="23530" hidden="1" xr:uid="{98CC7AF3-BADE-4A8D-8897-76FBC18C7A66}"/>
    <cellStyle name="Ergebnis" xfId="23524" hidden="1" xr:uid="{5B65B286-9C8D-4DC2-9E47-189C949A6B3E}"/>
    <cellStyle name="Ergebnis" xfId="24076" hidden="1" xr:uid="{F5DC54FA-5401-459A-B6F6-118FEF746FFA}"/>
    <cellStyle name="Ergebnis" xfId="24090" hidden="1" xr:uid="{F4608674-7509-47A4-8548-C2CC93D971EC}"/>
    <cellStyle name="Ergebnis" xfId="24151" hidden="1" xr:uid="{BEF7B4ED-B91B-4B8F-B804-E433E45225D1}"/>
    <cellStyle name="Ergebnis" xfId="24590" hidden="1" xr:uid="{0AE55BC4-F054-4C39-B0CE-4295852E71E8}"/>
    <cellStyle name="Ergebnis" xfId="25405" hidden="1" xr:uid="{ECF66970-3514-4E7E-AC52-21694151F64D}"/>
    <cellStyle name="Ergebnis" xfId="24600" hidden="1" xr:uid="{307D05ED-51ED-492E-A5C3-566EB530F7D4}"/>
    <cellStyle name="Ergebnis" xfId="24999" hidden="1" xr:uid="{6B05734A-5D83-4DCC-8751-B012D5B7D8F7}"/>
    <cellStyle name="Ergebnis" xfId="26254" hidden="1" xr:uid="{6875539D-1DD8-4192-9AFF-4DAC3E75DBC1}"/>
    <cellStyle name="Ergebnis" xfId="25423" hidden="1" xr:uid="{CD944EEA-4A2B-48D5-B5D5-F11779703825}"/>
    <cellStyle name="Ergebnis" xfId="25933" hidden="1" xr:uid="{611F679F-718E-43A7-A266-A2ACB5CEBF1B}"/>
    <cellStyle name="Ergebnis" xfId="26643" hidden="1" xr:uid="{FDC76797-9161-45B6-8320-2979655BF58F}"/>
    <cellStyle name="Ergebnis" xfId="26520" hidden="1" xr:uid="{ADDFBCD3-6E5C-4FA3-BEB3-4467212570DF}"/>
    <cellStyle name="Ergebnis" xfId="26386" hidden="1" xr:uid="{AE5E0AC4-38C2-4513-9428-9318EE9F8DF9}"/>
    <cellStyle name="Ergebnis" xfId="25081" hidden="1" xr:uid="{E66E70C1-CFE5-49CF-8BD1-74D5969CFAD5}"/>
    <cellStyle name="Ergebnis" xfId="26553" hidden="1" xr:uid="{C5AFBDC0-47E5-4BEE-9FEE-8186C14ED77F}"/>
    <cellStyle name="Ergebnis" xfId="26771" hidden="1" xr:uid="{46E7BE50-D91B-4D05-81C1-E209F7CC6B0E}"/>
    <cellStyle name="Ergebnis" xfId="27618" hidden="1" xr:uid="{E7EF71E6-FAAE-4C89-89AE-C314DAC1568F}"/>
    <cellStyle name="Ergebnis" xfId="26603" hidden="1" xr:uid="{2A36C0CC-E7FF-47C9-A4E4-8D1D681A2818}"/>
    <cellStyle name="Ergebnis" xfId="27850" hidden="1" xr:uid="{F505039D-A093-4D16-AB14-38D23274CD96}"/>
    <cellStyle name="Ergebnis" xfId="27875" hidden="1" xr:uid="{F0BD08CF-68B8-444A-90D9-F07BABA01421}"/>
    <cellStyle name="Ergebnis" xfId="26536" hidden="1" xr:uid="{1EA6F3A1-E994-4817-98B4-1C3E7C18BFC9}"/>
    <cellStyle name="Ergebnis" xfId="27646" hidden="1" xr:uid="{69221338-66AF-497C-A42E-6AAA58448469}"/>
    <cellStyle name="Ergebnis" xfId="27942" hidden="1" xr:uid="{CDBA6580-715D-49DB-89B4-F6FE5883A479}"/>
    <cellStyle name="Ergebnis" xfId="28344" hidden="1" xr:uid="{C0E8175B-D7BC-4899-9D3F-4EAF60A0AE9A}"/>
    <cellStyle name="Ergebnis" xfId="28744" hidden="1" xr:uid="{DA284FCB-31A1-4F04-A498-73010D3B68BC}"/>
    <cellStyle name="Ergebnis" xfId="29249" hidden="1" xr:uid="{E7EB0044-BA84-4E52-9FB4-C42FC312B8CE}"/>
    <cellStyle name="Ergebnis" xfId="28174" hidden="1" xr:uid="{466F188F-8234-4239-8B00-1EEE56979477}"/>
    <cellStyle name="Ergebnis" xfId="28312" hidden="1" xr:uid="{49D92C78-1C9F-4B6C-B343-3FAC67E0EA72}"/>
    <cellStyle name="Ergebnis" xfId="29234" hidden="1" xr:uid="{CF1D1AB6-B953-46FF-9574-F543FB197F77}"/>
    <cellStyle name="Ergebnis" xfId="28102" hidden="1" xr:uid="{E2331D32-581A-4400-8EBF-E7DFFFD2D386}"/>
    <cellStyle name="Ergebnis" xfId="31000" hidden="1" xr:uid="{33E13E31-A513-406E-8ED6-243BD6DC9B54}"/>
    <cellStyle name="Ergebnis" xfId="30821" hidden="1" xr:uid="{F9E38762-36B1-4A7C-8454-0A466D367647}"/>
    <cellStyle name="Ergebnis 2" xfId="393" xr:uid="{EF08D523-314A-41BC-9BE0-B9B765445A9E}"/>
    <cellStyle name="Ergebnis 2 10" xfId="3630" xr:uid="{297EF098-83A1-4E14-AFFA-487BCA4E54F6}"/>
    <cellStyle name="Ergebnis 2 11" xfId="4925" xr:uid="{E7AEE3F5-02D7-4820-8357-E8A8F6267407}"/>
    <cellStyle name="Ergebnis 2 12" xfId="3384" xr:uid="{F84CB891-B116-473F-8D11-F883AA39C255}"/>
    <cellStyle name="Ergebnis 2 13" xfId="2898" xr:uid="{60ECEC44-2EB5-4246-AE87-D4507260FA32}"/>
    <cellStyle name="Ergebnis 2 14" xfId="6243" xr:uid="{CD1736BE-41CE-4E44-B219-5000597767ED}"/>
    <cellStyle name="Ergebnis 2 15" xfId="7120" xr:uid="{75B28F55-DFA9-4ADB-A28D-2B4152AAD783}"/>
    <cellStyle name="Ergebnis 2 16" xfId="7083" xr:uid="{F3F80151-4179-4874-8576-37B1C2015275}"/>
    <cellStyle name="Ergebnis 2 17" xfId="8401" xr:uid="{88D3C4BF-E774-46B5-A9D2-B1BC34432FA6}"/>
    <cellStyle name="Ergebnis 2 18" xfId="8717" xr:uid="{2A32462F-90F5-4BC6-8C39-414F10779EF4}"/>
    <cellStyle name="Ergebnis 2 19" xfId="9333" xr:uid="{3E7DC276-8148-4657-96B7-AF3A5B018992}"/>
    <cellStyle name="Ergebnis 2 2" xfId="649" xr:uid="{8B17F657-FD4F-4690-8A1A-78800C0DC4B0}"/>
    <cellStyle name="Ergebnis 2 2 10" xfId="4453" xr:uid="{10217E09-1C54-49DE-8396-6CE63AA53E0C}"/>
    <cellStyle name="Ergebnis 2 2 11" xfId="5297" xr:uid="{72943445-2DD3-465E-9F1B-2D3EC1734AE9}"/>
    <cellStyle name="Ergebnis 2 2 12" xfId="4807" xr:uid="{605A7478-F7C9-47A5-A359-B4F45A2698BF}"/>
    <cellStyle name="Ergebnis 2 2 13" xfId="6317" xr:uid="{29885894-B21E-44A0-B473-AC1323B2380B}"/>
    <cellStyle name="Ergebnis 2 2 14" xfId="6452" xr:uid="{6C90D9E5-6CDA-41AA-A329-920779E9F131}"/>
    <cellStyle name="Ergebnis 2 2 15" xfId="7369" xr:uid="{3B4A1A32-7219-48CC-A248-9DAC096B1638}"/>
    <cellStyle name="Ergebnis 2 2 16" xfId="7160" xr:uid="{BD1C3D32-7548-4B46-89AB-503D90F76625}"/>
    <cellStyle name="Ergebnis 2 2 17" xfId="6812" xr:uid="{07DE6BAE-D015-4270-B2B3-DC902DE3D6FC}"/>
    <cellStyle name="Ergebnis 2 2 18" xfId="8832" xr:uid="{71A661E9-7B9F-4840-A6E3-2339DE627B02}"/>
    <cellStyle name="Ergebnis 2 2 19" xfId="9583" xr:uid="{05867E14-AA32-4FB8-A46F-27F6DB790615}"/>
    <cellStyle name="Ergebnis 2 2 2" xfId="864" xr:uid="{79563E67-E2F7-40EA-87E7-097BC83B91FA}"/>
    <cellStyle name="Ergebnis 2 2 2 10" xfId="5512" xr:uid="{8ED1C4B5-2029-4FC6-BDE6-757FF65E0820}"/>
    <cellStyle name="Ergebnis 2 2 2 11" xfId="4895" xr:uid="{285715C4-62AF-451D-BC62-EBC7599E06AD}"/>
    <cellStyle name="Ergebnis 2 2 2 12" xfId="5629" xr:uid="{00AAFDF9-F7D8-427E-81B8-0E945678D9E1}"/>
    <cellStyle name="Ergebnis 2 2 2 13" xfId="6632" xr:uid="{12157C2A-233E-44E6-B79A-D9E2FAB18CC6}"/>
    <cellStyle name="Ergebnis 2 2 2 14" xfId="7584" xr:uid="{BF796B18-7281-4B04-ACD1-F87AE941F6E1}"/>
    <cellStyle name="Ergebnis 2 2 2 15" xfId="7141" xr:uid="{22838996-FA16-4ADC-9DC1-664BCCB5443F}"/>
    <cellStyle name="Ergebnis 2 2 2 16" xfId="7765" xr:uid="{7E94A1B2-B270-4B77-AC1D-FB4E8E182102}"/>
    <cellStyle name="Ergebnis 2 2 2 17" xfId="8778" xr:uid="{57A75B10-122C-4A94-AB27-EA0A29959256}"/>
    <cellStyle name="Ergebnis 2 2 2 18" xfId="9798" xr:uid="{6813080C-624C-491D-AC20-06919E4BC60F}"/>
    <cellStyle name="Ergebnis 2 2 2 19" xfId="9444" xr:uid="{E8B5CD37-F115-4758-94A3-4FAE1F0E74C0}"/>
    <cellStyle name="Ergebnis 2 2 2 2" xfId="1338" xr:uid="{B33433D1-9262-4894-AA8F-C1A23D1E14C1}"/>
    <cellStyle name="Ergebnis 2 2 2 20" xfId="9163" xr:uid="{2639D251-DB3B-465D-981A-E4FC547AFDE8}"/>
    <cellStyle name="Ergebnis 2 2 2 21" xfId="10062" xr:uid="{BDF75A9A-6FCB-4712-B016-EE1AC9A94382}"/>
    <cellStyle name="Ergebnis 2 2 2 22" xfId="11037" xr:uid="{0DA30345-4C01-4909-91D2-B724D7F8CF28}"/>
    <cellStyle name="Ergebnis 2 2 2 23" xfId="12217" xr:uid="{7062943A-3257-4B99-95C2-31EAD3B031B6}"/>
    <cellStyle name="Ergebnis 2 2 2 24" xfId="12690" xr:uid="{27FD470B-75B5-4F3A-94C5-3A05FCE03FD1}"/>
    <cellStyle name="Ergebnis 2 2 2 25" xfId="13124" xr:uid="{D2452CEE-4724-4C5C-9061-8A432969BDA8}"/>
    <cellStyle name="Ergebnis 2 2 2 26" xfId="13561" xr:uid="{5EE9ED31-94B7-4C37-BCD6-B1F26513DB9D}"/>
    <cellStyle name="Ergebnis 2 2 2 27" xfId="13596" xr:uid="{ED6A5A53-B097-44AE-B758-3405CD9FFD13}"/>
    <cellStyle name="Ergebnis 2 2 2 28" xfId="14480" xr:uid="{9BA314AB-FF63-4F0D-87BB-F72B40AF20A2}"/>
    <cellStyle name="Ergebnis 2 2 2 29" xfId="11602" xr:uid="{94A353E2-483E-4379-86E8-D3414EEE568A}"/>
    <cellStyle name="Ergebnis 2 2 2 3" xfId="1787" xr:uid="{87969E85-55AF-4163-A61B-7595E2F0F683}"/>
    <cellStyle name="Ergebnis 2 2 2 30" xfId="15139" xr:uid="{953FFB84-F304-4DA2-9A8B-CF3ACB256C4F}"/>
    <cellStyle name="Ergebnis 2 2 2 31" xfId="15650" xr:uid="{508EED20-3B9E-4296-BAA6-7923BE7BC61A}"/>
    <cellStyle name="Ergebnis 2 2 2 32" xfId="15160" xr:uid="{BEBB3E5C-147D-4C1E-A2F7-FE20D366CFFE}"/>
    <cellStyle name="Ergebnis 2 2 2 33" xfId="16909" xr:uid="{F1EB84D8-9981-4413-ABDC-50C18548C824}"/>
    <cellStyle name="Ergebnis 2 2 2 34" xfId="16464" xr:uid="{D9490746-9201-40B5-A183-F97B76740733}"/>
    <cellStyle name="Ergebnis 2 2 2 35" xfId="16156" xr:uid="{50E7FF4D-19F3-406E-9FC0-DA805BB69B07}"/>
    <cellStyle name="Ergebnis 2 2 2 36" xfId="18198" xr:uid="{EB8B8A6A-E2C0-4BFC-AA9A-6B1632BDC863}"/>
    <cellStyle name="Ergebnis 2 2 2 37" xfId="18727" xr:uid="{E4E2839A-0E0F-4410-A138-6B2C63E5CBDC}"/>
    <cellStyle name="Ergebnis 2 2 2 38" xfId="18835" xr:uid="{304AAFA6-F5C6-414C-B70D-36FCBD8485B7}"/>
    <cellStyle name="Ergebnis 2 2 2 39" xfId="19159" xr:uid="{B8A32BB5-C1FD-4ABA-B54A-D112BD265C9E}"/>
    <cellStyle name="Ergebnis 2 2 2 4" xfId="2686" xr:uid="{A0A12E1F-8C55-4030-941E-F5AA3B2B57F2}"/>
    <cellStyle name="Ergebnis 2 2 2 40" xfId="20246" xr:uid="{37357822-DE7F-4DC3-89D2-658E224FBB09}"/>
    <cellStyle name="Ergebnis 2 2 2 41" xfId="19388" xr:uid="{AFCF790D-B900-4EB3-9771-2B6EDCC3F3D1}"/>
    <cellStyle name="Ergebnis 2 2 2 42" xfId="19545" xr:uid="{90859FCA-9A38-4EE2-B4A1-3B36029A0EF0}"/>
    <cellStyle name="Ergebnis 2 2 2 43" xfId="20917" xr:uid="{C1141702-24F0-4E95-B0FC-3849366E164B}"/>
    <cellStyle name="Ergebnis 2 2 2 44" xfId="20806" xr:uid="{BCC77DF3-5708-4CA9-A9D3-FDEF3363440A}"/>
    <cellStyle name="Ergebnis 2 2 2 45" xfId="20365" xr:uid="{A130EEBA-C243-4517-BD14-1A9B5249B3F1}"/>
    <cellStyle name="Ergebnis 2 2 2 46" xfId="22605" xr:uid="{4E40795C-E387-4624-9E60-17A12C1E456B}"/>
    <cellStyle name="Ergebnis 2 2 2 47" xfId="23110" xr:uid="{4D273423-81F8-4E62-ABCE-A74DD65C176C}"/>
    <cellStyle name="Ergebnis 2 2 2 48" xfId="22737" xr:uid="{83863F89-D671-45B6-AC2F-5CB85FA87377}"/>
    <cellStyle name="Ergebnis 2 2 2 49" xfId="24046" xr:uid="{B6BA6631-D57B-41BC-923A-D56AD5A88BA4}"/>
    <cellStyle name="Ergebnis 2 2 2 5" xfId="2762" xr:uid="{3C2C83C0-6F38-434A-B854-E49F38E60C04}"/>
    <cellStyle name="Ergebnis 2 2 2 50" xfId="24954" xr:uid="{B6F852A5-3BFA-4390-8A08-7276909F3311}"/>
    <cellStyle name="Ergebnis 2 2 2 51" xfId="24467" xr:uid="{34F8C78E-EF4F-4436-BCB3-DF2CF06F6AB3}"/>
    <cellStyle name="Ergebnis 2 2 2 52" xfId="25870" xr:uid="{6F050319-B44C-4480-94AF-849CAE087761}"/>
    <cellStyle name="Ergebnis 2 2 2 53" xfId="25911" xr:uid="{2BB113A8-9BF2-446B-8A53-FB1A2154F81D}"/>
    <cellStyle name="Ergebnis 2 2 2 54" xfId="26737" xr:uid="{33AC0573-FB05-4598-84CA-16629481A40A}"/>
    <cellStyle name="Ergebnis 2 2 2 55" xfId="27158" xr:uid="{7BE3389A-43AD-45E7-943A-7AA8A674B494}"/>
    <cellStyle name="Ergebnis 2 2 2 56" xfId="27577" xr:uid="{E9B19DB4-26B6-4EF9-9389-3DF727D918FB}"/>
    <cellStyle name="Ergebnis 2 2 2 57" xfId="26699" xr:uid="{39736975-33DB-4265-B53D-BCB1C7422278}"/>
    <cellStyle name="Ergebnis 2 2 2 58" xfId="28704" xr:uid="{368EF6EA-26C2-4AE8-87B5-65C85ACDF157}"/>
    <cellStyle name="Ergebnis 2 2 2 59" xfId="29171" xr:uid="{A7E2ABCB-06B4-453B-8B4D-4F3703CDAE61}"/>
    <cellStyle name="Ergebnis 2 2 2 6" xfId="3395" xr:uid="{B023402D-0974-4612-8D24-F0E7C2E0989E}"/>
    <cellStyle name="Ergebnis 2 2 2 60" xfId="28305" xr:uid="{F0BFA36A-D80D-492F-B966-5281C62DA8D0}"/>
    <cellStyle name="Ergebnis 2 2 2 61" xfId="29960" xr:uid="{75E0AA8F-51CB-4BE5-97F2-BD77E852DCA4}"/>
    <cellStyle name="Ergebnis 2 2 2 62" xfId="30366" xr:uid="{67B28A9A-6A26-4237-9D6A-47EEE7167A73}"/>
    <cellStyle name="Ergebnis 2 2 2 63" xfId="30783" xr:uid="{5F76E5D1-DCE0-4F26-A9CB-18F846ACE676}"/>
    <cellStyle name="Ergebnis 2 2 2 64" xfId="31028" xr:uid="{1ABB30EF-CEC8-41A2-B734-B259F557432D}"/>
    <cellStyle name="Ergebnis 2 2 2 65" xfId="31399" xr:uid="{953253F5-5B38-433C-A67E-819D616401A8}"/>
    <cellStyle name="Ergebnis 2 2 2 7" xfId="4182" xr:uid="{6ED78CC5-5647-42EC-8E1C-06BD935B883F}"/>
    <cellStyle name="Ergebnis 2 2 2 8" xfId="4619" xr:uid="{A7277245-B333-405A-8D86-20533DBA0A32}"/>
    <cellStyle name="Ergebnis 2 2 2 9" xfId="5065" xr:uid="{68C30391-DAC5-4A6A-82D4-D34906186DA3}"/>
    <cellStyle name="Ergebnis 2 2 20" xfId="9375" xr:uid="{D32D2BD0-85A7-40FA-A3EA-5833745D2BBF}"/>
    <cellStyle name="Ergebnis 2 2 21" xfId="9627" xr:uid="{DF766EFA-54A3-4F25-9E07-D99F35671D43}"/>
    <cellStyle name="Ergebnis 2 2 22" xfId="10764" xr:uid="{2712EE1D-2084-4BBC-A196-B6EB3099FD48}"/>
    <cellStyle name="Ergebnis 2 2 23" xfId="10454" xr:uid="{BC66087E-E37A-4148-886D-8CCD059E47EC}"/>
    <cellStyle name="Ergebnis 2 2 24" xfId="12002" xr:uid="{507894B5-4AC3-414F-B722-26D75FF6BD67}"/>
    <cellStyle name="Ergebnis 2 2 25" xfId="12475" xr:uid="{A5ECE707-C92F-4E48-AAC1-786321D67750}"/>
    <cellStyle name="Ergebnis 2 2 26" xfId="12909" xr:uid="{6284E992-6112-4452-B0B4-26C358699BBE}"/>
    <cellStyle name="Ergebnis 2 2 27" xfId="13346" xr:uid="{BE24A98F-77EE-430C-880F-855785B1073A}"/>
    <cellStyle name="Ergebnis 2 2 28" xfId="13649" xr:uid="{1CD132AE-F93B-494F-848D-7451C0E33607}"/>
    <cellStyle name="Ergebnis 2 2 29" xfId="14302" xr:uid="{4A1D73FE-2DCD-4285-8F97-56620CE2D408}"/>
    <cellStyle name="Ergebnis 2 2 3" xfId="1132" xr:uid="{24FC4589-9D3E-4067-A0E4-D11A117B509E}"/>
    <cellStyle name="Ergebnis 2 2 30" xfId="14120" xr:uid="{77C8F5EB-11D2-4811-AE54-0E4F7455EAA9}"/>
    <cellStyle name="Ergebnis 2 2 31" xfId="14840" xr:uid="{CA35279D-8995-4F25-9F41-6607A3CD7656}"/>
    <cellStyle name="Ergebnis 2 2 32" xfId="14000" xr:uid="{447D83AC-43C0-4177-92FC-F7B43C5C9CA6}"/>
    <cellStyle name="Ergebnis 2 2 33" xfId="15611" xr:uid="{D1372CA6-B71B-4B0A-95F4-1B6D90452139}"/>
    <cellStyle name="Ergebnis 2 2 34" xfId="16694" xr:uid="{1D8C4BF6-654C-43EE-9C03-FEFDFEA5BDED}"/>
    <cellStyle name="Ergebnis 2 2 35" xfId="16481" xr:uid="{61BB5A22-8CD3-47EE-AAB6-0F00998A3EA5}"/>
    <cellStyle name="Ergebnis 2 2 36" xfId="16458" xr:uid="{7585479A-D196-4123-A3C1-99AB1BC56037}"/>
    <cellStyle name="Ergebnis 2 2 37" xfId="17508" xr:uid="{38F58058-7700-4BF5-9937-989EFE440321}"/>
    <cellStyle name="Ergebnis 2 2 38" xfId="18512" xr:uid="{381C5516-96D9-441C-8E2E-7963F2D989D8}"/>
    <cellStyle name="Ergebnis 2 2 39" xfId="17603" xr:uid="{6C553D12-331F-46E8-9A09-6B0140888844}"/>
    <cellStyle name="Ergebnis 2 2 4" xfId="1452" xr:uid="{16A685EE-D875-46C3-829E-F271608683CA}"/>
    <cellStyle name="Ergebnis 2 2 40" xfId="19183" xr:uid="{A6AD77E3-21FE-49AB-B728-1E328B694A3B}"/>
    <cellStyle name="Ergebnis 2 2 41" xfId="20031" xr:uid="{DF9CF191-247A-47D5-A2E3-08B8AE042086}"/>
    <cellStyle name="Ergebnis 2 2 42" xfId="19817" xr:uid="{D98E75E6-3352-4BE6-B786-A367A03C7486}"/>
    <cellStyle name="Ergebnis 2 2 43" xfId="20362" xr:uid="{9D97B4B7-055A-4190-9B7A-59E448585009}"/>
    <cellStyle name="Ergebnis 2 2 44" xfId="21385" xr:uid="{2726752E-9111-4B6E-98FC-FCD4F7349763}"/>
    <cellStyle name="Ergebnis 2 2 45" xfId="21569" xr:uid="{7911F884-350B-4F64-8DDC-828D7BE151AC}"/>
    <cellStyle name="Ergebnis 2 2 46" xfId="22079" xr:uid="{822879FF-6D74-4532-95C1-99AB2A6224FF}"/>
    <cellStyle name="Ergebnis 2 2 47" xfId="22653" xr:uid="{2A368806-FB2D-4E02-B8B9-02DFD707C07A}"/>
    <cellStyle name="Ergebnis 2 2 48" xfId="22593" xr:uid="{7C7FBE70-CE53-4789-A20B-5B5F98EC254A}"/>
    <cellStyle name="Ergebnis 2 2 49" xfId="23348" xr:uid="{B1AAAD78-EE5C-4198-91FF-3D313A044818}"/>
    <cellStyle name="Ergebnis 2 2 5" xfId="2471" xr:uid="{59EAA913-77CE-49FF-B5A2-11C4F96E2F2D}"/>
    <cellStyle name="Ergebnis 2 2 50" xfId="23840" xr:uid="{87A03C29-585F-4D1C-A172-573174A32BE9}"/>
    <cellStyle name="Ergebnis 2 2 51" xfId="24739" xr:uid="{14015CB7-0A8C-46C7-A5E1-8CB74FBDDDB9}"/>
    <cellStyle name="Ergebnis 2 2 52" xfId="24528" xr:uid="{0932173A-50AA-4AD6-9E74-2587B00C72B6}"/>
    <cellStyle name="Ergebnis 2 2 53" xfId="25657" xr:uid="{C78D2F78-0674-4C16-8741-194FD0C21F8B}"/>
    <cellStyle name="Ergebnis 2 2 54" xfId="25955" xr:uid="{D2809F34-1F0B-4B5E-B224-35BDC35DB366}"/>
    <cellStyle name="Ergebnis 2 2 55" xfId="25043" xr:uid="{DB66E823-5626-4C62-80F4-FADC1772AAE5}"/>
    <cellStyle name="Ergebnis 2 2 56" xfId="26947" xr:uid="{499F830F-46E1-4635-B752-E3171C9BC04D}"/>
    <cellStyle name="Ergebnis 2 2 57" xfId="27366" xr:uid="{22A3A91E-47B5-47FE-A655-F19197DC43B2}"/>
    <cellStyle name="Ergebnis 2 2 58" xfId="27663" xr:uid="{63C13588-661D-44AF-8CB8-14C22A879E70}"/>
    <cellStyle name="Ergebnis 2 2 59" xfId="28489" xr:uid="{FF5899D6-118B-4F37-9E48-7F744B4E94FB}"/>
    <cellStyle name="Ergebnis 2 2 6" xfId="2815" xr:uid="{F1C4614B-70DA-4233-8337-4B95880989FE}"/>
    <cellStyle name="Ergebnis 2 2 60" xfId="28957" xr:uid="{0B1310C4-0656-4B74-A2DF-F3A586BAB29B}"/>
    <cellStyle name="Ergebnis 2 2 61" xfId="28751" xr:uid="{F2DA3057-1840-4DAC-B0DC-87E6101474EB}"/>
    <cellStyle name="Ergebnis 2 2 62" xfId="29747" xr:uid="{BC95AE79-2E31-4CA7-930F-2BCF9E9F065F}"/>
    <cellStyle name="Ergebnis 2 2 63" xfId="30155" xr:uid="{9A230BBD-E0B9-4D27-8F80-6BB86C65F298}"/>
    <cellStyle name="Ergebnis 2 2 64" xfId="30569" xr:uid="{99A8392B-E96F-4A52-BD87-A98BE8CB577D}"/>
    <cellStyle name="Ergebnis 2 2 65" xfId="30963" xr:uid="{22F9C591-FFE8-4572-A470-64374E6E48C1}"/>
    <cellStyle name="Ergebnis 2 2 66" xfId="31193" xr:uid="{338A9D2F-0D6D-474D-BF54-9F89711C35D9}"/>
    <cellStyle name="Ergebnis 2 2 7" xfId="3407" xr:uid="{B4CFB144-CCE1-44BC-9865-CDCC69780743}"/>
    <cellStyle name="Ergebnis 2 2 8" xfId="3967" xr:uid="{FFCAE91F-F1F0-403D-B894-59CA0D6D14A9}"/>
    <cellStyle name="Ergebnis 2 2 9" xfId="4405" xr:uid="{BFD89B16-6155-4881-97F2-16A1250C4CC4}"/>
    <cellStyle name="Ergebnis 2 20" xfId="9297" xr:uid="{D1FD18D0-68C5-463F-AD7A-625619B90787}"/>
    <cellStyle name="Ergebnis 2 21" xfId="11127" xr:uid="{59A537C3-9C47-41FB-A924-DD039F9DC8AE}"/>
    <cellStyle name="Ergebnis 2 22" xfId="11747" xr:uid="{3CE835FD-7F1E-405F-B78A-450588AE934D}"/>
    <cellStyle name="Ergebnis 2 23" xfId="11560" xr:uid="{272421B7-72D0-40C0-AA35-08F6525FBBE0}"/>
    <cellStyle name="Ergebnis 2 24" xfId="11723" xr:uid="{AC463094-1E30-46E8-9678-907991BA5936}"/>
    <cellStyle name="Ergebnis 2 25" xfId="11390" xr:uid="{BD819C14-3F3A-4665-AB04-CB57C9B2A5FD}"/>
    <cellStyle name="Ergebnis 2 26" xfId="13607" xr:uid="{7ED31145-58AC-4925-977B-D7FFFFE0D1C8}"/>
    <cellStyle name="Ergebnis 2 27" xfId="13875" xr:uid="{D645D2D1-0468-479E-B22E-0981B30391F0}"/>
    <cellStyle name="Ergebnis 2 28" xfId="15066" xr:uid="{B8D81F70-EF98-4368-8E50-CE1AAAE08C26}"/>
    <cellStyle name="Ergebnis 2 29" xfId="16442" xr:uid="{14001941-A934-4062-87C4-D32A905CA995}"/>
    <cellStyle name="Ergebnis 2 3" xfId="581" xr:uid="{5749121F-FEC3-4B19-ACCE-B925C567A5FA}"/>
    <cellStyle name="Ergebnis 2 3 10" xfId="4791" xr:uid="{75A191F2-02FC-4C09-B22C-BC42AADDCD21}"/>
    <cellStyle name="Ergebnis 2 3 11" xfId="5229" xr:uid="{D1352070-2892-4864-8C46-4B3CAE4462BB}"/>
    <cellStyle name="Ergebnis 2 3 12" xfId="5032" xr:uid="{C45C2EC3-B58C-4165-8CC9-E999FC7F00F2}"/>
    <cellStyle name="Ergebnis 2 3 13" xfId="5827" xr:uid="{DE5DD792-432C-4AC8-B966-A822B0F09080}"/>
    <cellStyle name="Ergebnis 2 3 14" xfId="5112" xr:uid="{BF71D6E8-6622-4FE0-8F83-04D5396EB82B}"/>
    <cellStyle name="Ergebnis 2 3 15" xfId="7301" xr:uid="{50298E12-3A49-4400-8AA3-1674854C9D57}"/>
    <cellStyle name="Ergebnis 2 3 16" xfId="7820" xr:uid="{2E7CC769-E780-4BE5-A64B-2BE652B4F2F3}"/>
    <cellStyle name="Ergebnis 2 3 17" xfId="8522" xr:uid="{58BB9349-777C-469D-BD5A-71A193EE6684}"/>
    <cellStyle name="Ergebnis 2 3 18" xfId="8267" xr:uid="{5D0E1D42-A3EE-43D0-98E7-20BE190CF4AA}"/>
    <cellStyle name="Ergebnis 2 3 19" xfId="9515" xr:uid="{884DBED3-83E2-41AB-945A-9AAB6F9AB75F}"/>
    <cellStyle name="Ergebnis 2 3 2" xfId="796" xr:uid="{C63B4B53-B436-4894-AA0E-E9C37DC9D9BB}"/>
    <cellStyle name="Ergebnis 2 3 2 10" xfId="5444" xr:uid="{4234BEE1-66CF-48AC-8CAF-737DB273BD72}"/>
    <cellStyle name="Ergebnis 2 3 2 11" xfId="4676" xr:uid="{C9FA7557-C2DD-4113-957C-FD5F1910DB63}"/>
    <cellStyle name="Ergebnis 2 3 2 12" xfId="6329" xr:uid="{AFC14FE5-CA81-4F60-A0A3-70A9C17B074E}"/>
    <cellStyle name="Ergebnis 2 3 2 13" xfId="6449" xr:uid="{09120ACA-7EA4-48BA-BD62-6EC5541DE766}"/>
    <cellStyle name="Ergebnis 2 3 2 14" xfId="7516" xr:uid="{8298471D-6DD6-449B-AC2B-A494C175C645}"/>
    <cellStyle name="Ergebnis 2 3 2 15" xfId="7764" xr:uid="{14CDD300-4159-44B3-B46E-975324294682}"/>
    <cellStyle name="Ergebnis 2 3 2 16" xfId="8500" xr:uid="{2E4D42AD-6CC7-4FD5-8E8C-F2A4A95B323F}"/>
    <cellStyle name="Ergebnis 2 3 2 17" xfId="8530" xr:uid="{52F67998-5E96-4B7A-A067-185B5A5CC515}"/>
    <cellStyle name="Ergebnis 2 3 2 18" xfId="9730" xr:uid="{8C3A0604-75E7-4877-A49E-FC06BC8D83E1}"/>
    <cellStyle name="Ergebnis 2 3 2 19" xfId="9977" xr:uid="{09C94BDC-A88F-44C3-B785-3905E0BCC433}"/>
    <cellStyle name="Ergebnis 2 3 2 2" xfId="1270" xr:uid="{B18F32F5-0210-42C2-A9D8-34AFA6C3D9B1}"/>
    <cellStyle name="Ergebnis 2 3 2 20" xfId="10405" xr:uid="{766A71D6-74C3-49C0-B20A-4E1997903838}"/>
    <cellStyle name="Ergebnis 2 3 2 21" xfId="10554" xr:uid="{9A68A741-7839-45CD-BFB1-4EA759D67520}"/>
    <cellStyle name="Ergebnis 2 3 2 22" xfId="11173" xr:uid="{6AA522CE-EA61-4E56-B48B-EFE4EA0DFE32}"/>
    <cellStyle name="Ergebnis 2 3 2 23" xfId="12149" xr:uid="{95E15149-570B-4FDF-826B-829B7E6FAF8D}"/>
    <cellStyle name="Ergebnis 2 3 2 24" xfId="12622" xr:uid="{0877A1EE-57E4-45E2-8951-307E0E9E46C6}"/>
    <cellStyle name="Ergebnis 2 3 2 25" xfId="13056" xr:uid="{8DD4FDFF-7EE7-4ECD-B2B4-946D37192600}"/>
    <cellStyle name="Ergebnis 2 3 2 26" xfId="13493" xr:uid="{ACB3F66D-6F40-443D-9716-6CFC17F5EE42}"/>
    <cellStyle name="Ergebnis 2 3 2 27" xfId="13741" xr:uid="{EA71154A-13F0-4ACF-B841-C4B689EF517F}"/>
    <cellStyle name="Ergebnis 2 3 2 28" xfId="13992" xr:uid="{84F8F539-BC30-4601-9D0A-25A389FD5B5D}"/>
    <cellStyle name="Ergebnis 2 3 2 29" xfId="14630" xr:uid="{10A68BEB-12B0-4AF2-8D3F-03B1201F890F}"/>
    <cellStyle name="Ergebnis 2 3 2 3" xfId="1699" xr:uid="{D690D1CA-86AE-41B2-BA0D-73757DDC4307}"/>
    <cellStyle name="Ergebnis 2 3 2 30" xfId="14222" xr:uid="{457D6A3C-B25E-4247-A5DA-725D779ACCD5}"/>
    <cellStyle name="Ergebnis 2 3 2 31" xfId="15349" xr:uid="{43B6F85A-8F7A-4BA8-AFD9-A7560913E263}"/>
    <cellStyle name="Ergebnis 2 3 2 32" xfId="15839" xr:uid="{E0097521-1ED1-49B6-82EB-0BC121BF2B8E}"/>
    <cellStyle name="Ergebnis 2 3 2 33" xfId="16841" xr:uid="{68214ADE-8FB6-469C-9D84-BDB0E29F3746}"/>
    <cellStyle name="Ergebnis 2 3 2 34" xfId="17092" xr:uid="{3448CA20-8E7F-4F0B-9B78-7C0BC059B781}"/>
    <cellStyle name="Ergebnis 2 3 2 35" xfId="17540" xr:uid="{1A462235-7DAE-45E9-A78B-530B29608F27}"/>
    <cellStyle name="Ergebnis 2 3 2 36" xfId="17937" xr:uid="{55650FE5-A374-486F-AB4C-5EFEFFA01279}"/>
    <cellStyle name="Ergebnis 2 3 2 37" xfId="18659" xr:uid="{1BAA5778-CC06-480F-8FAC-E8B60D7A2E0B}"/>
    <cellStyle name="Ergebnis 2 3 2 38" xfId="18870" xr:uid="{3312A2DA-C46A-483A-953A-2AFBF3214DB9}"/>
    <cellStyle name="Ergebnis 2 3 2 39" xfId="17707" xr:uid="{456558E4-E702-4E65-B247-9A2D3C73BADD}"/>
    <cellStyle name="Ergebnis 2 3 2 4" xfId="2618" xr:uid="{2581FC22-1765-42F8-9BD7-66E93BACBCBF}"/>
    <cellStyle name="Ergebnis 2 3 2 40" xfId="20178" xr:uid="{076A8359-CF79-43D2-8662-0BD0C86E3424}"/>
    <cellStyle name="Ergebnis 2 3 2 41" xfId="20446" xr:uid="{88861CC1-7970-4172-8F8A-97A6794BFB4B}"/>
    <cellStyle name="Ergebnis 2 3 2 42" xfId="20898" xr:uid="{2F1836C8-9AAD-4C4A-BCF3-2E56B2DE5005}"/>
    <cellStyle name="Ergebnis 2 3 2 43" xfId="21331" xr:uid="{B5277CF7-7470-4D33-97EF-753121565A3D}"/>
    <cellStyle name="Ergebnis 2 3 2 44" xfId="21828" xr:uid="{E13A82B2-8D43-4F9E-9D78-3D911CC2FC85}"/>
    <cellStyle name="Ergebnis 2 3 2 45" xfId="22264" xr:uid="{00BED97D-EC28-4BBF-BB60-E08D172378E2}"/>
    <cellStyle name="Ergebnis 2 3 2 46" xfId="22736" xr:uid="{DEC6F62A-77A0-4AFD-B6BE-E07BBC5B940C}"/>
    <cellStyle name="Ergebnis 2 3 2 47" xfId="23146" xr:uid="{220204A5-B2E9-4A5B-8E3A-928B6000C48D}"/>
    <cellStyle name="Ergebnis 2 3 2 48" xfId="23106" xr:uid="{46868A2C-755D-4A15-9D41-1267ADDE31AE}"/>
    <cellStyle name="Ergebnis 2 3 2 49" xfId="23978" xr:uid="{BE9B4ABF-4A78-4455-9665-A08F67A3A584}"/>
    <cellStyle name="Ergebnis 2 3 2 5" xfId="2906" xr:uid="{C94F6A3B-E508-4A1C-A16C-0F2F5121E284}"/>
    <cellStyle name="Ergebnis 2 3 2 50" xfId="24886" xr:uid="{9FFAE6BA-CD44-47F5-8FDC-939C4F18367A}"/>
    <cellStyle name="Ergebnis 2 3 2 51" xfId="25153" xr:uid="{30363B2A-ED9A-4ECD-AB78-658710BAEB24}"/>
    <cellStyle name="Ergebnis 2 3 2 52" xfId="25802" xr:uid="{AA318FE9-19DF-46C7-94F8-6028C4C61649}"/>
    <cellStyle name="Ergebnis 2 3 2 53" xfId="26041" xr:uid="{AECE3CF9-755F-4127-80A9-2827052AAA46}"/>
    <cellStyle name="Ergebnis 2 3 2 54" xfId="26335" xr:uid="{FBB969BA-52BC-4EB1-BA36-7B75F490E416}"/>
    <cellStyle name="Ergebnis 2 3 2 55" xfId="27090" xr:uid="{B89721A0-9282-4F9F-927C-4AA4B6AB9EE0}"/>
    <cellStyle name="Ergebnis 2 3 2 56" xfId="27509" xr:uid="{C8C4494D-0186-4965-A357-C9A02AF92AE0}"/>
    <cellStyle name="Ergebnis 2 3 2 57" xfId="26067" xr:uid="{CBAF2B98-5076-43F2-84E7-E30320152297}"/>
    <cellStyle name="Ergebnis 2 3 2 58" xfId="28636" xr:uid="{7CD9A543-9ADC-4A5F-BD1A-284FCB0C457E}"/>
    <cellStyle name="Ergebnis 2 3 2 59" xfId="29103" xr:uid="{CD5DD5BC-1D2F-4615-875C-A48D3E04F69A}"/>
    <cellStyle name="Ergebnis 2 3 2 6" xfId="3357" xr:uid="{A4E74800-6F7D-4E66-B338-40471764FBB8}"/>
    <cellStyle name="Ergebnis 2 3 2 60" xfId="29303" xr:uid="{F9AEE1F9-428C-466C-8882-26B0C04146AF}"/>
    <cellStyle name="Ergebnis 2 3 2 61" xfId="29892" xr:uid="{41DEA66C-1A0B-4466-9A8C-FE8F1EE377AF}"/>
    <cellStyle name="Ergebnis 2 3 2 62" xfId="30298" xr:uid="{7B0ED2DF-33CB-4FE5-B34A-C663D23E96D7}"/>
    <cellStyle name="Ergebnis 2 3 2 63" xfId="30715" xr:uid="{93B4B9B2-0F0E-46E0-BDEB-62FB0FF165DE}"/>
    <cellStyle name="Ergebnis 2 3 2 64" xfId="27904" xr:uid="{45413FC1-356B-4636-BADF-C3A7E813E1BE}"/>
    <cellStyle name="Ergebnis 2 3 2 65" xfId="31331" xr:uid="{A388DB28-F2A6-433F-97EB-A79E3676B51C}"/>
    <cellStyle name="Ergebnis 2 3 2 7" xfId="4114" xr:uid="{8CCAF1B3-786C-4BF4-89CE-A28628C1EDEB}"/>
    <cellStyle name="Ergebnis 2 3 2 8" xfId="4551" xr:uid="{DE51D1D7-99CC-4EE8-9CB1-437E1E0EA52F}"/>
    <cellStyle name="Ergebnis 2 3 2 9" xfId="3632" xr:uid="{11746594-03B4-4EA6-A87D-8896D8CDFB55}"/>
    <cellStyle name="Ergebnis 2 3 20" xfId="10033" xr:uid="{6CA65939-DB7F-4314-B179-921453D38A8D}"/>
    <cellStyle name="Ergebnis 2 3 21" xfId="10453" xr:uid="{B79B67DF-B705-4F8C-B6F9-7ACD0476D260}"/>
    <cellStyle name="Ergebnis 2 3 22" xfId="10441" xr:uid="{27116C97-7FFC-4C77-8CDC-C85FD27C1C04}"/>
    <cellStyle name="Ergebnis 2 3 23" xfId="10582" xr:uid="{F6E6B8FB-5B97-45E0-BDD6-D578D596F94E}"/>
    <cellStyle name="Ergebnis 2 3 24" xfId="11934" xr:uid="{67E11FCC-B69A-48DB-9F9F-9027CE41D642}"/>
    <cellStyle name="Ergebnis 2 3 25" xfId="12407" xr:uid="{A4C4C9C5-8DCC-402A-9CFC-C670A35082F7}"/>
    <cellStyle name="Ergebnis 2 3 26" xfId="12841" xr:uid="{D8854986-C3C6-4B01-83D0-40FC46C87EBF}"/>
    <cellStyle name="Ergebnis 2 3 27" xfId="13278" xr:uid="{C02B10B2-0DAC-4D25-9BA5-810F8141BFB3}"/>
    <cellStyle name="Ergebnis 2 3 28" xfId="11828" xr:uid="{9F5CA2F4-0E2A-46EB-A379-420B1C79B168}"/>
    <cellStyle name="Ergebnis 2 3 29" xfId="12956" xr:uid="{5B25D721-18C7-49AE-8E94-D71FE04C7732}"/>
    <cellStyle name="Ergebnis 2 3 3" xfId="1064" xr:uid="{6C48A54D-B71D-4D31-8F2A-7A0EB60F3416}"/>
    <cellStyle name="Ergebnis 2 3 30" xfId="14656" xr:uid="{957EEBD3-01DF-4020-8558-C5AA963F3348}"/>
    <cellStyle name="Ergebnis 2 3 31" xfId="14750" xr:uid="{110A16C8-F7BA-48E4-B2EE-48C5295CA7E3}"/>
    <cellStyle name="Ergebnis 2 3 32" xfId="15213" xr:uid="{7A4B6C96-52C4-4018-847F-2C851DE72D3F}"/>
    <cellStyle name="Ergebnis 2 3 33" xfId="15868" xr:uid="{A73BB910-EA1E-43EA-B544-C5D8563AD4CB}"/>
    <cellStyle name="Ergebnis 2 3 34" xfId="16626" xr:uid="{C42B86AA-6839-4198-A86D-E79958D64259}"/>
    <cellStyle name="Ergebnis 2 3 35" xfId="17150" xr:uid="{EB7095F3-8E07-4689-A68A-28207562BA4E}"/>
    <cellStyle name="Ergebnis 2 3 36" xfId="17596" xr:uid="{DBDC4C1C-26D9-46FF-8FDE-8B2157F583E7}"/>
    <cellStyle name="Ergebnis 2 3 37" xfId="17344" xr:uid="{970F34CD-D840-4F5F-9A35-C28CE6D645E6}"/>
    <cellStyle name="Ergebnis 2 3 38" xfId="18444" xr:uid="{88A4B72F-D718-4B3C-8979-E60E7D792EA1}"/>
    <cellStyle name="Ergebnis 2 3 39" xfId="18309" xr:uid="{8212E345-A575-4920-B279-9281735C0F8A}"/>
    <cellStyle name="Ergebnis 2 3 4" xfId="1620" xr:uid="{FE465EC8-91B9-4CB9-B86B-F65160FEB0E8}"/>
    <cellStyle name="Ergebnis 2 3 40" xfId="18189" xr:uid="{1B6EB382-E3A8-4F4F-955A-74529D3C2101}"/>
    <cellStyle name="Ergebnis 2 3 41" xfId="19963" xr:uid="{971B459F-466C-468B-A998-246E2C52101C}"/>
    <cellStyle name="Ergebnis 2 3 42" xfId="20502" xr:uid="{1055B9AD-3CB9-416B-BD20-C656A75C57FF}"/>
    <cellStyle name="Ergebnis 2 3 43" xfId="20957" xr:uid="{E0E34177-C641-45E3-BE98-05AC654D42A4}"/>
    <cellStyle name="Ergebnis 2 3 44" xfId="20479" xr:uid="{C1F10560-2032-465B-B56F-E43B8E3F8447}"/>
    <cellStyle name="Ergebnis 2 3 45" xfId="21886" xr:uid="{2F759212-82C8-4D1E-90D1-C4D39E090649}"/>
    <cellStyle name="Ergebnis 2 3 46" xfId="22322" xr:uid="{F6798F6F-7921-483E-A612-99FF52126A27}"/>
    <cellStyle name="Ergebnis 2 3 47" xfId="22469" xr:uid="{E14AD953-3AA3-4380-9594-7C486481F33F}"/>
    <cellStyle name="Ergebnis 2 3 48" xfId="22346" xr:uid="{FA1E2535-5128-4189-838A-721D48627548}"/>
    <cellStyle name="Ergebnis 2 3 49" xfId="23144" xr:uid="{D030755A-F3E8-4114-93EC-513CA4C3BAC3}"/>
    <cellStyle name="Ergebnis 2 3 5" xfId="2403" xr:uid="{F63DBA97-ACC8-415F-AACD-732AD786BF01}"/>
    <cellStyle name="Ergebnis 2 3 50" xfId="23772" xr:uid="{9CA81C83-3D81-42DF-9A56-FD393A405D6D}"/>
    <cellStyle name="Ergebnis 2 3 51" xfId="24671" xr:uid="{614348FA-8976-4C69-80A9-DD0892489458}"/>
    <cellStyle name="Ergebnis 2 3 52" xfId="25211" xr:uid="{BE391DA5-94CF-4239-BBF0-046FE8FA8788}"/>
    <cellStyle name="Ergebnis 2 3 53" xfId="25589" xr:uid="{4FBF25BD-8F2F-4B2B-A638-E8B844554C0D}"/>
    <cellStyle name="Ergebnis 2 3 54" xfId="25386" xr:uid="{F274AD61-20C1-400D-9441-A742EF333D13}"/>
    <cellStyle name="Ergebnis 2 3 55" xfId="25472" xr:uid="{DB76EB79-333D-4FD6-B3EE-9AEE804BD0C4}"/>
    <cellStyle name="Ergebnis 2 3 56" xfId="26879" xr:uid="{D95DEE41-CF83-4840-BF78-602423CE8490}"/>
    <cellStyle name="Ergebnis 2 3 57" xfId="27298" xr:uid="{A9936164-FEEF-46CF-9277-6A8FC84013BB}"/>
    <cellStyle name="Ergebnis 2 3 58" xfId="26114" xr:uid="{0973DB8B-139A-40DA-B32C-645864328415}"/>
    <cellStyle name="Ergebnis 2 3 59" xfId="28421" xr:uid="{F0987C76-88B5-4970-A611-3C919A616181}"/>
    <cellStyle name="Ergebnis 2 3 6" xfId="1833" xr:uid="{3CA1993D-1572-4A94-9FB7-D3CED4E3052F}"/>
    <cellStyle name="Ergebnis 2 3 60" xfId="28889" xr:uid="{38B7D579-4173-456F-BE6F-A429D4CC70FE}"/>
    <cellStyle name="Ergebnis 2 3 61" xfId="29352" xr:uid="{3DE4B7CD-D546-4EB7-A829-14E2EC70A62C}"/>
    <cellStyle name="Ergebnis 2 3 62" xfId="29679" xr:uid="{E61AF015-5569-432A-8750-90C61A904B83}"/>
    <cellStyle name="Ergebnis 2 3 63" xfId="30087" xr:uid="{DF0AECFD-6D10-4FAC-96A2-984E1C89ABE1}"/>
    <cellStyle name="Ergebnis 2 3 64" xfId="30501" xr:uid="{85E0105A-6EF0-4187-82A2-EB28D744F800}"/>
    <cellStyle name="Ergebnis 2 3 65" xfId="30918" xr:uid="{28EE7BCF-88DA-45C2-98CF-4C03250D471A}"/>
    <cellStyle name="Ergebnis 2 3 66" xfId="31125" xr:uid="{23988DC8-3200-43A0-8CB3-AC1BF6A76664}"/>
    <cellStyle name="Ergebnis 2 3 7" xfId="3549" xr:uid="{4A7CCC71-61BB-4171-982A-CA7DE76A13B6}"/>
    <cellStyle name="Ergebnis 2 3 8" xfId="3899" xr:uid="{9326A9B8-1F79-4583-AF90-D8EAD086625A}"/>
    <cellStyle name="Ergebnis 2 3 9" xfId="4337" xr:uid="{BA941138-3ED1-47EB-991D-5245A3DC4CAF}"/>
    <cellStyle name="Ergebnis 2 30" xfId="16405" xr:uid="{D28D8A10-AD6D-4659-9099-2C7BBAF5773B}"/>
    <cellStyle name="Ergebnis 2 31" xfId="18268" xr:uid="{73013290-D068-4E3A-B0E4-EF51810B33BA}"/>
    <cellStyle name="Ergebnis 2 32" xfId="17673" xr:uid="{1DC726B1-2C76-4009-930E-A4DFB8F420DD}"/>
    <cellStyle name="Ergebnis 2 33" xfId="19092" xr:uid="{7AA6A267-6ED9-4E91-8507-9DEDBADE0DB5}"/>
    <cellStyle name="Ergebnis 2 34" xfId="19776" xr:uid="{E7B0444A-673B-4C3A-AFAF-F1405B9333CF}"/>
    <cellStyle name="Ergebnis 2 35" xfId="19740" xr:uid="{30E56BE5-DFF9-4B87-88B0-11D051E14C5B}"/>
    <cellStyle name="Ergebnis 2 36" xfId="21566" xr:uid="{4EE856A7-2FD7-4AC7-B5EA-325F9555E476}"/>
    <cellStyle name="Ergebnis 2 37" xfId="22616" xr:uid="{2C129991-3E4F-45D9-8586-124578F9A28C}"/>
    <cellStyle name="Ergebnis 2 38" xfId="23511" xr:uid="{E6FB686F-ADAE-406D-986A-8FC2271C6CF5}"/>
    <cellStyle name="Ergebnis 2 39" xfId="24487" xr:uid="{C1CEC3D7-265F-4E0D-B58A-C7586E5009F3}"/>
    <cellStyle name="Ergebnis 2 4" xfId="572" xr:uid="{93E8AEC1-F932-4AA0-A10B-C2A74804F90A}"/>
    <cellStyle name="Ergebnis 2 4 10" xfId="4822" xr:uid="{8CFD9D53-58FA-4AA7-9528-59C9B6C20046}"/>
    <cellStyle name="Ergebnis 2 4 11" xfId="5220" xr:uid="{CE78523D-9021-4A2E-BCA9-3692B0C9E90D}"/>
    <cellStyle name="Ergebnis 2 4 12" xfId="1830" xr:uid="{AE2FF8C2-352F-4135-88C0-35CB4497E5B5}"/>
    <cellStyle name="Ergebnis 2 4 13" xfId="6120" xr:uid="{C64B006F-2375-4DD3-B14F-372B2F3D23B0}"/>
    <cellStyle name="Ergebnis 2 4 14" xfId="6688" xr:uid="{9C516F09-439C-49E9-A783-BE909D81C85F}"/>
    <cellStyle name="Ergebnis 2 4 15" xfId="7292" xr:uid="{CC8C6F0D-8160-484A-A3C3-7B051E97BFC2}"/>
    <cellStyle name="Ergebnis 2 4 16" xfId="7187" xr:uid="{28EBE8EB-C042-45FF-80EE-86FBF7D45762}"/>
    <cellStyle name="Ergebnis 2 4 17" xfId="8512" xr:uid="{7009F3A7-A1F1-4878-84A9-2EC9FFECF0C9}"/>
    <cellStyle name="Ergebnis 2 4 18" xfId="8468" xr:uid="{DD5D8EDD-1E25-4B62-A1E9-A9A4EDEE2CD4}"/>
    <cellStyle name="Ergebnis 2 4 19" xfId="9506" xr:uid="{56428C87-A26B-4DD7-BC9B-93F2A28167ED}"/>
    <cellStyle name="Ergebnis 2 4 2" xfId="787" xr:uid="{70A5A05D-E7FB-44A0-8C2C-68B0D785D3F2}"/>
    <cellStyle name="Ergebnis 2 4 2 10" xfId="5435" xr:uid="{BEF839E5-0566-463C-8919-EC896E86015D}"/>
    <cellStyle name="Ergebnis 2 4 2 11" xfId="5551" xr:uid="{DA085685-BD76-4E42-8D9B-81F0A483E470}"/>
    <cellStyle name="Ergebnis 2 4 2 12" xfId="4866" xr:uid="{3CDD822B-835A-48A2-A2D3-753A5844334C}"/>
    <cellStyle name="Ergebnis 2 4 2 13" xfId="6248" xr:uid="{CC1B2886-A0BD-48D1-B25D-3CFCE78AD1C1}"/>
    <cellStyle name="Ergebnis 2 4 2 14" xfId="7507" xr:uid="{AA6E0943-AC38-47A0-9A2A-94604D1AAF88}"/>
    <cellStyle name="Ergebnis 2 4 2 15" xfId="6865" xr:uid="{9438DB20-B89E-4A9C-AA4C-37ED3E948C65}"/>
    <cellStyle name="Ergebnis 2 4 2 16" xfId="8435" xr:uid="{DD024D76-07CC-4A5A-B126-0E1BF05E2B62}"/>
    <cellStyle name="Ergebnis 2 4 2 17" xfId="8539" xr:uid="{BF2FA477-D0A7-468B-A463-88399F3E4E7B}"/>
    <cellStyle name="Ergebnis 2 4 2 18" xfId="9721" xr:uid="{4A639E82-37E3-4814-B5B3-2111A31BC880}"/>
    <cellStyle name="Ergebnis 2 4 2 19" xfId="9170" xr:uid="{6D9B86C7-C54C-48FA-86F9-3E324D5B910C}"/>
    <cellStyle name="Ergebnis 2 4 2 2" xfId="1261" xr:uid="{8803F670-975E-499C-A5D9-EF78A432DE3A}"/>
    <cellStyle name="Ergebnis 2 4 2 20" xfId="10100" xr:uid="{D05B33A3-5EAA-4CA3-8CA9-7EF35CF35D37}"/>
    <cellStyle name="Ergebnis 2 4 2 21" xfId="9063" xr:uid="{96DFD96B-725D-4222-88F6-71C363B8C867}"/>
    <cellStyle name="Ergebnis 2 4 2 22" xfId="11171" xr:uid="{757C3F00-61CA-4697-A0B5-1C28557524D3}"/>
    <cellStyle name="Ergebnis 2 4 2 23" xfId="12140" xr:uid="{66C77A43-5011-413A-A56B-BB789DFBD899}"/>
    <cellStyle name="Ergebnis 2 4 2 24" xfId="12613" xr:uid="{4FE30D27-27D0-4267-AE5B-8E248963F0E1}"/>
    <cellStyle name="Ergebnis 2 4 2 25" xfId="13047" xr:uid="{1E3857BE-267E-49F2-A636-F6F08F6DCE08}"/>
    <cellStyle name="Ergebnis 2 4 2 26" xfId="13484" xr:uid="{9C7E829C-3483-47F5-9CA5-E5192ED76BFC}"/>
    <cellStyle name="Ergebnis 2 4 2 27" xfId="11543" xr:uid="{C3291942-ECB9-411D-82CE-B60C975CF9E0}"/>
    <cellStyle name="Ergebnis 2 4 2 28" xfId="12264" xr:uid="{7776EAC1-4C54-40B4-8B72-849251788CBC}"/>
    <cellStyle name="Ergebnis 2 4 2 29" xfId="14197" xr:uid="{B2108F56-82BC-46B6-A779-720EF4966BC9}"/>
    <cellStyle name="Ergebnis 2 4 2 3" xfId="1561" xr:uid="{44F8124E-849A-4AB5-8CF5-D9C303858BF7}"/>
    <cellStyle name="Ergebnis 2 4 2 30" xfId="15314" xr:uid="{D1BFF892-0480-4E90-9DB2-6F35AB45F0D5}"/>
    <cellStyle name="Ergebnis 2 4 2 31" xfId="14985" xr:uid="{0DE92843-98DA-4B14-ACA9-1230F2EC4B56}"/>
    <cellStyle name="Ergebnis 2 4 2 32" xfId="15262" xr:uid="{8143BCFD-F752-4C51-883B-B57FBFA9C364}"/>
    <cellStyle name="Ergebnis 2 4 2 33" xfId="16832" xr:uid="{08AF41A6-169C-4AF5-BE93-15A5D7A33FED}"/>
    <cellStyle name="Ergebnis 2 4 2 34" xfId="16181" xr:uid="{BB73E21B-7DAB-4DBF-AF3D-84D1E9906C9E}"/>
    <cellStyle name="Ergebnis 2 4 2 35" xfId="17219" xr:uid="{B2EDE404-5F34-46B9-A54C-1B566237C72D}"/>
    <cellStyle name="Ergebnis 2 4 2 36" xfId="18134" xr:uid="{455557A2-ADD1-4EA7-AD91-049176BAF917}"/>
    <cellStyle name="Ergebnis 2 4 2 37" xfId="18650" xr:uid="{1D6913A0-74A3-4AE3-8B26-C9F3FCB0F8F7}"/>
    <cellStyle name="Ergebnis 2 4 2 38" xfId="18109" xr:uid="{761B63BB-5264-4DE4-B666-BA80B23C6DC6}"/>
    <cellStyle name="Ergebnis 2 4 2 39" xfId="16207" xr:uid="{36163B51-4739-44B1-9B1C-5912512D0272}"/>
    <cellStyle name="Ergebnis 2 4 2 4" xfId="2609" xr:uid="{3A885C13-BA98-42EF-89FC-527753FAFF16}"/>
    <cellStyle name="Ergebnis 2 4 2 40" xfId="20169" xr:uid="{EE427F0A-A69F-41BD-BE87-B4511B3F97F0}"/>
    <cellStyle name="Ergebnis 2 4 2 41" xfId="19747" xr:uid="{F30C01D2-55A2-461D-9E16-F77D368DC147}"/>
    <cellStyle name="Ergebnis 2 4 2 42" xfId="20548" xr:uid="{3EEAAAC2-C52F-4B23-AAC1-45CDABCC2995}"/>
    <cellStyle name="Ergebnis 2 4 2 43" xfId="20727" xr:uid="{D18BF693-FB6C-4D64-8982-9790166BE5E5}"/>
    <cellStyle name="Ergebnis 2 4 2 44" xfId="19767" xr:uid="{E6D9B93D-80C9-4C79-AF36-A166030468CC}"/>
    <cellStyle name="Ergebnis 2 4 2 45" xfId="19810" xr:uid="{B9DB4FE6-6D0E-4515-8683-B20AC58AFA08}"/>
    <cellStyle name="Ergebnis 2 4 2 46" xfId="22205" xr:uid="{5C6CF7FA-20E9-47BE-A6F2-CFD902F1F84F}"/>
    <cellStyle name="Ergebnis 2 4 2 47" xfId="22348" xr:uid="{25BC4317-82D2-470F-BF64-AFFE020B1A20}"/>
    <cellStyle name="Ergebnis 2 4 2 48" xfId="23138" xr:uid="{EFA5004D-887B-42AB-8DCC-FE0C0CCE5F76}"/>
    <cellStyle name="Ergebnis 2 4 2 49" xfId="23969" xr:uid="{07A4574E-D961-4C3A-ACDC-A09677176C21}"/>
    <cellStyle name="Ergebnis 2 4 2 5" xfId="2141" xr:uid="{3E11B2EF-1667-4542-B3DA-39B63AF704D0}"/>
    <cellStyle name="Ergebnis 2 4 2 50" xfId="24877" xr:uid="{25883847-54AD-42E4-BB3F-81B790BB8A1F}"/>
    <cellStyle name="Ergebnis 2 4 2 51" xfId="24225" xr:uid="{C690040F-A031-459A-A6B8-3E59923596D2}"/>
    <cellStyle name="Ergebnis 2 4 2 52" xfId="25793" xr:uid="{7D1510B0-A54B-4937-BD45-52B55A0AB054}"/>
    <cellStyle name="Ergebnis 2 4 2 53" xfId="25446" xr:uid="{E6411F10-9315-43FB-AEA3-FA77CD3AFED0}"/>
    <cellStyle name="Ergebnis 2 4 2 54" xfId="25918" xr:uid="{56DB2569-D763-4904-9DAD-28D8E64BB4B5}"/>
    <cellStyle name="Ergebnis 2 4 2 55" xfId="27081" xr:uid="{9E1AFD44-0C5B-4C4D-A85E-CB89F40BF6AB}"/>
    <cellStyle name="Ergebnis 2 4 2 56" xfId="27500" xr:uid="{DAEEF2CA-9EF1-495E-85DD-003D9A9C8E6B}"/>
    <cellStyle name="Ergebnis 2 4 2 57" xfId="26679" xr:uid="{06BC796A-25C3-4664-84D1-A72A73447971}"/>
    <cellStyle name="Ergebnis 2 4 2 58" xfId="28627" xr:uid="{F26E7777-E7F9-40F5-84CC-C8FF0AFC7D8C}"/>
    <cellStyle name="Ergebnis 2 4 2 59" xfId="29094" xr:uid="{63CB0143-9BD1-40F5-AF87-3A77DCBFEF4F}"/>
    <cellStyle name="Ergebnis 2 4 2 6" xfId="3242" xr:uid="{3013D72C-F142-4AB0-A54F-0248C68F61CD}"/>
    <cellStyle name="Ergebnis 2 4 2 60" xfId="27959" xr:uid="{FAB2DC5D-BA4E-497A-9BA0-B064C10B96B9}"/>
    <cellStyle name="Ergebnis 2 4 2 61" xfId="29883" xr:uid="{59731EE8-66D9-4BA2-9A04-2DDBEA2C3FFA}"/>
    <cellStyle name="Ergebnis 2 4 2 62" xfId="30289" xr:uid="{0211D5C3-6594-44DB-8D81-73CFBEAE0436}"/>
    <cellStyle name="Ergebnis 2 4 2 63" xfId="30706" xr:uid="{9FF52379-5BE9-4F7F-8062-3D4D5B2239BE}"/>
    <cellStyle name="Ergebnis 2 4 2 64" xfId="30971" xr:uid="{881F37FD-9651-4B4F-AF3F-05630C94DE81}"/>
    <cellStyle name="Ergebnis 2 4 2 65" xfId="31322" xr:uid="{D9496629-EFA6-41B4-8200-86E1C095DAD7}"/>
    <cellStyle name="Ergebnis 2 4 2 7" xfId="4105" xr:uid="{4E3F6D78-D017-429E-8930-794D51BA6F16}"/>
    <cellStyle name="Ergebnis 2 4 2 8" xfId="4542" xr:uid="{D605A00E-C5C0-4653-A93C-49E91B5BEA24}"/>
    <cellStyle name="Ergebnis 2 4 2 9" xfId="3186" xr:uid="{0EE2AF09-7886-4A31-9568-4C9EF9122873}"/>
    <cellStyle name="Ergebnis 2 4 20" xfId="9400" xr:uid="{683A5949-4529-44F9-87A3-6E8B28309F61}"/>
    <cellStyle name="Ergebnis 2 4 21" xfId="10162" xr:uid="{17284123-7613-44ED-BB50-8A83717EC01C}"/>
    <cellStyle name="Ergebnis 2 4 22" xfId="10228" xr:uid="{4DE68C0C-ABD9-422C-8355-36E4709E50AE}"/>
    <cellStyle name="Ergebnis 2 4 23" xfId="11305" xr:uid="{CE553E88-B252-4CE5-A6B3-B6D14AE589C8}"/>
    <cellStyle name="Ergebnis 2 4 24" xfId="11925" xr:uid="{461E77C4-2DD2-42EC-A165-0EEB57AE6965}"/>
    <cellStyle name="Ergebnis 2 4 25" xfId="12398" xr:uid="{8D87AD49-1414-4238-A66E-D6999E5F6129}"/>
    <cellStyle name="Ergebnis 2 4 26" xfId="12832" xr:uid="{D75B32EF-5F66-4204-89D9-0228F6F7A6E7}"/>
    <cellStyle name="Ergebnis 2 4 27" xfId="13269" xr:uid="{03CA2551-E9C2-4C93-BD39-6F48D6F47FC8}"/>
    <cellStyle name="Ergebnis 2 4 28" xfId="11820" xr:uid="{6D08DADE-B420-4388-BDDE-1133A0EDB3A7}"/>
    <cellStyle name="Ergebnis 2 4 29" xfId="13181" xr:uid="{3A128240-5458-485A-A2B2-AA8B1DA7D43C}"/>
    <cellStyle name="Ergebnis 2 4 3" xfId="1055" xr:uid="{5EDDFACC-545A-41EA-A23F-1A47D5CB25F6}"/>
    <cellStyle name="Ergebnis 2 4 30" xfId="13969" xr:uid="{E14FFDCF-EBA3-4908-9F15-D9AD3AE5AD6F}"/>
    <cellStyle name="Ergebnis 2 4 31" xfId="15300" xr:uid="{A1896BEF-B86F-4719-8863-D490A230D973}"/>
    <cellStyle name="Ergebnis 2 4 32" xfId="15651" xr:uid="{486E712B-81ED-4E0D-B32F-9B26BA10C5F1}"/>
    <cellStyle name="Ergebnis 2 4 33" xfId="15011" xr:uid="{3B228AD9-BA01-43C6-8E07-A3F581FF7005}"/>
    <cellStyle name="Ergebnis 2 4 34" xfId="16617" xr:uid="{C85B6279-84A1-47BB-A1A0-C1063190F9BC}"/>
    <cellStyle name="Ergebnis 2 4 35" xfId="16509" xr:uid="{73F74BEF-D6D9-4687-B2CC-0033EF1457B7}"/>
    <cellStyle name="Ergebnis 2 4 36" xfId="17281" xr:uid="{179771F3-3F19-4054-AD81-C928C5608543}"/>
    <cellStyle name="Ergebnis 2 4 37" xfId="16393" xr:uid="{274BB5CB-AF16-44CF-8C08-99AA72541235}"/>
    <cellStyle name="Ergebnis 2 4 38" xfId="18435" xr:uid="{4A585485-8701-4933-A06E-EC8653001F63}"/>
    <cellStyle name="Ergebnis 2 4 39" xfId="18295" xr:uid="{60A6A6FF-37B0-44C7-9CC6-37D977B6E8AB}"/>
    <cellStyle name="Ergebnis 2 4 4" xfId="1527" xr:uid="{BB994755-DB78-437A-A0BD-DA7D82964C20}"/>
    <cellStyle name="Ergebnis 2 4 40" xfId="17997" xr:uid="{9EB87026-1AD0-42E1-936C-A7CC6A3DD520}"/>
    <cellStyle name="Ergebnis 2 4 41" xfId="19954" xr:uid="{AFF6327C-5311-4A9B-9FA2-17AE1E559620}"/>
    <cellStyle name="Ergebnis 2 4 42" xfId="19845" xr:uid="{AE7C12BD-1528-4F97-8282-F3D68497B1FE}"/>
    <cellStyle name="Ergebnis 2 4 43" xfId="19502" xr:uid="{BE53DD4A-689F-4B69-B1DD-1A43E0B7170E}"/>
    <cellStyle name="Ergebnis 2 4 44" xfId="21003" xr:uid="{BFD489EF-60BE-44F4-821D-BCEE632BA9AF}"/>
    <cellStyle name="Ergebnis 2 4 45" xfId="21294" xr:uid="{973E5D73-CE52-42E8-8409-D15C2A2D1185}"/>
    <cellStyle name="Ergebnis 2 4 46" xfId="21973" xr:uid="{3F0446D9-F468-4CE8-A96F-C2F3E057A093}"/>
    <cellStyle name="Ergebnis 2 4 47" xfId="22308" xr:uid="{EC1ED2A9-82AA-49E9-9BBB-D18E83E7DEE7}"/>
    <cellStyle name="Ergebnis 2 4 48" xfId="19423" xr:uid="{4611EA5B-DE32-4710-A99D-AB1D55C19E75}"/>
    <cellStyle name="Ergebnis 2 4 49" xfId="22299" xr:uid="{52BAA737-54C4-496C-9792-22C5ECB6438F}"/>
    <cellStyle name="Ergebnis 2 4 5" xfId="2394" xr:uid="{6DCB5E05-75A7-4973-B692-A137F1625985}"/>
    <cellStyle name="Ergebnis 2 4 50" xfId="23763" xr:uid="{B0B98651-EA3A-4AE2-9E29-A394FE5997A4}"/>
    <cellStyle name="Ergebnis 2 4 51" xfId="24662" xr:uid="{3914FF8C-253A-4CFE-BD54-C755848F937A}"/>
    <cellStyle name="Ergebnis 2 4 52" xfId="24518" xr:uid="{12BA0342-05D1-4284-BFEC-19DE861F3CC1}"/>
    <cellStyle name="Ergebnis 2 4 53" xfId="25580" xr:uid="{CBEB2786-F519-4C88-BFDC-20CAE4F1FB98}"/>
    <cellStyle name="Ergebnis 2 4 54" xfId="26140" xr:uid="{106BFA4F-4981-4A55-8FA6-DB6FE549C9C8}"/>
    <cellStyle name="Ergebnis 2 4 55" xfId="26151" xr:uid="{216D852F-A6BE-489C-932A-F37C2F0C7168}"/>
    <cellStyle name="Ergebnis 2 4 56" xfId="26870" xr:uid="{ED03BC77-A16E-413C-9430-D900751981F0}"/>
    <cellStyle name="Ergebnis 2 4 57" xfId="27289" xr:uid="{832F55B7-1680-4A8A-A01F-78CF99BC6287}"/>
    <cellStyle name="Ergebnis 2 4 58" xfId="27747" xr:uid="{DACBCB93-ABEE-4CC2-96DC-3B1B6634D4EE}"/>
    <cellStyle name="Ergebnis 2 4 59" xfId="28412" xr:uid="{861765DB-EBFA-432B-8023-7B9FABC08AFB}"/>
    <cellStyle name="Ergebnis 2 4 6" xfId="2228" xr:uid="{DF6E7B49-F315-4FAA-BB10-9FD797228EA4}"/>
    <cellStyle name="Ergebnis 2 4 60" xfId="28880" xr:uid="{7D0C39A8-AF6C-461A-A08C-C95E463A2365}"/>
    <cellStyle name="Ergebnis 2 4 61" xfId="28210" xr:uid="{60CE2843-34DE-4AF0-8814-40854C7DD40E}"/>
    <cellStyle name="Ergebnis 2 4 62" xfId="29670" xr:uid="{54BA91E3-74E4-4083-9801-577C3738F7D4}"/>
    <cellStyle name="Ergebnis 2 4 63" xfId="30078" xr:uid="{3D57CAF8-726C-4F4A-BE1D-21B10B295C1A}"/>
    <cellStyle name="Ergebnis 2 4 64" xfId="30492" xr:uid="{0E18ECA6-EBC7-45D0-B2A0-492A8C624052}"/>
    <cellStyle name="Ergebnis 2 4 65" xfId="31005" xr:uid="{96ED62AB-6E6B-4527-B64B-441BDEE27B44}"/>
    <cellStyle name="Ergebnis 2 4 66" xfId="31116" xr:uid="{CCD09B07-A092-4FAA-BBC2-096768643610}"/>
    <cellStyle name="Ergebnis 2 4 7" xfId="3022" xr:uid="{661F6122-265B-41F0-9D13-B2B70A26F6DD}"/>
    <cellStyle name="Ergebnis 2 4 8" xfId="3890" xr:uid="{7BA17644-902E-4AA0-B9E9-EE18E033C4D0}"/>
    <cellStyle name="Ergebnis 2 4 9" xfId="4328" xr:uid="{7E7BA302-5FE9-4AC4-A6A5-9058FC6E9918}"/>
    <cellStyle name="Ergebnis 2 40" xfId="24469" xr:uid="{5A7967F9-A0B0-4C82-99A8-542AFC5E2E01}"/>
    <cellStyle name="Ergebnis 2 41" xfId="24263" xr:uid="{CB275501-F11E-44B2-86A0-E8D8DFF220DA}"/>
    <cellStyle name="Ergebnis 2 42" xfId="24471" xr:uid="{BCC277C1-661F-49AC-9C0F-82F1D7B79E1A}"/>
    <cellStyle name="Ergebnis 2 43" xfId="26157" xr:uid="{8FF44538-C3FE-4B7F-B5C4-90990F1E4664}"/>
    <cellStyle name="Ergebnis 2 44" xfId="26700" xr:uid="{CA1C06DC-588D-4224-806F-DF307212B848}"/>
    <cellStyle name="Ergebnis 2 45" xfId="24202" xr:uid="{31B9039F-26BE-4722-82D1-B6333B084001}"/>
    <cellStyle name="Ergebnis 2 46" xfId="28250" xr:uid="{64E7F4FF-3ED2-4EE7-90AF-10AFE6E4DCD5}"/>
    <cellStyle name="Ergebnis 2 47" xfId="28085" xr:uid="{C5FF9EF0-1DF9-4518-A98F-39A42808A8EF}"/>
    <cellStyle name="Ergebnis 2 48" xfId="29217" xr:uid="{FDE35F06-72FD-411E-9A7E-B4B1009D49D6}"/>
    <cellStyle name="Ergebnis 2 49" xfId="29360" xr:uid="{F661008F-20F6-4C85-BC1A-3FAA52D384EA}"/>
    <cellStyle name="Ergebnis 2 5" xfId="707" xr:uid="{CBD16545-AA45-4CCB-904E-1D1FA2B20B14}"/>
    <cellStyle name="Ergebnis 2 5 10" xfId="5355" xr:uid="{801D18ED-2036-4038-969B-0C6B98E0BAF3}"/>
    <cellStyle name="Ergebnis 2 5 11" xfId="5935" xr:uid="{D2BE5C75-51FD-4127-899D-2446AB2D27FB}"/>
    <cellStyle name="Ergebnis 2 5 12" xfId="5634" xr:uid="{F44C4B15-D70B-4D85-9001-AF8142BCC03D}"/>
    <cellStyle name="Ergebnis 2 5 13" xfId="6455" xr:uid="{0ED56DFC-1F7C-4011-BEF5-00243041A27E}"/>
    <cellStyle name="Ergebnis 2 5 14" xfId="7427" xr:uid="{4074EA20-106E-44B6-98CB-E9ED7A830337}"/>
    <cellStyle name="Ergebnis 2 5 15" xfId="6969" xr:uid="{C323A42F-4CB4-4310-BC8D-93377751EF7B}"/>
    <cellStyle name="Ergebnis 2 5 16" xfId="8477" xr:uid="{792F85BB-E0D0-40A4-BA7D-91FEDDD16828}"/>
    <cellStyle name="Ergebnis 2 5 17" xfId="8706" xr:uid="{F3178823-96F9-4FCA-9D72-C16001B31C9A}"/>
    <cellStyle name="Ergebnis 2 5 18" xfId="9641" xr:uid="{8884D808-7DD7-426E-8D09-30FE9D288150}"/>
    <cellStyle name="Ergebnis 2 5 19" xfId="9182" xr:uid="{3A65B196-F6B2-48A7-9916-0C61029E315F}"/>
    <cellStyle name="Ergebnis 2 5 2" xfId="1181" xr:uid="{8F656179-48E3-40E8-9979-BF7B3B8F90A7}"/>
    <cellStyle name="Ergebnis 2 5 20" xfId="9894" xr:uid="{30C28368-5CC6-4D15-8DA2-9D3FAC282DA1}"/>
    <cellStyle name="Ergebnis 2 5 21" xfId="10856" xr:uid="{42856051-C067-4CD4-AE93-A0617088E833}"/>
    <cellStyle name="Ergebnis 2 5 22" xfId="11274" xr:uid="{DC697E6E-A382-42B1-8845-FA4E964A558B}"/>
    <cellStyle name="Ergebnis 2 5 23" xfId="12060" xr:uid="{15186ECD-948B-4883-86AB-A7F27DCC68F6}"/>
    <cellStyle name="Ergebnis 2 5 24" xfId="12533" xr:uid="{E3F6C3C7-EBE0-4E2A-8CB4-EE3A856A58A1}"/>
    <cellStyle name="Ergebnis 2 5 25" xfId="12967" xr:uid="{F4C8EF50-995B-4D4D-98A2-ADAEDBA20645}"/>
    <cellStyle name="Ergebnis 2 5 26" xfId="13404" xr:uid="{028061B2-48F8-46B6-83C5-86DB81EBE8A1}"/>
    <cellStyle name="Ergebnis 2 5 27" xfId="11449" xr:uid="{E4170C46-CB2E-44CE-A601-F4B4C2DEED2D}"/>
    <cellStyle name="Ergebnis 2 5 28" xfId="14462" xr:uid="{22FF659C-8B95-4695-836E-398504B32AC3}"/>
    <cellStyle name="Ergebnis 2 5 29" xfId="14094" xr:uid="{14C1457F-68B8-408E-A2CE-B4781FEB3B27}"/>
    <cellStyle name="Ergebnis 2 5 3" xfId="1538" xr:uid="{B644703F-A570-4613-8D2E-C08D65A1A27A}"/>
    <cellStyle name="Ergebnis 2 5 30" xfId="15134" xr:uid="{02AF24DE-BC10-4AED-8AA3-C93DDA93FE03}"/>
    <cellStyle name="Ergebnis 2 5 31" xfId="15571" xr:uid="{FB5724AF-B736-42A0-BBE0-22E4AC170E4E}"/>
    <cellStyle name="Ergebnis 2 5 32" xfId="15635" xr:uid="{CB261776-C883-404A-AA9B-6C553EDAFC46}"/>
    <cellStyle name="Ergebnis 2 5 33" xfId="16752" xr:uid="{A167E7D0-BB0D-4A7D-9F3C-92791A1A676C}"/>
    <cellStyle name="Ergebnis 2 5 34" xfId="16289" xr:uid="{23FE1455-6120-4E7B-B595-5F57B635D103}"/>
    <cellStyle name="Ergebnis 2 5 35" xfId="17008" xr:uid="{8B5F1B86-C594-4321-941B-1482ABCBA7EF}"/>
    <cellStyle name="Ergebnis 2 5 36" xfId="18246" xr:uid="{3BEAF22C-5C4F-47AA-BFFC-388CE3FEE4CE}"/>
    <cellStyle name="Ergebnis 2 5 37" xfId="18570" xr:uid="{C74E5E52-BCDE-4F97-B522-A9DEA38808FD}"/>
    <cellStyle name="Ergebnis 2 5 38" xfId="18786" xr:uid="{C66D12E6-B505-4116-9945-5D8A9F7F9A81}"/>
    <cellStyle name="Ergebnis 2 5 39" xfId="17775" xr:uid="{208FD061-F116-453E-AD66-A8C367F3D83A}"/>
    <cellStyle name="Ergebnis 2 5 4" xfId="2529" xr:uid="{E35F890B-27B1-4FD0-A4EB-7E19243CCCA2}"/>
    <cellStyle name="Ergebnis 2 5 40" xfId="20089" xr:uid="{4B48B8C8-36AF-4B18-8E6C-56C503E858A1}"/>
    <cellStyle name="Ergebnis 2 5 41" xfId="19622" xr:uid="{6C3140D4-A370-4BA6-B36A-F54D1D509C33}"/>
    <cellStyle name="Ergebnis 2 5 42" xfId="20542" xr:uid="{8B6FF8E3-915D-4D5C-89C2-B7A239060412}"/>
    <cellStyle name="Ergebnis 2 5 43" xfId="21250" xr:uid="{5CE8AFF2-2956-495C-A76F-F68E9CD1D345}"/>
    <cellStyle name="Ergebnis 2 5 44" xfId="21669" xr:uid="{5609146A-909C-4F42-8BCD-161237F2FB91}"/>
    <cellStyle name="Ergebnis 2 5 45" xfId="21744" xr:uid="{3B419C1D-40F8-4492-BAF8-2538DCA77042}"/>
    <cellStyle name="Ergebnis 2 5 46" xfId="22036" xr:uid="{35AB820C-C9E6-4359-A56F-6C085E39CE89}"/>
    <cellStyle name="Ergebnis 2 5 47" xfId="23058" xr:uid="{D8EA5AEC-C98C-4A7F-A8EF-8CDDEAA8D606}"/>
    <cellStyle name="Ergebnis 2 5 48" xfId="23619" xr:uid="{6859AFC2-59C8-4212-A530-1EB1301AE173}"/>
    <cellStyle name="Ergebnis 2 5 49" xfId="23889" xr:uid="{6960B546-382C-4313-AB12-8A921B3669B1}"/>
    <cellStyle name="Ergebnis 2 5 5" xfId="2194" xr:uid="{4A4C3837-8A8B-44F0-A43C-358204322A03}"/>
    <cellStyle name="Ergebnis 2 5 50" xfId="24797" xr:uid="{D9984557-4C1E-466C-8D12-92C884174FE8}"/>
    <cellStyle name="Ergebnis 2 5 51" xfId="24343" xr:uid="{A5DB59AD-5E57-4602-91C6-57F164A659E3}"/>
    <cellStyle name="Ergebnis 2 5 52" xfId="25713" xr:uid="{C8D1ACF2-470F-46DE-8A90-5364A03774CC}"/>
    <cellStyle name="Ergebnis 2 5 53" xfId="25184" xr:uid="{822B836F-BB2A-4B68-8A27-602AFBB5FF6D}"/>
    <cellStyle name="Ergebnis 2 5 54" xfId="26249" xr:uid="{3B3A02E7-D396-4B52-B528-4D78496F2455}"/>
    <cellStyle name="Ergebnis 2 5 55" xfId="27001" xr:uid="{C450E0DE-DB09-40F8-A7AF-E8AF4DB58C9A}"/>
    <cellStyle name="Ergebnis 2 5 56" xfId="27420" xr:uid="{025A1EA9-1EDE-4CC8-B634-3474E7AFBBE8}"/>
    <cellStyle name="Ergebnis 2 5 57" xfId="26711" xr:uid="{1BDA706A-AA2A-45E3-8D90-1ECB5AA4EE8E}"/>
    <cellStyle name="Ergebnis 2 5 58" xfId="28547" xr:uid="{831D12EA-8D17-4A7F-A7C7-3F44420A7F4E}"/>
    <cellStyle name="Ergebnis 2 5 59" xfId="29014" xr:uid="{CEB8C949-EE66-42C3-AF7B-D3E4AD0A9C43}"/>
    <cellStyle name="Ergebnis 2 5 6" xfId="2300" xr:uid="{2AA46651-7956-4AAD-90A8-41A29921BE20}"/>
    <cellStyle name="Ergebnis 2 5 60" xfId="27894" xr:uid="{F980044C-F24D-45A4-AD24-DF86208CE941}"/>
    <cellStyle name="Ergebnis 2 5 61" xfId="29803" xr:uid="{4A9C3B9D-1DB6-4F9C-8550-0AA6B9E9F134}"/>
    <cellStyle name="Ergebnis 2 5 62" xfId="30209" xr:uid="{E1F66544-C862-4F3F-8D83-85AEFE430B9B}"/>
    <cellStyle name="Ergebnis 2 5 63" xfId="30626" xr:uid="{BF5580CA-9556-407A-AD23-FC55A58B81E6}"/>
    <cellStyle name="Ergebnis 2 5 64" xfId="30810" xr:uid="{E1099836-3AE9-4AA5-8BE7-374E317B6A65}"/>
    <cellStyle name="Ergebnis 2 5 65" xfId="31242" xr:uid="{68E4DE6F-CF94-4F11-B420-7D06316DB75A}"/>
    <cellStyle name="Ergebnis 2 5 7" xfId="4025" xr:uid="{AD54A919-E21E-4FA4-8118-22224FBA76C8}"/>
    <cellStyle name="Ergebnis 2 5 8" xfId="4462" xr:uid="{B3927E91-4080-4F67-950C-D93D3D394EA7}"/>
    <cellStyle name="Ergebnis 2 5 9" xfId="4842" xr:uid="{59C8F8D1-AAEB-48D7-B94A-45F2A862447B}"/>
    <cellStyle name="Ergebnis 2 50" xfId="30878" xr:uid="{6C620252-FC7B-44B5-A449-BEEC3B5CE4A6}"/>
    <cellStyle name="Ergebnis 2 51" xfId="29793" xr:uid="{D0AC8626-0E75-46C1-83E1-498198BEF1D3}"/>
    <cellStyle name="Ergebnis 2 6" xfId="979" xr:uid="{46C58A7B-AC49-4C17-AFF4-BA9DC4322726}"/>
    <cellStyle name="Ergebnis 2 7" xfId="2216" xr:uid="{EC743C3C-91E2-4C32-B1FD-A456E6865E5D}"/>
    <cellStyle name="Ergebnis 2 8" xfId="2774" xr:uid="{F8BC3E22-7EF3-4178-A5E6-F4EFA798BE54}"/>
    <cellStyle name="Ergebnis 2 9" xfId="1941" xr:uid="{8C1F84E3-7521-40FE-A5C2-F9D3264E00E8}"/>
    <cellStyle name="Ergebnis 3" xfId="286" xr:uid="{4201BECD-02A0-41E0-BE2B-46A0BA935D77}"/>
    <cellStyle name="Ergebnis 3 10" xfId="3690" xr:uid="{C1C94F19-DB3E-42E6-A869-BDFEB3714F5F}"/>
    <cellStyle name="Ergebnis 3 11" xfId="3441" xr:uid="{39A71E75-AFDB-46B7-A7DE-E07E009082EF}"/>
    <cellStyle name="Ergebnis 3 12" xfId="4849" xr:uid="{0656F092-A51A-4104-8053-CB5AF5F97EB5}"/>
    <cellStyle name="Ergebnis 3 13" xfId="6052" xr:uid="{05401F54-F044-434D-968C-1059582F7A7B}"/>
    <cellStyle name="Ergebnis 3 14" xfId="6656" xr:uid="{17B79B2A-33C0-4728-8229-524376E597FF}"/>
    <cellStyle name="Ergebnis 3 15" xfId="7016" xr:uid="{25E52CBD-F795-4E24-AB74-30FF442599EF}"/>
    <cellStyle name="Ergebnis 3 16" xfId="7636" xr:uid="{F01ADB18-31E9-4F96-B459-C8D192A90BF1}"/>
    <cellStyle name="Ergebnis 3 17" xfId="7828" xr:uid="{D50812A8-AB78-45FF-8182-F8D52F29D4A7}"/>
    <cellStyle name="Ergebnis 3 18" xfId="8641" xr:uid="{6F578B7A-1EB9-4DDD-9AB8-FCFB6A8C3A90}"/>
    <cellStyle name="Ergebnis 3 19" xfId="9229" xr:uid="{594244CB-D8D3-4E9A-A23E-68D2D108CE08}"/>
    <cellStyle name="Ergebnis 3 2" xfId="623" xr:uid="{54E29AF0-F95F-4EC4-BF01-F7834B375F91}"/>
    <cellStyle name="Ergebnis 3 2 10" xfId="4843" xr:uid="{CDBED5BA-B7C8-406F-AB5D-C428132DD035}"/>
    <cellStyle name="Ergebnis 3 2 11" xfId="5271" xr:uid="{4940A23F-B7A3-4604-B928-E651742EA427}"/>
    <cellStyle name="Ergebnis 3 2 12" xfId="4696" xr:uid="{5836E458-A8DC-4355-A701-BA23AA40BF82}"/>
    <cellStyle name="Ergebnis 3 2 13" xfId="5995" xr:uid="{16340220-46D4-4855-B8F3-38D46E86F1CC}"/>
    <cellStyle name="Ergebnis 3 2 14" xfId="3330" xr:uid="{A338151E-5531-4634-AF7D-90A885EC38A8}"/>
    <cellStyle name="Ergebnis 3 2 15" xfId="7343" xr:uid="{131C6FDE-B6C5-4102-B648-E84EA56C3722}"/>
    <cellStyle name="Ergebnis 3 2 16" xfId="6912" xr:uid="{61DBB845-4930-4F49-88FC-01B201984F04}"/>
    <cellStyle name="Ergebnis 3 2 17" xfId="7027" xr:uid="{82371368-5A63-4028-B68D-509117E53363}"/>
    <cellStyle name="Ergebnis 3 2 18" xfId="8825" xr:uid="{DCA6465A-4AFD-4FE1-8843-44EAD6BF6C72}"/>
    <cellStyle name="Ergebnis 3 2 19" xfId="9557" xr:uid="{D2DA488E-68F6-4AF9-803D-64E111970200}"/>
    <cellStyle name="Ergebnis 3 2 2" xfId="838" xr:uid="{9F6CD28A-96CE-404C-BFC1-C1D432A5A0D7}"/>
    <cellStyle name="Ergebnis 3 2 2 10" xfId="5486" xr:uid="{5488BCA0-58BE-47C9-86D9-2361F423C8CB}"/>
    <cellStyle name="Ergebnis 3 2 2 11" xfId="5018" xr:uid="{B7368BBA-73EC-463A-9C60-5E249F772A40}"/>
    <cellStyle name="Ergebnis 3 2 2 12" xfId="6093" xr:uid="{4A7C358B-D731-466C-82E1-004DA073E63F}"/>
    <cellStyle name="Ergebnis 3 2 2 13" xfId="6179" xr:uid="{84A55545-3F3D-464C-8A50-04E9F0F382B1}"/>
    <cellStyle name="Ergebnis 3 2 2 14" xfId="7558" xr:uid="{4B587699-80BB-4B7A-A9B3-83F011DF84F2}"/>
    <cellStyle name="Ergebnis 3 2 2 15" xfId="7713" xr:uid="{EAA6540D-99C5-4CD8-B69D-2F2E5D1B1861}"/>
    <cellStyle name="Ergebnis 3 2 2 16" xfId="8299" xr:uid="{BC7B938A-B11A-4397-901B-AE6DFCEE2E73}"/>
    <cellStyle name="Ergebnis 3 2 2 17" xfId="8811" xr:uid="{BFE00CB6-547A-4827-B840-B0978E3AAE00}"/>
    <cellStyle name="Ergebnis 3 2 2 18" xfId="9772" xr:uid="{496A97E9-FCCA-4028-AFED-8DE4EB0C6D0F}"/>
    <cellStyle name="Ergebnis 3 2 2 19" xfId="9927" xr:uid="{70565A3C-DE57-44B1-A83C-E5FE74D58036}"/>
    <cellStyle name="Ergebnis 3 2 2 2" xfId="1312" xr:uid="{3736F302-F4D4-461A-B506-3C205DE6D1AF}"/>
    <cellStyle name="Ergebnis 3 2 2 20" xfId="10358" xr:uid="{85C7B4DB-08CB-4D43-9985-ED75B3C752C3}"/>
    <cellStyle name="Ergebnis 3 2 2 21" xfId="10909" xr:uid="{F9FA8A08-7B92-4CC8-8710-D138442F095F}"/>
    <cellStyle name="Ergebnis 3 2 2 22" xfId="11183" xr:uid="{D5B60E9B-DBC7-4EE2-815C-317B1F45B514}"/>
    <cellStyle name="Ergebnis 3 2 2 23" xfId="12191" xr:uid="{862EC2C5-6807-4514-A2F5-54A2AB8220F4}"/>
    <cellStyle name="Ergebnis 3 2 2 24" xfId="12664" xr:uid="{B8A7AA9C-CCC3-4A94-A5CD-255ACAFDB0C1}"/>
    <cellStyle name="Ergebnis 3 2 2 25" xfId="13098" xr:uid="{352B6D9B-F7D5-409A-9EB6-7F3D3A43FAAD}"/>
    <cellStyle name="Ergebnis 3 2 2 26" xfId="13535" xr:uid="{43EFFAD7-61FC-4DF5-86E2-925652DC0DF1}"/>
    <cellStyle name="Ergebnis 3 2 2 27" xfId="13791" xr:uid="{81EF1D4C-215B-4482-881F-B489425C0633}"/>
    <cellStyle name="Ergebnis 3 2 2 28" xfId="14018" xr:uid="{E9A942C1-F546-4C8F-8B05-B66F0813A6FB}"/>
    <cellStyle name="Ergebnis 3 2 2 29" xfId="14579" xr:uid="{30E100EA-6C6F-488E-9D6C-7350A5389F52}"/>
    <cellStyle name="Ergebnis 3 2 2 3" xfId="1761" xr:uid="{09797AAA-9ED9-4C98-8C5B-6B8E158C190F}"/>
    <cellStyle name="Ergebnis 3 2 2 30" xfId="14548" xr:uid="{6EF100B9-F7CD-4390-9715-A76DDDA688BF}"/>
    <cellStyle name="Ergebnis 3 2 2 31" xfId="15531" xr:uid="{5A23523D-35FB-46AD-A80D-7BF191A09FC8}"/>
    <cellStyle name="Ergebnis 3 2 2 32" xfId="15815" xr:uid="{E8135F03-4CE9-4916-B94D-70F5731CBE02}"/>
    <cellStyle name="Ergebnis 3 2 2 33" xfId="16883" xr:uid="{1318269A-626E-4BF4-BE28-8F8454409F7F}"/>
    <cellStyle name="Ergebnis 3 2 2 34" xfId="17041" xr:uid="{11A4F6FD-A343-47A2-907E-6162F6A9B37B}"/>
    <cellStyle name="Ergebnis 3 2 2 35" xfId="17489" xr:uid="{2DB12FC5-105E-4D8D-A0B6-D6E7FFA56898}"/>
    <cellStyle name="Ergebnis 3 2 2 36" xfId="16534" xr:uid="{3E48D0FD-EBD0-45CB-8C93-3C74986C088F}"/>
    <cellStyle name="Ergebnis 3 2 2 37" xfId="18701" xr:uid="{5FFB5ECD-C69F-4900-8925-940ECFCE8630}"/>
    <cellStyle name="Ergebnis 3 2 2 38" xfId="19031" xr:uid="{0E2D0496-CE19-435C-81C0-A5448081CA13}"/>
    <cellStyle name="Ergebnis 3 2 2 39" xfId="19259" xr:uid="{EF7FE369-CC23-4239-9B79-68060C3B1676}"/>
    <cellStyle name="Ergebnis 3 2 2 4" xfId="2660" xr:uid="{3DED7E80-EFA2-469C-BD93-98DD28E6C97B}"/>
    <cellStyle name="Ergebnis 3 2 2 40" xfId="20220" xr:uid="{5943AB93-E5B9-4A69-80A0-D2F081465254}"/>
    <cellStyle name="Ergebnis 3 2 2 41" xfId="20393" xr:uid="{3F991B9E-7ED7-45CC-B335-615FB791A09E}"/>
    <cellStyle name="Ergebnis 3 2 2 42" xfId="20846" xr:uid="{EEA3D216-1267-469D-8D53-5F2160878F18}"/>
    <cellStyle name="Ergebnis 3 2 2 43" xfId="21401" xr:uid="{001B99B5-D994-4149-9404-162614364831}"/>
    <cellStyle name="Ergebnis 3 2 2 44" xfId="21779" xr:uid="{5ACF3611-4880-43DB-B7C1-1DCDBDFADFAB}"/>
    <cellStyle name="Ergebnis 3 2 2 45" xfId="22216" xr:uid="{E29406E8-E919-4D34-8CFE-22EA26E86A0B}"/>
    <cellStyle name="Ergebnis 3 2 2 46" xfId="22783" xr:uid="{285C50B3-B1DC-4F0D-AB4F-88613B27A55E}"/>
    <cellStyle name="Ergebnis 3 2 2 47" xfId="23309" xr:uid="{524E34F9-BA31-4CE1-98B2-5AFC0EB56880}"/>
    <cellStyle name="Ergebnis 3 2 2 48" xfId="23478" xr:uid="{A8FC3A32-07FC-48B2-ADF5-4B71F8CB036F}"/>
    <cellStyle name="Ergebnis 3 2 2 49" xfId="24020" xr:uid="{E77E2359-0940-49F1-9E31-6023214CE4AC}"/>
    <cellStyle name="Ergebnis 3 2 2 5" xfId="2958" xr:uid="{C2702C0F-346F-4F39-9EF0-D8F22C830505}"/>
    <cellStyle name="Ergebnis 3 2 2 50" xfId="24928" xr:uid="{816F3BE6-3C96-4B0C-AD2E-56278B74F6E9}"/>
    <cellStyle name="Ergebnis 3 2 2 51" xfId="25103" xr:uid="{A5C724B7-F152-4D6A-BBB5-B090BE950287}"/>
    <cellStyle name="Ergebnis 3 2 2 52" xfId="25844" xr:uid="{74E33C50-9BDE-458E-89EB-9ADE1F8130C6}"/>
    <cellStyle name="Ergebnis 3 2 2 53" xfId="26087" xr:uid="{7D1A7FC3-380B-4D15-BDB3-2D0DF57F9796}"/>
    <cellStyle name="Ergebnis 3 2 2 54" xfId="26607" xr:uid="{A1E2D135-C3CB-469D-A41B-AB0675CA69C6}"/>
    <cellStyle name="Ergebnis 3 2 2 55" xfId="27132" xr:uid="{5ED14FF2-FA77-4087-876F-1C958728DBC3}"/>
    <cellStyle name="Ergebnis 3 2 2 56" xfId="27551" xr:uid="{A439F876-1E6C-424C-A264-58602EF6AB56}"/>
    <cellStyle name="Ergebnis 3 2 2 57" xfId="27625" xr:uid="{F253D0DA-F9CC-4C7C-9533-A479C6C52DC0}"/>
    <cellStyle name="Ergebnis 3 2 2 58" xfId="28678" xr:uid="{42BF1B12-2C7C-4265-9991-C98C7A0C6BCE}"/>
    <cellStyle name="Ergebnis 3 2 2 59" xfId="29145" xr:uid="{17CCE8C5-479D-47A4-8F48-9270AB8EF223}"/>
    <cellStyle name="Ergebnis 3 2 2 6" xfId="3533" xr:uid="{E354D20F-F2E4-4579-AC9B-1F9F591344AC}"/>
    <cellStyle name="Ergebnis 3 2 2 60" xfId="29257" xr:uid="{07CAC14C-894C-483F-AE4B-7EFAE4B71F48}"/>
    <cellStyle name="Ergebnis 3 2 2 61" xfId="29934" xr:uid="{95E4031A-B038-4A81-B64D-0FACFEF8AA70}"/>
    <cellStyle name="Ergebnis 3 2 2 62" xfId="30340" xr:uid="{D2E01F80-6CBD-4219-A477-5AE21C09B566}"/>
    <cellStyle name="Ergebnis 3 2 2 63" xfId="30757" xr:uid="{61083EC4-65F3-43A2-8119-97A278B7D892}"/>
    <cellStyle name="Ergebnis 3 2 2 64" xfId="29599" xr:uid="{D4D5A073-B14B-472E-91AF-8609F68939FD}"/>
    <cellStyle name="Ergebnis 3 2 2 65" xfId="31373" xr:uid="{129C342F-C412-4DF2-8D51-C617A44CA721}"/>
    <cellStyle name="Ergebnis 3 2 2 7" xfId="4156" xr:uid="{140CB5BB-D48F-40BD-AD87-BE75ADD925F0}"/>
    <cellStyle name="Ergebnis 3 2 2 8" xfId="4593" xr:uid="{FAD662F8-7E16-4B27-AE47-DE746ABE30CC}"/>
    <cellStyle name="Ergebnis 3 2 2 9" xfId="3396" xr:uid="{A34A17F8-55B6-4795-AA78-B22B468A8193}"/>
    <cellStyle name="Ergebnis 3 2 20" xfId="9125" xr:uid="{F4B32E13-9646-4235-9614-CCE204DD89A0}"/>
    <cellStyle name="Ergebnis 3 2 21" xfId="9046" xr:uid="{8C2F29E7-92F5-409B-84AD-6E59BFC0C408}"/>
    <cellStyle name="Ergebnis 3 2 22" xfId="10783" xr:uid="{FCE81F31-8F17-45A4-93FD-E54FFDE6EA5F}"/>
    <cellStyle name="Ergebnis 3 2 23" xfId="9342" xr:uid="{BCDC6E1C-4853-478E-AA98-122ED0BB568D}"/>
    <cellStyle name="Ergebnis 3 2 24" xfId="11976" xr:uid="{00D51559-6602-43D0-9584-FD403B06441D}"/>
    <cellStyle name="Ergebnis 3 2 25" xfId="12449" xr:uid="{43406889-BF26-4877-A5AD-C9509B82FA50}"/>
    <cellStyle name="Ergebnis 3 2 26" xfId="12883" xr:uid="{3821FBFA-69A6-4DFA-9E77-C2997AA951AD}"/>
    <cellStyle name="Ergebnis 3 2 27" xfId="13320" xr:uid="{96628E5C-2A3E-4A42-947A-0772C3ABA5D1}"/>
    <cellStyle name="Ergebnis 3 2 28" xfId="13727" xr:uid="{BB5D031D-616F-494B-A0E4-A586FA52222A}"/>
    <cellStyle name="Ergebnis 3 2 29" xfId="14445" xr:uid="{9E25C9F1-8FEB-47E6-AB17-BED95EE6D90E}"/>
    <cellStyle name="Ergebnis 3 2 3" xfId="1106" xr:uid="{B31ADEBA-49BD-4752-A901-8FC84344CB0C}"/>
    <cellStyle name="Ergebnis 3 2 30" xfId="14844" xr:uid="{0A8C2372-0B0F-4082-AFDF-82C33BD5EDB9}"/>
    <cellStyle name="Ergebnis 3 2 31" xfId="15226" xr:uid="{8E18347E-7810-49CB-AB90-E00FFBFC6C7D}"/>
    <cellStyle name="Ergebnis 3 2 32" xfId="15246" xr:uid="{E162C79E-2610-417E-9E73-11780D408806}"/>
    <cellStyle name="Ergebnis 3 2 33" xfId="13996" xr:uid="{02E534B8-7D5A-49B9-A53E-23133ED853EB}"/>
    <cellStyle name="Ergebnis 3 2 34" xfId="16668" xr:uid="{000942D6-02FD-46FD-BE5F-0C3A9BCF1B6E}"/>
    <cellStyle name="Ergebnis 3 2 35" xfId="16229" xr:uid="{44999452-481B-46AB-8DBF-51EDE7627EDC}"/>
    <cellStyle name="Ergebnis 3 2 36" xfId="16258" xr:uid="{8EBAAC46-5F87-47F3-BEE4-3FC27C1525B6}"/>
    <cellStyle name="Ergebnis 3 2 37" xfId="17612" xr:uid="{309BE5B8-79F0-406D-8FCD-DE06273569E9}"/>
    <cellStyle name="Ergebnis 3 2 38" xfId="18486" xr:uid="{EAEAAFE7-8D78-4258-81FD-A153EA5C43F1}"/>
    <cellStyle name="Ergebnis 3 2 39" xfId="18872" xr:uid="{CFAC34C4-0208-4783-9143-55C58423F03E}"/>
    <cellStyle name="Ergebnis 3 2 4" xfId="1453" xr:uid="{11A76C73-6607-4F38-A6F6-10219CFFBA41}"/>
    <cellStyle name="Ergebnis 3 2 40" xfId="19219" xr:uid="{01DA7DAA-F952-48DE-B90C-51928D75B4AE}"/>
    <cellStyle name="Ergebnis 3 2 41" xfId="20005" xr:uid="{61DB96CB-1A2A-4CB5-AFCC-E90EC66A4D80}"/>
    <cellStyle name="Ergebnis 3 2 42" xfId="19562" xr:uid="{D6CD4F97-64CB-4B62-8688-249A7027C139}"/>
    <cellStyle name="Ergebnis 3 2 43" xfId="19791" xr:uid="{EB6A2CBA-32CD-439B-B6E2-E36B2BFA6F11}"/>
    <cellStyle name="Ergebnis 3 2 44" xfId="20438" xr:uid="{B5CB0C1A-D3CD-4956-A502-B021E4F29F81}"/>
    <cellStyle name="Ergebnis 3 2 45" xfId="21561" xr:uid="{8F0FADFC-1687-4430-B4C3-30B055494970}"/>
    <cellStyle name="Ergebnis 3 2 46" xfId="21094" xr:uid="{7BF4CD62-845F-4AE9-9C95-6019B9ACB397}"/>
    <cellStyle name="Ergebnis 3 2 47" xfId="22723" xr:uid="{33912DE2-0569-495A-84C8-EC33BE977992}"/>
    <cellStyle name="Ergebnis 3 2 48" xfId="23149" xr:uid="{D2DB7245-7C08-46A4-A375-B4A9A35A2115}"/>
    <cellStyle name="Ergebnis 3 2 49" xfId="22944" xr:uid="{D07E9AEB-00FE-47BF-8BEA-27A5191E95B7}"/>
    <cellStyle name="Ergebnis 3 2 5" xfId="2445" xr:uid="{CEA98878-AB09-4536-A46C-01CA9C359176}"/>
    <cellStyle name="Ergebnis 3 2 50" xfId="23814" xr:uid="{6DE43DB8-813A-4E7D-9305-3A570D4B7592}"/>
    <cellStyle name="Ergebnis 3 2 51" xfId="24713" xr:uid="{827B2A23-E42D-4C97-918E-9F73927DD512}"/>
    <cellStyle name="Ergebnis 3 2 52" xfId="24283" xr:uid="{09943AAA-B6B6-468D-BA0A-D357BB9B7318}"/>
    <cellStyle name="Ergebnis 3 2 53" xfId="25631" xr:uid="{BBB4BD87-C9EF-437C-AC30-A597D5E067C5}"/>
    <cellStyle name="Ergebnis 3 2 54" xfId="26027" xr:uid="{B0C269A7-8EA8-4FF1-8E6C-04203BC2F80C}"/>
    <cellStyle name="Ergebnis 3 2 55" xfId="26099" xr:uid="{196941BF-96E3-4E11-A393-EC7E6D638B4F}"/>
    <cellStyle name="Ergebnis 3 2 56" xfId="26921" xr:uid="{66505A5C-C2AF-4BC3-9A83-6E9EE6075CB1}"/>
    <cellStyle name="Ergebnis 3 2 57" xfId="27340" xr:uid="{8B69FFC6-9F7B-4829-81B0-65FBD7F34F9F}"/>
    <cellStyle name="Ergebnis 3 2 58" xfId="27756" xr:uid="{6906E668-74EB-4FCB-A2A2-EAE02E0346AB}"/>
    <cellStyle name="Ergebnis 3 2 59" xfId="28463" xr:uid="{01F1D70E-8928-40B5-9E12-1FA652B04968}"/>
    <cellStyle name="Ergebnis 3 2 6" xfId="2892" xr:uid="{74F650E8-A91B-4707-8B2D-050E849C6C6F}"/>
    <cellStyle name="Ergebnis 3 2 60" xfId="28931" xr:uid="{D0844688-F13B-42DC-9024-D90A53DFE203}"/>
    <cellStyle name="Ergebnis 3 2 61" xfId="28814" xr:uid="{746E4D52-6F78-4A9E-B51D-E0AEC1D2FF07}"/>
    <cellStyle name="Ergebnis 3 2 62" xfId="29721" xr:uid="{658302C2-4BAE-4121-A679-9F1E9BF370D8}"/>
    <cellStyle name="Ergebnis 3 2 63" xfId="30129" xr:uid="{605E8E14-1F22-404E-B964-2CF94A517768}"/>
    <cellStyle name="Ergebnis 3 2 64" xfId="30543" xr:uid="{397B356F-572C-4F9C-99FB-F4D6FAC9DE7A}"/>
    <cellStyle name="Ergebnis 3 2 65" xfId="28009" xr:uid="{D13467C8-6713-46F3-93E6-1D15A33DF6C1}"/>
    <cellStyle name="Ergebnis 3 2 66" xfId="31167" xr:uid="{8B6AEB6B-24DF-474D-9A81-50F37EB1F9D6}"/>
    <cellStyle name="Ergebnis 3 2 7" xfId="3475" xr:uid="{F74DCF3F-C9E5-4CD3-8A26-447FD790B9C3}"/>
    <cellStyle name="Ergebnis 3 2 8" xfId="3941" xr:uid="{BEBF7719-DC91-4C51-87FE-67DDC085E7D6}"/>
    <cellStyle name="Ergebnis 3 2 9" xfId="4379" xr:uid="{519A50BC-F451-48A9-8D36-75B5933439BC}"/>
    <cellStyle name="Ergebnis 3 20" xfId="9846" xr:uid="{81314A1D-319D-4299-BDA9-83945C1802A6}"/>
    <cellStyle name="Ergebnis 3 21" xfId="11109" xr:uid="{D617AB0B-5A25-4DD9-A179-0797C9629587}"/>
    <cellStyle name="Ergebnis 3 22" xfId="11642" xr:uid="{2DBF978A-5F37-446F-A903-4C65FC847D25}"/>
    <cellStyle name="Ergebnis 3 23" xfId="11477" xr:uid="{194C2150-90D9-4764-9D7E-DDA1FD16756B}"/>
    <cellStyle name="Ergebnis 3 24" xfId="11680" xr:uid="{CE8EBE68-FFA3-4D72-9E64-DF24F1B1E6D0}"/>
    <cellStyle name="Ergebnis 3 25" xfId="11464" xr:uid="{8D51DFC8-22E9-47B2-91FA-F7A38E238D0B}"/>
    <cellStyle name="Ergebnis 3 26" xfId="11510" xr:uid="{C29E8E73-34A4-4F25-BEE8-6104F7DD7E45}"/>
    <cellStyle name="Ergebnis 3 27" xfId="14412" xr:uid="{A680979A-9971-4CF6-ACEC-5AFAB82AC02F}"/>
    <cellStyle name="Ergebnis 3 28" xfId="13643" xr:uid="{EF906D29-F3A1-4B87-888E-F7D555E46D28}"/>
    <cellStyle name="Ergebnis 3 29" xfId="16337" xr:uid="{9C27BF21-E13E-4C6F-A1C8-ACB58EC74E2A}"/>
    <cellStyle name="Ergebnis 3 3" xfId="537" xr:uid="{D8593204-F920-477E-8E6C-79F58140C107}"/>
    <cellStyle name="Ergebnis 3 3 10" xfId="1834" xr:uid="{D1F57C04-E96F-4DE8-8936-0F4AFFADF770}"/>
    <cellStyle name="Ergebnis 3 3 11" xfId="5185" xr:uid="{6D91F6E9-0D4A-41F3-A93E-E6E4E03442E0}"/>
    <cellStyle name="Ergebnis 3 3 12" xfId="5579" xr:uid="{64C04430-9F5D-474E-959C-B36EE6978124}"/>
    <cellStyle name="Ergebnis 3 3 13" xfId="6274" xr:uid="{016FFF99-34D6-4E36-A2CA-8D90EC348F67}"/>
    <cellStyle name="Ergebnis 3 3 14" xfId="6604" xr:uid="{E971FD8F-994E-493C-8CC0-53902E9908B5}"/>
    <cellStyle name="Ergebnis 3 3 15" xfId="7257" xr:uid="{923304DA-AC01-4718-802A-449F39E353D4}"/>
    <cellStyle name="Ergebnis 3 3 16" xfId="7730" xr:uid="{E8431F8D-FDF6-42C9-B747-30AE5177193F}"/>
    <cellStyle name="Ergebnis 3 3 17" xfId="7178" xr:uid="{2406D152-1639-430C-BB0E-3AD87D9FCD1C}"/>
    <cellStyle name="Ergebnis 3 3 18" xfId="8243" xr:uid="{850DA75D-96AE-4A3A-886F-4198FA9F6A3B}"/>
    <cellStyle name="Ergebnis 3 3 19" xfId="9471" xr:uid="{37E2C7F3-27AA-41C6-AD8A-327700DC0C10}"/>
    <cellStyle name="Ergebnis 3 3 2" xfId="752" xr:uid="{64254F16-9BCA-46B6-92D3-E785771CC9E0}"/>
    <cellStyle name="Ergebnis 3 3 2 10" xfId="5400" xr:uid="{FAB78F1C-10D8-4AF2-BB6C-305C7E2FC9BD}"/>
    <cellStyle name="Ergebnis 3 3 2 11" xfId="5888" xr:uid="{A8AE548E-2DA8-4D7E-94D8-2DB8E53963D6}"/>
    <cellStyle name="Ergebnis 3 3 2 12" xfId="5913" xr:uid="{B83F1E13-C59C-4882-9261-B023E609D7F4}"/>
    <cellStyle name="Ergebnis 3 3 2 13" xfId="5686" xr:uid="{2A8C38A3-4422-41CB-A07D-39B31E79F0FC}"/>
    <cellStyle name="Ergebnis 3 3 2 14" xfId="7472" xr:uid="{5713C02E-0CBA-4147-B8FD-4B164CF60A09}"/>
    <cellStyle name="Ergebnis 3 3 2 15" xfId="6985" xr:uid="{1A035B6D-215D-4586-825C-380FBC16883E}"/>
    <cellStyle name="Ergebnis 3 3 2 16" xfId="7738" xr:uid="{0D6D905C-E6F6-454B-A87F-DCD0970971FD}"/>
    <cellStyle name="Ergebnis 3 3 2 17" xfId="8860" xr:uid="{A458A01F-E64B-4A3B-9B08-175E554C52CF}"/>
    <cellStyle name="Ergebnis 3 3 2 18" xfId="9686" xr:uid="{BD6680C6-E316-46BF-A50A-A3E9A399C82F}"/>
    <cellStyle name="Ergebnis 3 3 2 19" xfId="9326" xr:uid="{764271C9-1148-445F-8B2C-21F8FE0222DF}"/>
    <cellStyle name="Ergebnis 3 3 2 2" xfId="1226" xr:uid="{D63717F5-12C5-411A-A714-933EEB78BFA8}"/>
    <cellStyle name="Ergebnis 3 3 2 20" xfId="9143" xr:uid="{BA92E597-3510-44C3-B191-FB678F13EA87}"/>
    <cellStyle name="Ergebnis 3 3 2 21" xfId="9257" xr:uid="{1F190055-1CEB-4166-AAB9-9ACD55E09D9D}"/>
    <cellStyle name="Ergebnis 3 3 2 22" xfId="10716" xr:uid="{119E1B76-D029-49CB-9B95-C558C177BE42}"/>
    <cellStyle name="Ergebnis 3 3 2 23" xfId="12105" xr:uid="{E8F19033-217D-438A-A93F-7B4B207D79B2}"/>
    <cellStyle name="Ergebnis 3 3 2 24" xfId="12578" xr:uid="{BA6EB0FF-EC11-4CFE-A523-91683C66A562}"/>
    <cellStyle name="Ergebnis 3 3 2 25" xfId="13012" xr:uid="{698A13C4-57C2-4D1A-B0B0-37A6A85C4FC4}"/>
    <cellStyle name="Ergebnis 3 3 2 26" xfId="13449" xr:uid="{CE6F688F-812C-4642-8423-C6A27CB8D7F2}"/>
    <cellStyle name="Ergebnis 3 3 2 27" xfId="11836" xr:uid="{85806885-5AE8-469B-B760-E0DC16AD3CC0}"/>
    <cellStyle name="Ergebnis 3 3 2 28" xfId="13835" xr:uid="{33945905-3865-430E-80CA-3C3A9D5CEA47}"/>
    <cellStyle name="Ergebnis 3 3 2 29" xfId="14263" xr:uid="{125EEDC0-588A-4645-BC69-F6E0CB4E33C1}"/>
    <cellStyle name="Ergebnis 3 3 2 3" xfId="1513" xr:uid="{8F28F072-54C5-4A5D-A4F6-C021E094DEAF}"/>
    <cellStyle name="Ergebnis 3 3 2 30" xfId="15249" xr:uid="{9470E0F9-2AB1-43B3-AD89-9DC4B1C653B2}"/>
    <cellStyle name="Ergebnis 3 3 2 31" xfId="15241" xr:uid="{51DABB2F-E6AF-4B4A-B5FF-DDB5AEF8EFE1}"/>
    <cellStyle name="Ergebnis 3 3 2 32" xfId="15622" xr:uid="{35115896-C27A-4EC3-ADA6-3E5242117DEE}"/>
    <cellStyle name="Ergebnis 3 3 2 33" xfId="16797" xr:uid="{11E0A951-E89A-4620-9D91-C012573C06FD}"/>
    <cellStyle name="Ergebnis 3 3 2 34" xfId="16305" xr:uid="{E01E7806-3024-439D-A171-3CC414591DF1}"/>
    <cellStyle name="Ergebnis 3 3 2 35" xfId="16499" xr:uid="{552010CA-E6EE-4FF4-85AB-8FAA33DC3228}"/>
    <cellStyle name="Ergebnis 3 3 2 36" xfId="17519" xr:uid="{2EBFB62F-A18D-4F5F-8341-28181979217A}"/>
    <cellStyle name="Ergebnis 3 3 2 37" xfId="18615" xr:uid="{341F2F65-2170-438A-9A46-F4E4992B3C61}"/>
    <cellStyle name="Ergebnis 3 3 2 38" xfId="17461" xr:uid="{47B5475B-26BE-4A85-A47B-3403E11A9620}"/>
    <cellStyle name="Ergebnis 3 3 2 39" xfId="18170" xr:uid="{A1226DBD-049B-4115-A048-6EC7FBC855C5}"/>
    <cellStyle name="Ergebnis 3 3 2 4" xfId="2574" xr:uid="{0A25CE80-987F-4C51-B434-381E15A365B0}"/>
    <cellStyle name="Ergebnis 3 3 2 40" xfId="20134" xr:uid="{847ED886-4552-4D15-8A2A-B5577BBDE5DC}"/>
    <cellStyle name="Ergebnis 3 3 2 41" xfId="19480" xr:uid="{F34ED675-D7F5-4903-BA8C-600EBA32D126}"/>
    <cellStyle name="Ergebnis 3 3 2 42" xfId="19624" xr:uid="{C0CE7255-9EEE-416E-89FB-A784ECC05A1D}"/>
    <cellStyle name="Ergebnis 3 3 2 43" xfId="21012" xr:uid="{58DCCC87-220E-4792-BA95-037D86B33F6A}"/>
    <cellStyle name="Ergebnis 3 3 2 44" xfId="19394" xr:uid="{AD503BAE-01FE-41D4-8DC4-F48D81532D22}"/>
    <cellStyle name="Ergebnis 3 3 2 45" xfId="22075" xr:uid="{EE805710-989F-4CB0-97CE-7F3CA588A1D8}"/>
    <cellStyle name="Ergebnis 3 3 2 46" xfId="22166" xr:uid="{9BE2048F-7674-41D9-B8F9-406D0E946721}"/>
    <cellStyle name="Ergebnis 3 3 2 47" xfId="19449" xr:uid="{1364C6C1-1BE2-45F7-B094-529EB3A40EC5}"/>
    <cellStyle name="Ergebnis 3 3 2 48" xfId="23548" xr:uid="{54B2BEB4-1143-462C-8B71-994001DDBFE3}"/>
    <cellStyle name="Ergebnis 3 3 2 49" xfId="23934" xr:uid="{96172269-DB7A-4866-AFA0-A3415C1DD159}"/>
    <cellStyle name="Ergebnis 3 3 2 5" xfId="2209" xr:uid="{BD2CF69E-848F-4473-8DEC-960EED245A49}"/>
    <cellStyle name="Ergebnis 3 3 2 50" xfId="24842" xr:uid="{C4CB69BE-09E9-43BC-AE75-B05F3C2B8855}"/>
    <cellStyle name="Ergebnis 3 3 2 51" xfId="24196" xr:uid="{5666B1C4-48A2-4154-A926-584F3836D542}"/>
    <cellStyle name="Ergebnis 3 3 2 52" xfId="25758" xr:uid="{10C4BDE0-B8FB-4F16-9142-A5AB1D351A5C}"/>
    <cellStyle name="Ergebnis 3 3 2 53" xfId="25388" xr:uid="{3C17AD49-06A5-4F02-BDB7-9710CEE932A0}"/>
    <cellStyle name="Ergebnis 3 3 2 54" xfId="25702" xr:uid="{468A232C-E411-42BF-B54B-1754A1D88BB0}"/>
    <cellStyle name="Ergebnis 3 3 2 55" xfId="27046" xr:uid="{D9C22F9A-7C3E-45C8-B8D8-89ABECB8EA3C}"/>
    <cellStyle name="Ergebnis 3 3 2 56" xfId="27465" xr:uid="{00CE3F55-50D1-45EE-9E10-7A73D78CE94A}"/>
    <cellStyle name="Ergebnis 3 3 2 57" xfId="26663" xr:uid="{44FF0E70-7991-4B2C-87D4-31261CA5D99C}"/>
    <cellStyle name="Ergebnis 3 3 2 58" xfId="28592" xr:uid="{8E1D26EB-A90E-4D15-935A-AA86E403B017}"/>
    <cellStyle name="Ergebnis 3 3 2 59" xfId="29059" xr:uid="{DFC97D73-AEDF-4ED4-A95A-70D6C35D5535}"/>
    <cellStyle name="Ergebnis 3 3 2 6" xfId="2990" xr:uid="{F19A3CD3-B810-45BA-858A-1FBB30E0B61B}"/>
    <cellStyle name="Ergebnis 3 3 2 60" xfId="28227" xr:uid="{4D02A314-F65F-49F8-B485-34DA07911594}"/>
    <cellStyle name="Ergebnis 3 3 2 61" xfId="29848" xr:uid="{C7076A01-3959-486A-A32B-6D6043D04D5E}"/>
    <cellStyle name="Ergebnis 3 3 2 62" xfId="30254" xr:uid="{AD9A1CBD-30C8-4668-9BC3-C0B918D0A1D7}"/>
    <cellStyle name="Ergebnis 3 3 2 63" xfId="30671" xr:uid="{2E72F8E6-0F43-440B-8C62-9E5087C80070}"/>
    <cellStyle name="Ergebnis 3 3 2 64" xfId="29203" xr:uid="{13706894-4E7A-4C53-8737-547179C996F3}"/>
    <cellStyle name="Ergebnis 3 3 2 65" xfId="31287" xr:uid="{A3430105-BE07-4D57-8D52-CA3C9C2482BE}"/>
    <cellStyle name="Ergebnis 3 3 2 7" xfId="4070" xr:uid="{831F716F-FDD8-4478-8AF2-41059068E89D}"/>
    <cellStyle name="Ergebnis 3 3 2 8" xfId="4507" xr:uid="{D7275FD4-825F-41C4-AE58-D6219F3DE9FB}"/>
    <cellStyle name="Ergebnis 3 3 2 9" xfId="3598" xr:uid="{8580F496-FFCC-4146-A04C-05AF8EA1FF0B}"/>
    <cellStyle name="Ergebnis 3 3 20" xfId="9944" xr:uid="{D046F972-890F-4799-AAA7-EF88A43330C8}"/>
    <cellStyle name="Ergebnis 3 3 21" xfId="10374" xr:uid="{D2A5CEF2-08CD-4820-A0BD-2905C9929243}"/>
    <cellStyle name="Ergebnis 3 3 22" xfId="10570" xr:uid="{BCCEC6CE-4A3F-4F12-8E41-00E5F8875585}"/>
    <cellStyle name="Ergebnis 3 3 23" xfId="10803" xr:uid="{C423C5C3-518A-4EEB-8FD7-8451D1C2742C}"/>
    <cellStyle name="Ergebnis 3 3 24" xfId="11890" xr:uid="{F6847921-4531-4883-BA91-68F7F7600CCE}"/>
    <cellStyle name="Ergebnis 3 3 25" xfId="12363" xr:uid="{C44E6362-12C5-4578-8478-F29B7F9855AF}"/>
    <cellStyle name="Ergebnis 3 3 26" xfId="12797" xr:uid="{CA0D6B83-5DFA-46A2-9CB2-8713F8674BEF}"/>
    <cellStyle name="Ergebnis 3 3 27" xfId="13234" xr:uid="{AB45D447-12FC-4A45-96AA-813077EB7A20}"/>
    <cellStyle name="Ergebnis 3 3 28" xfId="13778" xr:uid="{2C18F00D-9B5C-418A-A467-C6C5B2E6B974}"/>
    <cellStyle name="Ergebnis 3 3 29" xfId="14269" xr:uid="{90C5A531-B2A6-42A2-A83D-9D9DE7E6C9DE}"/>
    <cellStyle name="Ergebnis 3 3 3" xfId="1020" xr:uid="{B60F38E1-D5C4-4EAE-9DDF-B9DD17B212D6}"/>
    <cellStyle name="Ergebnis 3 3 30" xfId="14658" xr:uid="{206B6F63-7109-431E-8AE1-D43AF0E5845B}"/>
    <cellStyle name="Ergebnis 3 3 31" xfId="14247" xr:uid="{050C5177-61A5-48A3-A6FF-BCEC98D9A166}"/>
    <cellStyle name="Ergebnis 3 3 32" xfId="15640" xr:uid="{29A0356F-9083-44DC-B1AE-1A0F5291CDE1}"/>
    <cellStyle name="Ergebnis 3 3 33" xfId="15824" xr:uid="{54174536-0547-4510-B5B8-5F5D686272F2}"/>
    <cellStyle name="Ergebnis 3 3 34" xfId="16582" xr:uid="{DCC1DEAD-3880-4F94-A6A5-F72BBA6E2A37}"/>
    <cellStyle name="Ergebnis 3 3 35" xfId="17058" xr:uid="{8B8155B4-0B4E-4808-97BF-70FB5A435A83}"/>
    <cellStyle name="Ergebnis 3 3 36" xfId="17504" xr:uid="{F2A4E7F8-99A0-4956-A12B-0AC4F3DD85F6}"/>
    <cellStyle name="Ergebnis 3 3 37" xfId="17259" xr:uid="{50B77577-8E34-4999-8CED-09827A46F5F6}"/>
    <cellStyle name="Ergebnis 3 3 38" xfId="18400" xr:uid="{5F8CFC11-9FF0-4343-A6DE-541D9568014B}"/>
    <cellStyle name="Ergebnis 3 3 39" xfId="18114" xr:uid="{A635427E-09D2-4C4B-94EC-15EC84B47843}"/>
    <cellStyle name="Ergebnis 3 3 4" xfId="1642" xr:uid="{D5417034-C7B4-463D-B63E-5BB481B8EFD1}"/>
    <cellStyle name="Ergebnis 3 3 40" xfId="18859" xr:uid="{3B998E88-47C8-4698-AB6B-D8D6EBA5FC33}"/>
    <cellStyle name="Ergebnis 3 3 41" xfId="19919" xr:uid="{D3998B1E-1990-43A1-B296-768B3DFBD250}"/>
    <cellStyle name="Ergebnis 3 3 42" xfId="20410" xr:uid="{9E76345D-BFF6-4565-B580-11A4D50CDA01}"/>
    <cellStyle name="Ergebnis 3 3 43" xfId="20863" xr:uid="{43872A1D-9B43-408C-93D9-C3F5647EF1F3}"/>
    <cellStyle name="Ergebnis 3 3 44" xfId="20998" xr:uid="{338FF9CE-5E8A-4BAA-83EE-FCAA89B8ED4A}"/>
    <cellStyle name="Ergebnis 3 3 45" xfId="21795" xr:uid="{91EAFEA9-A9F3-4297-AB73-99D38DFC25A1}"/>
    <cellStyle name="Ergebnis 3 3 46" xfId="22232" xr:uid="{5DA8636D-B297-400E-B235-16D78746AA5E}"/>
    <cellStyle name="Ergebnis 3 3 47" xfId="22771" xr:uid="{76220108-F6D7-4904-A403-F4B2A2B7BDA0}"/>
    <cellStyle name="Ergebnis 3 3 48" xfId="22441" xr:uid="{0669722C-A22A-4AC3-A8E9-B6DED206279A}"/>
    <cellStyle name="Ergebnis 3 3 49" xfId="23542" xr:uid="{E4BE63C9-280F-4E91-8842-C569322951F9}"/>
    <cellStyle name="Ergebnis 3 3 5" xfId="2359" xr:uid="{7903F76E-C506-4903-84AC-85D5BBBB22B6}"/>
    <cellStyle name="Ergebnis 3 3 50" xfId="23728" xr:uid="{E7413C53-F0F5-4C34-95D3-80A2E105798D}"/>
    <cellStyle name="Ergebnis 3 3 51" xfId="24627" xr:uid="{7B35DC52-C860-40A0-880D-4AD83AD03901}"/>
    <cellStyle name="Ergebnis 3 3 52" xfId="25118" xr:uid="{B1669FC7-CD34-4F9E-90BD-13A60484E4CC}"/>
    <cellStyle name="Ergebnis 3 3 53" xfId="25545" xr:uid="{CAFE9A1D-AC81-4D73-866C-ED8BBAAA7EC0}"/>
    <cellStyle name="Ergebnis 3 3 54" xfId="26075" xr:uid="{D8EC33C3-F8A1-4944-9A08-2363BF94C296}"/>
    <cellStyle name="Ergebnis 3 3 55" xfId="26469" xr:uid="{45E0882B-D404-4BE0-A2AA-989633FB4A7B}"/>
    <cellStyle name="Ergebnis 3 3 56" xfId="26835" xr:uid="{D265EE54-9A77-49CC-86EF-AC2157733DC0}"/>
    <cellStyle name="Ergebnis 3 3 57" xfId="27254" xr:uid="{7AEC214E-D560-4596-9640-18C3BFC59302}"/>
    <cellStyle name="Ergebnis 3 3 58" xfId="27816" xr:uid="{31B78BB9-D82F-497E-9516-5688307DFBA5}"/>
    <cellStyle name="Ergebnis 3 3 59" xfId="28377" xr:uid="{56751179-9E8B-454A-B012-3001D16E0D78}"/>
    <cellStyle name="Ergebnis 3 3 6" xfId="2945" xr:uid="{26D29504-376B-4946-82DA-B88813321310}"/>
    <cellStyle name="Ergebnis 3 3 60" xfId="28845" xr:uid="{1B65BC1E-180E-4EB2-9A59-42F371000647}"/>
    <cellStyle name="Ergebnis 3 3 61" xfId="29273" xr:uid="{A1FD61DF-1CE7-4B3D-A004-AA95B10A7984}"/>
    <cellStyle name="Ergebnis 3 3 62" xfId="29635" xr:uid="{62077EFF-52A1-44D9-B177-BDDBE5A681F3}"/>
    <cellStyle name="Ergebnis 3 3 63" xfId="30043" xr:uid="{2169DBFF-D837-420E-A051-539E1ECA9AF8}"/>
    <cellStyle name="Ergebnis 3 3 64" xfId="30457" xr:uid="{13BBFED6-EB52-4BB9-BC66-383886A1FB9A}"/>
    <cellStyle name="Ergebnis 3 3 65" xfId="30823" xr:uid="{BA6417FF-8954-4F83-889D-35EB4E859DB4}"/>
    <cellStyle name="Ergebnis 3 3 66" xfId="31081" xr:uid="{1624E971-A7C4-417F-81B9-93C130BCF39A}"/>
    <cellStyle name="Ergebnis 3 3 7" xfId="3323" xr:uid="{D1083687-FC29-4375-B355-FB573D874193}"/>
    <cellStyle name="Ergebnis 3 3 8" xfId="3855" xr:uid="{D5BCCEDC-30D1-4F9C-B506-536F50AA45B8}"/>
    <cellStyle name="Ergebnis 3 3 9" xfId="4293" xr:uid="{7F45A2D9-B119-4BE4-9DCE-83714066EE67}"/>
    <cellStyle name="Ergebnis 3 30" xfId="16962" xr:uid="{0992620E-A2DC-4EB6-B0B1-996C75DBEC6A}"/>
    <cellStyle name="Ergebnis 3 31" xfId="17798" xr:uid="{147761F6-67D8-48B6-99F0-8711E31B9934}"/>
    <cellStyle name="Ergebnis 3 32" xfId="18282" xr:uid="{6D306439-439A-473B-A44F-2BFC7EC35D42}"/>
    <cellStyle name="Ergebnis 3 33" xfId="18991" xr:uid="{C37E4BC1-0A24-4D17-841E-B66458A3651D}"/>
    <cellStyle name="Ergebnis 3 34" xfId="19670" xr:uid="{F2FECA0B-C167-443B-AD48-AED10289831E}"/>
    <cellStyle name="Ergebnis 3 35" xfId="20309" xr:uid="{F0252DA3-43F9-45FB-B6A0-AF077C2A6669}"/>
    <cellStyle name="Ergebnis 3 36" xfId="21934" xr:uid="{935C1E3C-00B0-4F4A-BAAB-FF61C2AA9A80}"/>
    <cellStyle name="Ergebnis 3 37" xfId="22096" xr:uid="{A346BCD8-E35B-4BAD-9967-8D620B32779C}"/>
    <cellStyle name="Ergebnis 3 38" xfId="22881" xr:uid="{4D25E023-FBEB-490C-8FB7-9DC6AD781449}"/>
    <cellStyle name="Ergebnis 3 39" xfId="24390" xr:uid="{659A5145-DFC9-4CA4-9964-A14C95D9E287}"/>
    <cellStyle name="Ergebnis 3 4" xfId="564" xr:uid="{E2C5296F-9785-41CA-B17D-1F39D0DB02A8}"/>
    <cellStyle name="Ergebnis 3 4 10" xfId="5042" xr:uid="{143A5030-CFEC-4EBD-B3A4-4D5BC49078C2}"/>
    <cellStyle name="Ergebnis 3 4 11" xfId="5212" xr:uid="{915C43FA-BA9A-4B5B-93E1-4F6AE5301931}"/>
    <cellStyle name="Ergebnis 3 4 12" xfId="5562" xr:uid="{A3702338-F91D-4F45-9D84-0CD547A488D0}"/>
    <cellStyle name="Ergebnis 3 4 13" xfId="6003" xr:uid="{716F0447-BEA0-4FE8-97DF-B7847A836BDE}"/>
    <cellStyle name="Ergebnis 3 4 14" xfId="6536" xr:uid="{1E460925-62EA-410D-BAFD-C574146E8DA4}"/>
    <cellStyle name="Ergebnis 3 4 15" xfId="7284" xr:uid="{29B1414A-CF1A-455D-87B6-85065EB5C61F}"/>
    <cellStyle name="Ergebnis 3 4 16" xfId="7921" xr:uid="{CA7985A4-6529-42D6-96EE-9D277BCAE318}"/>
    <cellStyle name="Ergebnis 3 4 17" xfId="8544" xr:uid="{FD91DA2B-3E88-4AC5-8610-443B9AFBF3D7}"/>
    <cellStyle name="Ergebnis 3 4 18" xfId="8455" xr:uid="{A0D6D5E1-5076-4B77-B42F-7054BA9A5B51}"/>
    <cellStyle name="Ergebnis 3 4 19" xfId="9498" xr:uid="{D59A2516-99C0-4EEE-BDB4-94754458776D}"/>
    <cellStyle name="Ergebnis 3 4 2" xfId="779" xr:uid="{3FD1FFBF-E1AE-4F2B-9D30-8039DB9B5F39}"/>
    <cellStyle name="Ergebnis 3 4 2 10" xfId="5427" xr:uid="{FD1C7810-40EF-42E3-950F-5F7FCA974CF1}"/>
    <cellStyle name="Ergebnis 3 4 2 11" xfId="2912" xr:uid="{BA78D867-69AC-4DD4-93FE-66D6FA031358}"/>
    <cellStyle name="Ergebnis 3 4 2 12" xfId="4730" xr:uid="{FB284252-4659-4A38-A239-4C41AAD369B4}"/>
    <cellStyle name="Ergebnis 3 4 2 13" xfId="6601" xr:uid="{C3426E1A-EA5D-43E9-9ADE-2293F836E037}"/>
    <cellStyle name="Ergebnis 3 4 2 14" xfId="7499" xr:uid="{8A478A34-0FE2-426E-99D2-88D237B67F39}"/>
    <cellStyle name="Ergebnis 3 4 2 15" xfId="6862" xr:uid="{5BF078AE-0F1D-4A34-9AC9-9B9A69986614}"/>
    <cellStyle name="Ergebnis 3 4 2 16" xfId="8598" xr:uid="{E214EC57-0A3E-4AA4-AB6C-23CDCBD0CA75}"/>
    <cellStyle name="Ergebnis 3 4 2 17" xfId="8800" xr:uid="{78FB82E6-64B8-42E2-9C1C-4EAC1FAE9FCD}"/>
    <cellStyle name="Ergebnis 3 4 2 18" xfId="9713" xr:uid="{A725B230-E8A0-4D7D-BC35-B4DB36A897B7}"/>
    <cellStyle name="Ergebnis 3 4 2 19" xfId="9168" xr:uid="{064806B2-7C94-4C2E-BE93-C0829E4200FD}"/>
    <cellStyle name="Ergebnis 3 4 2 2" xfId="1253" xr:uid="{151A3357-F547-47FB-8503-A6022AB923A3}"/>
    <cellStyle name="Ergebnis 3 4 2 20" xfId="9073" xr:uid="{9FCCF509-149A-43F6-A173-553DE9AB2AC8}"/>
    <cellStyle name="Ergebnis 3 4 2 21" xfId="10365" xr:uid="{1DE38C72-491A-4637-A1C0-640C9595084E}"/>
    <cellStyle name="Ergebnis 3 4 2 22" xfId="11269" xr:uid="{1631BDC6-FDCC-4DEA-90CD-E505267758A4}"/>
    <cellStyle name="Ergebnis 3 4 2 23" xfId="12132" xr:uid="{2FEE7052-695A-46C0-A5D0-A5BA4FB9E53C}"/>
    <cellStyle name="Ergebnis 3 4 2 24" xfId="12605" xr:uid="{563026F3-4797-44DE-9732-783F3E3B24A9}"/>
    <cellStyle name="Ergebnis 3 4 2 25" xfId="13039" xr:uid="{9CBE0387-97C7-4477-A8F9-AB5CAC1E90CF}"/>
    <cellStyle name="Ergebnis 3 4 2 26" xfId="13476" xr:uid="{01F9F924-2E3C-42E8-8FB5-5A78558B2B94}"/>
    <cellStyle name="Ergebnis 3 4 2 27" xfId="13592" xr:uid="{81C901D8-CF61-41BA-B42F-F70F12A9AD89}"/>
    <cellStyle name="Ergebnis 3 4 2 28" xfId="14259" xr:uid="{DCD2DBF1-6304-4325-AF8D-B3878B2ED2B8}"/>
    <cellStyle name="Ergebnis 3 4 2 29" xfId="11850" xr:uid="{36B8E422-3832-4326-860E-583F9DE1784F}"/>
    <cellStyle name="Ergebnis 3 4 2 3" xfId="1427" xr:uid="{79DD957A-9D7E-47F6-9864-722E73E2C745}"/>
    <cellStyle name="Ergebnis 3 4 2 30" xfId="14984" xr:uid="{2F3EBD44-A5EE-4D5B-AAFA-1B649D6D759D}"/>
    <cellStyle name="Ergebnis 3 4 2 31" xfId="14811" xr:uid="{FCF4872C-0331-47CF-BDE4-1E1B701B9016}"/>
    <cellStyle name="Ergebnis 3 4 2 32" xfId="15733" xr:uid="{8AB0CD2B-28A1-41F9-8496-EEE864CF3640}"/>
    <cellStyle name="Ergebnis 3 4 2 33" xfId="16824" xr:uid="{79504158-FEC6-4003-8120-2BF4BE36D346}"/>
    <cellStyle name="Ergebnis 3 4 2 34" xfId="16178" xr:uid="{0E09933A-FC4D-4E49-88B8-9F26665111E0}"/>
    <cellStyle name="Ergebnis 3 4 2 35" xfId="16174" xr:uid="{4692D081-79D4-44EE-AD18-C4F5D23284B1}"/>
    <cellStyle name="Ergebnis 3 4 2 36" xfId="17188" xr:uid="{15AFFCD3-7AAD-47B6-9714-381E913BE7C5}"/>
    <cellStyle name="Ergebnis 3 4 2 37" xfId="18642" xr:uid="{95029DAE-837A-4C80-9F85-3B837A2F54CC}"/>
    <cellStyle name="Ergebnis 3 4 2 38" xfId="18338" xr:uid="{5DA1FD10-3F7C-4176-8524-78E660684688}"/>
    <cellStyle name="Ergebnis 3 4 2 39" xfId="19156" xr:uid="{3901C268-A260-42D8-BA65-2CD8D98DDF07}"/>
    <cellStyle name="Ergebnis 3 4 2 4" xfId="2601" xr:uid="{17CAC0D5-1849-4F0D-B030-F015B2314D56}"/>
    <cellStyle name="Ergebnis 3 4 2 40" xfId="20161" xr:uid="{9D7450D7-985B-4BF0-9FE7-5477080D9A9F}"/>
    <cellStyle name="Ergebnis 3 4 2 41" xfId="19508" xr:uid="{F4631941-8C17-436C-8E63-F541A6226DD9}"/>
    <cellStyle name="Ergebnis 3 4 2 42" xfId="19842" xr:uid="{C0DBA374-3759-4C0C-A7A4-E2D8BBADDF8E}"/>
    <cellStyle name="Ergebnis 3 4 2 43" xfId="21609" xr:uid="{0AF7218C-5B81-4EFE-8FEC-9C6114C382EC}"/>
    <cellStyle name="Ergebnis 3 4 2 44" xfId="20836" xr:uid="{2489CA78-3D5A-4F66-99BA-47AB46594B35}"/>
    <cellStyle name="Ergebnis 3 4 2 45" xfId="20596" xr:uid="{7E1DEFE9-5A7C-40D3-8391-4F10AE68DCD7}"/>
    <cellStyle name="Ergebnis 3 4 2 46" xfId="22601" xr:uid="{2989BA13-D774-4C08-A9E7-9D5FEB4E86AF}"/>
    <cellStyle name="Ergebnis 3 4 2 47" xfId="21764" xr:uid="{01AD671F-F076-47C2-9EB9-A4EA6EA47722}"/>
    <cellStyle name="Ergebnis 3 4 2 48" xfId="22650" xr:uid="{81EDC0C2-631F-4EA6-98CB-4ADD4C19BFE8}"/>
    <cellStyle name="Ergebnis 3 4 2 49" xfId="23961" xr:uid="{8B20914C-8EFC-42C9-9E80-4FF0751A4E5D}"/>
    <cellStyle name="Ergebnis 3 4 2 5" xfId="2758" xr:uid="{C40223B6-48AE-4B6B-983A-E72D2294F2FF}"/>
    <cellStyle name="Ergebnis 3 4 2 50" xfId="24869" xr:uid="{61CAC8A8-3CB2-4A5D-864A-7C3AF0479F8F}"/>
    <cellStyle name="Ergebnis 3 4 2 51" xfId="24224" xr:uid="{DEFE16F6-8B5A-41CE-8AC5-494D0C9B5DDD}"/>
    <cellStyle name="Ergebnis 3 4 2 52" xfId="25785" xr:uid="{C0E6FFCD-D6F6-4EF7-A8AB-1A4A6A596A57}"/>
    <cellStyle name="Ergebnis 3 4 2 53" xfId="25432" xr:uid="{094DA9D0-B86C-4E66-8ED8-5DC6B36CC4A8}"/>
    <cellStyle name="Ergebnis 3 4 2 54" xfId="26721" xr:uid="{E0281803-9D7F-4D05-B1CF-FD7957B627DA}"/>
    <cellStyle name="Ergebnis 3 4 2 55" xfId="27073" xr:uid="{66948167-42AA-41D6-B24A-C65DC38DE8B5}"/>
    <cellStyle name="Ergebnis 3 4 2 56" xfId="27492" xr:uid="{AE26DC99-1099-4897-B4D8-3F1A19E3620C}"/>
    <cellStyle name="Ergebnis 3 4 2 57" xfId="26623" xr:uid="{2D5CEFC3-F8D7-4C98-96C7-EEC1D6204549}"/>
    <cellStyle name="Ergebnis 3 4 2 58" xfId="28619" xr:uid="{87944C7D-C51B-4434-96CC-B5E999FE74E2}"/>
    <cellStyle name="Ergebnis 3 4 2 59" xfId="29086" xr:uid="{43DDD099-DD69-45DD-8482-36C2EEB7B89B}"/>
    <cellStyle name="Ergebnis 3 4 2 6" xfId="3191" xr:uid="{DEDE5AA3-BE3A-4212-B681-848B8326BBF3}"/>
    <cellStyle name="Ergebnis 3 4 2 60" xfId="28222" xr:uid="{D02399A8-DF9F-47B8-A167-348A3CAB0A80}"/>
    <cellStyle name="Ergebnis 3 4 2 61" xfId="29875" xr:uid="{D57DB419-4DCE-497B-B798-E8611E640EC7}"/>
    <cellStyle name="Ergebnis 3 4 2 62" xfId="30281" xr:uid="{B93B5739-0619-41A0-9B85-0D65471B527C}"/>
    <cellStyle name="Ergebnis 3 4 2 63" xfId="30698" xr:uid="{1BB1BA25-24A3-4370-B672-E735E2BEC4AA}"/>
    <cellStyle name="Ergebnis 3 4 2 64" xfId="30619" xr:uid="{0179FD28-A7C2-4933-8A32-0F1A704BAB60}"/>
    <cellStyle name="Ergebnis 3 4 2 65" xfId="31314" xr:uid="{9193C111-BB5D-4B95-9AB5-E0785337801B}"/>
    <cellStyle name="Ergebnis 3 4 2 7" xfId="4097" xr:uid="{B9C44B3B-BBDA-4AFC-AB9F-6C1B6B4AAC41}"/>
    <cellStyle name="Ergebnis 3 4 2 8" xfId="4534" xr:uid="{944040D2-0E9C-40C1-B6C7-53A2B36BAC55}"/>
    <cellStyle name="Ergebnis 3 4 2 9" xfId="5046" xr:uid="{A14B08C0-DCF9-4CA5-981A-F4187E6E5273}"/>
    <cellStyle name="Ergebnis 3 4 20" xfId="10135" xr:uid="{5A54D9C4-CA05-43D7-A91A-A664DD9D90E3}"/>
    <cellStyle name="Ergebnis 3 4 21" xfId="10545" xr:uid="{D23CA299-24C1-403D-A315-D9600BA9D1C5}"/>
    <cellStyle name="Ergebnis 3 4 22" xfId="10479" xr:uid="{251F72A6-7FE2-45AC-9E1D-54007B7DCD05}"/>
    <cellStyle name="Ergebnis 3 4 23" xfId="11165" xr:uid="{1D3174DC-2ED7-43C4-86A1-8BD2332FE186}"/>
    <cellStyle name="Ergebnis 3 4 24" xfId="11917" xr:uid="{857340BC-5F2F-48E7-AF6D-3CE7AC1EFD06}"/>
    <cellStyle name="Ergebnis 3 4 25" xfId="12390" xr:uid="{53DF5AE5-1C78-42DC-956B-A66E195F376F}"/>
    <cellStyle name="Ergebnis 3 4 26" xfId="12824" xr:uid="{CC4F7FA8-B37F-4F4C-98F5-4B6A2B34079B}"/>
    <cellStyle name="Ergebnis 3 4 27" xfId="13261" xr:uid="{9A84F1E0-37A5-42C3-BF88-CC40363B90E8}"/>
    <cellStyle name="Ergebnis 3 4 28" xfId="13174" xr:uid="{7F4494F6-05C5-4EDD-991B-07DAE1001689}"/>
    <cellStyle name="Ergebnis 3 4 29" xfId="14255" xr:uid="{ABCBA4CF-24BF-401E-AFC7-5DE6DF63CD58}"/>
    <cellStyle name="Ergebnis 3 4 3" xfId="1047" xr:uid="{E3E97DB4-C0C9-47D8-B8AB-1A4D08A11A51}"/>
    <cellStyle name="Ergebnis 3 4 30" xfId="14891" xr:uid="{B4D2FFD9-F479-4499-8C51-383EA561B42D}"/>
    <cellStyle name="Ergebnis 3 4 31" xfId="14642" xr:uid="{622832F9-C9DE-4330-9B7F-EC3ACCA9A7D1}"/>
    <cellStyle name="Ergebnis 3 4 32" xfId="15605" xr:uid="{AE3C161C-D0EC-4C9A-8E7D-293D60C8C79D}"/>
    <cellStyle name="Ergebnis 3 4 33" xfId="15929" xr:uid="{10190821-ADD9-4FCB-BC04-0BB6B89EB041}"/>
    <cellStyle name="Ergebnis 3 4 34" xfId="16609" xr:uid="{F244F2D5-87E5-446F-A3F4-B69E294646F8}"/>
    <cellStyle name="Ergebnis 3 4 35" xfId="17254" xr:uid="{A8A21A0C-9454-4172-B101-2776ACB637E0}"/>
    <cellStyle name="Ergebnis 3 4 36" xfId="17698" xr:uid="{AF61B1DD-26E7-44CF-BAD8-A64D21D08EF7}"/>
    <cellStyle name="Ergebnis 3 4 37" xfId="17500" xr:uid="{738C2716-AA9C-4F7D-B929-D3EACB45CA51}"/>
    <cellStyle name="Ergebnis 3 4 38" xfId="18427" xr:uid="{7178606C-D1EC-47F9-8D34-7E0396A55194}"/>
    <cellStyle name="Ergebnis 3 4 39" xfId="18533" xr:uid="{A56AE080-3BE3-4CAF-A8A7-A8BD85DB81F3}"/>
    <cellStyle name="Ergebnis 3 4 4" xfId="1582" xr:uid="{6F0E2FED-52B3-4010-BE52-7AFCEB8F726D}"/>
    <cellStyle name="Ergebnis 3 4 40" xfId="18173" xr:uid="{D6FA14F5-FA2E-455E-9CD8-53A450CE58A1}"/>
    <cellStyle name="Ergebnis 3 4 41" xfId="19946" xr:uid="{6E0A6413-1D90-4911-8248-D3D19EDA97ED}"/>
    <cellStyle name="Ergebnis 3 4 42" xfId="20604" xr:uid="{A57059AE-593D-41BF-BC62-657C8A542982}"/>
    <cellStyle name="Ergebnis 3 4 43" xfId="21059" xr:uid="{7CCFE286-C407-4B9D-BDBB-2870E55EF7B5}"/>
    <cellStyle name="Ergebnis 3 4 44" xfId="21182" xr:uid="{EC751832-CFC2-4867-B6F0-0A4C627FC747}"/>
    <cellStyle name="Ergebnis 3 4 45" xfId="21990" xr:uid="{3CE74E77-3603-4B90-ABBE-F3F251BAB631}"/>
    <cellStyle name="Ergebnis 3 4 46" xfId="22421" xr:uid="{DFBE2350-7B70-403F-9382-51F4F14AE46F}"/>
    <cellStyle name="Ergebnis 3 4 47" xfId="22207" xr:uid="{0529DF27-016D-4CF5-BD89-BF3A8BD3F952}"/>
    <cellStyle name="Ergebnis 3 4 48" xfId="22789" xr:uid="{52F44496-44B4-4349-993C-9FF03099F956}"/>
    <cellStyle name="Ergebnis 3 4 49" xfId="23194" xr:uid="{DE6A5FE4-DA9C-4CA8-82C4-4853FB765FCE}"/>
    <cellStyle name="Ergebnis 3 4 5" xfId="2386" xr:uid="{26B9A721-426C-40D1-8F45-F52A30FB1617}"/>
    <cellStyle name="Ergebnis 3 4 50" xfId="23755" xr:uid="{6FB2B19A-DBED-4C1C-9101-1C449817E764}"/>
    <cellStyle name="Ergebnis 3 4 51" xfId="24654" xr:uid="{16D202D6-30AA-4A09-9589-39F1194DAEAB}"/>
    <cellStyle name="Ergebnis 3 4 52" xfId="25313" xr:uid="{4F8D94C9-8848-44A3-BABC-B3A5CD267C63}"/>
    <cellStyle name="Ergebnis 3 4 53" xfId="25572" xr:uid="{77BBDEFD-041C-49A6-9BCE-AB9C4EB58B2F}"/>
    <cellStyle name="Ergebnis 3 4 54" xfId="24339" xr:uid="{97172BB2-E33B-47FC-8129-4C6AE6D6542A}"/>
    <cellStyle name="Ergebnis 3 4 55" xfId="26717" xr:uid="{6E6AB2E5-4EB1-4E17-BFFF-AF2ACEEEAEA8}"/>
    <cellStyle name="Ergebnis 3 4 56" xfId="26862" xr:uid="{046AC7BD-2A77-4C0C-8D5E-CB53F48ECCD5}"/>
    <cellStyle name="Ergebnis 3 4 57" xfId="27281" xr:uid="{C6BF901B-CDB3-4098-9B19-73EC39DB6A9A}"/>
    <cellStyle name="Ergebnis 3 4 58" xfId="27629" xr:uid="{954B9CA1-6CA0-476B-A96A-866FD6938671}"/>
    <cellStyle name="Ergebnis 3 4 59" xfId="28404" xr:uid="{8EC666B6-E80E-48BF-B0D6-B2E124848CCC}"/>
    <cellStyle name="Ergebnis 3 4 6" xfId="2147" xr:uid="{F10B059A-E109-4BAE-9BD0-9A5FBD6CA250}"/>
    <cellStyle name="Ergebnis 3 4 60" xfId="28872" xr:uid="{7C2F1226-4320-4D25-923A-2A272DDF6D1B}"/>
    <cellStyle name="Ergebnis 3 4 61" xfId="29435" xr:uid="{BB24B6C5-470F-4695-9E8A-3362DB304A3A}"/>
    <cellStyle name="Ergebnis 3 4 62" xfId="29662" xr:uid="{BB97D9AD-9BCA-4E29-A274-8DDF11CF5FA8}"/>
    <cellStyle name="Ergebnis 3 4 63" xfId="30070" xr:uid="{7415CD63-ABC9-4D3D-984A-9CC57A625726}"/>
    <cellStyle name="Ergebnis 3 4 64" xfId="30484" xr:uid="{90DF0000-65E8-4BE7-807F-64ADCCF0C548}"/>
    <cellStyle name="Ergebnis 3 4 65" xfId="28764" xr:uid="{FFB7CBE6-99C9-4231-BDCB-FE20095F0DBB}"/>
    <cellStyle name="Ergebnis 3 4 66" xfId="31108" xr:uid="{9FE0573A-7A79-49CD-A3EE-C349AB58C9FC}"/>
    <cellStyle name="Ergebnis 3 4 7" xfId="2913" xr:uid="{A32C11D7-9071-49CB-A6B5-57904AF41744}"/>
    <cellStyle name="Ergebnis 3 4 8" xfId="3882" xr:uid="{7E22A4D5-E526-4A5A-8C81-C38A9ACEF94C}"/>
    <cellStyle name="Ergebnis 3 4 9" xfId="4320" xr:uid="{EE3C14D2-94E6-4BD4-9726-6BBE9E7703A6}"/>
    <cellStyle name="Ergebnis 3 40" xfId="24208" xr:uid="{57EBF587-5383-4745-89A6-C6E846F478E5}"/>
    <cellStyle name="Ergebnis 3 41" xfId="25148" xr:uid="{CA6D2E07-C46D-4197-BF46-D8D819764BA1}"/>
    <cellStyle name="Ergebnis 3 42" xfId="24392" xr:uid="{5AF1E226-4700-4B39-B3D6-6DF5C076DA72}"/>
    <cellStyle name="Ergebnis 3 43" xfId="24129" xr:uid="{890FBEF8-9132-4A8A-8C4C-64B73E7FC561}"/>
    <cellStyle name="Ergebnis 3 44" xfId="24116" xr:uid="{FE7F4CB8-EFFA-488D-8ADE-31724E0F82C9}"/>
    <cellStyle name="Ergebnis 3 45" xfId="26454" xr:uid="{D3939282-4053-4603-8C39-46AF11DEA7CE}"/>
    <cellStyle name="Ergebnis 3 46" xfId="28161" xr:uid="{BE9CA136-434A-4056-AF1B-2817DE8167B8}"/>
    <cellStyle name="Ergebnis 3 47" xfId="28262" xr:uid="{6C06CDFB-E06A-45A3-9AAA-E97238CA0EF2}"/>
    <cellStyle name="Ergebnis 3 48" xfId="29281" xr:uid="{562BAE1F-C873-45ED-B270-7B1546541E5D}"/>
    <cellStyle name="Ergebnis 3 49" xfId="29280" xr:uid="{D94FD2ED-15ED-4662-A46C-371C492B36A0}"/>
    <cellStyle name="Ergebnis 3 5" xfId="703" xr:uid="{E9F684B1-1AF1-42D2-AD5E-5BEA3BD4E0AC}"/>
    <cellStyle name="Ergebnis 3 5 10" xfId="5351" xr:uid="{CAE8E97E-F37A-4092-AAA8-AAA21D5BBEDF}"/>
    <cellStyle name="Ergebnis 3 5 11" xfId="5105" xr:uid="{C0F9BC9A-DBF9-42DF-8F43-C000051044B0}"/>
    <cellStyle name="Ergebnis 3 5 12" xfId="6249" xr:uid="{90858605-39C9-49B4-B7DF-E1DAA12F0417}"/>
    <cellStyle name="Ergebnis 3 5 13" xfId="6598" xr:uid="{B0C66F37-F92A-42B0-AA8B-39FE386FA90F}"/>
    <cellStyle name="Ergebnis 3 5 14" xfId="7423" xr:uid="{B90D9FEC-86ED-43DC-A409-C58BC45737DB}"/>
    <cellStyle name="Ergebnis 3 5 15" xfId="7105" xr:uid="{E56C5D58-A24F-450E-BF9A-F40B8EBB8682}"/>
    <cellStyle name="Ergebnis 3 5 16" xfId="8587" xr:uid="{98F3FB48-E690-4162-ABDB-A53E63B91070}"/>
    <cellStyle name="Ergebnis 3 5 17" xfId="6873" xr:uid="{DFD5F108-DA05-4091-B690-7D0472E81B64}"/>
    <cellStyle name="Ergebnis 3 5 18" xfId="9637" xr:uid="{56273A5D-EA48-44AF-8969-619DC0F09551}"/>
    <cellStyle name="Ergebnis 3 5 19" xfId="9191" xr:uid="{BC7FF61D-C7A0-4739-9545-6836992D542A}"/>
    <cellStyle name="Ergebnis 3 5 2" xfId="1178" xr:uid="{8DC4AB8B-5056-40A4-92BF-9EE09F04D0B8}"/>
    <cellStyle name="Ergebnis 3 5 20" xfId="8955" xr:uid="{A858BF8A-D3D5-4AF7-A81B-7D7C0C292677}"/>
    <cellStyle name="Ergebnis 3 5 21" xfId="10958" xr:uid="{9AB737E0-4BD1-4574-871B-AA86B1E5F342}"/>
    <cellStyle name="Ergebnis 3 5 22" xfId="10623" xr:uid="{35524508-7BD9-4DF5-941B-84D9F2FEE33A}"/>
    <cellStyle name="Ergebnis 3 5 23" xfId="12056" xr:uid="{C3DE2255-0FEC-4ACC-B0A0-4C5706A1C78A}"/>
    <cellStyle name="Ergebnis 3 5 24" xfId="12529" xr:uid="{55317E54-7AC9-4DB9-A2C5-9D62D1CDA2A4}"/>
    <cellStyle name="Ergebnis 3 5 25" xfId="12963" xr:uid="{B33A8177-33A8-4E02-9E89-34A36E6D2EDD}"/>
    <cellStyle name="Ergebnis 3 5 26" xfId="13400" xr:uid="{A12B9F17-EFD7-45E1-994D-02C2F3BFAAD3}"/>
    <cellStyle name="Ergebnis 3 5 27" xfId="13907" xr:uid="{9069EF28-0130-489B-8EA3-0E5AE19580BB}"/>
    <cellStyle name="Ergebnis 3 5 28" xfId="14132" xr:uid="{C15EEC2D-F827-4A80-BCD2-D1C142B5CEC9}"/>
    <cellStyle name="Ergebnis 3 5 29" xfId="12770" xr:uid="{E6F44EB4-A59D-4162-B0EE-AF2F1157D921}"/>
    <cellStyle name="Ergebnis 3 5 3" xfId="1539" xr:uid="{A9EEA9FB-A935-4E89-8CE1-BF9F5A1A5850}"/>
    <cellStyle name="Ergebnis 3 5 30" xfId="14956" xr:uid="{C93DA9FE-C3D4-423C-98FC-F8C000E4C03A}"/>
    <cellStyle name="Ergebnis 3 5 31" xfId="15107" xr:uid="{4D928868-C78B-42BD-A8C5-0925B221E8D7}"/>
    <cellStyle name="Ergebnis 3 5 32" xfId="14604" xr:uid="{A815D087-1DCF-4476-A5BF-E36FE6D7F464}"/>
    <cellStyle name="Ergebnis 3 5 33" xfId="16748" xr:uid="{92A39282-D680-40A7-B7D1-21909403D413}"/>
    <cellStyle name="Ergebnis 3 5 34" xfId="16427" xr:uid="{9EDCE178-C92D-42CB-943B-C123F335CC8B}"/>
    <cellStyle name="Ergebnis 3 5 35" xfId="16997" xr:uid="{00D4534B-C87D-4E31-8730-C89F6FC89382}"/>
    <cellStyle name="Ergebnis 3 5 36" xfId="16448" xr:uid="{87DCDB02-5861-4174-9E3C-188964188DF0}"/>
    <cellStyle name="Ergebnis 3 5 37" xfId="18566" xr:uid="{920DC816-D5AE-4445-999D-01603C11A59B}"/>
    <cellStyle name="Ergebnis 3 5 38" xfId="18562" xr:uid="{0E62D7BD-388D-4D06-A2CF-F586FB95A0ED}"/>
    <cellStyle name="Ergebnis 3 5 39" xfId="19191" xr:uid="{E86F62BE-0C16-46CA-8240-AAE04142C18B}"/>
    <cellStyle name="Ergebnis 3 5 4" xfId="2525" xr:uid="{1F4BED3E-8666-4209-8356-654500603589}"/>
    <cellStyle name="Ergebnis 3 5 40" xfId="20085" xr:uid="{2F044D35-77F2-47E6-B893-DBD1C73B0B21}"/>
    <cellStyle name="Ergebnis 3 5 41" xfId="19759" xr:uid="{021813EB-3B83-47C4-ACEB-A77D7B209FFD}"/>
    <cellStyle name="Ergebnis 3 5 42" xfId="20659" xr:uid="{08FBA487-EAD7-476D-B0C2-6EBC61306338}"/>
    <cellStyle name="Ergebnis 3 5 43" xfId="20545" xr:uid="{E66AB88B-50AE-4875-816C-F5D3D2AF844C}"/>
    <cellStyle name="Ergebnis 3 5 44" xfId="21284" xr:uid="{A86224F1-EB1F-478E-8026-093F31D6CB39}"/>
    <cellStyle name="Ergebnis 3 5 45" xfId="20635" xr:uid="{BC96DC94-F373-4AEB-9AC5-941CF3F8526E}"/>
    <cellStyle name="Ergebnis 3 5 46" xfId="22887" xr:uid="{06DAC5DC-33C5-4ACD-831E-EDADF0C260CD}"/>
    <cellStyle name="Ergebnis 3 5 47" xfId="22666" xr:uid="{7E415A86-D1A1-47C4-BD7B-BF2414ABCF16}"/>
    <cellStyle name="Ergebnis 3 5 48" xfId="23516" xr:uid="{78FE33D7-708C-4EAA-98BD-CF017CEE35CF}"/>
    <cellStyle name="Ergebnis 3 5 49" xfId="23886" xr:uid="{DB562049-BF0C-4813-82C9-AB0A4DEE390C}"/>
    <cellStyle name="Ergebnis 3 5 5" xfId="3075" xr:uid="{9A530073-A118-4FC3-9816-85D9FF374A40}"/>
    <cellStyle name="Ergebnis 3 5 50" xfId="24793" xr:uid="{1A8ABF60-6A16-46D8-B13F-5DCFD0FCEAC3}"/>
    <cellStyle name="Ergebnis 3 5 51" xfId="24984" xr:uid="{AE587B26-C059-4E1A-ACBF-7AA07BD410B0}"/>
    <cellStyle name="Ergebnis 3 5 52" xfId="25709" xr:uid="{AF80FD15-BFAE-4A87-BB52-0C7D50B25A98}"/>
    <cellStyle name="Ergebnis 3 5 53" xfId="26191" xr:uid="{C5C0077E-1C4E-4C2D-AD44-9FDA4D7EC524}"/>
    <cellStyle name="Ergebnis 3 5 54" xfId="26668" xr:uid="{C72942CB-6CD4-498D-98FA-7A73CDC32463}"/>
    <cellStyle name="Ergebnis 3 5 55" xfId="26997" xr:uid="{A4DAEB0C-1408-4CFB-ABEE-BB143B8C177C}"/>
    <cellStyle name="Ergebnis 3 5 56" xfId="27416" xr:uid="{ECDC674B-E617-49BC-AD80-FF489CB035AB}"/>
    <cellStyle name="Ergebnis 3 5 57" xfId="27759" xr:uid="{BA3B6F1A-1106-465D-A2E5-EEC1E749CB86}"/>
    <cellStyle name="Ergebnis 3 5 58" xfId="28543" xr:uid="{0A4DA060-8BCA-4636-BACD-3E94ABCEB822}"/>
    <cellStyle name="Ergebnis 3 5 59" xfId="29010" xr:uid="{3C17CB14-2673-4D49-A1A7-4BBC9ADAA9F9}"/>
    <cellStyle name="Ergebnis 3 5 6" xfId="3014" xr:uid="{D0C92806-6203-4D9D-A6D6-D57947B94428}"/>
    <cellStyle name="Ergebnis 3 5 60" xfId="28180" xr:uid="{E445B366-0AE0-4C2E-BDEE-2A4A7A420C5A}"/>
    <cellStyle name="Ergebnis 3 5 61" xfId="29800" xr:uid="{D703EA00-7368-4FF2-ADD4-170A7269D660}"/>
    <cellStyle name="Ergebnis 3 5 62" xfId="30206" xr:uid="{537A0BA7-06DC-4CC1-8F64-4BA210D9E89F}"/>
    <cellStyle name="Ergebnis 3 5 63" xfId="30622" xr:uid="{FA3E9BD0-8F74-4289-9728-0969F0D67C9D}"/>
    <cellStyle name="Ergebnis 3 5 64" xfId="30939" xr:uid="{C812A4E7-CA88-438E-815A-A20E5EB925F2}"/>
    <cellStyle name="Ergebnis 3 5 65" xfId="31239" xr:uid="{B33B456A-C175-4853-8AAD-C50DA6EA9D47}"/>
    <cellStyle name="Ergebnis 3 5 7" xfId="4021" xr:uid="{3D8ED432-D35C-4691-A969-9A62B2C0150D}"/>
    <cellStyle name="Ergebnis 3 5 8" xfId="4458" xr:uid="{38CF7C74-D6E9-420C-86AD-8C8E66190C8D}"/>
    <cellStyle name="Ergebnis 3 5 9" xfId="4917" xr:uid="{DAB59CDB-8CC5-491D-BB5F-A9BF6BDAC58C}"/>
    <cellStyle name="Ergebnis 3 50" xfId="28043" xr:uid="{314E6762-DCD6-4B4B-B536-6144EB06FDBD}"/>
    <cellStyle name="Ergebnis 3 51" xfId="27891" xr:uid="{6E4E919F-4FAB-4026-9CF1-A1947EF6C0D9}"/>
    <cellStyle name="Ergebnis 3 6" xfId="961" xr:uid="{75EBB351-6DD1-4F6B-8386-8E0F964B9DFC}"/>
    <cellStyle name="Ergebnis 3 7" xfId="2110" xr:uid="{4830E0A5-893D-4F57-AD40-5C85C7D8AD58}"/>
    <cellStyle name="Ergebnis 3 8" xfId="2075" xr:uid="{BB055321-BA87-447B-ACFC-7EFF20027B6A}"/>
    <cellStyle name="Ergebnis 3 9" xfId="3519" xr:uid="{B3DD4133-C754-4C00-ACB7-4891AA6E7B90}"/>
    <cellStyle name="Ergebnis 4" xfId="553" xr:uid="{45F2BA37-7815-4AD1-8292-AEA357DB24C4}"/>
    <cellStyle name="Ergebnis 4 10" xfId="4825" xr:uid="{476A1B07-03F8-40C0-9FEF-1D3C36850212}"/>
    <cellStyle name="Ergebnis 4 11" xfId="5201" xr:uid="{F2513CCD-2D5B-4119-ACB1-04E883520776}"/>
    <cellStyle name="Ergebnis 4 12" xfId="5543" xr:uid="{E39EFEEF-0A5B-4933-A135-FAF132B05C0D}"/>
    <cellStyle name="Ergebnis 4 13" xfId="5610" xr:uid="{4BB7A7A5-74AC-45AF-888C-E0E4FD3D683D}"/>
    <cellStyle name="Ergebnis 4 14" xfId="6699" xr:uid="{EF9E4B8E-B96A-4BF7-821D-154669B30057}"/>
    <cellStyle name="Ergebnis 4 15" xfId="7273" xr:uid="{A32C42A5-F432-4344-8885-0E5B0A8A1777}"/>
    <cellStyle name="Ergebnis 4 16" xfId="8039" xr:uid="{17CF30AB-121B-4683-8BF6-CE372D2242C8}"/>
    <cellStyle name="Ergebnis 4 17" xfId="7899" xr:uid="{BB2C322D-02D3-4594-893D-0CE8D8457449}"/>
    <cellStyle name="Ergebnis 4 18" xfId="8912" xr:uid="{59B0BB4D-82C4-4070-B88E-9402CFD1D5FB}"/>
    <cellStyle name="Ergebnis 4 19" xfId="9487" xr:uid="{E8D070CB-0B55-4EB5-A09E-0D8687A15B82}"/>
    <cellStyle name="Ergebnis 4 2" xfId="768" xr:uid="{2DC466D7-2721-4027-87E5-C9845C845E3A}"/>
    <cellStyle name="Ergebnis 4 2 10" xfId="5416" xr:uid="{24FB1B57-7E7F-4DA0-9A4B-3F55C1916A8B}"/>
    <cellStyle name="Ergebnis 4 2 11" xfId="4924" xr:uid="{48B49703-B742-446E-9AFE-1ACC2C78E039}"/>
    <cellStyle name="Ergebnis 4 2 12" xfId="5134" xr:uid="{3C48F6D6-E5B2-4167-B046-3B12E5C11F5C}"/>
    <cellStyle name="Ergebnis 4 2 13" xfId="6127" xr:uid="{B548A423-06E8-4337-A1B5-1D44A8A37BDB}"/>
    <cellStyle name="Ergebnis 4 2 14" xfId="7488" xr:uid="{3DEE1756-7908-4365-9C0A-22D0D96627A1}"/>
    <cellStyle name="Ergebnis 4 2 15" xfId="7198" xr:uid="{CAA13810-BC41-4150-81C5-22C9E81C60F4}"/>
    <cellStyle name="Ergebnis 4 2 16" xfId="6743" xr:uid="{72412AD6-856C-4B6D-BC8A-95A11CA2B47E}"/>
    <cellStyle name="Ergebnis 4 2 17" xfId="8880" xr:uid="{FB9F549D-6130-4CEA-8014-2CE32BB0952F}"/>
    <cellStyle name="Ergebnis 4 2 18" xfId="9702" xr:uid="{47E3BF21-72A3-40DF-8681-20D6B1900A11}"/>
    <cellStyle name="Ergebnis 4 2 19" xfId="9411" xr:uid="{A3907154-16ED-4608-818A-CBAA4A5916C1}"/>
    <cellStyle name="Ergebnis 4 2 2" xfId="1242" xr:uid="{72C9361E-2834-4592-88F4-A976C5B64ED8}"/>
    <cellStyle name="Ergebnis 4 2 20" xfId="10087" xr:uid="{13497420-945B-4FDD-9D45-CD762DF34330}"/>
    <cellStyle name="Ergebnis 4 2 21" xfId="9357" xr:uid="{F7971497-3F5B-4A57-8AA4-95849A73ADB3}"/>
    <cellStyle name="Ergebnis 4 2 22" xfId="9345" xr:uid="{9D107F96-CD6A-4D55-9044-0C09CD8A4C57}"/>
    <cellStyle name="Ergebnis 4 2 23" xfId="12121" xr:uid="{9C466695-DB4B-47BB-8234-E2FAE007367E}"/>
    <cellStyle name="Ergebnis 4 2 24" xfId="12594" xr:uid="{B714C4EE-5CCC-4DEC-BDE0-5CAAB5DFE890}"/>
    <cellStyle name="Ergebnis 4 2 25" xfId="13028" xr:uid="{0AD58E35-5653-4721-BC9D-1AB91F219064}"/>
    <cellStyle name="Ergebnis 4 2 26" xfId="13465" xr:uid="{0B4F5B64-D602-4702-B4D5-A7053F625BB9}"/>
    <cellStyle name="Ergebnis 4 2 27" xfId="11566" xr:uid="{C9607157-1C51-4C94-BF3B-C1770C8C3320}"/>
    <cellStyle name="Ergebnis 4 2 28" xfId="13664" xr:uid="{256AF1FC-A66C-44DC-9574-9C8F04AD479A}"/>
    <cellStyle name="Ergebnis 4 2 29" xfId="11718" xr:uid="{74FFC96C-887A-4371-95F4-B6E5D2C31C82}"/>
    <cellStyle name="Ergebnis 4 2 3" xfId="1433" xr:uid="{E691D428-BFF2-4747-A950-D91606D4D468}"/>
    <cellStyle name="Ergebnis 4 2 30" xfId="14660" xr:uid="{3E3E149E-5452-4766-9694-55CF8CDD4F6F}"/>
    <cellStyle name="Ergebnis 4 2 31" xfId="14414" xr:uid="{F40EAF01-6036-48F3-8ED8-D56BFA4F36B7}"/>
    <cellStyle name="Ergebnis 4 2 32" xfId="14649" xr:uid="{CC540FBB-9FC6-413D-8447-023E0D7A0B3C}"/>
    <cellStyle name="Ergebnis 4 2 33" xfId="16813" xr:uid="{10DC7C3D-86CC-40A3-82B9-EFD8097356D0}"/>
    <cellStyle name="Ergebnis 4 2 34" xfId="16520" xr:uid="{2C5D0EAD-D439-4E87-AFA8-4E59E916499C}"/>
    <cellStyle name="Ergebnis 4 2 35" xfId="17205" xr:uid="{1170DCEA-62E5-45B9-90A6-C53833AC8113}"/>
    <cellStyle name="Ergebnis 4 2 36" xfId="17534" xr:uid="{16B20D1B-7448-4D5B-B5E2-8CA842A25871}"/>
    <cellStyle name="Ergebnis 4 2 37" xfId="18631" xr:uid="{D0858DFB-0E00-47A1-A437-242E2794419B}"/>
    <cellStyle name="Ergebnis 4 2 38" xfId="19053" xr:uid="{99ED2A36-C729-4F12-84D3-47393B929112}"/>
    <cellStyle name="Ergebnis 4 2 39" xfId="17372" xr:uid="{441CBF9A-33CD-4EC4-9714-0F5774A63359}"/>
    <cellStyle name="Ergebnis 4 2 4" xfId="2590" xr:uid="{2A7C8A72-9B84-400C-BD6D-F97433EF8DFC}"/>
    <cellStyle name="Ergebnis 4 2 40" xfId="20150" xr:uid="{22EF56D4-B6CD-4CA4-BDD4-6E5575ED84F3}"/>
    <cellStyle name="Ergebnis 4 2 41" xfId="19856" xr:uid="{79D41FF5-3816-4D05-A7F8-BB5E6E12F29E}"/>
    <cellStyle name="Ergebnis 4 2 42" xfId="19563" xr:uid="{C8C301E0-D594-453D-9C1F-F0A966E355D4}"/>
    <cellStyle name="Ergebnis 4 2 43" xfId="20658" xr:uid="{81E4C356-AC87-4525-B878-B7B5B70868DA}"/>
    <cellStyle name="Ergebnis 4 2 44" xfId="21399" xr:uid="{7F1D3D8E-20EA-4E68-9A2A-FBCF35D3DE6D}"/>
    <cellStyle name="Ergebnis 4 2 45" xfId="21598" xr:uid="{2E5A4FD6-772F-406D-BBB1-0938487582D7}"/>
    <cellStyle name="Ergebnis 4 2 46" xfId="20813" xr:uid="{81741841-D622-4807-A294-A74E354BA4CE}"/>
    <cellStyle name="Ergebnis 4 2 47" xfId="23331" xr:uid="{6673E49A-3749-4727-8830-7D24B64A957E}"/>
    <cellStyle name="Ergebnis 4 2 48" xfId="23341" xr:uid="{28955F4C-EF96-4D8E-AC19-D74D5F2B5315}"/>
    <cellStyle name="Ergebnis 4 2 49" xfId="23950" xr:uid="{E42B49ED-4363-4AB9-BC98-5D463B64C87A}"/>
    <cellStyle name="Ergebnis 4 2 5" xfId="2001" xr:uid="{0FFDAC65-BEB2-40C3-BF48-195FFB2D3F78}"/>
    <cellStyle name="Ergebnis 4 2 50" xfId="24858" xr:uid="{904A1A7B-0E44-4C35-B874-C73411DFD297}"/>
    <cellStyle name="Ergebnis 4 2 51" xfId="24551" xr:uid="{372A23CE-A8A3-4B44-B7CC-841C4AD41ACB}"/>
    <cellStyle name="Ergebnis 4 2 52" xfId="25774" xr:uid="{EE598586-BF68-4EC5-86F9-CE67C1DDA649}"/>
    <cellStyle name="Ergebnis 4 2 53" xfId="25400" xr:uid="{AED87604-E033-4448-9443-0A1B6A577655}"/>
    <cellStyle name="Ergebnis 4 2 54" xfId="26293" xr:uid="{9B143243-7EC3-46DB-A55F-E498C507821E}"/>
    <cellStyle name="Ergebnis 4 2 55" xfId="27062" xr:uid="{9F541240-F3D7-4933-A9F4-CB5B6CF9D851}"/>
    <cellStyle name="Ergebnis 4 2 56" xfId="27481" xr:uid="{E1E16C23-1AFF-48CB-A5EC-32B442B5554A}"/>
    <cellStyle name="Ergebnis 4 2 57" xfId="27203" xr:uid="{5DDF061E-2A5C-4AE3-8061-AC78C1DEEF97}"/>
    <cellStyle name="Ergebnis 4 2 58" xfId="28608" xr:uid="{C6FA2F6E-7444-4B32-ACAE-2FFD8451E7CC}"/>
    <cellStyle name="Ergebnis 4 2 59" xfId="29075" xr:uid="{8A91AACD-DE6D-4C01-99E3-F59E42AA83B9}"/>
    <cellStyle name="Ergebnis 4 2 6" xfId="2834" xr:uid="{4395274E-5935-424E-BFF8-D0121F4D052C}"/>
    <cellStyle name="Ergebnis 4 2 60" xfId="28097" xr:uid="{1A2110CA-CE8F-413A-9D3F-EB8CF9EEF0C7}"/>
    <cellStyle name="Ergebnis 4 2 61" xfId="29864" xr:uid="{44F861D0-DBF9-40E5-9741-5DD5B852C6D0}"/>
    <cellStyle name="Ergebnis 4 2 62" xfId="30270" xr:uid="{0F9C933F-5AA6-4D9B-BA12-BF02C6DE6852}"/>
    <cellStyle name="Ergebnis 4 2 63" xfId="30687" xr:uid="{2413D833-D951-4BBB-A916-8BBB8F413AED}"/>
    <cellStyle name="Ergebnis 4 2 64" xfId="30404" xr:uid="{E30724A4-AA4B-44BF-85D4-57CAB5FBA128}"/>
    <cellStyle name="Ergebnis 4 2 65" xfId="31303" xr:uid="{F6D59544-09A4-4182-8004-2DD7EDF58521}"/>
    <cellStyle name="Ergebnis 4 2 7" xfId="4086" xr:uid="{0082D409-9C97-452F-86F1-3C435B350F0C}"/>
    <cellStyle name="Ergebnis 4 2 8" xfId="4523" xr:uid="{7B67F1D7-951C-4784-8DDF-71FDF4BA2D62}"/>
    <cellStyle name="Ergebnis 4 2 9" xfId="2028" xr:uid="{A1FE548F-6818-4D80-8A9A-2D219AA37D4C}"/>
    <cellStyle name="Ergebnis 4 20" xfId="10258" xr:uid="{32B9BF72-FC29-4DE0-9C74-1E2CC12E23AD}"/>
    <cellStyle name="Ergebnis 4 21" xfId="10651" xr:uid="{1E99D002-DB16-435A-9D59-368A6B5D618A}"/>
    <cellStyle name="Ergebnis 4 22" xfId="11004" xr:uid="{829E0147-B393-4E48-8FFE-D89773C047FD}"/>
    <cellStyle name="Ergebnis 4 23" xfId="11316" xr:uid="{4BAB9E33-16BF-4566-B3A0-715860B17838}"/>
    <cellStyle name="Ergebnis 4 24" xfId="11906" xr:uid="{B57891DE-1C77-47F5-B4FE-87129DEEF797}"/>
    <cellStyle name="Ergebnis 4 25" xfId="12379" xr:uid="{1612DB61-21B4-4770-9135-DF5748B19B79}"/>
    <cellStyle name="Ergebnis 4 26" xfId="12813" xr:uid="{52D1C17D-AD63-47DB-8FE7-582EB4F8D67A}"/>
    <cellStyle name="Ergebnis 4 27" xfId="13250" xr:uid="{85252197-CFFB-44B6-ABDC-422EFEE45598}"/>
    <cellStyle name="Ergebnis 4 28" xfId="14023" xr:uid="{CA2ABFF4-1F5C-4F5C-B800-7EF6056946C2}"/>
    <cellStyle name="Ergebnis 4 29" xfId="13707" xr:uid="{2007CE7C-7744-4ACF-BCE8-E662BA79BBEE}"/>
    <cellStyle name="Ergebnis 4 3" xfId="1036" xr:uid="{639E79CB-3ACA-41A6-969D-F0FE174DDDD1}"/>
    <cellStyle name="Ergebnis 4 30" xfId="14794" xr:uid="{96F1FE7C-6A10-430E-9AA4-91DE45F9CC0C}"/>
    <cellStyle name="Ergebnis 4 31" xfId="11577" xr:uid="{3E4B87D3-733D-4621-ACF5-59AC833D5487}"/>
    <cellStyle name="Ergebnis 4 32" xfId="15767" xr:uid="{F9A91D98-366C-4050-93C7-310951633AF9}"/>
    <cellStyle name="Ergebnis 4 33" xfId="15992" xr:uid="{A62CA5EA-9C8F-435E-85D1-9D10C0211E6E}"/>
    <cellStyle name="Ergebnis 4 34" xfId="16598" xr:uid="{98B795C7-60C4-4347-B768-E3089B0AC137}"/>
    <cellStyle name="Ergebnis 4 35" xfId="17380" xr:uid="{D3ABF139-5BA6-44B2-8462-03B4CAC2FEBA}"/>
    <cellStyle name="Ergebnis 4 36" xfId="17822" xr:uid="{2FCCB22A-30D7-42B6-BD7B-9AB70B44FA14}"/>
    <cellStyle name="Ergebnis 4 37" xfId="18298" xr:uid="{694B0BA4-1FAA-4264-8089-92C9B5042D36}"/>
    <cellStyle name="Ergebnis 4 38" xfId="18416" xr:uid="{3B2B5F78-EB47-4A88-A041-E4F12A56D92A}"/>
    <cellStyle name="Ergebnis 4 39" xfId="19109" xr:uid="{6773AB34-A394-43AD-B153-26553473FC64}"/>
    <cellStyle name="Ergebnis 4 4" xfId="1674" xr:uid="{321300C9-FC4F-4B69-9640-6F5F060FEF2F}"/>
    <cellStyle name="Ergebnis 4 40" xfId="19341" xr:uid="{B2D13FCC-1AD0-496D-AFD3-AAAA88ABC5BD}"/>
    <cellStyle name="Ergebnis 4 41" xfId="19935" xr:uid="{E8C25C9B-5774-4B85-B560-C6FA4271A3EB}"/>
    <cellStyle name="Ergebnis 4 42" xfId="20729" xr:uid="{FCE45FE2-7D11-4DD2-BC3A-D15D085E630E}"/>
    <cellStyle name="Ergebnis 4 43" xfId="21188" xr:uid="{34E7C6D3-AC77-4A09-8F9F-D6F19190B092}"/>
    <cellStyle name="Ergebnis 4 44" xfId="21680" xr:uid="{8455CAA5-32FE-4C13-A50F-150CDE88949C}"/>
    <cellStyle name="Ergebnis 4 45" xfId="22119" xr:uid="{6D9C9288-B8E2-4870-9647-715BA952A9B3}"/>
    <cellStyle name="Ergebnis 4 46" xfId="22546" xr:uid="{6D0752CC-3E79-4E9B-BADF-75F63EA6D41E}"/>
    <cellStyle name="Ergebnis 4 47" xfId="22992" xr:uid="{15AD3C93-5CA2-4EEC-A6EB-22D64ACA6A29}"/>
    <cellStyle name="Ergebnis 4 48" xfId="23396" xr:uid="{387ABE72-3D40-475A-9393-4DB4A801AA33}"/>
    <cellStyle name="Ergebnis 4 49" xfId="23662" xr:uid="{4D45067D-2175-4F55-8F5E-AD05D375A67B}"/>
    <cellStyle name="Ergebnis 4 5" xfId="2375" xr:uid="{C544EC4E-4417-4F3E-A38D-0EDDF300F518}"/>
    <cellStyle name="Ergebnis 4 50" xfId="23744" xr:uid="{D6BB8F21-53F7-4F9B-8454-9B52C587231E}"/>
    <cellStyle name="Ergebnis 4 51" xfId="24643" xr:uid="{C12088EF-F688-402D-9D96-6F5FB44D3346}"/>
    <cellStyle name="Ergebnis 4 52" xfId="25434" xr:uid="{7ECC891D-306D-4AAA-BC6B-0FA1763BF8FE}"/>
    <cellStyle name="Ergebnis 4 53" xfId="25561" xr:uid="{4CE704EC-8673-4980-8324-A6D5E1ADC12B}"/>
    <cellStyle name="Ergebnis 4 54" xfId="26300" xr:uid="{2F88FBB3-4511-4CDE-A6FE-6BC236D8FE9E}"/>
    <cellStyle name="Ergebnis 4 55" xfId="25092" xr:uid="{54149791-5426-44E4-95C1-41FA0EC4AB94}"/>
    <cellStyle name="Ergebnis 4 56" xfId="26851" xr:uid="{E43351F8-FA0D-48C7-9E60-B70637D28E85}"/>
    <cellStyle name="Ergebnis 4 57" xfId="27270" xr:uid="{DB70A47F-99BA-44FA-BBBF-A2B4FAFBCD9A}"/>
    <cellStyle name="Ergebnis 4 58" xfId="27615" xr:uid="{C88CFF48-47FD-4CD2-8416-BED468EBB1F1}"/>
    <cellStyle name="Ergebnis 4 59" xfId="28393" xr:uid="{F34E7256-4779-4648-8E8A-98FF5F686375}"/>
    <cellStyle name="Ergebnis 4 6" xfId="3196" xr:uid="{EDF514C8-47ED-4E78-8462-9610ABA3E2AB}"/>
    <cellStyle name="Ergebnis 4 60" xfId="28861" xr:uid="{BB660E7F-82F6-4110-ADC5-125313F81B94}"/>
    <cellStyle name="Ergebnis 4 61" xfId="29543" xr:uid="{86E98CEE-38FE-4CB1-8C31-406DB8B25872}"/>
    <cellStyle name="Ergebnis 4 62" xfId="29651" xr:uid="{0F233971-4289-460E-97BB-D2D5D745F475}"/>
    <cellStyle name="Ergebnis 4 63" xfId="30059" xr:uid="{F7A151FF-AF8B-45E9-9EDF-232033737691}"/>
    <cellStyle name="Ergebnis 4 64" xfId="30473" xr:uid="{616A2D64-3E99-4113-91DA-2A0A698A60C2}"/>
    <cellStyle name="Ergebnis 4 65" xfId="30877" xr:uid="{B6A05500-01AF-4EA7-9C72-A3057D47F2CA}"/>
    <cellStyle name="Ergebnis 4 66" xfId="31097" xr:uid="{228739B8-9EAC-45BE-BA29-7C963A893A95}"/>
    <cellStyle name="Ergebnis 4 7" xfId="3013" xr:uid="{CC5092EE-4B5C-4A60-984A-4657988E0632}"/>
    <cellStyle name="Ergebnis 4 8" xfId="3871" xr:uid="{0D01D34E-4D38-4547-B948-ADA0B8C4EC0A}"/>
    <cellStyle name="Ergebnis 4 9" xfId="4309" xr:uid="{03BF1FA3-8F13-441F-8417-C164162094F1}"/>
    <cellStyle name="Ergebnis 5" xfId="627" xr:uid="{415E1329-B024-4A6B-829F-74950D0644E8}"/>
    <cellStyle name="Ergebnis 5 10" xfId="4787" xr:uid="{DB63B1F1-DA8D-48C6-9287-DC1E4F96FD78}"/>
    <cellStyle name="Ergebnis 5 11" xfId="5275" xr:uid="{E266C72E-9821-4649-998B-3D643065AD2C}"/>
    <cellStyle name="Ergebnis 5 12" xfId="5752" xr:uid="{E3998522-D85C-4F3B-83FE-79C512E9D458}"/>
    <cellStyle name="Ergebnis 5 13" xfId="5157" xr:uid="{25BFAABC-FF71-4D46-98EF-A9EE835117C9}"/>
    <cellStyle name="Ergebnis 5 14" xfId="6121" xr:uid="{B3321FE9-6AF9-4133-A43F-0129F91C8017}"/>
    <cellStyle name="Ergebnis 5 15" xfId="7347" xr:uid="{DA5E8530-94B4-41C0-82B7-3BD434A1A993}"/>
    <cellStyle name="Ergebnis 5 16" xfId="7939" xr:uid="{33FC369C-A970-45E1-AEBE-20F0F288EA57}"/>
    <cellStyle name="Ergebnis 5 17" xfId="7950" xr:uid="{61DCDDB2-04D6-4858-853A-71D8439B159D}"/>
    <cellStyle name="Ergebnis 5 18" xfId="8222" xr:uid="{CCCEE9AB-1B8E-4B5F-B09A-51BFA6DC05AF}"/>
    <cellStyle name="Ergebnis 5 19" xfId="9561" xr:uid="{596486B0-0AB5-486A-A4BF-B0A93BF5F32D}"/>
    <cellStyle name="Ergebnis 5 2" xfId="842" xr:uid="{959AD402-7521-4AFF-91F0-B994BB2DDD3B}"/>
    <cellStyle name="Ergebnis 5 2 10" xfId="5490" xr:uid="{2B1F56D5-0E89-4493-A0E2-CAC9381048EE}"/>
    <cellStyle name="Ergebnis 5 2 11" xfId="3278" xr:uid="{3163E1BE-4938-417F-BF06-5011B53986DE}"/>
    <cellStyle name="Ergebnis 5 2 12" xfId="6106" xr:uid="{9CA003B3-F4ED-40CF-8E44-1A7C4F2C93B9}"/>
    <cellStyle name="Ergebnis 5 2 13" xfId="6009" xr:uid="{AB8E98A4-2A2B-4AD9-8CC9-C41301D3BB24}"/>
    <cellStyle name="Ergebnis 5 2 14" xfId="7562" xr:uid="{11AEA55E-A4C9-453A-8B91-D3CE1B6CDCC7}"/>
    <cellStyle name="Ergebnis 5 2 15" xfId="7032" xr:uid="{E82CE91B-38D4-4214-9BF7-C59054F04CFE}"/>
    <cellStyle name="Ergebnis 5 2 16" xfId="7760" xr:uid="{0762140B-880E-47B3-AEDD-3FA2E20CA1DC}"/>
    <cellStyle name="Ergebnis 5 2 17" xfId="7728" xr:uid="{B5E02B64-DA30-4205-A2AF-AF4C9A21A50E}"/>
    <cellStyle name="Ergebnis 5 2 18" xfId="9776" xr:uid="{20DEB70D-CCCF-436D-9557-67AFE2361E90}"/>
    <cellStyle name="Ergebnis 5 2 19" xfId="9245" xr:uid="{1FCE4082-E5BA-4512-81CC-B43E27939023}"/>
    <cellStyle name="Ergebnis 5 2 2" xfId="1316" xr:uid="{823638C4-1266-4E77-B53C-96362AE9DD95}"/>
    <cellStyle name="Ergebnis 5 2 20" xfId="9907" xr:uid="{974F80A3-58C4-45D5-9489-5851BC3578E9}"/>
    <cellStyle name="Ergebnis 5 2 21" xfId="10781" xr:uid="{46CB6400-4531-478E-ACB9-93E529E2F5FF}"/>
    <cellStyle name="Ergebnis 5 2 22" xfId="9934" xr:uid="{323B0ECA-9471-48FF-B4B4-5DD344735700}"/>
    <cellStyle name="Ergebnis 5 2 23" xfId="12195" xr:uid="{D7A220E4-F567-4932-84EC-12D95773781C}"/>
    <cellStyle name="Ergebnis 5 2 24" xfId="12668" xr:uid="{3E025C36-ECE9-46F5-8FCE-E8DC89C465FF}"/>
    <cellStyle name="Ergebnis 5 2 25" xfId="13102" xr:uid="{D9A15A9E-BE6D-4860-8E86-4B7906A768AD}"/>
    <cellStyle name="Ergebnis 5 2 26" xfId="13539" xr:uid="{CB170B24-DF73-4FE4-A240-2C58A6D1758F}"/>
    <cellStyle name="Ergebnis 5 2 27" xfId="13705" xr:uid="{E766DBA5-748E-4BDE-931E-BE5A3F332F71}"/>
    <cellStyle name="Ergebnis 5 2 28" xfId="13750" xr:uid="{152EC1C6-3048-469D-9149-ED4EC3AF910F}"/>
    <cellStyle name="Ergebnis 5 2 29" xfId="11859" xr:uid="{5CC8E24F-1BCD-4F60-AB98-41FA2B166244}"/>
    <cellStyle name="Ergebnis 5 2 3" xfId="1765" xr:uid="{049B296A-13CA-481F-A143-588269F92691}"/>
    <cellStyle name="Ergebnis 5 2 30" xfId="14702" xr:uid="{A7059D63-8963-4612-A751-D5BFF06B4B83}"/>
    <cellStyle name="Ergebnis 5 2 31" xfId="14126" xr:uid="{3D199C46-865B-41FB-A306-B1C3C663E27C}"/>
    <cellStyle name="Ergebnis 5 2 32" xfId="15122" xr:uid="{4826F4D5-E87D-4FCB-8CDC-AD6477D41A4E}"/>
    <cellStyle name="Ergebnis 5 2 33" xfId="16887" xr:uid="{8DE424E5-F35A-4A75-A1DA-5132750F8E3E}"/>
    <cellStyle name="Ergebnis 5 2 34" xfId="16355" xr:uid="{34B97C34-0752-4357-9DE4-CF00384A63FF}"/>
    <cellStyle name="Ergebnis 5 2 35" xfId="17019" xr:uid="{170C826D-1330-4B75-9ABB-2342B052BDD1}"/>
    <cellStyle name="Ergebnis 5 2 36" xfId="18001" xr:uid="{7E888AA2-4925-4A3A-8E42-FFF37A09045D}"/>
    <cellStyle name="Ergebnis 5 2 37" xfId="18705" xr:uid="{178B376B-DC81-469F-AA11-315BEF59851E}"/>
    <cellStyle name="Ergebnis 5 2 38" xfId="18002" xr:uid="{2808B57A-91A4-4C4E-99D2-7C557862BCA1}"/>
    <cellStyle name="Ergebnis 5 2 39" xfId="19208" xr:uid="{02D5E1E0-CE01-4EF8-BCC0-88C3F2F4B63E}"/>
    <cellStyle name="Ergebnis 5 2 4" xfId="2664" xr:uid="{14C7962D-8A2D-4D51-9738-994D14D01148}"/>
    <cellStyle name="Ergebnis 5 2 40" xfId="20224" xr:uid="{97AA2FD3-C587-4692-B685-DDEA2AB1E8E4}"/>
    <cellStyle name="Ergebnis 5 2 41" xfId="19688" xr:uid="{553847C8-96D6-4EE9-8F4D-D00EA2022F1A}"/>
    <cellStyle name="Ergebnis 5 2 42" xfId="20549" xr:uid="{54A31A1E-CA59-4C0E-BCEE-C9A677793204}"/>
    <cellStyle name="Ergebnis 5 2 43" xfId="21631" xr:uid="{243B64DD-4F19-4214-9A08-970AA91D7F85}"/>
    <cellStyle name="Ergebnis 5 2 44" xfId="20858" xr:uid="{5EE118E6-4F47-4176-92A9-73BF73CDF990}"/>
    <cellStyle name="Ergebnis 5 2 45" xfId="21982" xr:uid="{3C4CA2AE-9B2F-42A5-A8DD-268B19DDA549}"/>
    <cellStyle name="Ergebnis 5 2 46" xfId="22702" xr:uid="{154BF2EA-399C-42FE-BBD4-5CD6E1874ACE}"/>
    <cellStyle name="Ergebnis 5 2 47" xfId="22354" xr:uid="{CC8747BA-29CA-4CE7-83BF-36F6E8E2325E}"/>
    <cellStyle name="Ergebnis 5 2 48" xfId="22742" xr:uid="{73A241F1-4A1D-40CE-99F7-36943FE99F57}"/>
    <cellStyle name="Ergebnis 5 2 49" xfId="24024" xr:uid="{E074B4F4-B59E-495F-A3AC-FF2203DB6938}"/>
    <cellStyle name="Ergebnis 5 2 5" xfId="2870" xr:uid="{E9251B65-EE26-405F-AE63-7B442E63EBC9}"/>
    <cellStyle name="Ergebnis 5 2 50" xfId="24932" xr:uid="{9FFA4E9B-92C1-43CB-A500-AFAFDF9177B7}"/>
    <cellStyle name="Ergebnis 5 2 51" xfId="24397" xr:uid="{463C6ED2-0B64-49A8-A9BF-D6AC3A49ED80}"/>
    <cellStyle name="Ergebnis 5 2 52" xfId="25848" xr:uid="{E56BFD14-A818-421D-8C9A-0ED371E23BFD}"/>
    <cellStyle name="Ergebnis 5 2 53" xfId="25959" xr:uid="{D0CBC816-59F3-4DE0-82AE-21359A43C951}"/>
    <cellStyle name="Ergebnis 5 2 54" xfId="26690" xr:uid="{E34920F3-6A1F-49D4-ABF3-305459023594}"/>
    <cellStyle name="Ergebnis 5 2 55" xfId="27136" xr:uid="{C324910F-47FA-46B3-A093-0A107DA4C8DD}"/>
    <cellStyle name="Ergebnis 5 2 56" xfId="27555" xr:uid="{86F52956-F505-44DC-B6F7-A529C084BDBE}"/>
    <cellStyle name="Ergebnis 5 2 57" xfId="27677" xr:uid="{05629E16-6DA0-439B-A8FF-2AA7A981464C}"/>
    <cellStyle name="Ergebnis 5 2 58" xfId="28682" xr:uid="{28921A09-C2E0-4E5A-BC77-A3727AC7F8AF}"/>
    <cellStyle name="Ergebnis 5 2 59" xfId="29149" xr:uid="{8B20D277-1630-4CC9-A103-355DB3CF8195}"/>
    <cellStyle name="Ergebnis 5 2 6" xfId="3194" xr:uid="{4D057DCF-496F-4A69-9F96-1FB569FCAC0C}"/>
    <cellStyle name="Ergebnis 5 2 60" xfId="27895" xr:uid="{7A8D72CA-8705-4014-9075-3CA54C9F6FEA}"/>
    <cellStyle name="Ergebnis 5 2 61" xfId="29938" xr:uid="{99B46DFF-9EC8-44E0-85D3-AB088284EBCE}"/>
    <cellStyle name="Ergebnis 5 2 62" xfId="30344" xr:uid="{ED400CEA-EA5E-4AC4-9308-C1FC02352D17}"/>
    <cellStyle name="Ergebnis 5 2 63" xfId="30761" xr:uid="{0CAC7F2F-CADF-445D-9E01-81096D926B85}"/>
    <cellStyle name="Ergebnis 5 2 64" xfId="28773" xr:uid="{427B28F2-00DE-4F35-A47D-934D0D4FF3A9}"/>
    <cellStyle name="Ergebnis 5 2 65" xfId="31377" xr:uid="{D9AC2037-39ED-479C-B065-5A159FDE6FAD}"/>
    <cellStyle name="Ergebnis 5 2 7" xfId="4160" xr:uid="{A12E5B67-FDDC-4B24-804D-58B026771542}"/>
    <cellStyle name="Ergebnis 5 2 8" xfId="4597" xr:uid="{3728F91B-908E-4A09-85F5-8763BDBAE088}"/>
    <cellStyle name="Ergebnis 5 2 9" xfId="3715" xr:uid="{FD61874D-CE41-42BD-AAA7-FC82CAC4E59C}"/>
    <cellStyle name="Ergebnis 5 20" xfId="10152" xr:uid="{E8C06741-41D2-46E1-BD0C-C18548460D6F}"/>
    <cellStyle name="Ergebnis 5 21" xfId="10562" xr:uid="{3967C382-452A-4FCB-AFB0-3049D2BC3A74}"/>
    <cellStyle name="Ergebnis 5 22" xfId="10496" xr:uid="{136825BF-CBEA-45F6-BC2B-B950A54AE803}"/>
    <cellStyle name="Ergebnis 5 23" xfId="10722" xr:uid="{CCF44D90-324D-4ABD-9761-8A15772646E6}"/>
    <cellStyle name="Ergebnis 5 24" xfId="11980" xr:uid="{61AB2A6E-F2BF-4DE1-A374-16BD75A43BE5}"/>
    <cellStyle name="Ergebnis 5 25" xfId="12453" xr:uid="{7D21D65F-4696-444D-BFF9-6B92C41DB011}"/>
    <cellStyle name="Ergebnis 5 26" xfId="12887" xr:uid="{0EAB5F9F-92A9-4891-A0D1-85D5C2AFA780}"/>
    <cellStyle name="Ergebnis 5 27" xfId="13324" xr:uid="{60BF74AC-F4D4-4473-BF66-D4C3683902A7}"/>
    <cellStyle name="Ergebnis 5 28" xfId="12756" xr:uid="{FA38D1FE-9652-4FF9-88BF-EBCA4A3C89C2}"/>
    <cellStyle name="Ergebnis 5 29" xfId="13782" xr:uid="{5C8B62DA-9C5B-40EC-A5A5-76F2F813ED79}"/>
    <cellStyle name="Ergebnis 5 3" xfId="1110" xr:uid="{00E35B10-095C-43EC-9EB1-DD559B1489C8}"/>
    <cellStyle name="Ergebnis 5 30" xfId="14853" xr:uid="{0B9C28AC-335D-4526-9F84-852A78981EE8}"/>
    <cellStyle name="Ergebnis 5 31" xfId="14912" xr:uid="{E6841CE6-6814-408D-B35A-6BD00FA18224}"/>
    <cellStyle name="Ergebnis 5 32" xfId="13934" xr:uid="{25392C61-4DB2-43AB-AEA6-D223759ACB6E}"/>
    <cellStyle name="Ergebnis 5 33" xfId="15941" xr:uid="{658C43CE-AD28-4FAF-BEB1-2E26985AFA3B}"/>
    <cellStyle name="Ergebnis 5 34" xfId="16672" xr:uid="{07F4F95F-9EE1-4B70-9A43-0A1865EF5270}"/>
    <cellStyle name="Ergebnis 5 35" xfId="17272" xr:uid="{49E467B9-B4CC-458F-A5CB-FBA66AD80C1A}"/>
    <cellStyle name="Ergebnis 5 36" xfId="17716" xr:uid="{41CE389A-32BD-49B3-98AE-64B2B8DDC435}"/>
    <cellStyle name="Ergebnis 5 37" xfId="17546" xr:uid="{CE832540-B700-41DE-8335-AC4ED75F640A}"/>
    <cellStyle name="Ergebnis 5 38" xfId="18490" xr:uid="{66D21F87-1492-4C4C-B24B-0DB0715E0486}"/>
    <cellStyle name="Ergebnis 5 39" xfId="17750" xr:uid="{C2D6CC28-ABA0-4173-BDB2-2E7DA9100233}"/>
    <cellStyle name="Ergebnis 5 4" xfId="1708" xr:uid="{8BAA7851-D687-469D-B4CA-627A65AA5121}"/>
    <cellStyle name="Ergebnis 5 40" xfId="18054" xr:uid="{9E5EF933-4CAF-4246-923A-DCD65D01A211}"/>
    <cellStyle name="Ergebnis 5 41" xfId="20009" xr:uid="{29497CE1-29AD-44F2-AE9D-DFBC365E7345}"/>
    <cellStyle name="Ergebnis 5 42" xfId="20622" xr:uid="{D7D065EA-B123-4393-B170-32335D940242}"/>
    <cellStyle name="Ergebnis 5 43" xfId="21077" xr:uid="{5037403E-AA51-49AC-BE21-EF76A6AC5C7E}"/>
    <cellStyle name="Ergebnis 5 44" xfId="21234" xr:uid="{143F53AC-3794-4BD8-AAE9-E728AFAC7E6B}"/>
    <cellStyle name="Ergebnis 5 45" xfId="22008" xr:uid="{A491BB30-24DF-442F-BE73-3E7785E60B8C}"/>
    <cellStyle name="Ergebnis 5 46" xfId="22439" xr:uid="{3AD254F6-D7BD-4391-865D-73393502DB39}"/>
    <cellStyle name="Ergebnis 5 47" xfId="21837" xr:uid="{65744BB2-7426-402A-8AA9-385F024D09EF}"/>
    <cellStyle name="Ergebnis 5 48" xfId="21834" xr:uid="{65336432-F31E-450B-BB14-332892E81044}"/>
    <cellStyle name="Ergebnis 5 49" xfId="22525" xr:uid="{CA34D687-2998-4955-9CCB-0E843172C119}"/>
    <cellStyle name="Ergebnis 5 5" xfId="2449" xr:uid="{3001BE7D-C145-481D-8807-0AA4E77C429D}"/>
    <cellStyle name="Ergebnis 5 50" xfId="23818" xr:uid="{414F5DE9-EDA6-4CBA-80EC-BAFAF99B69F0}"/>
    <cellStyle name="Ergebnis 5 51" xfId="24717" xr:uid="{EA1C8511-39F2-43E5-AEAD-FFAEAB03D3F0}"/>
    <cellStyle name="Ergebnis 5 52" xfId="25328" xr:uid="{D566A1BA-E9BE-4156-A3E1-E4CC0E48F2E6}"/>
    <cellStyle name="Ergebnis 5 53" xfId="25635" xr:uid="{62B8BA0B-A12D-451E-8BCE-B504467CC6D4}"/>
    <cellStyle name="Ergebnis 5 54" xfId="24396" xr:uid="{28C26C10-3752-4B55-859B-199AB294EF07}"/>
    <cellStyle name="Ergebnis 5 55" xfId="24444" xr:uid="{C519379D-10B2-4D1C-B4AC-7CF0DC487674}"/>
    <cellStyle name="Ergebnis 5 56" xfId="26925" xr:uid="{579402E6-9D0A-4521-A6CA-56898EF76AB7}"/>
    <cellStyle name="Ergebnis 5 57" xfId="27344" xr:uid="{EC849825-BF56-42FD-89C9-D84A21FF8BA4}"/>
    <cellStyle name="Ergebnis 5 58" xfId="27412" xr:uid="{2E36AD0E-1884-435F-B860-1B98E9E61CC0}"/>
    <cellStyle name="Ergebnis 5 59" xfId="28467" xr:uid="{C33BF486-65EE-477E-A51C-2E7EE0950AFC}"/>
    <cellStyle name="Ergebnis 5 6" xfId="2053" xr:uid="{E90543FC-839E-49EE-8F55-600CB7B78A96}"/>
    <cellStyle name="Ergebnis 5 60" xfId="28935" xr:uid="{B7F25151-1E0A-434E-9F84-BBD46D65B06B}"/>
    <cellStyle name="Ergebnis 5 61" xfId="29451" xr:uid="{2D95AEA4-1B89-4E84-95D1-43757AC3C30C}"/>
    <cellStyle name="Ergebnis 5 62" xfId="29725" xr:uid="{DC4EFA52-5473-4F8F-BC9A-4671F144F305}"/>
    <cellStyle name="Ergebnis 5 63" xfId="30133" xr:uid="{47D931D1-46C8-4725-8713-B849DFE36C15}"/>
    <cellStyle name="Ergebnis 5 64" xfId="30547" xr:uid="{BA2BEAE4-3056-4A8C-8AA9-129806283B1C}"/>
    <cellStyle name="Ergebnis 5 65" xfId="29474" xr:uid="{DC4464B7-854D-4C63-B2FF-2B971A172D2C}"/>
    <cellStyle name="Ergebnis 5 66" xfId="31171" xr:uid="{AA540020-FBFF-4EF0-B3F2-0ED329EBB92E}"/>
    <cellStyle name="Ergebnis 5 7" xfId="2251" xr:uid="{D68E84D1-1720-42AA-8A56-EB18CC140F0B}"/>
    <cellStyle name="Ergebnis 5 8" xfId="3945" xr:uid="{EDC6E5DF-1D21-4355-8015-7C127F470917}"/>
    <cellStyle name="Ergebnis 5 9" xfId="4383" xr:uid="{C347DE66-14AB-4195-BBC5-FC83095E0701}"/>
    <cellStyle name="Ergebnis 6" xfId="634" xr:uid="{D921398B-05F5-40FF-98C7-DC65241FAA9F}"/>
    <cellStyle name="Ergebnis 6 10" xfId="2016" xr:uid="{A543293D-47B5-4371-A72D-5A269EC21BC8}"/>
    <cellStyle name="Ergebnis 6 11" xfId="5282" xr:uid="{6894B068-1585-48C8-A44F-7253F9DC731A}"/>
    <cellStyle name="Ergebnis 6 12" xfId="6001" xr:uid="{49CBDE23-510E-4A05-A8FB-0F3574FCC996}"/>
    <cellStyle name="Ergebnis 6 13" xfId="6363" xr:uid="{5B54155B-2FFF-4D09-96C5-6CCF91092334}"/>
    <cellStyle name="Ergebnis 6 14" xfId="5953" xr:uid="{3AE13FFC-FA61-42B9-B28C-DBDF1B9850F6}"/>
    <cellStyle name="Ergebnis 6 15" xfId="7354" xr:uid="{823F2C07-A8C4-46CB-AA3D-73D075E3327D}"/>
    <cellStyle name="Ergebnis 6 16" xfId="7777" xr:uid="{7515E5D7-0390-4CE1-ADC5-DF10A91B08AD}"/>
    <cellStyle name="Ergebnis 6 17" xfId="7215" xr:uid="{EF4A220A-5381-48ED-8B2D-E467BC4F05FD}"/>
    <cellStyle name="Ergebnis 6 18" xfId="8231" xr:uid="{888C4D5D-7311-4AB4-B5E8-A1679C4F681A}"/>
    <cellStyle name="Ergebnis 6 19" xfId="9568" xr:uid="{C1CF671A-BDF2-439B-B35E-7F4ABDA1B718}"/>
    <cellStyle name="Ergebnis 6 2" xfId="849" xr:uid="{30B951B7-76CE-49F2-A476-CD93CE0B6103}"/>
    <cellStyle name="Ergebnis 6 2 10" xfId="5497" xr:uid="{E1339751-9E66-47C2-9FD5-2134C8E252DA}"/>
    <cellStyle name="Ergebnis 6 2 11" xfId="4978" xr:uid="{FDADA170-70DF-4F8A-9A65-8489E68A3CD1}"/>
    <cellStyle name="Ergebnis 6 2 12" xfId="6315" xr:uid="{27A3B2B5-F35B-4475-8D24-7BB6B4396F49}"/>
    <cellStyle name="Ergebnis 6 2 13" xfId="6677" xr:uid="{9A95A6E4-4B71-4713-864C-B738E278E39A}"/>
    <cellStyle name="Ergebnis 6 2 14" xfId="7569" xr:uid="{85A59CCD-E046-4B1D-8435-46E4CE875CA3}"/>
    <cellStyle name="Ergebnis 6 2 15" xfId="7206" xr:uid="{8F6D5BCD-0FDD-4D1C-9130-EA198A12674C}"/>
    <cellStyle name="Ergebnis 6 2 16" xfId="8204" xr:uid="{DE6E7638-370C-4C77-AD59-B8101E769409}"/>
    <cellStyle name="Ergebnis 6 2 17" xfId="8712" xr:uid="{ACC2FE70-FD68-4DED-B0A3-A67694EB6E99}"/>
    <cellStyle name="Ergebnis 6 2 18" xfId="9783" xr:uid="{5B39C64A-6C82-4521-A80D-2D59E93607CF}"/>
    <cellStyle name="Ergebnis 6 2 19" xfId="9419" xr:uid="{791675F5-77EF-4952-B89F-9316B85BC77B}"/>
    <cellStyle name="Ergebnis 6 2 2" xfId="1323" xr:uid="{897D3228-3F49-4401-AF8C-4E0A7072FCB4}"/>
    <cellStyle name="Ergebnis 6 2 20" xfId="9148" xr:uid="{BF85CF88-A744-4CF1-A77C-7F605A4A4743}"/>
    <cellStyle name="Ergebnis 6 2 21" xfId="10906" xr:uid="{1A320141-A140-472F-89BA-A34C61226DC2}"/>
    <cellStyle name="Ergebnis 6 2 22" xfId="11294" xr:uid="{8CE5E1C5-22CA-4901-B7C7-A147A123E665}"/>
    <cellStyle name="Ergebnis 6 2 23" xfId="12202" xr:uid="{50B7505C-6FD2-4D52-B455-3AF348856F36}"/>
    <cellStyle name="Ergebnis 6 2 24" xfId="12675" xr:uid="{B16B8C5B-AC3B-48BE-8295-576AF1702675}"/>
    <cellStyle name="Ergebnis 6 2 25" xfId="13109" xr:uid="{3887E4C2-D6D5-4568-A65B-E80ED43E006E}"/>
    <cellStyle name="Ergebnis 6 2 26" xfId="13546" xr:uid="{ECA2ED74-D490-41DA-AD8D-BCC2C06F546D}"/>
    <cellStyle name="Ergebnis 6 2 27" xfId="11809" xr:uid="{9F01A702-EF85-4E1E-BAEA-8457A755CAB9}"/>
    <cellStyle name="Ergebnis 6 2 28" xfId="13192" xr:uid="{A0DE402D-7F33-42C0-B335-DD7F7BA593CC}"/>
    <cellStyle name="Ergebnis 6 2 29" xfId="11440" xr:uid="{A9961E05-936B-47E4-9D30-4454BB22082F}"/>
    <cellStyle name="Ergebnis 6 2 3" xfId="1772" xr:uid="{C5E7C9CF-D932-4CB7-83C0-6E765E88BEBF}"/>
    <cellStyle name="Ergebnis 6 2 30" xfId="11609" xr:uid="{87DC7219-3DEF-450B-8687-EE66D6D17E9B}"/>
    <cellStyle name="Ergebnis 6 2 31" xfId="11562" xr:uid="{8ED170C0-5D77-4410-8FC3-61340971A302}"/>
    <cellStyle name="Ergebnis 6 2 32" xfId="13763" xr:uid="{233D33D2-0510-4104-BED5-C478D50D8ADF}"/>
    <cellStyle name="Ergebnis 6 2 33" xfId="16894" xr:uid="{AB6967C1-F16C-48F0-AC00-B1E29D55E66C}"/>
    <cellStyle name="Ergebnis 6 2 34" xfId="16528" xr:uid="{3248B49E-CA8A-4D05-A558-D94E299F4A02}"/>
    <cellStyle name="Ergebnis 6 2 35" xfId="16133" xr:uid="{08280AD8-6A1D-459D-9B6B-84318D01AD08}"/>
    <cellStyle name="Ergebnis 6 2 36" xfId="17729" xr:uid="{6B0BDDC5-C133-45D6-86BA-C3E1C344E93C}"/>
    <cellStyle name="Ergebnis 6 2 37" xfId="18712" xr:uid="{E37618E8-C10A-4928-8E35-2296F315FF82}"/>
    <cellStyle name="Ergebnis 6 2 38" xfId="18793" xr:uid="{6422F268-F388-42AB-B899-38D26F6AD8EE}"/>
    <cellStyle name="Ergebnis 6 2 39" xfId="18970" xr:uid="{E0E079FA-4B35-43F6-87FA-AB3295FE6526}"/>
    <cellStyle name="Ergebnis 6 2 4" xfId="2671" xr:uid="{88E5CBCD-4F39-47CF-91AF-580F43866B18}"/>
    <cellStyle name="Ergebnis 6 2 40" xfId="20231" xr:uid="{7464985D-7574-47B7-BDDC-D189AD6FF1D7}"/>
    <cellStyle name="Ergebnis 6 2 41" xfId="19864" xr:uid="{B0453BF1-6150-42AD-8514-0C77E3344E05}"/>
    <cellStyle name="Ergebnis 6 2 42" xfId="20474" xr:uid="{0A0693B4-02DA-4298-9E1B-3A31D4812092}"/>
    <cellStyle name="Ergebnis 6 2 43" xfId="21157" xr:uid="{98F388FD-35BF-4F87-A37E-DD1361646964}"/>
    <cellStyle name="Ergebnis 6 2 44" xfId="21529" xr:uid="{CC7EFF8D-CCF6-4175-A453-9BC46A6023E6}"/>
    <cellStyle name="Ergebnis 6 2 45" xfId="21962" xr:uid="{82407A96-29DB-4D54-A48F-C57962C1A988}"/>
    <cellStyle name="Ergebnis 6 2 46" xfId="21887" xr:uid="{8D330E0F-8359-4AB3-8919-9A09117BB14F}"/>
    <cellStyle name="Ergebnis 6 2 47" xfId="23065" xr:uid="{33F3AA8A-6864-40D5-8BD9-267FBB43B4D9}"/>
    <cellStyle name="Ergebnis 6 2 48" xfId="23475" xr:uid="{BEE22420-9E3F-489E-A324-457B9EB22BE5}"/>
    <cellStyle name="Ergebnis 6 2 49" xfId="24031" xr:uid="{7C8D1EF2-3CEF-4CE4-94BD-F8DAF9DF1EB7}"/>
    <cellStyle name="Ergebnis 6 2 5" xfId="1852" xr:uid="{D599A4A0-C8DE-4FEE-8460-1C0F638724FF}"/>
    <cellStyle name="Ergebnis 6 2 50" xfId="24939" xr:uid="{004C23FB-4596-4E20-AC10-5295D0806460}"/>
    <cellStyle name="Ergebnis 6 2 51" xfId="24570" xr:uid="{C432443F-E12C-4C3D-93FA-58C2387A1A3B}"/>
    <cellStyle name="Ergebnis 6 2 52" xfId="25855" xr:uid="{25B2CE2F-9013-4D5D-98B2-5F89A56F725B}"/>
    <cellStyle name="Ergebnis 6 2 53" xfId="25014" xr:uid="{45A46974-7A86-4FB0-82BB-745D0BF73B0D}"/>
    <cellStyle name="Ergebnis 6 2 54" xfId="26497" xr:uid="{AB94981F-3A78-4F59-A87D-C2D2CBB4D8A4}"/>
    <cellStyle name="Ergebnis 6 2 55" xfId="27143" xr:uid="{77BEBDE2-2728-4987-BF6C-197B89B61E21}"/>
    <cellStyle name="Ergebnis 6 2 56" xfId="27562" xr:uid="{9B47E769-29B9-4AEE-A32D-0DEA8520AFBA}"/>
    <cellStyle name="Ergebnis 6 2 57" xfId="26713" xr:uid="{AEC01E6F-FC32-46C1-A3C5-D041D21122DC}"/>
    <cellStyle name="Ergebnis 6 2 58" xfId="28689" xr:uid="{44B91235-E0BE-4070-8426-C836610DAE54}"/>
    <cellStyle name="Ergebnis 6 2 59" xfId="29156" xr:uid="{D4D0763D-1933-40CC-86D7-E0F6062CAE57}"/>
    <cellStyle name="Ergebnis 6 2 6" xfId="2788" xr:uid="{C13F77FD-19FE-4176-B180-465846769777}"/>
    <cellStyle name="Ergebnis 6 2 60" xfId="28801" xr:uid="{820F6C73-859C-4D34-9C07-671FCD0527C5}"/>
    <cellStyle name="Ergebnis 6 2 61" xfId="29945" xr:uid="{BC3E7BBD-8C96-401E-8EFB-016859C80DF1}"/>
    <cellStyle name="Ergebnis 6 2 62" xfId="30351" xr:uid="{C477E2D2-80EF-497E-B72C-55BD499B5953}"/>
    <cellStyle name="Ergebnis 6 2 63" xfId="30768" xr:uid="{B6E5A6DF-85C9-47E5-AFB8-6618B6FACCB3}"/>
    <cellStyle name="Ergebnis 6 2 64" xfId="29224" xr:uid="{A4A7247F-B248-4C89-ABCD-31DE914430C6}"/>
    <cellStyle name="Ergebnis 6 2 65" xfId="31384" xr:uid="{8FB09B95-1FDB-4E28-809B-490B5146FABB}"/>
    <cellStyle name="Ergebnis 6 2 7" xfId="4167" xr:uid="{1975F592-416F-451F-86AE-6FD6809F950D}"/>
    <cellStyle name="Ergebnis 6 2 8" xfId="4604" xr:uid="{C93099FB-A27C-42EE-A90F-B90687A03E9B}"/>
    <cellStyle name="Ergebnis 6 2 9" xfId="3626" xr:uid="{B14B91E7-515A-43A1-8144-92A84DF98166}"/>
    <cellStyle name="Ergebnis 6 20" xfId="9990" xr:uid="{7FA9039A-04E8-4256-84F8-DA43920D87B7}"/>
    <cellStyle name="Ergebnis 6 21" xfId="10415" xr:uid="{E202CE44-29BD-4133-9166-D7212C85FA4E}"/>
    <cellStyle name="Ergebnis 6 22" xfId="10575" xr:uid="{7928F047-C780-4938-9D7C-D87DB1BD5C7B}"/>
    <cellStyle name="Ergebnis 6 23" xfId="11216" xr:uid="{ABBA175D-47F5-4D59-9206-CB27974397D7}"/>
    <cellStyle name="Ergebnis 6 24" xfId="11987" xr:uid="{87EDED69-BE05-47CE-9145-361A2A7D2468}"/>
    <cellStyle name="Ergebnis 6 25" xfId="12460" xr:uid="{462EAD7A-795A-43F4-B05A-C31B0B580BEE}"/>
    <cellStyle name="Ergebnis 6 26" xfId="12894" xr:uid="{B216BB83-4D2B-4234-AD3B-EFFFD3942584}"/>
    <cellStyle name="Ergebnis 6 27" xfId="13331" xr:uid="{5E0684D2-2294-4F5E-8863-00A2AE058EFB}"/>
    <cellStyle name="Ergebnis 6 28" xfId="13869" xr:uid="{2723C03E-22E3-4536-9E8B-D4EF03BEF7B8}"/>
    <cellStyle name="Ergebnis 6 29" xfId="12530" xr:uid="{F2C8484D-FD33-4873-AC95-5E312375BE45}"/>
    <cellStyle name="Ergebnis 6 3" xfId="1117" xr:uid="{FC7C49FC-5CF0-4CA9-8041-05BB1E2E6F5F}"/>
    <cellStyle name="Ergebnis 6 30" xfId="14908" xr:uid="{5B2ED34D-593F-4E8A-B6A9-99AF3338C5E5}"/>
    <cellStyle name="Ergebnis 6 31" xfId="15379" xr:uid="{DB070358-6E04-45D3-9B10-D6A358B086F7}"/>
    <cellStyle name="Ergebnis 6 32" xfId="15495" xr:uid="{4B4A5AAC-1FCE-40A9-80A9-3032AF45A295}"/>
    <cellStyle name="Ergebnis 6 33" xfId="15846" xr:uid="{E3FA5F38-009E-405C-B51D-E696130CA5D0}"/>
    <cellStyle name="Ergebnis 6 34" xfId="16679" xr:uid="{D10102A5-6823-4718-B243-7E5B0594D2C7}"/>
    <cellStyle name="Ergebnis 6 35" xfId="17106" xr:uid="{94D94756-AFB6-4EFD-B837-658E79D30EAC}"/>
    <cellStyle name="Ergebnis 6 36" xfId="17553" xr:uid="{CEDB2356-0F3B-4A3B-9985-36124C7112B3}"/>
    <cellStyle name="Ergebnis 6 37" xfId="17476" xr:uid="{99DE8FFD-866E-4D93-A696-B6B71AB0BB06}"/>
    <cellStyle name="Ergebnis 6 38" xfId="18497" xr:uid="{400C00CB-E7E3-46DC-A189-C55EA48E76C0}"/>
    <cellStyle name="Ergebnis 6 39" xfId="17580" xr:uid="{7994D981-D9B2-495B-BADB-6D687365B285}"/>
    <cellStyle name="Ergebnis 6 4" xfId="1684" xr:uid="{A72AC744-85A6-466A-8660-E4CA352FCE0C}"/>
    <cellStyle name="Ergebnis 6 40" xfId="18066" xr:uid="{456E8C33-9745-4191-AA67-55E781846019}"/>
    <cellStyle name="Ergebnis 6 41" xfId="20016" xr:uid="{A6DA8C13-00D3-4A70-BEC1-3FCCCDDB12B9}"/>
    <cellStyle name="Ergebnis 6 42" xfId="20459" xr:uid="{D96FA4E6-30A9-4F2E-A4BB-610B76D313A8}"/>
    <cellStyle name="Ergebnis 6 43" xfId="20912" xr:uid="{3E4F030B-5AB5-49F1-84A7-B1641092C75B}"/>
    <cellStyle name="Ergebnis 6 44" xfId="19601" xr:uid="{C585AB52-ADBD-479B-857B-F4B547239A33}"/>
    <cellStyle name="Ergebnis 6 45" xfId="21841" xr:uid="{D2F9AF57-EF14-48BA-B6FB-151E1859C804}"/>
    <cellStyle name="Ergebnis 6 46" xfId="22278" xr:uid="{EC76AA24-BA6F-4ED5-94FE-7A8B5BBB2D1F}"/>
    <cellStyle name="Ergebnis 6 47" xfId="22853" xr:uid="{0C034937-4D63-4603-ABF6-05067E92666D}"/>
    <cellStyle name="Ergebnis 6 48" xfId="22807" xr:uid="{66048B91-824A-4EDA-B112-2B2FEC181D60}"/>
    <cellStyle name="Ergebnis 6 49" xfId="22098" xr:uid="{317F25F6-AD34-4869-9FEB-5B07BC29D430}"/>
    <cellStyle name="Ergebnis 6 5" xfId="2456" xr:uid="{D662ED98-EBE8-4F38-83B5-9A586CF35B36}"/>
    <cellStyle name="Ergebnis 6 50" xfId="23825" xr:uid="{EBA99F9E-5410-4799-B08D-A75B00743A9F}"/>
    <cellStyle name="Ergebnis 6 51" xfId="24724" xr:uid="{50F09490-243A-49A9-9D40-C41ADFD9AAF7}"/>
    <cellStyle name="Ergebnis 6 52" xfId="25167" xr:uid="{EC969511-3D33-40F7-B319-BD393AC49477}"/>
    <cellStyle name="Ergebnis 6 53" xfId="25642" xr:uid="{A07C2CDA-0BEA-4331-88B8-9ECBA368EB33}"/>
    <cellStyle name="Ergebnis 6 54" xfId="26158" xr:uid="{1A3DE061-B0D3-4559-90B4-2E2DC50171CF}"/>
    <cellStyle name="Ergebnis 6 55" xfId="26418" xr:uid="{0927BE5D-F3A3-49B7-BD74-E1D9C11953C9}"/>
    <cellStyle name="Ergebnis 6 56" xfId="26932" xr:uid="{E71AFA95-66FA-4243-A766-55A35DFA685E}"/>
    <cellStyle name="Ergebnis 6 57" xfId="27351" xr:uid="{88C1C591-D99B-420A-8EE1-03A05827385F}"/>
    <cellStyle name="Ergebnis 6 58" xfId="27655" xr:uid="{50C1C9D5-65E8-4E19-A376-0F0B196A5068}"/>
    <cellStyle name="Ergebnis 6 59" xfId="28474" xr:uid="{F9EE6BEF-682D-4A56-9740-53253FADE5D4}"/>
    <cellStyle name="Ergebnis 6 6" xfId="3036" xr:uid="{FDC59967-1571-45CD-8654-F9026FE6E4BB}"/>
    <cellStyle name="Ergebnis 6 60" xfId="28942" xr:uid="{12FD04B7-CE84-40C4-9ED4-3515C60DFB88}"/>
    <cellStyle name="Ergebnis 6 61" xfId="29314" xr:uid="{7786AF14-E116-4B38-83AB-FAD4A860F595}"/>
    <cellStyle name="Ergebnis 6 62" xfId="29732" xr:uid="{9A6B6C2B-C29B-4E04-B7E0-26082577AA11}"/>
    <cellStyle name="Ergebnis 6 63" xfId="30140" xr:uid="{B6A83467-0506-40BE-9E46-4FBCBD3F6A95}"/>
    <cellStyle name="Ergebnis 6 64" xfId="30554" xr:uid="{1B2844F0-B65F-4CA7-A51E-175F6197C41E}"/>
    <cellStyle name="Ergebnis 6 65" xfId="28317" xr:uid="{541FA952-3957-4944-B1BA-176BECFC39B1}"/>
    <cellStyle name="Ergebnis 6 66" xfId="31178" xr:uid="{D6082A65-D306-44DB-8AB5-9E849E52453B}"/>
    <cellStyle name="Ergebnis 6 7" xfId="3382" xr:uid="{3989118F-25EC-493A-8E51-19504FFAA165}"/>
    <cellStyle name="Ergebnis 6 8" xfId="3952" xr:uid="{803657B6-4F9E-4FEF-8FF8-B9BA4B62790F}"/>
    <cellStyle name="Ergebnis 6 9" xfId="4390" xr:uid="{2A2DFE51-EF46-48CF-BC30-F4AD1DC4E3F8}"/>
    <cellStyle name="Ergebnis 7" xfId="682" xr:uid="{B750EA32-5882-4883-8CDD-AD19EF7AF3B5}"/>
    <cellStyle name="Ergebnis 7 10" xfId="5330" xr:uid="{F4658865-F047-4DCD-8082-59E30EE69EEC}"/>
    <cellStyle name="Ergebnis 7 11" xfId="5999" xr:uid="{5C2FF10C-9C4F-4452-9098-AF5E1CF76677}"/>
    <cellStyle name="Ergebnis 7 12" xfId="6361" xr:uid="{E95948C4-C85B-4830-95D0-247013F65D42}"/>
    <cellStyle name="Ergebnis 7 13" xfId="6701" xr:uid="{25832A6B-5EC9-44E5-B18F-1117BE972AC5}"/>
    <cellStyle name="Ergebnis 7 14" xfId="7402" xr:uid="{97BA3641-1ACA-4F0A-8483-C24413A44214}"/>
    <cellStyle name="Ergebnis 7 15" xfId="8041" xr:uid="{4125011C-13BB-4D0A-8AEE-9A731F5EA55C}"/>
    <cellStyle name="Ergebnis 7 16" xfId="8348" xr:uid="{DC5A3163-E648-4C3E-BE11-EE6108710236}"/>
    <cellStyle name="Ergebnis 7 17" xfId="8914" xr:uid="{B0F0B5AE-ADC6-491E-8029-0B93F9ACB905}"/>
    <cellStyle name="Ergebnis 7 18" xfId="9616" xr:uid="{C7BCC28F-BF2F-4D8C-99D0-420EE62B4A57}"/>
    <cellStyle name="Ergebnis 7 19" xfId="10260" xr:uid="{3996817B-7A10-4A07-9EC8-AAB99901E067}"/>
    <cellStyle name="Ergebnis 7 2" xfId="1164" xr:uid="{F0C0A8C7-AB28-4D89-9C84-528E78EE10EF}"/>
    <cellStyle name="Ergebnis 7 20" xfId="10653" xr:uid="{00D925E8-5059-424A-B69F-6D8D26CA4156}"/>
    <cellStyle name="Ergebnis 7 21" xfId="11006" xr:uid="{8E72D9AC-7A88-49C8-A4C5-06D51C3252B9}"/>
    <cellStyle name="Ergebnis 7 22" xfId="11318" xr:uid="{019575C2-1681-4777-A6CF-407D04DE83DA}"/>
    <cellStyle name="Ergebnis 7 23" xfId="12035" xr:uid="{6EE2FCA6-CDA7-4F48-A124-DA27C5F61AAB}"/>
    <cellStyle name="Ergebnis 7 24" xfId="12508" xr:uid="{9CFDB6A6-6290-464A-9BC5-C0552859E646}"/>
    <cellStyle name="Ergebnis 7 25" xfId="12942" xr:uid="{DAA4AF8B-9F3B-4DF4-8DA0-95ECEE50785C}"/>
    <cellStyle name="Ergebnis 7 26" xfId="13379" xr:uid="{C0579B9C-2964-4741-BD74-E7C1D8C53633}"/>
    <cellStyle name="Ergebnis 7 27" xfId="14025" xr:uid="{6AD0D0A8-7C71-46AF-996B-4BDCEECAA793}"/>
    <cellStyle name="Ergebnis 7 28" xfId="14398" xr:uid="{2792F966-2F2E-4A3E-9731-5A980105524B}"/>
    <cellStyle name="Ergebnis 7 29" xfId="14906" xr:uid="{53C11B58-396F-4643-88C5-160E215359C2}"/>
    <cellStyle name="Ergebnis 7 3" xfId="1722" xr:uid="{FCF744C4-6E19-4502-8E1D-90EE990CA456}"/>
    <cellStyle name="Ergebnis 7 30" xfId="15377" xr:uid="{0EF2E733-5B79-4CA3-9116-940746E068E2}"/>
    <cellStyle name="Ergebnis 7 31" xfId="15769" xr:uid="{84CB7C79-CA63-44DB-9A6E-7A8DA9529D12}"/>
    <cellStyle name="Ergebnis 7 32" xfId="15994" xr:uid="{EB0E37D9-BFC6-4E10-A985-E3C48C3DF469}"/>
    <cellStyle name="Ergebnis 7 33" xfId="16727" xr:uid="{AD03E3BD-30F9-4D15-9281-E1086C765715}"/>
    <cellStyle name="Ergebnis 7 34" xfId="17382" xr:uid="{69C8120B-9D3C-4573-B64B-2807FF9598F3}"/>
    <cellStyle name="Ergebnis 7 35" xfId="17824" xr:uid="{42C6008B-357E-446B-B5FF-AE54B954886F}"/>
    <cellStyle name="Ergebnis 7 36" xfId="18300" xr:uid="{9BF6A849-7838-4C98-996B-6672B405E079}"/>
    <cellStyle name="Ergebnis 7 37" xfId="18545" xr:uid="{87EB4F21-0E28-40D9-9940-5798E2818062}"/>
    <cellStyle name="Ergebnis 7 38" xfId="19111" xr:uid="{AAF0BCED-6FBC-4441-B6F9-2649B8456F59}"/>
    <cellStyle name="Ergebnis 7 39" xfId="19343" xr:uid="{78AFD7A0-7E09-467D-9F8B-33A1018B4B53}"/>
    <cellStyle name="Ergebnis 7 4" xfId="2504" xr:uid="{B153C251-0633-4776-8580-86A36C88BB3F}"/>
    <cellStyle name="Ergebnis 7 40" xfId="20064" xr:uid="{640C1F5B-DEA5-4CF9-BFBA-D14C29F731AB}"/>
    <cellStyle name="Ergebnis 7 41" xfId="20731" xr:uid="{EA6DEFEB-C14E-4096-ACA1-CA383949B480}"/>
    <cellStyle name="Ergebnis 7 42" xfId="21190" xr:uid="{67F199C5-34A7-4534-9D53-10585C26A91B}"/>
    <cellStyle name="Ergebnis 7 43" xfId="21682" xr:uid="{99A9EFD7-2B68-45DE-A1F8-87D10B8C5A8C}"/>
    <cellStyle name="Ergebnis 7 44" xfId="22121" xr:uid="{77C8E99C-7579-402C-9516-65EE3ADFC5C4}"/>
    <cellStyle name="Ergebnis 7 45" xfId="22548" xr:uid="{E1631627-08E8-4F20-B99C-9FD8D92C5DC8}"/>
    <cellStyle name="Ergebnis 7 46" xfId="22994" xr:uid="{9511E72E-0737-41A9-985F-20758B6E7D88}"/>
    <cellStyle name="Ergebnis 7 47" xfId="23398" xr:uid="{AE10BB7E-1310-4D01-AADC-413766B8030A}"/>
    <cellStyle name="Ergebnis 7 48" xfId="23664" xr:uid="{B645FC4E-D581-4AA1-8DD3-DACF57636E56}"/>
    <cellStyle name="Ergebnis 7 49" xfId="23872" xr:uid="{842E2E39-51C6-4E92-977E-7030DB3962CB}"/>
    <cellStyle name="Ergebnis 7 5" xfId="3198" xr:uid="{E695FC18-EEFF-4F06-9428-18D60F517405}"/>
    <cellStyle name="Ergebnis 7 50" xfId="24772" xr:uid="{EC69A39E-13F2-4EA5-9E4A-0601E2EFE6E5}"/>
    <cellStyle name="Ergebnis 7 51" xfId="25436" xr:uid="{C2A94ED1-D264-42D9-8A25-768743CF6D48}"/>
    <cellStyle name="Ergebnis 7 52" xfId="25690" xr:uid="{453D7CDC-D11B-4D7A-B20E-A705B2863E63}"/>
    <cellStyle name="Ergebnis 7 53" xfId="26302" xr:uid="{3FE422F6-9DF6-4E4A-992F-545F8312724D}"/>
    <cellStyle name="Ergebnis 7 54" xfId="26438" xr:uid="{29DCA41F-86C4-41F4-A378-8130A1170014}"/>
    <cellStyle name="Ergebnis 7 55" xfId="26980" xr:uid="{09AA21B0-1EFA-4703-ACE4-CE6C3EF9840F}"/>
    <cellStyle name="Ergebnis 7 56" xfId="27399" xr:uid="{E0BC478C-D751-4915-9D44-9A726DFEC41E}"/>
    <cellStyle name="Ergebnis 7 57" xfId="27413" xr:uid="{03252698-102F-469A-9A19-DFB81C9BE347}"/>
    <cellStyle name="Ergebnis 7 58" xfId="28522" xr:uid="{2E7E46B9-7FCE-4DC3-83E0-79D44A579F1A}"/>
    <cellStyle name="Ergebnis 7 59" xfId="28990" xr:uid="{0BB17324-1E0C-47E6-B5CA-2CC45E0F528A}"/>
    <cellStyle name="Ergebnis 7 6" xfId="2234" xr:uid="{8C9084F4-E000-4D46-8ADB-73E21946E7C2}"/>
    <cellStyle name="Ergebnis 7 60" xfId="29545" xr:uid="{C3D8EC5B-E48E-4E47-B239-847AC4C3D4CE}"/>
    <cellStyle name="Ergebnis 7 61" xfId="29780" xr:uid="{ACBB435F-834A-4689-8FB1-99BB9DFF8BD4}"/>
    <cellStyle name="Ergebnis 7 62" xfId="30187" xr:uid="{5F4C50D6-562D-4CE2-B9FA-8771223C20D5}"/>
    <cellStyle name="Ergebnis 7 63" xfId="30602" xr:uid="{53C5893B-772A-4DD0-84EE-0D120FCC00C4}"/>
    <cellStyle name="Ergebnis 7 64" xfId="30946" xr:uid="{9AF5909E-055C-462F-9A65-BC0A052AF98E}"/>
    <cellStyle name="Ergebnis 7 65" xfId="31225" xr:uid="{81E5160F-5B0D-4350-ABB9-97F5539A98D0}"/>
    <cellStyle name="Ergebnis 7 7" xfId="4000" xr:uid="{F3098A28-3133-4E31-9192-60FBB2A1EBF0}"/>
    <cellStyle name="Ergebnis 7 8" xfId="4438" xr:uid="{91499719-4364-4DDC-9246-432C2CCD5839}"/>
    <cellStyle name="Ergebnis 7 9" xfId="4736" xr:uid="{AE2451B5-9A2F-4DC0-918B-D9B62346FC9F}"/>
    <cellStyle name="Erklärender Text" xfId="48" hidden="1" xr:uid="{E845483F-6FD1-4F2B-816B-45FDB57A505A}"/>
    <cellStyle name="Erklärender Text" xfId="895" hidden="1" xr:uid="{F2423B8B-994A-40F5-83C2-760C70CA1D03}"/>
    <cellStyle name="Erklärender Text" xfId="966" hidden="1" xr:uid="{43471BE0-3CFF-428F-B6F3-B7F252766864}"/>
    <cellStyle name="Erklärender Text" xfId="1389" hidden="1" xr:uid="{D99E5D00-1126-474C-9F6D-FD7B248867DB}"/>
    <cellStyle name="Erklärender Text" xfId="1599" hidden="1" xr:uid="{94F9A3CE-2B13-4572-9DE7-1FA14EEDBB40}"/>
    <cellStyle name="Erklärender Text" xfId="1871" hidden="1" xr:uid="{16CC8DD4-F113-4690-9044-D38269D9AE90}"/>
    <cellStyle name="Erklärender Text" xfId="2134" hidden="1" xr:uid="{F3A0C86C-584E-480D-AD49-076F1C918EE8}"/>
    <cellStyle name="Erklärender Text" xfId="3033" hidden="1" xr:uid="{94B5C457-58E3-4564-858D-A1782B6ECBC2}"/>
    <cellStyle name="Erklärender Text" xfId="1863" hidden="1" xr:uid="{0F49E8E7-A08E-4DB8-A7BB-7D06F97F0C5C}"/>
    <cellStyle name="Erklärender Text" xfId="2168" hidden="1" xr:uid="{B35AF193-7C3E-4FA1-96DE-282AF29EC1E7}"/>
    <cellStyle name="Erklärender Text" xfId="3513" hidden="1" xr:uid="{EFD2178F-8E59-4BEC-B3A3-A1C68E2D2534}"/>
    <cellStyle name="Erklärender Text" xfId="1987" hidden="1" xr:uid="{86B764B6-CAEB-4B05-BD86-D9538B710B15}"/>
    <cellStyle name="Erklärender Text" xfId="2761" hidden="1" xr:uid="{C09119F1-A755-49E9-9919-BAC3DF976030}"/>
    <cellStyle name="Erklärender Text" xfId="3345" hidden="1" xr:uid="{5D644A25-08FC-455E-B992-0FF14CAE5B50}"/>
    <cellStyle name="Erklärender Text" xfId="3320" hidden="1" xr:uid="{68A0F0E5-421D-41F4-B3AE-6B80B5A84A8A}"/>
    <cellStyle name="Erklärender Text" xfId="3310" hidden="1" xr:uid="{12D0F28D-116F-41A0-803D-69D7B830BDD7}"/>
    <cellStyle name="Erklärender Text" xfId="3405" hidden="1" xr:uid="{C3825548-2B66-461A-97F6-5B2FA43372E7}"/>
    <cellStyle name="Erklärender Text" xfId="3611" hidden="1" xr:uid="{8551F196-1AD2-450F-8F29-B24B3F5BC6B1}"/>
    <cellStyle name="Erklärender Text" xfId="4801" hidden="1" xr:uid="{78CBCF42-5020-41E2-B57A-8E72485799DB}"/>
    <cellStyle name="Erklärender Text" xfId="4857" hidden="1" xr:uid="{57442732-593F-4BE5-9DFB-23C8AB2C47A8}"/>
    <cellStyle name="Erklärender Text" xfId="4769" hidden="1" xr:uid="{D2069D6F-E1F0-4815-BCE2-36D238EEFC92}"/>
    <cellStyle name="Erklärender Text" xfId="5626" hidden="1" xr:uid="{665D8766-2413-4F95-92C9-ABBB489094E0}"/>
    <cellStyle name="Erklärender Text" xfId="5719" hidden="1" xr:uid="{06E614C6-0F3E-4046-8BC2-E53042056CE3}"/>
    <cellStyle name="Erklärender Text" xfId="5791" hidden="1" xr:uid="{8D1C1F1C-CD73-4EE8-B5F8-A8D6089C3207}"/>
    <cellStyle name="Erklärender Text" xfId="3729" hidden="1" xr:uid="{BE563C47-C504-4031-ACB8-28CF0FC7C409}"/>
    <cellStyle name="Erklärender Text" xfId="3410" hidden="1" xr:uid="{93A9BBDE-1876-4230-9256-597E7F688810}"/>
    <cellStyle name="Erklärender Text" xfId="6076" hidden="1" xr:uid="{C89B96A1-6103-49CB-9F23-E83F93B9CBDB}"/>
    <cellStyle name="Erklärender Text" xfId="6163" hidden="1" xr:uid="{0B44763D-CD14-41CB-A973-9735ED764242}"/>
    <cellStyle name="Erklärender Text" xfId="6319" hidden="1" xr:uid="{90FA5601-3A35-4A3B-A411-3486EE832E65}"/>
    <cellStyle name="Erklärender Text" xfId="3283" hidden="1" xr:uid="{B36D2B83-1622-44FA-B57F-24B319811D24}"/>
    <cellStyle name="Erklärender Text" xfId="6056" hidden="1" xr:uid="{910A7AE8-3B5C-40AF-9793-543D4790E19A}"/>
    <cellStyle name="Erklärender Text" xfId="6621" hidden="1" xr:uid="{CF67E190-4914-45C2-BE8D-0486DF71B17D}"/>
    <cellStyle name="Erklärender Text" xfId="6635" hidden="1" xr:uid="{0ED0620B-023E-46B5-906D-217D994873BF}"/>
    <cellStyle name="Erklärender Text" xfId="6646" hidden="1" xr:uid="{F5BF0BEF-BD31-41CD-8499-B944A929FC07}"/>
    <cellStyle name="Erklärender Text" xfId="6658" hidden="1" xr:uid="{B8AE0243-38C6-424E-9CAF-B746A7872795}"/>
    <cellStyle name="Erklärender Text" xfId="6668" hidden="1" xr:uid="{81D31870-9923-45D1-BAE9-F42F28D5B495}"/>
    <cellStyle name="Erklärender Text" xfId="6679" hidden="1" xr:uid="{8EAF1F66-8D2C-45A7-B514-60A0923CBBEC}"/>
    <cellStyle name="Erklärender Text" xfId="6785" hidden="1" xr:uid="{03636AE8-60AF-48FC-9E01-C441BB18F9D5}"/>
    <cellStyle name="Erklärender Text" xfId="7062" hidden="1" xr:uid="{CFE9D278-9854-45BA-9FB8-E45121DC4CD5}"/>
    <cellStyle name="Erklärender Text" xfId="7912" hidden="1" xr:uid="{2C7594D4-CB2C-4650-93ED-CFB17CC30406}"/>
    <cellStyle name="Erklärender Text" xfId="6763" hidden="1" xr:uid="{69D22C98-D330-4245-8356-61555205B02E}"/>
    <cellStyle name="Erklärender Text" xfId="8296" hidden="1" xr:uid="{F54E2869-7899-424C-A51B-255748472F02}"/>
    <cellStyle name="Erklärender Text" xfId="8315" hidden="1" xr:uid="{E0F39A6E-1A24-4F64-A8B5-A5E184FE3889}"/>
    <cellStyle name="Erklärender Text" xfId="8374" hidden="1" xr:uid="{6575EF82-29FF-4AB2-9477-1FC3A3E515BB}"/>
    <cellStyle name="Erklärender Text" xfId="8156" hidden="1" xr:uid="{17CFBBDD-8AF2-4721-97D3-20DFEE3107F3}"/>
    <cellStyle name="Erklärender Text" xfId="7745" hidden="1" xr:uid="{E2B6A746-CE12-4BDD-926E-E17BC4862473}"/>
    <cellStyle name="Erklärender Text" xfId="7905" hidden="1" xr:uid="{6D4FC57E-EF9E-4341-98A4-BF8D2B53186D}"/>
    <cellStyle name="Erklärender Text" xfId="7680" hidden="1" xr:uid="{82D18BDB-AB39-4A72-836C-D97A038798E1}"/>
    <cellStyle name="Erklärender Text" xfId="7664" hidden="1" xr:uid="{7DA7FF9C-1DB5-4274-8385-C18BEA8AAAFC}"/>
    <cellStyle name="Erklärender Text" xfId="8173" hidden="1" xr:uid="{31AE2F69-F237-4FC5-88C3-F5F86B64F124}"/>
    <cellStyle name="Erklärender Text" xfId="8050" hidden="1" xr:uid="{B804B04F-2C53-4F44-9532-A6B3C41D48D0}"/>
    <cellStyle name="Erklärender Text" xfId="7806" hidden="1" xr:uid="{DCF00F1C-245F-4231-9A5C-B419720BA86E}"/>
    <cellStyle name="Erklärender Text" xfId="7897" hidden="1" xr:uid="{95DDC1DA-349F-417C-80E6-3B9B917A6DFC}"/>
    <cellStyle name="Erklärender Text" xfId="8078" hidden="1" xr:uid="{8F496B42-4CF0-4FE9-8C50-5760385CB048}"/>
    <cellStyle name="Erklärender Text" xfId="7136" hidden="1" xr:uid="{4562121B-042C-4C63-B5AB-BF5206425B19}"/>
    <cellStyle name="Erklärender Text" xfId="6941" hidden="1" xr:uid="{2AB9C271-6D2B-4CBE-935C-3B4B945FB314}"/>
    <cellStyle name="Erklärender Text" xfId="8823" hidden="1" xr:uid="{E2A0FBF9-66F6-4135-A894-0D7A6E4DA9C0}"/>
    <cellStyle name="Erklärender Text" xfId="8265" hidden="1" xr:uid="{9A2DAE2C-DB5A-47CF-97AF-FDC7CDA11246}"/>
    <cellStyle name="Erklärender Text" xfId="8244" hidden="1" xr:uid="{7C321843-F767-43C4-8777-93BECD8B7BFA}"/>
    <cellStyle name="Erklärender Text" xfId="6852" hidden="1" xr:uid="{E27E852E-7285-48DF-AAFE-BA7DE14C5F18}"/>
    <cellStyle name="Erklärender Text" xfId="8997" hidden="1" xr:uid="{6ABAFB89-9364-4885-9ADA-D6E8D1794DED}"/>
    <cellStyle name="Erklärender Text" xfId="9275" hidden="1" xr:uid="{0AF5D56A-C586-4A33-B20A-9B8D8DD12051}"/>
    <cellStyle name="Erklärender Text" xfId="10125" hidden="1" xr:uid="{0C91417E-3A36-45BE-A3C3-1B518C434DF8}"/>
    <cellStyle name="Erklärender Text" xfId="8975" hidden="1" xr:uid="{5A9C666B-6CE1-4CC0-B33C-DA2C64AF4B7F}"/>
    <cellStyle name="Erklärender Text" xfId="10536" hidden="1" xr:uid="{CBB08B0A-5ED5-4A61-99F1-E0CE6D1CAB56}"/>
    <cellStyle name="Erklärender Text" xfId="10323" hidden="1" xr:uid="{6CFA9236-949B-4BFC-AAAA-EA26914C9CD5}"/>
    <cellStyle name="Erklärender Text" xfId="10308" hidden="1" xr:uid="{D5734CFA-D6B0-46A0-A33B-D624BFC8FB7D}"/>
    <cellStyle name="Erklärender Text" xfId="10445" hidden="1" xr:uid="{60CCB4BA-A7DA-4B87-ABC0-301C71BDF9EB}"/>
    <cellStyle name="Erklärender Text" xfId="10981" hidden="1" xr:uid="{07280DD4-113E-438B-BD23-09205DF7566F}"/>
    <cellStyle name="Erklärender Text" xfId="11243" hidden="1" xr:uid="{88AE72E0-0E8F-4D16-A874-D0E46E6D4EBB}"/>
    <cellStyle name="Erklärender Text" xfId="11050" hidden="1" xr:uid="{34E8029D-470B-4CE6-AA1D-0C409C472E61}"/>
    <cellStyle name="Erklärender Text" xfId="11232" hidden="1" xr:uid="{067AE656-67E7-4786-8D9B-79CE6D7ABA98}"/>
    <cellStyle name="Erklärender Text" xfId="9101" hidden="1" xr:uid="{314F42A3-EF3D-498B-B284-56FAE92C3E7A}"/>
    <cellStyle name="Erklärender Text" xfId="11285" hidden="1" xr:uid="{4E052114-70B4-4D46-8D78-A831F73043DE}"/>
    <cellStyle name="Erklärender Text" xfId="11296" hidden="1" xr:uid="{9DFE380D-D43B-4E33-A9C1-F753AAD971EA}"/>
    <cellStyle name="Erklärender Text" xfId="11403" hidden="1" xr:uid="{81179773-8ECA-4937-88D0-6E8C2E40BBC1}"/>
    <cellStyle name="Erklärender Text" xfId="11689" hidden="1" xr:uid="{D7C48121-CA17-4940-A7BA-2049108C433D}"/>
    <cellStyle name="Erklärender Text" xfId="11799" hidden="1" xr:uid="{91CBB19B-F764-403D-B2AE-83E75BA431C2}"/>
    <cellStyle name="Erklärender Text" xfId="11860" hidden="1" xr:uid="{DEED7CCB-75DC-40B9-B554-2757205F78DC}"/>
    <cellStyle name="Erklärender Text" xfId="11570" hidden="1" xr:uid="{B7845E21-BDAB-48BE-A522-3C7DBE26EBC6}"/>
    <cellStyle name="Erklärender Text" xfId="13866" hidden="1" xr:uid="{307C1CE6-1468-46BB-815F-B55E71ECE021}"/>
    <cellStyle name="Erklärender Text" xfId="11527" hidden="1" xr:uid="{EB90AA9F-A6FF-415D-A85E-63FCAC326CAA}"/>
    <cellStyle name="Erklärender Text" xfId="13393" hidden="1" xr:uid="{A1B9EE57-B252-473C-B9A5-576F4BD8ED97}"/>
    <cellStyle name="Erklärender Text" xfId="14009" hidden="1" xr:uid="{C1B34A89-08A9-494F-A18F-755C88154EA6}"/>
    <cellStyle name="Erklärender Text" xfId="14384" hidden="1" xr:uid="{D8D8949F-0DE0-4FAB-9D06-6B2182D51774}"/>
    <cellStyle name="Erklärender Text" xfId="14569" hidden="1" xr:uid="{9387C3EB-DBEB-4C84-8FD2-EA9D5DBB407E}"/>
    <cellStyle name="Erklärender Text" xfId="11825" hidden="1" xr:uid="{A72F652A-171C-440D-8F68-6FE5351B9E9C}"/>
    <cellStyle name="Erklärender Text" xfId="14997" hidden="1" xr:uid="{C411C615-C088-44EE-8CEE-BEF74C58F3CA}"/>
    <cellStyle name="Erklärender Text" xfId="14557" hidden="1" xr:uid="{C8E2B24A-DBED-4B43-929D-FF5B1B3CC19A}"/>
    <cellStyle name="Erklärender Text" xfId="13846" hidden="1" xr:uid="{7F81A2EC-42CD-43D3-9934-C34D7AFE2CFF}"/>
    <cellStyle name="Erklärender Text" xfId="14091" hidden="1" xr:uid="{1E938FFB-C8E2-421F-9A59-677C42EBA01C}"/>
    <cellStyle name="Erklärender Text" xfId="15345" hidden="1" xr:uid="{6E82B722-D7DF-4239-A9F8-54995E49E977}"/>
    <cellStyle name="Erklärender Text" xfId="15450" hidden="1" xr:uid="{96E608EB-F117-40F3-ADF8-9B5C1274F52C}"/>
    <cellStyle name="Erklärender Text" xfId="15540" hidden="1" xr:uid="{37E00D27-48D1-4A7C-B069-BE7402D15443}"/>
    <cellStyle name="Erklärender Text" xfId="15348" hidden="1" xr:uid="{C3C805B5-6439-4713-B015-BFAF592F8229}"/>
    <cellStyle name="Erklärender Text" xfId="15268" hidden="1" xr:uid="{37EED9F5-DB70-48BE-ABE6-11372D4008CB}"/>
    <cellStyle name="Erklärender Text" xfId="15478" hidden="1" xr:uid="{A22B15FA-59A5-45AA-959A-8262C01F879E}"/>
    <cellStyle name="Erklärender Text" xfId="14526" hidden="1" xr:uid="{7193DC51-75E6-4401-9737-E5DC345A3D3C}"/>
    <cellStyle name="Erklärender Text" xfId="15902" hidden="1" xr:uid="{7EFC3F10-4973-4390-AC1C-DA5A3433DB54}"/>
    <cellStyle name="Erklärender Text" xfId="12320" hidden="1" xr:uid="{4322B920-41C9-46A5-AAEA-AAE9A772758A}"/>
    <cellStyle name="Erklärender Text" xfId="16094" hidden="1" xr:uid="{2BADB311-50B4-43AD-9C0B-2F911D4CEB31}"/>
    <cellStyle name="Erklärender Text" xfId="16384" hidden="1" xr:uid="{EE53E618-746F-45DD-806A-E97C823263CC}"/>
    <cellStyle name="Erklärender Text" xfId="17244" hidden="1" xr:uid="{F31B6A14-9AA0-4B49-BE42-51FF7D20C4C3}"/>
    <cellStyle name="Erklärender Text" xfId="16071" hidden="1" xr:uid="{4D96ACF3-8734-4E04-BD49-B709F99F16AD}"/>
    <cellStyle name="Erklärender Text" xfId="17688" hidden="1" xr:uid="{B56E5392-3B7A-4C22-A3C4-D2F3E6A0880D}"/>
    <cellStyle name="Erklärender Text" xfId="17449" hidden="1" xr:uid="{64794F92-8CE9-4F9E-A393-12BCE1B42A5E}"/>
    <cellStyle name="Erklärender Text" xfId="18106" hidden="1" xr:uid="{F121BBD3-E201-490A-841C-8534084F8A46}"/>
    <cellStyle name="Erklärender Text" xfId="17533" hidden="1" xr:uid="{F141AD9D-F3B5-4C39-8CCD-A90C1F0C60B7}"/>
    <cellStyle name="Erklärender Text" xfId="17197" hidden="1" xr:uid="{C8EE9C0F-12A9-4652-A34D-5953E6168F12}"/>
    <cellStyle name="Erklärender Text" xfId="17962" hidden="1" xr:uid="{247C5AA2-8FFC-475B-B674-5B5B90A2D8E0}"/>
    <cellStyle name="Erklärender Text" xfId="17789" hidden="1" xr:uid="{137A9733-7F95-4DEE-BBEC-17D4EAADEF59}"/>
    <cellStyle name="Erklärender Text" xfId="18185" hidden="1" xr:uid="{DFBE4205-DF60-4EE2-8DFD-5B6223E9AFDE}"/>
    <cellStyle name="Erklärender Text" xfId="18962" hidden="1" xr:uid="{0E344BFC-9F1D-4711-ABFF-B7C7045CDEBB}"/>
    <cellStyle name="Erklärender Text" xfId="17863" hidden="1" xr:uid="{1F7ED2F3-82DC-481A-A483-EA8E5DCE44D3}"/>
    <cellStyle name="Erklärender Text" xfId="17966" hidden="1" xr:uid="{961E854F-B37A-4C72-B46C-FAA9094DF49E}"/>
    <cellStyle name="Erklärender Text" xfId="19061" hidden="1" xr:uid="{AA077D71-16C4-48A2-B365-342EE268A1D5}"/>
    <cellStyle name="Erklärender Text" xfId="19277" hidden="1" xr:uid="{BCCD56BF-740E-4BA5-9A66-0E2CC1A9B1A6}"/>
    <cellStyle name="Erklärender Text" xfId="18894" hidden="1" xr:uid="{52E2C89F-DF81-4EFB-A491-D49E6A9E1861}"/>
    <cellStyle name="Erklärender Text" xfId="19427" hidden="1" xr:uid="{CC1726EA-44F8-45E9-AB67-0FD36318EB4D}"/>
    <cellStyle name="Erklärender Text" xfId="19718" hidden="1" xr:uid="{64BB62E3-3BB5-404C-B7D2-434D367EC4BC}"/>
    <cellStyle name="Erklärender Text" xfId="20594" hidden="1" xr:uid="{D357EF24-983B-4A61-A8BC-6D2C8869B986}"/>
    <cellStyle name="Erklärender Text" xfId="20415" hidden="1" xr:uid="{F99F9C0D-C02F-4C7B-A9C3-4BFFBA5696E4}"/>
    <cellStyle name="Erklärender Text" xfId="21049" hidden="1" xr:uid="{3AFBBE73-8CF1-40A5-BCC3-6BBB1B6529DE}"/>
    <cellStyle name="Erklärender Text" xfId="20807" hidden="1" xr:uid="{B1988331-5C51-4ABA-B96F-920541D0E346}"/>
    <cellStyle name="Erklärender Text" xfId="20447" hidden="1" xr:uid="{B317F7BA-4CCE-4658-888F-FED4AD513FBD}"/>
    <cellStyle name="Erklärender Text" xfId="20818" hidden="1" xr:uid="{6FF97D1E-D508-4DA6-AAFF-CC4F4A2019AD}"/>
    <cellStyle name="Erklärender Text" xfId="19465" hidden="1" xr:uid="{5719918F-CFFC-4CEB-9DB7-AABB97E00474}"/>
    <cellStyle name="Erklärender Text" xfId="21671" hidden="1" xr:uid="{1A8280AB-4657-489E-9CF3-1C6D84BA58F0}"/>
    <cellStyle name="Erklärender Text" xfId="21980" hidden="1" xr:uid="{A26133CC-7E93-4246-8E05-3599CFCA0AAC}"/>
    <cellStyle name="Erklärender Text" xfId="21738" hidden="1" xr:uid="{F9C39B47-F432-4E51-B323-9636633085CB}"/>
    <cellStyle name="Erklärender Text" xfId="22411" hidden="1" xr:uid="{E2F06255-4430-45E7-9602-1A2D032BC34D}"/>
    <cellStyle name="Erklärender Text" xfId="21363" hidden="1" xr:uid="{F9C60F3B-3E5B-43AB-BB32-FE1E2F9A01F7}"/>
    <cellStyle name="Erklärender Text" xfId="22850" hidden="1" xr:uid="{9F05541D-9D7A-4156-AF2E-21E9028D6C3B}"/>
    <cellStyle name="Erklärender Text" xfId="22257" hidden="1" xr:uid="{95773528-BCF3-40D5-9DA8-6ED3B76EFA19}"/>
    <cellStyle name="Erklärender Text" xfId="22204" hidden="1" xr:uid="{83D8FDFC-CD1B-40B1-9AB2-C1AC4D452C26}"/>
    <cellStyle name="Erklärender Text" xfId="23250" hidden="1" xr:uid="{CE16F00C-A6FF-417C-B405-9AA11C93D39B}"/>
    <cellStyle name="Erklärender Text" xfId="22397" hidden="1" xr:uid="{2A88A299-6D27-4124-930D-616070DD37B6}"/>
    <cellStyle name="Erklärender Text" xfId="22428" hidden="1" xr:uid="{23A07C57-CE8C-4BAF-8F71-4AE9A0F7264A}"/>
    <cellStyle name="Erklärender Text" xfId="23389" hidden="1" xr:uid="{48D8C20F-15FD-49FA-9E2F-E9ED7D01D130}"/>
    <cellStyle name="Erklärender Text" xfId="23362" hidden="1" xr:uid="{E5BC7320-285A-436D-B3E6-DE5BE1852CB7}"/>
    <cellStyle name="Erklärender Text" xfId="21865" hidden="1" xr:uid="{C25D259F-4871-4B2C-AD64-54392A90E9B7}"/>
    <cellStyle name="Erklärender Text" xfId="23533" hidden="1" xr:uid="{4F53460B-B7FB-491F-B752-2F95DEF77420}"/>
    <cellStyle name="Erklärender Text" xfId="23628" hidden="1" xr:uid="{B96F49A9-5812-49A9-BC64-53A8FC1F0C03}"/>
    <cellStyle name="Erklärender Text" xfId="24089" hidden="1" xr:uid="{EA92B810-71E6-47CF-99EC-B9B3D926AE46}"/>
    <cellStyle name="Erklärender Text" xfId="23100" hidden="1" xr:uid="{7E1E8C48-073C-4694-8EBE-0FC38A1860C4}"/>
    <cellStyle name="Erklärender Text" xfId="24150" hidden="1" xr:uid="{D5DEBF32-60AB-42B6-8F94-B1BF6BAD5987}"/>
    <cellStyle name="Erklärender Text" xfId="24589" hidden="1" xr:uid="{A80F2BD8-1BF6-45AD-846F-9C2374768264}"/>
    <cellStyle name="Erklärender Text" xfId="24256" hidden="1" xr:uid="{B12470A6-315D-472A-9152-5F1BAF08F0DA}"/>
    <cellStyle name="Erklärender Text" xfId="25269" hidden="1" xr:uid="{1D3CAD19-06AE-45AA-A0CA-B09037FDB2D2}"/>
    <cellStyle name="Erklärender Text" xfId="25000" hidden="1" xr:uid="{1793D7C2-1DEB-4C7D-B209-6F790FFDC7DD}"/>
    <cellStyle name="Erklärender Text" xfId="25192" hidden="1" xr:uid="{CF4D6959-DB54-4CB1-B38A-2254E36567AD}"/>
    <cellStyle name="Erklärender Text" xfId="25089" hidden="1" xr:uid="{0D7C0693-EEB5-43B4-86C5-DD190F3B011D}"/>
    <cellStyle name="Erklärender Text" xfId="26221" hidden="1" xr:uid="{DA4B7AF4-7CE4-4185-A686-ECDAF11128FF}"/>
    <cellStyle name="Erklärender Text" xfId="26388" hidden="1" xr:uid="{06BEAD09-C022-4406-B36C-38925AFAD006}"/>
    <cellStyle name="Erklärender Text" xfId="25490" hidden="1" xr:uid="{CDC47D50-1810-4E15-B177-DD0011320323}"/>
    <cellStyle name="Erklärender Text" xfId="26611" hidden="1" xr:uid="{015D55BD-2811-4129-A58F-B783B1C3CB8B}"/>
    <cellStyle name="Erklärender Text" xfId="26126" hidden="1" xr:uid="{C201ECEC-09D9-42B5-A9CC-4A0034C753CE}"/>
    <cellStyle name="Erklärender Text" xfId="26381" hidden="1" xr:uid="{839305CE-CFE6-49A0-B440-7BBC2BBC2F1A}"/>
    <cellStyle name="Erklärender Text" xfId="26481" hidden="1" xr:uid="{B4BDF991-BFB3-4CC8-813A-365ED3F8E61E}"/>
    <cellStyle name="Erklärender Text" xfId="27740" hidden="1" xr:uid="{EB7F9735-1257-4D0D-8004-B5AA769EC496}"/>
    <cellStyle name="Erklärender Text" xfId="26273" hidden="1" xr:uid="{772F338D-09AD-4EB4-9EC7-E31ACCB4FCCA}"/>
    <cellStyle name="Erklärender Text" xfId="27874" hidden="1" xr:uid="{91C3AF5B-5A52-4A64-81C3-82F91451C9FA}"/>
    <cellStyle name="Erklärender Text" xfId="27645" hidden="1" xr:uid="{1698BB82-DD44-40F4-A9B6-C68585DDF024}"/>
    <cellStyle name="Erklärender Text" xfId="26434" hidden="1" xr:uid="{1CE0F106-90E2-42F1-9F29-4C7E9DB40A8D}"/>
    <cellStyle name="Erklärender Text" xfId="27857" hidden="1" xr:uid="{7175A8E0-CCA6-4DE1-8AD4-F764B7DC174D}"/>
    <cellStyle name="Erklärender Text" xfId="27941" hidden="1" xr:uid="{1B891280-1F45-42A3-A1B9-091FB13B67C3}"/>
    <cellStyle name="Erklärender Text" xfId="28200" hidden="1" xr:uid="{5FAFFF26-2DF8-4664-A4D1-24EA4BDC5EC1}"/>
    <cellStyle name="Erklärender Text" xfId="28297" hidden="1" xr:uid="{ACB8B9BB-5A27-4958-AE04-7A4BA79FEBB2}"/>
    <cellStyle name="Erklärender Text" xfId="29426" hidden="1" xr:uid="{A4720932-9CE1-467B-9798-0C8E3BAD4E2D}"/>
    <cellStyle name="Erklärender Text" xfId="29222" hidden="1" xr:uid="{C88096F8-F188-447D-9788-4C507A3A37B7}"/>
    <cellStyle name="Erklärender Text" xfId="28244" hidden="1" xr:uid="{B31CA7AF-B39D-43CF-92D0-2EB033C2AC33}"/>
    <cellStyle name="Erklärender Text" xfId="29219" hidden="1" xr:uid="{4569C469-4564-4ADA-9D72-242F4C12674D}"/>
    <cellStyle name="Erklärender Text" xfId="29220" hidden="1" xr:uid="{4F483CFD-1470-4F84-8BB2-405EABBA710B}"/>
    <cellStyle name="Erklärender Text" xfId="29582" hidden="1" xr:uid="{D0FE5ED9-A1BB-4FA9-B980-E80B56434FB3}"/>
    <cellStyle name="Erklärender Text" xfId="29768" hidden="1" xr:uid="{598AF4E8-B251-4E02-A3AB-59939FA6A549}"/>
    <cellStyle name="Erklärender Text 2" xfId="394" xr:uid="{A316E00B-2DD6-4B6B-ACC6-2A13099DF183}"/>
    <cellStyle name="Erklärender Text 3" xfId="276" xr:uid="{FB0E2BD3-32B7-40C4-A0F6-5F66D7D80AB9}"/>
    <cellStyle name="Explanatory Text 2" xfId="135" xr:uid="{1C0C5D5F-A9CB-4CCA-AD64-737998BE09EC}"/>
    <cellStyle name="Explanatory Text 3" xfId="226" xr:uid="{1F63E021-F9D5-46DB-A015-2D9EDBE4E23E}"/>
    <cellStyle name="Good 2" xfId="136" xr:uid="{EF6EE00A-458F-4B07-91A7-C73970951E5C}"/>
    <cellStyle name="Good 3" xfId="227" xr:uid="{D679EF5E-A44A-4FD7-B461-290D9A456135}"/>
    <cellStyle name="Good 4" xfId="356" xr:uid="{37423D11-F5E4-4D58-9533-C08BD5112C00}"/>
    <cellStyle name="Gut" xfId="137" xr:uid="{B37D1694-9774-421E-9569-9FB42C74944E}"/>
    <cellStyle name="Heading 1 2" xfId="138" xr:uid="{62C720FE-FC3A-4D90-923D-95E6F220E7DF}"/>
    <cellStyle name="Heading 1 3" xfId="228" xr:uid="{43EBB232-D73B-48E3-A681-B57C06BFE947}"/>
    <cellStyle name="Heading 1 4" xfId="364" xr:uid="{700867FA-BAD8-487B-AD80-1477BD2B2436}"/>
    <cellStyle name="Heading 2 2" xfId="139" xr:uid="{A9B4CE85-4E53-46C2-8265-3BD981269EFD}"/>
    <cellStyle name="Heading 2 3" xfId="229" xr:uid="{A3F1A194-D552-44DA-A756-4626C2BCCBC1}"/>
    <cellStyle name="Heading 2 4" xfId="365" xr:uid="{9285E168-34F4-4122-9EF5-6E21CEC527D2}"/>
    <cellStyle name="Heading 3 2" xfId="140" xr:uid="{9F4981D9-60FD-4563-869D-9680790FC0BA}"/>
    <cellStyle name="Heading 3 3" xfId="230" xr:uid="{1C835878-C527-4D67-AEAA-0C079349966B}"/>
    <cellStyle name="Heading 3 4" xfId="366" xr:uid="{319ABC47-AA54-4F84-96C1-601E52B43C8E}"/>
    <cellStyle name="Heading 4 2" xfId="141" xr:uid="{38808DD9-2D97-432C-A257-62A8050BD48C}"/>
    <cellStyle name="Heading 4 3" xfId="231" xr:uid="{6AB55271-DEB0-48C5-9E26-39B04E373627}"/>
    <cellStyle name="Heading 4 4" xfId="367" xr:uid="{AE1628DD-921A-4552-AE38-03655B224B22}"/>
    <cellStyle name="Headline" xfId="3" xr:uid="{088FA78D-5F00-440C-8345-7B22478FF750}"/>
    <cellStyle name="Hyperlänk" xfId="1814" builtinId="8"/>
    <cellStyle name="Input 2" xfId="142" xr:uid="{9828FA01-AA38-4A11-825C-13B7B9BBBFD1}"/>
    <cellStyle name="Input 2 10" xfId="3037" xr:uid="{7BAD97EC-CDC2-4528-8795-B94C8ACFCD18}"/>
    <cellStyle name="Input 2 11" xfId="1933" xr:uid="{32AE62AC-F51B-4A50-89F3-815B7A9196A0}"/>
    <cellStyle name="Input 2 12" xfId="3002" xr:uid="{C2557F0B-1263-4458-90EF-767C44913D96}"/>
    <cellStyle name="Input 2 13" xfId="4776" xr:uid="{E9897968-D604-4343-B62C-8937D4F19047}"/>
    <cellStyle name="Input 2 14" xfId="6705" xr:uid="{C5DDE963-51DF-4BF3-B63E-2CC52CBF1108}"/>
    <cellStyle name="Input 2 15" xfId="6878" xr:uid="{96733177-6521-42E6-BD9C-4A91D9DF428D}"/>
    <cellStyle name="Input 2 16" xfId="7171" xr:uid="{C006D086-32BA-4DBD-8B1A-9F18FFC34131}"/>
    <cellStyle name="Input 2 17" xfId="8654" xr:uid="{D878EC34-4FF7-4986-A6D0-FAEAC7B16255}"/>
    <cellStyle name="Input 2 18" xfId="8538" xr:uid="{C20A680D-92B8-4C80-AC28-4203DB720558}"/>
    <cellStyle name="Input 2 19" xfId="9091" xr:uid="{480E0DE9-FC58-4B28-B281-4301CAF1EC73}"/>
    <cellStyle name="Input 2 2" xfId="556" xr:uid="{1805109A-2446-4F49-B1B2-D50CF908B0BF}"/>
    <cellStyle name="Input 2 2 10" xfId="3163" xr:uid="{F2A77C88-ACB2-461C-94FC-147098B9A36E}"/>
    <cellStyle name="Input 2 2 11" xfId="5204" xr:uid="{232FFF7C-161C-4D22-9EEA-429251629920}"/>
    <cellStyle name="Input 2 2 12" xfId="5619" xr:uid="{09B09F4A-AD76-49E9-8CD7-D6B510D76F42}"/>
    <cellStyle name="Input 2 2 13" xfId="5907" xr:uid="{74275080-ED98-4532-B342-8C3018290C6B}"/>
    <cellStyle name="Input 2 2 14" xfId="6060" xr:uid="{C0B3035A-E101-4538-ABB5-CFB56E4983F9}"/>
    <cellStyle name="Input 2 2 15" xfId="7276" xr:uid="{ECEB9E21-6563-44CE-ADA9-13118A577CA3}"/>
    <cellStyle name="Input 2 2 16" xfId="7726" xr:uid="{8891D7BA-A5B8-40D8-9305-21F04980F9E5}"/>
    <cellStyle name="Input 2 2 17" xfId="7181" xr:uid="{A86E3FE5-8004-4D1E-A0B0-33483EF4824E}"/>
    <cellStyle name="Input 2 2 18" xfId="8594" xr:uid="{521F3193-5E19-4285-B4B5-C9A197064821}"/>
    <cellStyle name="Input 2 2 19" xfId="9490" xr:uid="{FFEFD51B-B894-42E5-AF40-0C7922252C6A}"/>
    <cellStyle name="Input 2 2 2" xfId="771" xr:uid="{925A25E1-F962-4879-9C45-9666CB7AD6D6}"/>
    <cellStyle name="Input 2 2 2 10" xfId="5419" xr:uid="{3E1694F0-16B5-4E8A-A2B6-8597CC7E7E3F}"/>
    <cellStyle name="Input 2 2 2 11" xfId="4758" xr:uid="{6EDC2767-17F3-4C11-A6EE-2FA56765069B}"/>
    <cellStyle name="Input 2 2 2 12" xfId="6042" xr:uid="{C495FD95-747B-47CA-AED3-88F5162AF559}"/>
    <cellStyle name="Input 2 2 2 13" xfId="5710" xr:uid="{A3622D99-B3D8-42E0-9F66-34673C86ADEB}"/>
    <cellStyle name="Input 2 2 2 14" xfId="7491" xr:uid="{91F2CF34-48BB-4E14-8478-7EF03731C1DE}"/>
    <cellStyle name="Input 2 2 2 15" xfId="6963" xr:uid="{9A7EF718-4762-4BFC-9547-5A084B90E9F6}"/>
    <cellStyle name="Input 2 2 2 16" xfId="7025" xr:uid="{B0CDEB32-9AD7-4F16-B5B4-277451E72B98}"/>
    <cellStyle name="Input 2 2 2 17" xfId="8742" xr:uid="{48CA109F-74B2-4755-8EF9-8D625E38A017}"/>
    <cellStyle name="Input 2 2 2 18" xfId="9705" xr:uid="{D432E48D-5CE8-433E-A7C7-0690A70F6A9E}"/>
    <cellStyle name="Input 2 2 2 19" xfId="9176" xr:uid="{680D11AA-AC33-4F95-837E-5851EF7FF7EC}"/>
    <cellStyle name="Input 2 2 2 2" xfId="1245" xr:uid="{88F705BC-8BF0-4098-8453-EC684CCF443D}"/>
    <cellStyle name="Input 2 2 2 20" xfId="9311" xr:uid="{D2777D59-03BB-4872-8796-3DEB61C0242E}"/>
    <cellStyle name="Input 2 2 2 21" xfId="10689" xr:uid="{6B1E8CBA-50E4-4565-90E7-A9B4E4DD0656}"/>
    <cellStyle name="Input 2 2 2 22" xfId="11225" xr:uid="{3A02BDEC-4DDE-40D3-8D3B-B0E3DB9DD3E2}"/>
    <cellStyle name="Input 2 2 2 23" xfId="12124" xr:uid="{93B78A68-DE2C-42EE-A438-F1FED9A28FD5}"/>
    <cellStyle name="Input 2 2 2 24" xfId="12597" xr:uid="{552A7AB0-AAB6-4209-94F1-19F840E0C798}"/>
    <cellStyle name="Input 2 2 2 25" xfId="13031" xr:uid="{87E9BD6C-B8B4-44C5-A9E1-DF65D7EA2990}"/>
    <cellStyle name="Input 2 2 2 26" xfId="13468" xr:uid="{BFF53FE4-F32C-49C9-9FEA-4233896D1422}"/>
    <cellStyle name="Input 2 2 2 27" xfId="13613" xr:uid="{769C77F1-2F21-4C58-B1ED-215DC480B07F}"/>
    <cellStyle name="Input 2 2 2 28" xfId="12053" xr:uid="{69E18910-4765-4780-9175-EE4D236C970F}"/>
    <cellStyle name="Input 2 2 2 29" xfId="11839" xr:uid="{549B82F4-370F-4D90-BAB1-395AA23F5451}"/>
    <cellStyle name="Input 2 2 2 3" xfId="1369" xr:uid="{F7560845-2665-4962-A9B4-EFF94B3B6809}"/>
    <cellStyle name="Input 2 2 2 30" xfId="15068" xr:uid="{306B270D-7F80-46E6-97BD-A4AC05B527FC}"/>
    <cellStyle name="Input 2 2 2 31" xfId="14762" xr:uid="{73C857C3-FDDE-4BA0-B2C4-D2BB68BCD1A4}"/>
    <cellStyle name="Input 2 2 2 32" xfId="15080" xr:uid="{5E11692B-B3E5-4559-A03D-8EF155C92788}"/>
    <cellStyle name="Input 2 2 2 33" xfId="16816" xr:uid="{46DE61EE-C0C0-4524-8AF3-17BC262156AE}"/>
    <cellStyle name="Input 2 2 2 34" xfId="16282" xr:uid="{DC6571CD-C92B-453B-9F43-3DA37ADF51CF}"/>
    <cellStyle name="Input 2 2 2 35" xfId="16420" xr:uid="{7F97627A-2A84-4E4A-AD19-2274CBC31273}"/>
    <cellStyle name="Input 2 2 2 36" xfId="17986" xr:uid="{34E9DB4B-E618-42C0-947C-3684AF066B50}"/>
    <cellStyle name="Input 2 2 2 37" xfId="18634" xr:uid="{B4B3107C-0A25-4BEC-98C7-1BDC6C81FDD6}"/>
    <cellStyle name="Input 2 2 2 38" xfId="18933" xr:uid="{32C772B3-A3CD-40A0-B735-3576793F05FF}"/>
    <cellStyle name="Input 2 2 2 39" xfId="19169" xr:uid="{84BFDF23-CE58-44B7-BD25-62F556A45DD9}"/>
    <cellStyle name="Input 2 2 2 4" xfId="2593" xr:uid="{FB7764AD-06C3-43AA-B9EC-EC6D878E0054}"/>
    <cellStyle name="Input 2 2 2 40" xfId="20153" xr:uid="{DAD849BE-38BD-4A28-8CBB-74C450B31939}"/>
    <cellStyle name="Input 2 2 2 41" xfId="19615" xr:uid="{F717243C-F57E-4032-B365-AF1767C0093A}"/>
    <cellStyle name="Input 2 2 2 42" xfId="19531" xr:uid="{B9B2CA25-E060-4C53-BCBD-EA1BFF7EE2AD}"/>
    <cellStyle name="Input 2 2 2 43" xfId="21582" xr:uid="{6F465257-D38B-47A5-A912-D70F1693C6B7}"/>
    <cellStyle name="Input 2 2 2 44" xfId="21330" xr:uid="{06F49501-9F8D-4A63-A71A-11A209A57715}"/>
    <cellStyle name="Input 2 2 2 45" xfId="22095" xr:uid="{A7C4ABF3-CD68-4938-A330-D539C96E0AF6}"/>
    <cellStyle name="Input 2 2 2 46" xfId="22622" xr:uid="{D90A7A8F-2F94-4463-B1B7-DF61F464D65A}"/>
    <cellStyle name="Input 2 2 2 47" xfId="23220" xr:uid="{95D8E4C3-A007-4D23-9189-67800113EB27}"/>
    <cellStyle name="Input 2 2 2 48" xfId="23437" xr:uid="{DF94A2B2-5891-48AA-A077-30B3D933AE55}"/>
    <cellStyle name="Input 2 2 2 49" xfId="23953" xr:uid="{E0E45B4D-FDC4-482B-AFC8-4B3B6C7BFDF9}"/>
    <cellStyle name="Input 2 2 2 5" xfId="2780" xr:uid="{56C0565F-9B55-46CF-B038-D335DB45F753}"/>
    <cellStyle name="Input 2 2 2 50" xfId="24861" xr:uid="{6F3E173F-59A3-42DA-A91A-F8937EED29C5}"/>
    <cellStyle name="Input 2 2 2 51" xfId="24462" xr:uid="{F5A2D67B-AC2B-4693-8E14-14C619E0D6AA}"/>
    <cellStyle name="Input 2 2 2 52" xfId="25777" xr:uid="{51661B88-9375-4486-BAB1-0C3DF227CC78}"/>
    <cellStyle name="Input 2 2 2 53" xfId="24359" xr:uid="{D4736D3E-1E81-4800-BAE7-566B9625931D}"/>
    <cellStyle name="Input 2 2 2 54" xfId="26068" xr:uid="{85375473-020F-4A13-BA45-6BBB1870ED98}"/>
    <cellStyle name="Input 2 2 2 55" xfId="27065" xr:uid="{D6DB6C35-4047-4CC9-A8B0-32C65CB7D2B1}"/>
    <cellStyle name="Input 2 2 2 56" xfId="27484" xr:uid="{4F98D697-4FAB-4831-8C3A-A633A64C6359}"/>
    <cellStyle name="Input 2 2 2 57" xfId="27202" xr:uid="{5D5EF25B-7B3B-488B-B512-B68E7122B39F}"/>
    <cellStyle name="Input 2 2 2 58" xfId="28611" xr:uid="{B4BE8AD4-0F89-4688-8D54-2D4A9B31769C}"/>
    <cellStyle name="Input 2 2 2 59" xfId="29078" xr:uid="{89E5620D-4E12-4F20-9B7E-8BBA53ACF90D}"/>
    <cellStyle name="Input 2 2 2 6" xfId="3453" xr:uid="{FE1A95ED-B62B-4F38-89AC-F1B2BD6E373B}"/>
    <cellStyle name="Input 2 2 2 60" xfId="28080" xr:uid="{723B6C96-C0FC-4E94-B9F9-C0B6DC835191}"/>
    <cellStyle name="Input 2 2 2 61" xfId="29867" xr:uid="{E848A107-BBCD-4EFD-8C79-203FF66B73E5}"/>
    <cellStyle name="Input 2 2 2 62" xfId="30273" xr:uid="{EF322A48-F640-461F-BD8C-1DEE300C7A6B}"/>
    <cellStyle name="Input 2 2 2 63" xfId="30690" xr:uid="{9D6EDB5A-F568-414E-BED6-EE1BB3264643}"/>
    <cellStyle name="Input 2 2 2 64" xfId="30618" xr:uid="{CBF02FC2-A831-458B-8D6A-6DE7498B5D44}"/>
    <cellStyle name="Input 2 2 2 65" xfId="31306" xr:uid="{7BAB4DB9-D96A-466E-9078-A87F10671286}"/>
    <cellStyle name="Input 2 2 2 7" xfId="4089" xr:uid="{DBF4B845-1A2D-455E-8EE7-C9E9686AE528}"/>
    <cellStyle name="Input 2 2 2 8" xfId="4526" xr:uid="{FFFF577F-A398-49CC-877A-3BC972622393}"/>
    <cellStyle name="Input 2 2 2 9" xfId="2744" xr:uid="{0E306195-71E6-4043-AC65-A01AACD3EF2A}"/>
    <cellStyle name="Input 2 2 20" xfId="9940" xr:uid="{AFDE7E7C-219E-4054-906D-E06DC8754F40}"/>
    <cellStyle name="Input 2 2 21" xfId="10371" xr:uid="{1B8094AA-E047-4A53-B67B-E97BA9B579A7}"/>
    <cellStyle name="Input 2 2 22" xfId="10821" xr:uid="{5C97BA50-FD39-4B93-AE84-B4DDA4457329}"/>
    <cellStyle name="Input 2 2 23" xfId="11092" xr:uid="{66A1BB22-BC1F-47B6-B9F5-932C1AC6B4C8}"/>
    <cellStyle name="Input 2 2 24" xfId="11909" xr:uid="{C85AE0B3-0811-43F3-8FA7-4F240341D452}"/>
    <cellStyle name="Input 2 2 25" xfId="12382" xr:uid="{8545DEA7-434F-4370-A258-5A8A1D12147C}"/>
    <cellStyle name="Input 2 2 26" xfId="12816" xr:uid="{E56F3EE0-F636-400A-A0E5-C8C5420504BC}"/>
    <cellStyle name="Input 2 2 27" xfId="13253" xr:uid="{26E81B3A-EAE5-4842-A772-DB822B5A8856}"/>
    <cellStyle name="Input 2 2 28" xfId="13701" xr:uid="{64BA5EF8-624E-48E1-BC55-4772440D5D59}"/>
    <cellStyle name="Input 2 2 29" xfId="13660" xr:uid="{EA4A3D70-3E1C-4BEC-9D07-BC6A5B5A7CF9}"/>
    <cellStyle name="Input 2 2 3" xfId="1039" xr:uid="{463DE6EF-2632-4085-8370-34AC4E58D2EA}"/>
    <cellStyle name="Input 2 2 30" xfId="14789" xr:uid="{EDC00025-55F0-4C06-AA06-64DC5ED39F3A}"/>
    <cellStyle name="Input 2 2 31" xfId="15015" xr:uid="{4A8EEF10-6450-417D-9514-8800E1FED914}"/>
    <cellStyle name="Input 2 2 32" xfId="14874" xr:uid="{771CCD61-05B2-46F4-99A5-55876C82F7FB}"/>
    <cellStyle name="Input 2 2 33" xfId="15821" xr:uid="{2F3B9025-783B-4014-B10E-80DA71E6D1CC}"/>
    <cellStyle name="Input 2 2 34" xfId="16601" xr:uid="{3651AC16-0603-4F94-A0F0-0ADD75E5AAD7}"/>
    <cellStyle name="Input 2 2 35" xfId="17054" xr:uid="{BEE4DE10-4FA4-451D-BF45-91012A13C4F8}"/>
    <cellStyle name="Input 2 2 36" xfId="17501" xr:uid="{9E41A70F-4116-445C-94AB-C169C11B9E81}"/>
    <cellStyle name="Input 2 2 37" xfId="17963" xr:uid="{B1E47DFE-3643-4989-904D-3ADEA131658C}"/>
    <cellStyle name="Input 2 2 38" xfId="18419" xr:uid="{F9225492-FB9D-4349-B5CF-D10AB7F25780}"/>
    <cellStyle name="Input 2 2 39" xfId="18342" xr:uid="{ABD30A21-186F-4448-A1AB-CFE729559C5F}"/>
    <cellStyle name="Input 2 2 4" xfId="1742" xr:uid="{D0D063BB-7755-4B3D-AF08-29FE36242F02}"/>
    <cellStyle name="Input 2 2 40" xfId="19324" xr:uid="{203EE0B0-1286-453C-92F4-E9D6F37A5616}"/>
    <cellStyle name="Input 2 2 41" xfId="19938" xr:uid="{BA528E05-9BAC-4696-86F3-37E56A27495E}"/>
    <cellStyle name="Input 2 2 42" xfId="20406" xr:uid="{21CF025B-805B-44B5-943E-938FB77EA052}"/>
    <cellStyle name="Input 2 2 43" xfId="20859" xr:uid="{A07FBC43-A5FB-40D0-A639-CDB49342EA09}"/>
    <cellStyle name="Input 2 2 44" xfId="21184" xr:uid="{2FC29F49-0910-40BC-A37D-4F22110D1AF5}"/>
    <cellStyle name="Input 2 2 45" xfId="21791" xr:uid="{0F484CEC-1BDF-4448-BF05-B8E0AE6F60B5}"/>
    <cellStyle name="Input 2 2 46" xfId="22228" xr:uid="{8D27E756-88E0-447E-B6C4-F7228F8B9079}"/>
    <cellStyle name="Input 2 2 47" xfId="22698" xr:uid="{E62940AC-D6D7-4C12-AD14-B78CFEB70DA0}"/>
    <cellStyle name="Input 2 2 48" xfId="22663" xr:uid="{EE497999-0365-4D28-B631-021D94008CBE}"/>
    <cellStyle name="Input 2 2 49" xfId="22615" xr:uid="{98471CC1-9743-4A9C-AEB9-A09B57ABC01E}"/>
    <cellStyle name="Input 2 2 5" xfId="2378" xr:uid="{4B59670A-F926-47E1-B2E6-6B9BA2B4CD4A}"/>
    <cellStyle name="Input 2 2 50" xfId="23747" xr:uid="{44FAECFA-881A-44F2-902D-6A61BAD9BA02}"/>
    <cellStyle name="Input 2 2 51" xfId="24646" xr:uid="{DEDD338E-9CCF-4E3B-A856-47D623C75CC5}"/>
    <cellStyle name="Input 2 2 52" xfId="25114" xr:uid="{C6479A58-14A4-4BC6-9FFE-C578763BA805}"/>
    <cellStyle name="Input 2 2 53" xfId="25564" xr:uid="{A5616E37-9E6C-4E4A-903C-79D11454EB5C}"/>
    <cellStyle name="Input 2 2 54" xfId="26003" xr:uid="{AEB4A397-FBE8-4D21-96DE-6B9E80219BF4}"/>
    <cellStyle name="Input 2 2 55" xfId="26657" xr:uid="{C27E3F01-2C4F-45AF-843B-D41884455D98}"/>
    <cellStyle name="Input 2 2 56" xfId="26854" xr:uid="{547A4CF0-4E9C-48FB-8BC8-44B727D12144}"/>
    <cellStyle name="Input 2 2 57" xfId="27273" xr:uid="{5D1FE4C5-34D3-4DAE-9E7A-7FC7819AADB9}"/>
    <cellStyle name="Input 2 2 58" xfId="26185" xr:uid="{F3E99430-CCFC-48E9-B464-0932B3F4AA4C}"/>
    <cellStyle name="Input 2 2 59" xfId="28396" xr:uid="{75DDD4B6-734C-4BB9-95E4-D02BA4E72A93}"/>
    <cellStyle name="Input 2 2 6" xfId="2866" xr:uid="{564132F5-EAAA-4D58-9447-892326114042}"/>
    <cellStyle name="Input 2 2 60" xfId="28864" xr:uid="{B52845C3-243D-4A22-8F07-39919B3BEDBB}"/>
    <cellStyle name="Input 2 2 61" xfId="29269" xr:uid="{3CCD5DCE-E6BA-4E36-A379-B9CAAB4CFF0A}"/>
    <cellStyle name="Input 2 2 62" xfId="29654" xr:uid="{FB97CA05-27AB-43BC-9EA6-D6A64D6A4D11}"/>
    <cellStyle name="Input 2 2 63" xfId="30062" xr:uid="{1F88C222-9F88-4CC8-AC31-4282946FC400}"/>
    <cellStyle name="Input 2 2 64" xfId="30476" xr:uid="{F78CAD52-D851-48FD-8891-B22C465DB42F}"/>
    <cellStyle name="Input 2 2 65" xfId="30949" xr:uid="{F6C94254-C2E3-4708-A8FC-91DF1C716933}"/>
    <cellStyle name="Input 2 2 66" xfId="31100" xr:uid="{B3399E1C-BC27-47AF-9F10-8384AAD1EE86}"/>
    <cellStyle name="Input 2 2 7" xfId="3505" xr:uid="{987DB198-C605-48C6-A6CB-2E5E30DB5CD8}"/>
    <cellStyle name="Input 2 2 8" xfId="3874" xr:uid="{57E49886-A47E-4864-9B13-DAEF02FD4A1A}"/>
    <cellStyle name="Input 2 2 9" xfId="4312" xr:uid="{49E7C890-9D6D-462B-AD5F-585BF82F5A42}"/>
    <cellStyle name="Input 2 20" xfId="9385" xr:uid="{798261CD-2AFF-483B-A029-17549563FA5B}"/>
    <cellStyle name="Input 2 21" xfId="11322" xr:uid="{BB2BC0F4-CE3F-47B0-8CE0-96B2016B2F36}"/>
    <cellStyle name="Input 2 22" xfId="11502" xr:uid="{D4D40F74-DB7A-41E9-929E-21ADA270BF94}"/>
    <cellStyle name="Input 2 23" xfId="11808" xr:uid="{3D16B1DE-35B8-45F6-B7AF-4A810FA4D063}"/>
    <cellStyle name="Input 2 24" xfId="12285" xr:uid="{51AF823B-7706-45AF-8AC8-9C62640A56AA}"/>
    <cellStyle name="Input 2 25" xfId="11737" xr:uid="{437D0C2B-AAEC-4D2E-B416-C23EFE0DAED9}"/>
    <cellStyle name="Input 2 26" xfId="11646" xr:uid="{F0F140A4-EC5E-4FD3-B464-D35F43AA9C07}"/>
    <cellStyle name="Input 2 27" xfId="14883" xr:uid="{91163802-A9B5-44A6-9B35-9C691DC65BAD}"/>
    <cellStyle name="Input 2 28" xfId="15998" xr:uid="{335BA464-FF62-4500-B892-CBCCE4EA960B}"/>
    <cellStyle name="Input 2 29" xfId="16194" xr:uid="{1D9513DF-0494-4643-9EEC-5EBB403795A9}"/>
    <cellStyle name="Input 2 3" xfId="660" xr:uid="{4919F7F4-B067-4434-8D53-7690C8733545}"/>
    <cellStyle name="Input 2 3 10" xfId="4264" xr:uid="{C9BBFE19-1905-4DB1-8020-986BEE88573B}"/>
    <cellStyle name="Input 2 3 11" xfId="5308" xr:uid="{4999ACCF-6430-4C7C-87F7-BE7ABCB89FA3}"/>
    <cellStyle name="Input 2 3 12" xfId="5548" xr:uid="{0DDB5BE6-FE4C-4CF2-874E-8860B36B44CD}"/>
    <cellStyle name="Input 2 3 13" xfId="6303" xr:uid="{2EF042FF-2BAE-4798-ADE0-12240780A799}"/>
    <cellStyle name="Input 2 3 14" xfId="6301" xr:uid="{66F395BA-0B45-4CCE-89F8-DB84AFD97A3F}"/>
    <cellStyle name="Input 2 3 15" xfId="7380" xr:uid="{204F3FC2-1665-4E28-BB22-E9E131B90A4F}"/>
    <cellStyle name="Input 2 3 16" xfId="7773" xr:uid="{A2F8DFCE-CF7B-4164-BE08-950FDF0E1208}"/>
    <cellStyle name="Input 2 3 17" xfId="7940" xr:uid="{B0F0CA2F-42AA-4465-BDFE-9EE7BFC31E49}"/>
    <cellStyle name="Input 2 3 18" xfId="8383" xr:uid="{DAC6BC42-8B2F-410A-AC33-4366D22D1FA6}"/>
    <cellStyle name="Input 2 3 19" xfId="9594" xr:uid="{86F67767-9A05-46E0-8A29-B4F70F61DCEB}"/>
    <cellStyle name="Input 2 3 2" xfId="875" xr:uid="{38A83B1E-A3AC-4445-8CDA-412CAC39609D}"/>
    <cellStyle name="Input 2 3 2 10" xfId="5523" xr:uid="{AF3D27EB-359F-461E-8D52-E25759D463FE}"/>
    <cellStyle name="Input 2 3 2 11" xfId="6017" xr:uid="{908EDA5D-9893-4246-85CB-E700E32B34B5}"/>
    <cellStyle name="Input 2 3 2 12" xfId="6376" xr:uid="{FD5B0C51-13AC-4AF3-AD02-45FC0DA2A47B}"/>
    <cellStyle name="Input 2 3 2 13" xfId="6714" xr:uid="{47E38975-1C67-48E8-915A-5E19B06DD419}"/>
    <cellStyle name="Input 2 3 2 14" xfId="7595" xr:uid="{C69942E6-D50F-47A6-98E4-E50B9C63D471}"/>
    <cellStyle name="Input 2 3 2 15" xfId="8059" xr:uid="{A2398EE4-5A39-4039-8075-A8DCF0ACCD0B}"/>
    <cellStyle name="Input 2 3 2 16" xfId="8668" xr:uid="{B1A4ED8D-51AF-4A8E-9A20-A1B8F3B40102}"/>
    <cellStyle name="Input 2 3 2 17" xfId="8927" xr:uid="{359EAC21-575B-4825-B49E-EE4AFAE55B34}"/>
    <cellStyle name="Input 2 3 2 18" xfId="9809" xr:uid="{C2256104-30B7-4B37-A72B-87670CC0E37B}"/>
    <cellStyle name="Input 2 3 2 19" xfId="10278" xr:uid="{99B37B25-F3EC-4785-BC2D-5B2DE875CAC2}"/>
    <cellStyle name="Input 2 3 2 2" xfId="1349" xr:uid="{9E5568C5-04E2-4A4F-986B-2C79B1838B44}"/>
    <cellStyle name="Input 2 3 2 20" xfId="10672" xr:uid="{8383A9A5-4DE6-46BF-848C-2AA6060C114E}"/>
    <cellStyle name="Input 2 3 2 21" xfId="11021" xr:uid="{7A4F5B00-C953-434D-AC62-4A2302183704}"/>
    <cellStyle name="Input 2 3 2 22" xfId="11331" xr:uid="{21738E37-2BDB-463B-BEF4-1A136724B2D1}"/>
    <cellStyle name="Input 2 3 2 23" xfId="12228" xr:uid="{13FD650A-EB82-4FD7-8DAB-D8F8C4A5F160}"/>
    <cellStyle name="Input 2 3 2 24" xfId="12701" xr:uid="{7BC12525-DBB1-46B9-8233-FDECD49F0763}"/>
    <cellStyle name="Input 2 3 2 25" xfId="13135" xr:uid="{C19CB6DC-C4F5-450B-8C47-5AB4DE63E449}"/>
    <cellStyle name="Input 2 3 2 26" xfId="13572" xr:uid="{06A5C6DA-B6A7-4417-BD77-3D405660888E}"/>
    <cellStyle name="Input 2 3 2 27" xfId="14044" xr:uid="{BA78047E-1AA1-4480-96B8-99D7255047DD}"/>
    <cellStyle name="Input 2 3 2 28" xfId="14491" xr:uid="{2324A813-C674-4232-A568-0571953378A4}"/>
    <cellStyle name="Input 2 3 2 29" xfId="14925" xr:uid="{B33B7A1A-3CB2-42C1-8103-DD80C4171BB0}"/>
    <cellStyle name="Input 2 3 2 3" xfId="1798" xr:uid="{42329E48-71EF-46DE-95E3-0B371EE8E9CE}"/>
    <cellStyle name="Input 2 3 2 30" xfId="15395" xr:uid="{6AC606CD-CBB9-45E5-8C24-495102206709}"/>
    <cellStyle name="Input 2 3 2 31" xfId="15785" xr:uid="{7F5A1098-713D-4FCB-B639-AE2C4EED06C7}"/>
    <cellStyle name="Input 2 3 2 32" xfId="16007" xr:uid="{D473BFC0-82E3-4216-9033-FD528B9F6365}"/>
    <cellStyle name="Input 2 3 2 33" xfId="16920" xr:uid="{92925FF4-19A3-4B79-B23B-3597F2F931F4}"/>
    <cellStyle name="Input 2 3 2 34" xfId="17401" xr:uid="{A1AE85E7-14FC-413C-84D7-B25E30615AAD}"/>
    <cellStyle name="Input 2 3 2 35" xfId="17842" xr:uid="{AC34E51C-4367-4F5E-A455-9B7275309991}"/>
    <cellStyle name="Input 2 3 2 36" xfId="18317" xr:uid="{001175B2-9648-4B49-BDDD-E7AEF5A3481A}"/>
    <cellStyle name="Input 2 3 2 37" xfId="18738" xr:uid="{52A68868-3768-4877-A12F-1CAF3F8CDFAE}"/>
    <cellStyle name="Input 2 3 2 38" xfId="19125" xr:uid="{A66368C8-C639-496E-ABFA-6DC86507872A}"/>
    <cellStyle name="Input 2 3 2 39" xfId="19355" xr:uid="{9F0D23ED-44E3-40FC-BC31-D3DD61A9464B}"/>
    <cellStyle name="Input 2 3 2 4" xfId="2697" xr:uid="{4537CCAB-080C-4717-A4E4-9A2E588F0498}"/>
    <cellStyle name="Input 2 3 2 40" xfId="20257" xr:uid="{1CA54825-94F2-4C0D-BD89-9EE2FFF91F45}"/>
    <cellStyle name="Input 2 3 2 41" xfId="20750" xr:uid="{7D7C7288-0571-4426-A16B-5BE88526F2A5}"/>
    <cellStyle name="Input 2 3 2 42" xfId="21209" xr:uid="{5E7AAAE4-1349-4EF8-AB8D-E5E578E4B9C3}"/>
    <cellStyle name="Input 2 3 2 43" xfId="21701" xr:uid="{2E1D9CCC-23EE-40A6-8384-DC3FC06C9F49}"/>
    <cellStyle name="Input 2 3 2 44" xfId="22140" xr:uid="{386E63DE-1F2C-4F56-BBA5-E4195F74AEB1}"/>
    <cellStyle name="Input 2 3 2 45" xfId="22567" xr:uid="{38B7EC7A-1183-4E69-88DF-A64CBD790C69}"/>
    <cellStyle name="Input 2 3 2 46" xfId="23012" xr:uid="{7DAF264A-A8C9-4B36-AA09-AA7A8408BCE4}"/>
    <cellStyle name="Input 2 3 2 47" xfId="23414" xr:uid="{607918EE-36CC-420D-89B9-A78113D39EE9}"/>
    <cellStyle name="Input 2 3 2 48" xfId="23677" xr:uid="{B7EA97CE-D4CD-40E7-9460-2AEE248040FB}"/>
    <cellStyle name="Input 2 3 2 49" xfId="24057" xr:uid="{58021187-BE0A-4A8C-B62B-B67411BE4003}"/>
    <cellStyle name="Input 2 3 2 5" xfId="3217" xr:uid="{D8E5E287-D494-4981-B237-50BEC91850A5}"/>
    <cellStyle name="Input 2 3 2 50" xfId="24965" xr:uid="{36582FE3-38B7-4ABE-99D2-F32E18C85424}"/>
    <cellStyle name="Input 2 3 2 51" xfId="25453" xr:uid="{3F368F53-CB42-4922-B505-EEC5EB045D5E}"/>
    <cellStyle name="Input 2 3 2 52" xfId="25881" xr:uid="{12875CD9-6629-44D8-93BE-0D4537F82404}"/>
    <cellStyle name="Input 2 3 2 53" xfId="26319" xr:uid="{320D6B19-2CF8-4A6F-9560-21832BC9CFD9}"/>
    <cellStyle name="Input 2 3 2 54" xfId="26748" xr:uid="{B0FDDEB7-6C7A-441C-B73D-988AFBA77293}"/>
    <cellStyle name="Input 2 3 2 55" xfId="27169" xr:uid="{7F48998B-374F-4A00-B7AF-891881CC8533}"/>
    <cellStyle name="Input 2 3 2 56" xfId="27588" xr:uid="{66B5D4B2-C4F2-4E83-82AE-D2676A6E8271}"/>
    <cellStyle name="Input 2 3 2 57" xfId="26366" xr:uid="{BC58C862-8741-4E68-B946-2D0EF6345FE0}"/>
    <cellStyle name="Input 2 3 2 58" xfId="28715" xr:uid="{CDC68E79-E6A5-4A8A-87CD-1351284F7A90}"/>
    <cellStyle name="Input 2 3 2 59" xfId="29182" xr:uid="{7CF0C58D-612E-403C-AD3C-4DBC7E25EA7D}"/>
    <cellStyle name="Input 2 3 2 6" xfId="3772" xr:uid="{AD420D30-FD09-4EAF-AF20-A78F3892DD88}"/>
    <cellStyle name="Input 2 3 2 60" xfId="29564" xr:uid="{57343628-C53C-4AB2-9425-C1DDC60B376A}"/>
    <cellStyle name="Input 2 3 2 61" xfId="29971" xr:uid="{D75FBC34-D150-4948-B146-D8AD4515087B}"/>
    <cellStyle name="Input 2 3 2 62" xfId="30377" xr:uid="{5B46D08F-3707-461C-A203-A81A3773E139}"/>
    <cellStyle name="Input 2 3 2 63" xfId="30794" xr:uid="{85D5786C-1003-4B81-ABFD-B314E5F21C6C}"/>
    <cellStyle name="Input 2 3 2 64" xfId="31039" xr:uid="{D16A9494-F21B-4849-8967-1D5C320CE077}"/>
    <cellStyle name="Input 2 3 2 65" xfId="31410" xr:uid="{05D4A3EE-03AC-46B5-8D72-86515D391DDA}"/>
    <cellStyle name="Input 2 3 2 7" xfId="4193" xr:uid="{EA78260F-E030-482D-AFDE-474C8FCFE2F7}"/>
    <cellStyle name="Input 2 3 2 8" xfId="4630" xr:uid="{84F02E4B-B62F-4BF7-BBDA-10888EC294A1}"/>
    <cellStyle name="Input 2 3 2 9" xfId="5076" xr:uid="{BEE63B8B-C204-4C97-A5C4-971F6DA23D19}"/>
    <cellStyle name="Input 2 3 20" xfId="9985" xr:uid="{DE975A51-D704-4E01-986C-4DFE7731B5DD}"/>
    <cellStyle name="Input 2 3 21" xfId="10411" xr:uid="{F71B971B-7410-4251-BD33-618D71940695}"/>
    <cellStyle name="Input 2 3 22" xfId="10492" xr:uid="{59B1B0C4-B104-4F5C-88BB-91BB92ED5E8A}"/>
    <cellStyle name="Input 2 3 23" xfId="11204" xr:uid="{098C71BB-4A13-4B91-BA60-D7133733FF63}"/>
    <cellStyle name="Input 2 3 24" xfId="12013" xr:uid="{D68A5B95-7BE5-43AE-9C48-37D85564BC07}"/>
    <cellStyle name="Input 2 3 25" xfId="12486" xr:uid="{CEB32DD0-7667-42DC-B010-E81FC19E12B0}"/>
    <cellStyle name="Input 2 3 26" xfId="12920" xr:uid="{E94E8CA9-630C-446D-9530-49E7DFBBA3E8}"/>
    <cellStyle name="Input 2 3 27" xfId="13357" xr:uid="{EAF9053C-7FC2-451F-B493-AD941FF17C82}"/>
    <cellStyle name="Input 2 3 28" xfId="13929" xr:uid="{68D52FB5-BF41-4AB3-9A6F-AFAF56208B7F}"/>
    <cellStyle name="Input 2 3 29" xfId="14303" xr:uid="{61B09EDB-6655-4196-8B27-4E020DFEB5E2}"/>
    <cellStyle name="Input 2 3 3" xfId="1143" xr:uid="{E33E4122-CEEA-4C5A-AC09-D7508C586F46}"/>
    <cellStyle name="Input 2 3 30" xfId="14639" xr:uid="{85142B9B-8361-4A02-A8C3-A6F9ADA6F54E}"/>
    <cellStyle name="Input 2 3 31" xfId="13634" xr:uid="{19BCE1A8-F654-42CA-BC25-E127A61B7ED1}"/>
    <cellStyle name="Input 2 3 32" xfId="15287" xr:uid="{2CA8B58A-196D-4F78-9EFF-9A4487E94848}"/>
    <cellStyle name="Input 2 3 33" xfId="15843" xr:uid="{2A7783BB-756E-40DC-B31B-BD0E0FBF416C}"/>
    <cellStyle name="Input 2 3 34" xfId="16705" xr:uid="{BF23FFFA-01CA-41CD-BAA7-C32AFB0D05AB}"/>
    <cellStyle name="Input 2 3 35" xfId="17101" xr:uid="{9DD4D3DB-17A9-44F3-B543-BD2686FB5A9A}"/>
    <cellStyle name="Input 2 3 36" xfId="17548" xr:uid="{F41FE514-BE2D-4FA0-84E7-2575E7EED14D}"/>
    <cellStyle name="Input 2 3 37" xfId="18142" xr:uid="{980EF1C3-FC90-40F6-B2E1-95CB28BBCF69}"/>
    <cellStyle name="Input 2 3 38" xfId="18523" xr:uid="{F6DD8D22-581A-42A9-BD3C-F745FC45E91F}"/>
    <cellStyle name="Input 2 3 39" xfId="18207" xr:uid="{EF515B16-9ADB-4D9F-AACB-0386650D3E8F}"/>
    <cellStyle name="Input 2 3 4" xfId="1695" xr:uid="{8D4FBFB9-8FA3-4EF7-BD46-90D9355BE2B0}"/>
    <cellStyle name="Input 2 3 40" xfId="18974" xr:uid="{EA3A63BB-6AFC-47F6-B54B-E2D567974866}"/>
    <cellStyle name="Input 2 3 41" xfId="20042" xr:uid="{7C939833-2501-46C7-8240-591AF277A655}"/>
    <cellStyle name="Input 2 3 42" xfId="20454" xr:uid="{3289866E-EF92-4016-AFDC-5B284829AA11}"/>
    <cellStyle name="Input 2 3 43" xfId="20907" xr:uid="{37C10F6A-8089-4CDB-944E-76DC0520E73D}"/>
    <cellStyle name="Input 2 3 44" xfId="19611" xr:uid="{3164D28F-8220-481B-9CA9-ABF21C2DCE4E}"/>
    <cellStyle name="Input 2 3 45" xfId="21836" xr:uid="{E4662E5D-CE95-422E-8E6C-D28623ED5B05}"/>
    <cellStyle name="Input 2 3 46" xfId="22273" xr:uid="{D01A4364-05DE-4017-999B-EF205FE9874F}"/>
    <cellStyle name="Input 2 3 47" xfId="22905" xr:uid="{F49F0D16-CE10-45EC-B860-BF2B4C24EDD5}"/>
    <cellStyle name="Input 2 3 48" xfId="22863" xr:uid="{51B0F7F4-37A2-4018-B8E4-409B05D0FD63}"/>
    <cellStyle name="Input 2 3 49" xfId="23577" xr:uid="{B47F6A26-92A0-436E-8F8D-DBC16264E6A8}"/>
    <cellStyle name="Input 2 3 5" xfId="2482" xr:uid="{D8666256-095F-43CE-ACE5-68C526341E1E}"/>
    <cellStyle name="Input 2 3 50" xfId="23851" xr:uid="{33F487B7-AFF3-48CC-96B0-AE44EF489168}"/>
    <cellStyle name="Input 2 3 51" xfId="24750" xr:uid="{8AF84E59-76FB-440B-9FD7-AF6596B5B6FE}"/>
    <cellStyle name="Input 2 3 52" xfId="25162" xr:uid="{5DD661F4-0E52-4170-A4ED-0C4E98C007CD}"/>
    <cellStyle name="Input 2 3 53" xfId="25668" xr:uid="{1C851A7A-1BE2-42A0-96FC-2916A45A6549}"/>
    <cellStyle name="Input 2 3 54" xfId="26210" xr:uid="{3ACCD6CD-41B1-4658-BB10-DE23C5A9DFB8}"/>
    <cellStyle name="Input 2 3 55" xfId="26232" xr:uid="{B8450383-BB8C-41F1-AFE6-DD9290E4EDA7}"/>
    <cellStyle name="Input 2 3 56" xfId="26958" xr:uid="{96DA6C5C-57C7-4644-9EDF-1DDDFC6BAA87}"/>
    <cellStyle name="Input 2 3 57" xfId="27377" xr:uid="{439F70C5-1812-4E19-968A-6ECB192FF38C}"/>
    <cellStyle name="Input 2 3 58" xfId="26397" xr:uid="{00C0BD06-01D2-4D1C-8278-435CC5C44254}"/>
    <cellStyle name="Input 2 3 59" xfId="28500" xr:uid="{CD7C98A9-B96B-46E1-BD68-FFEE53E81A51}"/>
    <cellStyle name="Input 2 3 6" xfId="3097" xr:uid="{43F4A20C-CEDD-4B0A-B22E-19DD35540317}"/>
    <cellStyle name="Input 2 3 60" xfId="28968" xr:uid="{07F3F6CA-79C8-4E1C-A818-B73712F79EEB}"/>
    <cellStyle name="Input 2 3 61" xfId="29311" xr:uid="{147696AA-2625-47F5-BC05-439DCB89121B}"/>
    <cellStyle name="Input 2 3 62" xfId="29758" xr:uid="{4E5017DD-4FF4-4610-B922-B1AFD3CA5A96}"/>
    <cellStyle name="Input 2 3 63" xfId="30166" xr:uid="{DA1B6BBB-235A-4FD3-BEEB-32F27B1617DA}"/>
    <cellStyle name="Input 2 3 64" xfId="30580" xr:uid="{556BF807-4D03-45AF-ADE4-32731BA67653}"/>
    <cellStyle name="Input 2 3 65" xfId="30944" xr:uid="{36793502-6F14-490B-95ED-81A4D8113008}"/>
    <cellStyle name="Input 2 3 66" xfId="31204" xr:uid="{C8528D28-8108-49D6-8BA2-DE14549ED3DD}"/>
    <cellStyle name="Input 2 3 7" xfId="3054" xr:uid="{AAA3E27F-5BD6-459D-AE77-8D70AECED349}"/>
    <cellStyle name="Input 2 3 8" xfId="3978" xr:uid="{98291520-49BD-4092-BB78-AE0458196B5F}"/>
    <cellStyle name="Input 2 3 9" xfId="4416" xr:uid="{221147CD-16CE-4C81-91BF-E18B9813F3E0}"/>
    <cellStyle name="Input 2 30" xfId="16492" xr:uid="{E6E3D202-FE29-4EC7-845D-56021163B6D3}"/>
    <cellStyle name="Input 2 31" xfId="17433" xr:uid="{B01D0883-D482-41AE-888D-012CA3AC0AE3}"/>
    <cellStyle name="Input 2 32" xfId="16500" xr:uid="{B7118764-BEEF-4A51-B88F-FF9FA8BC6AD4}"/>
    <cellStyle name="Input 2 33" xfId="18280" xr:uid="{94EFDD60-39A4-41D9-A99A-5D0167DF57B7}"/>
    <cellStyle name="Input 2 34" xfId="19526" xr:uid="{3E0B6A83-85FE-4D4F-8DD5-7B1922FC7B86}"/>
    <cellStyle name="Input 2 35" xfId="19828" xr:uid="{42949FC4-34BE-4428-B5DF-05C2F583495C}"/>
    <cellStyle name="Input 2 36" xfId="20483" xr:uid="{534AD173-EC23-45E2-812C-D7B1AACDC9F6}"/>
    <cellStyle name="Input 2 37" xfId="22224" xr:uid="{39C95C88-DED1-4A03-8713-92F2934C163D}"/>
    <cellStyle name="Input 2 38" xfId="21978" xr:uid="{87E53063-4C02-427F-B1B7-E4E4F99AE390}"/>
    <cellStyle name="Input 2 39" xfId="24247" xr:uid="{8EF270BF-DFB4-4DDA-9D53-B995024EFDDC}"/>
    <cellStyle name="Input 2 4" xfId="671" xr:uid="{8E974FB2-B86E-4828-96F2-46A64E13EC43}"/>
    <cellStyle name="Input 2 4 10" xfId="4830" xr:uid="{CB496A98-1322-4947-A889-0E0556504BBD}"/>
    <cellStyle name="Input 2 4 11" xfId="5319" xr:uid="{48E17F09-2B3D-4FC5-9AB4-D8ECAA9BDE89}"/>
    <cellStyle name="Input 2 4 12" xfId="5553" xr:uid="{226CB143-2C7D-45C5-BDB6-5359BB1808EB}"/>
    <cellStyle name="Input 2 4 13" xfId="6116" xr:uid="{5FA9A5CE-97D8-47A7-BDF8-0427B660FCA7}"/>
    <cellStyle name="Input 2 4 14" xfId="6620" xr:uid="{6FA64E03-5890-4545-A313-C7185D9262B9}"/>
    <cellStyle name="Input 2 4 15" xfId="7391" xr:uid="{321DC71D-5A6B-461B-9ACE-739A97C3F201}"/>
    <cellStyle name="Input 2 4 16" xfId="7695" xr:uid="{A3C6A447-6A7F-4138-97D7-7D3EEC78C4E3}"/>
    <cellStyle name="Input 2 4 17" xfId="8036" xr:uid="{2ED11B56-D20C-4F4F-99EA-1CE0733A5A5F}"/>
    <cellStyle name="Input 2 4 18" xfId="8745" xr:uid="{D1FCB120-0645-489C-83BF-222D1777C3D5}"/>
    <cellStyle name="Input 2 4 19" xfId="9605" xr:uid="{83D01823-47D5-4E4D-B8CD-5ADB8BCCDDD3}"/>
    <cellStyle name="Input 2 4 2" xfId="885" xr:uid="{37063EF5-7879-4B42-89B4-C3C2189D854F}"/>
    <cellStyle name="Input 2 4 2 10" xfId="5533" xr:uid="{034F0424-7EF8-46B8-9122-D1AD15C39C20}"/>
    <cellStyle name="Input 2 4 2 11" xfId="6027" xr:uid="{82C09D98-E550-4779-BB4D-F5A7244000AF}"/>
    <cellStyle name="Input 2 4 2 12" xfId="6386" xr:uid="{C27CEAD8-AB26-4D24-892B-33394C35DDA9}"/>
    <cellStyle name="Input 2 4 2 13" xfId="6724" xr:uid="{3519D841-7439-4298-B3A2-7E088D2043E7}"/>
    <cellStyle name="Input 2 4 2 14" xfId="7605" xr:uid="{9F596E24-F386-4319-A8D1-D400C6A256A7}"/>
    <cellStyle name="Input 2 4 2 15" xfId="8069" xr:uid="{5B8270BE-F4D7-4916-BC95-6B6EEF39921E}"/>
    <cellStyle name="Input 2 4 2 16" xfId="8678" xr:uid="{37A49FB1-5D77-42D7-8474-393F9577020D}"/>
    <cellStyle name="Input 2 4 2 17" xfId="8937" xr:uid="{A4F2E13D-00C1-44F9-AB32-44F1CD321B0A}"/>
    <cellStyle name="Input 2 4 2 18" xfId="9819" xr:uid="{6E7E0921-F5F6-4371-BEEE-885463191F37}"/>
    <cellStyle name="Input 2 4 2 19" xfId="10288" xr:uid="{C5C629E2-1A75-4D21-A189-F54970C87296}"/>
    <cellStyle name="Input 2 4 2 2" xfId="1359" xr:uid="{CCB5FB55-9218-4674-8663-CAE9774818B3}"/>
    <cellStyle name="Input 2 4 2 20" xfId="10682" xr:uid="{94860101-EF7A-40F7-AFDF-171B1AE16CE0}"/>
    <cellStyle name="Input 2 4 2 21" xfId="11031" xr:uid="{9EB428E0-3AA3-42F0-B830-3E5ED327DA2F}"/>
    <cellStyle name="Input 2 4 2 22" xfId="11341" xr:uid="{91C4DA00-0BD1-4DA3-921E-2B5287B24768}"/>
    <cellStyle name="Input 2 4 2 23" xfId="12238" xr:uid="{0DA9970B-0A4D-4CA2-B800-FED4CF3B1EAC}"/>
    <cellStyle name="Input 2 4 2 24" xfId="12711" xr:uid="{8FD0D2FE-A6CC-499C-A1AD-FEF7A240D5E0}"/>
    <cellStyle name="Input 2 4 2 25" xfId="13145" xr:uid="{733191EB-90A6-45DD-91F8-0803B6E7DFAC}"/>
    <cellStyle name="Input 2 4 2 26" xfId="13582" xr:uid="{EB1FA5A0-6C19-4804-85B1-84082C08D437}"/>
    <cellStyle name="Input 2 4 2 27" xfId="14054" xr:uid="{54C4F384-273F-477F-8849-26E016B05B78}"/>
    <cellStyle name="Input 2 4 2 28" xfId="14501" xr:uid="{7C71D5AE-23F0-4FC5-A54A-1CD1D0671FA9}"/>
    <cellStyle name="Input 2 4 2 29" xfId="14935" xr:uid="{CA048F24-1B22-48C8-AEF3-A782D3DF7F45}"/>
    <cellStyle name="Input 2 4 2 3" xfId="1808" xr:uid="{2CD9A0D1-23F2-4A97-A6D7-505E3F873583}"/>
    <cellStyle name="Input 2 4 2 30" xfId="15405" xr:uid="{45E6D55D-5656-4B4C-8F0A-17B790A1E7C1}"/>
    <cellStyle name="Input 2 4 2 31" xfId="15795" xr:uid="{C7ED23DA-AF8B-44A0-AF08-A770FE1F135C}"/>
    <cellStyle name="Input 2 4 2 32" xfId="16017" xr:uid="{2452D8D4-0509-4BB1-A981-AA8CB7F153D5}"/>
    <cellStyle name="Input 2 4 2 33" xfId="16930" xr:uid="{B6853EFA-D103-4176-9D3A-34B39685DD4A}"/>
    <cellStyle name="Input 2 4 2 34" xfId="17411" xr:uid="{EDD33BE3-0702-4285-A181-DB857638A713}"/>
    <cellStyle name="Input 2 4 2 35" xfId="17852" xr:uid="{3875A9F1-CBCC-4E64-90D4-392AA29DAA73}"/>
    <cellStyle name="Input 2 4 2 36" xfId="18327" xr:uid="{31C568C5-6CA0-41B5-9881-89477FAABA5D}"/>
    <cellStyle name="Input 2 4 2 37" xfId="18748" xr:uid="{A6EB7B53-4142-429E-9BF6-DFB14B288944}"/>
    <cellStyle name="Input 2 4 2 38" xfId="19135" xr:uid="{45213F9D-9419-4BAA-BE3B-C2FD60AA61C6}"/>
    <cellStyle name="Input 2 4 2 39" xfId="19365" xr:uid="{82629031-6067-4738-B887-0BCDEE8EF86C}"/>
    <cellStyle name="Input 2 4 2 4" xfId="2707" xr:uid="{2D3CA91B-254A-4ADD-98D9-165334195A78}"/>
    <cellStyle name="Input 2 4 2 40" xfId="20267" xr:uid="{92B1897F-5185-4D56-B4B9-32472E06045C}"/>
    <cellStyle name="Input 2 4 2 41" xfId="20760" xr:uid="{92A98343-2B49-48B8-BFBF-A6BDA432B42D}"/>
    <cellStyle name="Input 2 4 2 42" xfId="21219" xr:uid="{6B4FEF70-36D3-4EAE-8395-2FED24AAE1C9}"/>
    <cellStyle name="Input 2 4 2 43" xfId="21711" xr:uid="{C68A8161-2191-4DB6-9375-68E2108CF288}"/>
    <cellStyle name="Input 2 4 2 44" xfId="22150" xr:uid="{A19A8B0C-7459-44A6-B668-2974B4F7EF3D}"/>
    <cellStyle name="Input 2 4 2 45" xfId="22577" xr:uid="{3E1836F9-A993-4CCF-97A0-F7378042543A}"/>
    <cellStyle name="Input 2 4 2 46" xfId="23022" xr:uid="{A84B149B-80CB-4603-93FD-8C6D00671196}"/>
    <cellStyle name="Input 2 4 2 47" xfId="23424" xr:uid="{341F1C80-7E75-488D-96B5-5D07CBDDC4F0}"/>
    <cellStyle name="Input 2 4 2 48" xfId="23687" xr:uid="{4B594AD1-1330-4768-98CF-F637B08C405C}"/>
    <cellStyle name="Input 2 4 2 49" xfId="24067" xr:uid="{8C98A6D5-139C-41FF-9403-F11B80AF5C71}"/>
    <cellStyle name="Input 2 4 2 5" xfId="3227" xr:uid="{6814C279-8F1C-4F5A-A601-7CC9D4E4F2E1}"/>
    <cellStyle name="Input 2 4 2 50" xfId="24975" xr:uid="{84B8AE89-0B50-4FCA-B8A5-E5F2C6D64092}"/>
    <cellStyle name="Input 2 4 2 51" xfId="25463" xr:uid="{0E41DEA0-DF00-4E3D-BC31-6CEB5E81B070}"/>
    <cellStyle name="Input 2 4 2 52" xfId="25891" xr:uid="{195D6065-AED6-4BF8-873F-0BB74EF7517C}"/>
    <cellStyle name="Input 2 4 2 53" xfId="26329" xr:uid="{6B00433A-DF63-468C-9B16-4D8AD6297F90}"/>
    <cellStyle name="Input 2 4 2 54" xfId="26758" xr:uid="{4833CEEA-1EFB-4C94-8A40-7593B82137C4}"/>
    <cellStyle name="Input 2 4 2 55" xfId="27179" xr:uid="{F759BA47-0905-4E9D-912A-59A74FF21233}"/>
    <cellStyle name="Input 2 4 2 56" xfId="27598" xr:uid="{EA2BC3A0-1F03-4B19-8238-8D98B723C254}"/>
    <cellStyle name="Input 2 4 2 57" xfId="27836" xr:uid="{EBA243B3-C761-4563-8A38-C9AD61ABD23C}"/>
    <cellStyle name="Input 2 4 2 58" xfId="28725" xr:uid="{04BE5940-A199-4605-BBC2-F91FC1095D22}"/>
    <cellStyle name="Input 2 4 2 59" xfId="29192" xr:uid="{245E5E81-8972-4D98-B5D1-658978EE772A}"/>
    <cellStyle name="Input 2 4 2 6" xfId="3782" xr:uid="{EE4D1A85-C5D2-4093-8B82-0F2FD5AA2A6E}"/>
    <cellStyle name="Input 2 4 2 60" xfId="29574" xr:uid="{0FBC5371-DB0E-415D-965F-108E94895A65}"/>
    <cellStyle name="Input 2 4 2 61" xfId="29981" xr:uid="{4ADD25B2-F998-43CD-81DB-CCF93DAD8AD8}"/>
    <cellStyle name="Input 2 4 2 62" xfId="30387" xr:uid="{5AA81A7E-243A-4B33-BAFA-E5C1BAA39323}"/>
    <cellStyle name="Input 2 4 2 63" xfId="30804" xr:uid="{F3497923-8C11-42C8-8BB1-9189E6901CE4}"/>
    <cellStyle name="Input 2 4 2 64" xfId="31049" xr:uid="{1666EA10-43FD-4B7E-8928-6D9F237CD0E6}"/>
    <cellStyle name="Input 2 4 2 65" xfId="31420" xr:uid="{B907424B-550F-4EB0-8AEF-28120FE2229D}"/>
    <cellStyle name="Input 2 4 2 7" xfId="4203" xr:uid="{483F6021-56C2-4FA0-AE9E-C8F11D6520C1}"/>
    <cellStyle name="Input 2 4 2 8" xfId="4640" xr:uid="{3FDFA2B0-CE6A-4112-A40E-1FE6E1918076}"/>
    <cellStyle name="Input 2 4 2 9" xfId="5086" xr:uid="{6A3978E5-98B9-43AB-B8C3-2557D3A2A519}"/>
    <cellStyle name="Input 2 4 20" xfId="9911" xr:uid="{7D9C4109-839A-4930-BD82-5AC4D3092454}"/>
    <cellStyle name="Input 2 4 21" xfId="10341" xr:uid="{5289F576-1932-4B8B-806B-3BCBD178FF87}"/>
    <cellStyle name="Input 2 4 22" xfId="10779" xr:uid="{BED08D5A-FABF-4245-AEF7-6A6BAFC0D176}"/>
    <cellStyle name="Input 2 4 23" xfId="9159" xr:uid="{92801512-072D-4FE4-8DE9-D8F58DB421E4}"/>
    <cellStyle name="Input 2 4 24" xfId="12024" xr:uid="{5B95292E-74AA-432C-8984-2A5AE2787C29}"/>
    <cellStyle name="Input 2 4 25" xfId="12497" xr:uid="{726116A5-4821-40C5-97A7-B7D972FF6487}"/>
    <cellStyle name="Input 2 4 26" xfId="12931" xr:uid="{1293BB82-11C7-468E-828D-D516E17113B8}"/>
    <cellStyle name="Input 2 4 27" xfId="13368" xr:uid="{52700607-BA0C-41FD-9A20-5D5F2DE1C02C}"/>
    <cellStyle name="Input 2 4 28" xfId="13785" xr:uid="{2C17EE63-3BE9-4AB7-8983-9FC2D0E6030C}"/>
    <cellStyle name="Input 2 4 29" xfId="14397" xr:uid="{252375A7-C265-45E4-B3AA-8FB04DE4D5BA}"/>
    <cellStyle name="Input 2 4 3" xfId="1153" xr:uid="{8E8905DD-6FE0-4F99-8D21-50329F9A2330}"/>
    <cellStyle name="Input 2 4 30" xfId="14562" xr:uid="{3F40DE50-4B71-49D3-BC1F-CA0525CF19E0}"/>
    <cellStyle name="Input 2 4 31" xfId="15047" xr:uid="{A62C068A-6FFC-4F9D-8CCA-745EABA20DBA}"/>
    <cellStyle name="Input 2 4 32" xfId="15682" xr:uid="{D6C844E5-3A48-4457-8F67-CEB259967FFE}"/>
    <cellStyle name="Input 2 4 33" xfId="15806" xr:uid="{6C5AD5B2-E523-4503-A37D-1E669D556C52}"/>
    <cellStyle name="Input 2 4 34" xfId="16716" xr:uid="{2E357808-6DA0-48B0-9387-AA6FB04E8C45}"/>
    <cellStyle name="Input 2 4 35" xfId="17023" xr:uid="{B07471EC-47C8-4C77-8F5B-52D0E8E1D7F0}"/>
    <cellStyle name="Input 2 4 36" xfId="17470" xr:uid="{9A062DE3-FB58-43B5-9006-479CD7D4EE1D}"/>
    <cellStyle name="Input 2 4 37" xfId="18136" xr:uid="{89506EBD-C0B5-4873-8696-665065DAAFCF}"/>
    <cellStyle name="Input 2 4 38" xfId="18534" xr:uid="{64884569-46DE-4744-B1CB-402F9CB3C758}"/>
    <cellStyle name="Input 2 4 39" xfId="18371" xr:uid="{4959F60D-2182-4521-9A87-007A1DFCCE79}"/>
    <cellStyle name="Input 2 4 4" xfId="1721" xr:uid="{9C045FDD-6E7C-499D-8830-5C695CEAEE66}"/>
    <cellStyle name="Input 2 4 40" xfId="19305" xr:uid="{D0E512F3-8F0B-42E5-9EA1-1F6B1F5BA673}"/>
    <cellStyle name="Input 2 4 41" xfId="20053" xr:uid="{E3BAA1F3-F61C-4311-B4B0-00231F0D59E7}"/>
    <cellStyle name="Input 2 4 42" xfId="20374" xr:uid="{F53845D1-A1B3-4A88-86F3-B52514C6DF84}"/>
    <cellStyle name="Input 2 4 43" xfId="20828" xr:uid="{23CC10D5-AD30-43DA-80C7-38C9E2AC4AE5}"/>
    <cellStyle name="Input 2 4 44" xfId="21349" xr:uid="{F28D9211-A532-4946-BEFC-4D9C2260F7A6}"/>
    <cellStyle name="Input 2 4 45" xfId="21760" xr:uid="{61E25951-9F43-46FB-916A-8EEF2CFF6F09}"/>
    <cellStyle name="Input 2 4 46" xfId="22199" xr:uid="{7A02AB6F-E6A5-4397-807A-8742C5F9D115}"/>
    <cellStyle name="Input 2 4 47" xfId="22777" xr:uid="{054BEB5B-08DA-42B9-9200-71DD7B64D3D8}"/>
    <cellStyle name="Input 2 4 48" xfId="22614" xr:uid="{FEB27AE7-C9F6-4E5D-B3F6-40AE66832E66}"/>
    <cellStyle name="Input 2 4 49" xfId="22560" xr:uid="{E66DE86A-FD1A-413C-AA49-70F45CBFC958}"/>
    <cellStyle name="Input 2 4 5" xfId="2493" xr:uid="{88F4FBEF-56C6-4492-ABA1-8A50E8004FD8}"/>
    <cellStyle name="Input 2 4 50" xfId="23861" xr:uid="{702D122C-48A4-406B-8C88-B44489133F37}"/>
    <cellStyle name="Input 2 4 51" xfId="24761" xr:uid="{6C99E19F-7950-42C6-927D-35AC40AB65E8}"/>
    <cellStyle name="Input 2 4 52" xfId="25085" xr:uid="{29C383F7-D8E8-4D87-AD52-107FCBACE52F}"/>
    <cellStyle name="Input 2 4 53" xfId="25679" xr:uid="{672DE9BC-CCAA-4C38-B65F-16D0DD5D26C2}"/>
    <cellStyle name="Input 2 4 54" xfId="26081" xr:uid="{8336B925-9A04-4542-9E72-3C68A8830F23}"/>
    <cellStyle name="Input 2 4 55" xfId="25064" xr:uid="{E172EF68-367F-4FAC-B8A2-54536EE8AA12}"/>
    <cellStyle name="Input 2 4 56" xfId="26969" xr:uid="{D6BAF2E8-D887-450E-826A-FA462FF2D585}"/>
    <cellStyle name="Input 2 4 57" xfId="27388" xr:uid="{8B327F14-05D4-4E1D-A1D3-C1030593B31B}"/>
    <cellStyle name="Input 2 4 58" xfId="26433" xr:uid="{879C2D6F-3955-4883-A1D5-AD01B2A61A15}"/>
    <cellStyle name="Input 2 4 59" xfId="28511" xr:uid="{413CB6E3-8137-44EC-BD86-87DEF01F6851}"/>
    <cellStyle name="Input 2 4 6" xfId="2952" xr:uid="{0924420F-4D00-41EB-AC26-64CD6D0F6AE4}"/>
    <cellStyle name="Input 2 4 60" xfId="28979" xr:uid="{D9CEBE6C-B7D6-4D0E-BC94-DEA8BB6477F2}"/>
    <cellStyle name="Input 2 4 61" xfId="29240" xr:uid="{0A6E027B-FAD3-45E2-BE61-3E3D74E4DA1E}"/>
    <cellStyle name="Input 2 4 62" xfId="29769" xr:uid="{742E920A-6680-4854-82AE-09DC4360FDE1}"/>
    <cellStyle name="Input 2 4 63" xfId="30176" xr:uid="{B69C48E9-5CF1-4F7F-9C47-896E60B53054}"/>
    <cellStyle name="Input 2 4 64" xfId="30591" xr:uid="{C6D791E5-E1D1-4F22-A06A-2735A67C150C}"/>
    <cellStyle name="Input 2 4 65" xfId="30398" xr:uid="{2CFDC685-CF98-4D0D-A18F-6FC7BDFCF492}"/>
    <cellStyle name="Input 2 4 66" xfId="31214" xr:uid="{4C7E329B-10EB-495D-A9E5-7A158EC17462}"/>
    <cellStyle name="Input 2 4 7" xfId="3563" xr:uid="{77DA0760-5287-4C6C-9B73-17B3B22FAFBA}"/>
    <cellStyle name="Input 2 4 8" xfId="3989" xr:uid="{EF62C334-1D15-475C-9C94-CD34A2B96038}"/>
    <cellStyle name="Input 2 4 9" xfId="4427" xr:uid="{46595573-CCE4-4DA7-99C5-B7716E4F80F1}"/>
    <cellStyle name="Input 2 40" xfId="25440" xr:uid="{8F5D6DEE-F392-4F56-BFE1-1A70513EA927}"/>
    <cellStyle name="Input 2 41" xfId="25267" xr:uid="{AA8C0140-79DC-41A8-B9B4-77997E75FD78}"/>
    <cellStyle name="Input 2 42" xfId="26306" xr:uid="{9FEFD87B-7EF3-43BF-BEB2-C1A4E6EA4248}"/>
    <cellStyle name="Input 2 43" xfId="26582" xr:uid="{D237782B-5619-400E-B602-0FA62D5D1A11}"/>
    <cellStyle name="Input 2 44" xfId="26547" xr:uid="{F2495A5B-F1E5-4B0F-9BFF-6DD003DCE1F1}"/>
    <cellStyle name="Input 2 45" xfId="27732" xr:uid="{490B2E79-9CF4-4B0C-A759-CB526C25FAD1}"/>
    <cellStyle name="Input 2 46" xfId="28037" xr:uid="{7AE0FEEA-2FF3-4DEE-BBCF-FEBD6249A9D2}"/>
    <cellStyle name="Input 2 47" xfId="28304" xr:uid="{DB2A245D-EB2D-4B52-952A-F657C2AFA0CE}"/>
    <cellStyle name="Input 2 48" xfId="28765" xr:uid="{C4F9E575-12A9-4BC7-B593-A35B7BCF9ABB}"/>
    <cellStyle name="Input 2 49" xfId="27930" xr:uid="{2A253528-BC38-4146-8124-6AE8E63384AE}"/>
    <cellStyle name="Input 2 5" xfId="683" xr:uid="{7C694493-D8B2-45FD-ABE0-A65D4BA4AB73}"/>
    <cellStyle name="Input 2 5 10" xfId="5331" xr:uid="{17BEC1B9-BAE8-4261-B1A6-9DB6786CE9F4}"/>
    <cellStyle name="Input 2 5 11" xfId="5132" xr:uid="{2E1B83AD-EAF2-4470-86B7-1ABE23245BEB}"/>
    <cellStyle name="Input 2 5 12" xfId="6225" xr:uid="{EF5DBFAC-EA9C-438A-A79B-6C0A5397CA5D}"/>
    <cellStyle name="Input 2 5 13" xfId="6055" xr:uid="{D0B18941-B8B7-4B75-B94A-2C0C73ACF354}"/>
    <cellStyle name="Input 2 5 14" xfId="7403" xr:uid="{853C10F4-2B74-42FC-8700-49829FF10900}"/>
    <cellStyle name="Input 2 5 15" xfId="7842" xr:uid="{795EE1F4-85D5-4EDD-9606-9F1367D2978E}"/>
    <cellStyle name="Input 2 5 16" xfId="7031" xr:uid="{24D7624E-BB67-41AA-8319-80816E72A696}"/>
    <cellStyle name="Input 2 5 17" xfId="8827" xr:uid="{70B31893-626F-415F-87BA-7FAF41AD508E}"/>
    <cellStyle name="Input 2 5 18" xfId="9617" xr:uid="{C5943E87-3A33-4D68-921B-166DDF18A694}"/>
    <cellStyle name="Input 2 5 19" xfId="10054" xr:uid="{EB5FEAC6-F756-4525-834E-96F852E936C3}"/>
    <cellStyle name="Input 2 5 2" xfId="1165" xr:uid="{B3F05BE1-28CD-4363-881F-CA5AA20BE16B}"/>
    <cellStyle name="Input 2 5 20" xfId="10474" xr:uid="{8948416B-904D-4397-914A-C9FA56139EAE}"/>
    <cellStyle name="Input 2 5 21" xfId="10887" xr:uid="{66B91530-B3BA-46FD-9291-7FCB7C05B978}"/>
    <cellStyle name="Input 2 5 22" xfId="9389" xr:uid="{016C3588-A58F-4A97-9058-A1E96598C32C}"/>
    <cellStyle name="Input 2 5 23" xfId="12036" xr:uid="{CE7BBD19-47B4-46C8-AAAC-BDDE89ED06D7}"/>
    <cellStyle name="Input 2 5 24" xfId="12509" xr:uid="{4CDF1A42-D480-43AF-8BB1-13E75481FAED}"/>
    <cellStyle name="Input 2 5 25" xfId="12943" xr:uid="{36D64306-1DAF-4D35-BBC0-FD94AF24385F}"/>
    <cellStyle name="Input 2 5 26" xfId="13380" xr:uid="{EA170155-BF87-4CDD-9791-8D2CEB614074}"/>
    <cellStyle name="Input 2 5 27" xfId="13843" xr:uid="{02F17D84-F79A-4223-9314-3233875F8FE9}"/>
    <cellStyle name="Input 2 5 28" xfId="14200" xr:uid="{96E2B99B-A3BF-4802-BC4D-6E52B37F7059}"/>
    <cellStyle name="Input 2 5 29" xfId="14708" xr:uid="{EDEC2DF9-A316-4C9F-A5C1-A6EADC582F15}"/>
    <cellStyle name="Input 2 5 3" xfId="1630" xr:uid="{5AA14901-D54A-4794-9B7B-5F11CDE45B9F}"/>
    <cellStyle name="Input 2 5 30" xfId="14807" xr:uid="{9C7DB80B-A7C3-4610-8648-676673D94789}"/>
    <cellStyle name="Input 2 5 31" xfId="14715" xr:uid="{F1C54BCB-636C-42A5-853A-1568C56FB1D6}"/>
    <cellStyle name="Input 2 5 32" xfId="15884" xr:uid="{C68E2C0E-A285-4BA6-BE1E-0B4B9C4DB54E}"/>
    <cellStyle name="Input 2 5 33" xfId="16728" xr:uid="{DDE1CFE0-F4EB-4E30-87AE-54DCAECA39D6}"/>
    <cellStyle name="Input 2 5 34" xfId="17172" xr:uid="{BF12785B-E24D-414F-8F6F-A1D5203A2037}"/>
    <cellStyle name="Input 2 5 35" xfId="17617" xr:uid="{E7E7529A-54C1-441F-B0CD-0EA5EC84BEF8}"/>
    <cellStyle name="Input 2 5 36" xfId="17466" xr:uid="{BF69DA3D-BC3A-4C2E-8F6B-F57CC163C6D0}"/>
    <cellStyle name="Input 2 5 37" xfId="18546" xr:uid="{11E7F2AC-46D3-42A5-9A24-4B96BBAEECDF}"/>
    <cellStyle name="Input 2 5 38" xfId="19027" xr:uid="{AB34DB04-7648-4FFE-ABD7-B1C20D8E522D}"/>
    <cellStyle name="Input 2 5 39" xfId="19189" xr:uid="{BB221D49-C455-4D1A-94BA-08AD0C3A96BF}"/>
    <cellStyle name="Input 2 5 4" xfId="2505" xr:uid="{0B25F421-9CD8-498E-B025-28145BA52118}"/>
    <cellStyle name="Input 2 5 40" xfId="20065" xr:uid="{1DFC0D83-01CC-416B-83BF-4EFB461FAF2F}"/>
    <cellStyle name="Input 2 5 41" xfId="20524" xr:uid="{C829FECB-84B7-464C-A0C6-CF4D2DADDF43}"/>
    <cellStyle name="Input 2 5 42" xfId="20977" xr:uid="{8BD5595F-0083-433E-A034-115C752E962F}"/>
    <cellStyle name="Input 2 5 43" xfId="21286" xr:uid="{0CE8C647-7C71-4408-B038-9D1816208CEF}"/>
    <cellStyle name="Input 2 5 44" xfId="21908" xr:uid="{CD57DC69-571C-44B0-B62F-B50FCD684EF8}"/>
    <cellStyle name="Input 2 5 45" xfId="22342" xr:uid="{D6252201-4783-447D-BC45-E779808A931D}"/>
    <cellStyle name="Input 2 5 46" xfId="22829" xr:uid="{4E7B9933-82CE-469F-B901-A58525549649}"/>
    <cellStyle name="Input 2 5 47" xfId="23306" xr:uid="{37860C24-3B6A-4BFD-A5ED-01C2B5E1B997}"/>
    <cellStyle name="Input 2 5 48" xfId="23461" xr:uid="{2D1DC3A8-D59F-4DD1-AD2B-623665612B79}"/>
    <cellStyle name="Input 2 5 49" xfId="23873" xr:uid="{F7C8B95B-5D70-48D9-92E1-F7AFE2137015}"/>
    <cellStyle name="Input 2 5 5" xfId="3009" xr:uid="{004EC78A-61E7-4A99-9982-84A34DD17A86}"/>
    <cellStyle name="Input 2 5 50" xfId="24773" xr:uid="{4933C09C-93D9-4801-85FF-3665707C4736}"/>
    <cellStyle name="Input 2 5 51" xfId="25233" xr:uid="{018F3333-95E5-4BE4-83FD-536E811AF02A}"/>
    <cellStyle name="Input 2 5 52" xfId="25691" xr:uid="{801F00D5-9780-4110-BE64-7F3010864D63}"/>
    <cellStyle name="Input 2 5 53" xfId="26133" xr:uid="{C52A4AA7-1FF8-49DE-A766-44DD16E02781}"/>
    <cellStyle name="Input 2 5 54" xfId="25220" xr:uid="{3C2253F1-9C52-4570-B261-36F764A919CB}"/>
    <cellStyle name="Input 2 5 55" xfId="26981" xr:uid="{4B48B857-22D8-40DA-8D05-7FBD3E712093}"/>
    <cellStyle name="Input 2 5 56" xfId="27400" xr:uid="{60340528-D48E-4FB7-BECA-87D0A0853650}"/>
    <cellStyle name="Input 2 5 57" xfId="27728" xr:uid="{992F3A86-87B6-4B3C-A296-E90EE72B3D68}"/>
    <cellStyle name="Input 2 5 58" xfId="28523" xr:uid="{9868D249-E1BD-403C-A76A-D898DD1C2E2C}"/>
    <cellStyle name="Input 2 5 59" xfId="28991" xr:uid="{2BC44965-7F77-4ABC-B72A-70CC188FE0F3}"/>
    <cellStyle name="Input 2 5 6" xfId="3365" xr:uid="{DFAA080B-9CF4-40E0-AC17-D664C77233CC}"/>
    <cellStyle name="Input 2 5 60" xfId="29372" xr:uid="{979E2092-160A-492B-AC62-C0B938FB2366}"/>
    <cellStyle name="Input 2 5 61" xfId="29781" xr:uid="{6EAADA13-B46E-4A1F-AA0B-028827672737}"/>
    <cellStyle name="Input 2 5 62" xfId="30188" xr:uid="{16B23FB2-5AEE-49A7-BE39-DB6CD734E8F0}"/>
    <cellStyle name="Input 2 5 63" xfId="30603" xr:uid="{3FAE775E-9518-4CC2-AA0C-60F8531A4D10}"/>
    <cellStyle name="Input 2 5 64" xfId="30829" xr:uid="{5B3D6525-4D8A-4D80-A589-8FC253341ED6}"/>
    <cellStyle name="Input 2 5 65" xfId="31226" xr:uid="{5D92FF29-E7F3-46F8-A86A-AC41EE0E208D}"/>
    <cellStyle name="Input 2 5 7" xfId="4001" xr:uid="{73CB7F91-1D47-432B-8024-7736B0824FD0}"/>
    <cellStyle name="Input 2 5 8" xfId="4439" xr:uid="{FE0592EC-3E5A-4251-8680-4F8C02073B24}"/>
    <cellStyle name="Input 2 5 9" xfId="4985" xr:uid="{7B2BBCBA-2E18-4ECC-9E01-D2C82A0BE023}"/>
    <cellStyle name="Input 2 50" xfId="30934" xr:uid="{7778F0FB-0ACF-4DE6-BBA6-704BBBC0F216}"/>
    <cellStyle name="Input 2 51" xfId="30990" xr:uid="{99A5BD2E-43BF-41F2-962B-30078D5F653C}"/>
    <cellStyle name="Input 2 6" xfId="925" xr:uid="{69ADF105-792B-4C2B-A8CA-D2EF6FBD9168}"/>
    <cellStyle name="Input 2 7" xfId="1969" xr:uid="{D28078A5-F1B9-447C-901A-52803D612B51}"/>
    <cellStyle name="Input 2 8" xfId="1836" xr:uid="{FB4A1641-9D91-424B-96F9-DF73F755218C}"/>
    <cellStyle name="Input 2 9" xfId="3124" xr:uid="{BB4BCD5C-274C-4701-B17E-C8637E2DB7A6}"/>
    <cellStyle name="Input 3" xfId="232" xr:uid="{DB9D521E-8708-49D2-8FD2-03A070228785}"/>
    <cellStyle name="Input 3 10" xfId="3148" xr:uid="{21E5FAF1-8E30-4F54-B077-78EB3DB9B6C2}"/>
    <cellStyle name="Input 3 11" xfId="4657" xr:uid="{CEBA8AB8-2BF9-4F89-81A8-72DC0FFC78EC}"/>
    <cellStyle name="Input 3 12" xfId="1976" xr:uid="{8AC66FE2-C638-4A94-9CB0-2B7907931BE1}"/>
    <cellStyle name="Input 3 13" xfId="6242" xr:uid="{5BA41F41-9856-4657-BB67-E4060FA2B52F}"/>
    <cellStyle name="Input 3 14" xfId="6644" xr:uid="{91EACA21-1D70-4CE7-BAEA-0B6A7EC59826}"/>
    <cellStyle name="Input 3 15" xfId="6964" xr:uid="{502FA301-5CD2-446E-A080-58030739F519}"/>
    <cellStyle name="Input 3 16" xfId="6851" xr:uid="{2390A72D-B0B5-4E80-83E7-A741BCD50F7C}"/>
    <cellStyle name="Input 3 17" xfId="8472" xr:uid="{120DD8E9-F0AB-471F-A22A-82D19208E0B5}"/>
    <cellStyle name="Input 3 18" xfId="7135" xr:uid="{1C00B851-F6BD-4940-9B91-A1FDF1D0812A}"/>
    <cellStyle name="Input 3 19" xfId="9177" xr:uid="{4B628BFF-5F5A-4A60-91F1-C306A11192FB}"/>
    <cellStyle name="Input 3 2" xfId="588" xr:uid="{E4860540-9DDE-42F7-A222-A8EBB5DE77C9}"/>
    <cellStyle name="Input 3 2 10" xfId="4250" xr:uid="{054A94CF-2DF7-4A6B-BBB6-066BE982F7E0}"/>
    <cellStyle name="Input 3 2 11" xfId="5236" xr:uid="{185BABB7-69CB-423C-BEA7-05E1C3667CBC}"/>
    <cellStyle name="Input 3 2 12" xfId="3789" xr:uid="{4388F1FF-3E2E-4772-ABF7-5A0971643733}"/>
    <cellStyle name="Input 3 2 13" xfId="5141" xr:uid="{177BF533-320E-41BC-B94F-2895447D175F}"/>
    <cellStyle name="Input 3 2 14" xfId="6237" xr:uid="{B943C751-5516-4FF3-BB08-1FCAD36B4A27}"/>
    <cellStyle name="Input 3 2 15" xfId="7308" xr:uid="{F8BD26A9-B291-426B-B749-8A2E517B38A4}"/>
    <cellStyle name="Input 3 2 16" xfId="6974" xr:uid="{CA28011E-6095-4FA3-8663-80407AA27BC4}"/>
    <cellStyle name="Input 3 2 17" xfId="8414" xr:uid="{113F02BA-4526-42E5-B705-F3737F167951}"/>
    <cellStyle name="Input 3 2 18" xfId="8819" xr:uid="{2A361A04-0E6F-4EDF-9B77-6C20525F697C}"/>
    <cellStyle name="Input 3 2 19" xfId="9522" xr:uid="{2D7E73DB-556C-4DFE-9F8A-52E6F0DBD0AA}"/>
    <cellStyle name="Input 3 2 2" xfId="803" xr:uid="{D1FD6DFA-83F7-49E8-9511-F4A1AB66DF30}"/>
    <cellStyle name="Input 3 2 2 10" xfId="5451" xr:uid="{50A59E4E-FC82-48CD-981A-44C83A67B73F}"/>
    <cellStyle name="Input 3 2 2 11" xfId="2130" xr:uid="{366A1D72-D185-4F9C-9258-C43CF8332CBA}"/>
    <cellStyle name="Input 3 2 2 12" xfId="5584" xr:uid="{974E62A8-C3E1-48DB-9E51-4CCB10865655}"/>
    <cellStyle name="Input 3 2 2 13" xfId="6555" xr:uid="{24E37AAE-42E6-4A60-A2BF-33F1AA213645}"/>
    <cellStyle name="Input 3 2 2 14" xfId="7523" xr:uid="{6608F466-F296-4057-A7C7-6743599160E3}"/>
    <cellStyle name="Input 3 2 2 15" xfId="7194" xr:uid="{FEF7F9B8-1B3D-410C-AE32-C4C332F533A8}"/>
    <cellStyle name="Input 3 2 2 16" xfId="6840" xr:uid="{1C38442B-25C0-4E16-B26E-880A9C232DF0}"/>
    <cellStyle name="Input 3 2 2 17" xfId="8367" xr:uid="{082537CD-B469-4669-A186-029D0A540D78}"/>
    <cellStyle name="Input 3 2 2 18" xfId="9737" xr:uid="{6A9CC924-0E78-4FD6-B5BA-23E8DB7D2F53}"/>
    <cellStyle name="Input 3 2 2 19" xfId="9407" xr:uid="{DA93CB61-6097-4EC4-9E48-F6A8EBDB6BCB}"/>
    <cellStyle name="Input 3 2 2 2" xfId="1277" xr:uid="{3AD18AE7-2103-4EB2-9586-90420B3E4285}"/>
    <cellStyle name="Input 3 2 2 20" xfId="9955" xr:uid="{95E175C3-4219-4964-927A-695A646DE1D1}"/>
    <cellStyle name="Input 3 2 2 21" xfId="10504" xr:uid="{AFD749E3-08C1-4FD9-92F0-E3C65B11645B}"/>
    <cellStyle name="Input 3 2 2 22" xfId="10748" xr:uid="{B268D04C-412A-43B7-A188-88EF9279924A}"/>
    <cellStyle name="Input 3 2 2 23" xfId="12156" xr:uid="{79FA0B09-4B2C-499F-A14B-3F26C37D027F}"/>
    <cellStyle name="Input 3 2 2 24" xfId="12629" xr:uid="{B8614489-F34B-4CA5-84F4-401392E9CBAA}"/>
    <cellStyle name="Input 3 2 2 25" xfId="13063" xr:uid="{4269BDA5-C3E9-49F8-9B8B-1CC13FDB3D43}"/>
    <cellStyle name="Input 3 2 2 26" xfId="13500" xr:uid="{DD9287F5-46AE-4F83-8857-6AC537A759B5}"/>
    <cellStyle name="Input 3 2 2 27" xfId="13966" xr:uid="{BBB59368-ACD2-4F25-A915-EB6F11F6E5C1}"/>
    <cellStyle name="Input 3 2 2 28" xfId="11787" xr:uid="{8E16D3A7-D58A-464D-90E9-643278BD2A7C}"/>
    <cellStyle name="Input 3 2 2 29" xfId="12748" xr:uid="{D3E53677-0C24-41EE-8F4D-1D5A8A217BCF}"/>
    <cellStyle name="Input 3 2 2 3" xfId="1681" xr:uid="{A6149A6C-99D6-44C0-B131-B4B40125E394}"/>
    <cellStyle name="Input 3 2 2 30" xfId="15260" xr:uid="{A7875986-89E5-4BDB-B743-9BE1761AC3B9}"/>
    <cellStyle name="Input 3 2 2 31" xfId="15596" xr:uid="{FCD2DF3C-64E0-4F22-9BBB-E0E87D8D799A}"/>
    <cellStyle name="Input 3 2 2 32" xfId="15669" xr:uid="{6BFCCB0D-9EEE-4E87-A161-85F051221248}"/>
    <cellStyle name="Input 3 2 2 33" xfId="16848" xr:uid="{31EED1EB-051E-4092-B06A-A2FD2F7CD57E}"/>
    <cellStyle name="Input 3 2 2 34" xfId="16516" xr:uid="{27181FFE-CE01-48AE-8B7C-04455D7DDA8E}"/>
    <cellStyle name="Input 3 2 2 35" xfId="17068" xr:uid="{36B42B45-1CC0-4758-80DD-EFC02B43548F}"/>
    <cellStyle name="Input 3 2 2 36" xfId="17943" xr:uid="{3E9D0EA5-E02B-450D-9522-A05BBC3A7E61}"/>
    <cellStyle name="Input 3 2 2 37" xfId="18666" xr:uid="{D1AABBBD-7590-4D49-AFFE-2A08DE89EB7A}"/>
    <cellStyle name="Input 3 2 2 38" xfId="17889" xr:uid="{C4070F51-E711-4B60-8C7B-E05D84353B58}"/>
    <cellStyle name="Input 3 2 2 39" xfId="19319" xr:uid="{0B81545D-F981-4F40-9DF6-5DF7DDFD6E10}"/>
    <cellStyle name="Input 3 2 2 4" xfId="2625" xr:uid="{9D53EEDE-4965-4862-AFDD-48304BB727B6}"/>
    <cellStyle name="Input 3 2 2 40" xfId="20185" xr:uid="{020C76C2-4849-45AE-8941-4CDFAA986F90}"/>
    <cellStyle name="Input 3 2 2 41" xfId="19852" xr:uid="{7AE75018-2847-40D9-A3F7-589414D9C8E9}"/>
    <cellStyle name="Input 3 2 2 42" xfId="20613" xr:uid="{BD23EF9E-B752-4301-B303-DE7087CC9820}"/>
    <cellStyle name="Input 3 2 2 43" xfId="21183" xr:uid="{EE82B160-A6AE-476A-97D9-2C1956F2CE23}"/>
    <cellStyle name="Input 3 2 2 44" xfId="20439" xr:uid="{D15E27CE-903E-4A55-9FF2-E09CE472E38C}"/>
    <cellStyle name="Input 3 2 2 45" xfId="22070" xr:uid="{26C402BA-54B8-4104-9002-F9524EE0E68C}"/>
    <cellStyle name="Input 3 2 2 46" xfId="22940" xr:uid="{772EAEB1-E860-4697-9E80-51DAF10D8DAF}"/>
    <cellStyle name="Input 3 2 2 47" xfId="21967" xr:uid="{8226EBAF-D594-481F-B28F-033838FAFCF7}"/>
    <cellStyle name="Input 3 2 2 48" xfId="23231" xr:uid="{9AFDB261-0BF4-4128-9845-D20399D84B35}"/>
    <cellStyle name="Input 3 2 2 49" xfId="23985" xr:uid="{9935C963-ACE2-44C1-8741-4D8D36BF081B}"/>
    <cellStyle name="Input 3 2 2 5" xfId="3136" xr:uid="{12E9E5A7-C123-48C1-9C2C-BAC50402EB79}"/>
    <cellStyle name="Input 3 2 2 50" xfId="24893" xr:uid="{F1C99928-6CDF-4C9B-B37C-B8FC76B62E4B}"/>
    <cellStyle name="Input 3 2 2 51" xfId="24564" xr:uid="{3DC129AE-7C24-40C4-AC5D-8C1B4E9B976C}"/>
    <cellStyle name="Input 3 2 2 52" xfId="25809" xr:uid="{A930651B-B14D-4570-BADE-46F5C14A0689}"/>
    <cellStyle name="Input 3 2 2 53" xfId="24418" xr:uid="{7A1901A1-B5A0-4578-97B8-0593F1996789}"/>
    <cellStyle name="Input 3 2 2 54" xfId="26490" xr:uid="{BBD7C00B-477A-42C8-9473-7001EB48FC16}"/>
    <cellStyle name="Input 3 2 2 55" xfId="27097" xr:uid="{A9ACFC95-0A1F-4405-A28F-8BBA097C3E6B}"/>
    <cellStyle name="Input 3 2 2 56" xfId="27516" xr:uid="{E752BDB9-E2FE-4661-9E79-D917C2FA3661}"/>
    <cellStyle name="Input 3 2 2 57" xfId="27770" xr:uid="{D9885EB1-48D1-4A4D-AEAE-33C0389BC099}"/>
    <cellStyle name="Input 3 2 2 58" xfId="28643" xr:uid="{22837D52-71B3-48C6-A78D-C1AD882B050D}"/>
    <cellStyle name="Input 3 2 2 59" xfId="29110" xr:uid="{E6E2F1FE-17E1-4EB8-99EA-5827DBDD8E55}"/>
    <cellStyle name="Input 3 2 2 6" xfId="2071" xr:uid="{C3E89969-352B-41B6-9A42-DB474B443239}"/>
    <cellStyle name="Input 3 2 2 60" xfId="28793" xr:uid="{DBEECAED-FF69-4B64-9237-6895D58F00F9}"/>
    <cellStyle name="Input 3 2 2 61" xfId="29899" xr:uid="{91FD8887-0446-4C33-A45B-35BE3CB47C20}"/>
    <cellStyle name="Input 3 2 2 62" xfId="30305" xr:uid="{D7593628-88F0-4205-BB38-AA53B86BB18B}"/>
    <cellStyle name="Input 3 2 2 63" xfId="30722" xr:uid="{BC6323B8-6036-4FF2-8441-0E877B7ECB9E}"/>
    <cellStyle name="Input 3 2 2 64" xfId="28279" xr:uid="{202E98E8-F2AB-4955-BEEF-795F63481911}"/>
    <cellStyle name="Input 3 2 2 65" xfId="31338" xr:uid="{50323BAE-C672-4F3A-A6A9-9E2B98D32C58}"/>
    <cellStyle name="Input 3 2 2 7" xfId="4121" xr:uid="{16032E6D-74AE-480E-B5E9-699C8247518F}"/>
    <cellStyle name="Input 3 2 2 8" xfId="4558" xr:uid="{4368F3C6-DF8A-482A-90DD-674758DB253D}"/>
    <cellStyle name="Input 3 2 2 9" xfId="3698" xr:uid="{CCE566B2-4D25-4E57-B1E4-28D0580ED624}"/>
    <cellStyle name="Input 3 2 20" xfId="9315" xr:uid="{A0EDC85B-1CDF-4412-A045-2F864D15FA0E}"/>
    <cellStyle name="Input 3 2 21" xfId="9859" xr:uid="{4AFCB9FB-8C59-4C5B-9EF6-1CEFEEFDD09C}"/>
    <cellStyle name="Input 3 2 22" xfId="10775" xr:uid="{A2E216BF-84FA-4D0C-BDC8-34FD197FC550}"/>
    <cellStyle name="Input 3 2 23" xfId="10927" xr:uid="{9C217728-7286-4EA7-88A8-486276D4BED9}"/>
    <cellStyle name="Input 3 2 24" xfId="11941" xr:uid="{A1959E53-40F1-4DEC-9F43-FF7573ED9918}"/>
    <cellStyle name="Input 3 2 25" xfId="12414" xr:uid="{178ED15F-8310-4253-BF92-87D0C75EA169}"/>
    <cellStyle name="Input 3 2 26" xfId="12848" xr:uid="{0E624C28-E26C-41C6-A492-D0E545C94637}"/>
    <cellStyle name="Input 3 2 27" xfId="13285" xr:uid="{194C21B3-C69C-4D8D-8BE4-5F70EA8152F4}"/>
    <cellStyle name="Input 3 2 28" xfId="13837" xr:uid="{8EB8E659-8927-4724-A1E4-7C4F4FE41D75}"/>
    <cellStyle name="Input 3 2 29" xfId="14282" xr:uid="{90C3C9BA-8498-45B2-8080-836737AA0DA4}"/>
    <cellStyle name="Input 3 2 3" xfId="1071" xr:uid="{0796E8C9-91BD-4603-A6A3-9FAA3FC94BB1}"/>
    <cellStyle name="Input 3 2 30" xfId="14817" xr:uid="{FD9C932B-CB4A-42C0-AB7D-5DAB16B1E152}"/>
    <cellStyle name="Input 3 2 31" xfId="13876" xr:uid="{4F4042C7-A30B-42CD-9F27-4CC8006CB015}"/>
    <cellStyle name="Input 3 2 32" xfId="15652" xr:uid="{856E896C-EA3E-4692-A40B-0FD7A3AABAEF}"/>
    <cellStyle name="Input 3 2 33" xfId="15366" xr:uid="{7820B85A-81E7-4B98-B98B-44FFFE848836}"/>
    <cellStyle name="Input 3 2 34" xfId="16633" xr:uid="{85531718-6FFD-4663-B2F9-DDFC38DE2A8A}"/>
    <cellStyle name="Input 3 2 35" xfId="16294" xr:uid="{F5157DD2-A043-47E7-8149-7A6D8544386A}"/>
    <cellStyle name="Input 3 2 36" xfId="16260" xr:uid="{16724F2A-05E6-4B81-829C-9E327040F135}"/>
    <cellStyle name="Input 3 2 37" xfId="17634" xr:uid="{B0AA69E1-A7CB-46FA-8756-642F6A24B34F}"/>
    <cellStyle name="Input 3 2 38" xfId="18451" xr:uid="{27CE158F-793F-469D-8513-AB251502D2A9}"/>
    <cellStyle name="Input 3 2 39" xfId="18034" xr:uid="{FA05B407-C604-403E-894A-845D979B3E89}"/>
    <cellStyle name="Input 3 2 4" xfId="1673" xr:uid="{7A44C7CD-8D6E-4216-B728-EE6C24791320}"/>
    <cellStyle name="Input 3 2 40" xfId="19303" xr:uid="{3826463D-C28C-446F-AD11-E2EDF2310971}"/>
    <cellStyle name="Input 3 2 41" xfId="19970" xr:uid="{3C01F8D0-32CC-47F4-8196-92306FE581D7}"/>
    <cellStyle name="Input 3 2 42" xfId="20275" xr:uid="{9B309BBB-169A-4188-BEB0-7B6400837B34}"/>
    <cellStyle name="Input 3 2 43" xfId="19577" xr:uid="{43DF345C-149F-4DB8-A0D0-C0EDB23283B2}"/>
    <cellStyle name="Input 3 2 44" xfId="21271" xr:uid="{8C5DE505-ABAE-4F21-A9D4-B520E7644487}"/>
    <cellStyle name="Input 3 2 45" xfId="21490" xr:uid="{8B56EBE5-49C0-4289-B4AA-3AE20E2139AD}"/>
    <cellStyle name="Input 3 2 46" xfId="22083" xr:uid="{1D3D7F1F-AB20-4CC2-B6C8-CF8F8A6E0BA7}"/>
    <cellStyle name="Input 3 2 47" xfId="22823" xr:uid="{35BB63A7-95A8-4247-9FF6-098CB9E9BDE1}"/>
    <cellStyle name="Input 3 2 48" xfId="22982" xr:uid="{F94D9679-A716-4C80-9171-9480DC6FFFD3}"/>
    <cellStyle name="Input 3 2 49" xfId="23646" xr:uid="{48CC3F13-11FF-4901-9355-4E9476DD9600}"/>
    <cellStyle name="Input 3 2 5" xfId="2410" xr:uid="{870C70B0-CCE3-4EC5-BE78-2F826F9A7E7C}"/>
    <cellStyle name="Input 3 2 50" xfId="23779" xr:uid="{068676AA-965F-47E6-A293-42E7EA74D272}"/>
    <cellStyle name="Input 3 2 51" xfId="24678" xr:uid="{CED47C3B-25F0-4F09-A817-48E2D7BDDADE}"/>
    <cellStyle name="Input 3 2 52" xfId="24991" xr:uid="{20AFBCAA-3448-4A91-A0E3-B9400079F1BF}"/>
    <cellStyle name="Input 3 2 53" xfId="25596" xr:uid="{2B43CBA9-23DC-4A39-9750-04C974712B65}"/>
    <cellStyle name="Input 3 2 54" xfId="26127" xr:uid="{110D7908-6E24-4AA7-8446-810A391256AC}"/>
    <cellStyle name="Input 3 2 55" xfId="26568" xr:uid="{2F1EFD98-4149-46F7-9401-686BE29E6BB8}"/>
    <cellStyle name="Input 3 2 56" xfId="26886" xr:uid="{8E8E6652-9726-4A2A-B6F8-A7BAC1502044}"/>
    <cellStyle name="Input 3 2 57" xfId="27305" xr:uid="{25A9242F-0E04-4E28-88BD-F7DCED706640}"/>
    <cellStyle name="Input 3 2 58" xfId="27804" xr:uid="{B062962E-BED8-4165-AED2-FEAA043EC1E2}"/>
    <cellStyle name="Input 3 2 59" xfId="28428" xr:uid="{775428F0-EEF9-4E57-BC3D-F1C38842C10D}"/>
    <cellStyle name="Input 3 2 6" xfId="3003" xr:uid="{5CACBA96-CC46-49E5-839D-635C1D5124E5}"/>
    <cellStyle name="Input 3 2 60" xfId="28896" xr:uid="{AC3874B3-F063-49DE-A27B-488297F384D4}"/>
    <cellStyle name="Input 3 2 61" xfId="28039" xr:uid="{0236B0EC-3AF2-41BE-B01D-5A0ED93E7AE9}"/>
    <cellStyle name="Input 3 2 62" xfId="29686" xr:uid="{F3640B35-2480-4DF8-92F0-922BCC8230DF}"/>
    <cellStyle name="Input 3 2 63" xfId="30094" xr:uid="{B57A1061-1236-4ABF-B7CA-C9B157C08338}"/>
    <cellStyle name="Input 3 2 64" xfId="30508" xr:uid="{92468EAC-E90E-42CA-95AD-5410578F4599}"/>
    <cellStyle name="Input 3 2 65" xfId="28054" xr:uid="{B112AB13-BEDA-4112-9C58-ED08E3E4744B}"/>
    <cellStyle name="Input 3 2 66" xfId="31132" xr:uid="{C9FC7100-3770-4A3D-9739-45A4609EA89A}"/>
    <cellStyle name="Input 3 2 7" xfId="3480" xr:uid="{78B5D595-3486-42E7-873C-B48679DB401E}"/>
    <cellStyle name="Input 3 2 8" xfId="3906" xr:uid="{17A675DC-3BF4-4D02-8075-5F8B2A36F84A}"/>
    <cellStyle name="Input 3 2 9" xfId="4344" xr:uid="{0038155F-DF41-4DC2-81EC-4EB963A65278}"/>
    <cellStyle name="Input 3 20" xfId="9343" xr:uid="{56A2A02F-7213-46A9-AF6B-E8A7637E6C5B}"/>
    <cellStyle name="Input 3 21" xfId="11226" xr:uid="{82B9F2DE-4155-4D8A-97BC-63312423C67C}"/>
    <cellStyle name="Input 3 22" xfId="11588" xr:uid="{AD122808-E0EB-4301-B814-72798E11D1D6}"/>
    <cellStyle name="Input 3 23" xfId="11748" xr:uid="{C893E9EB-52A1-4BAF-9885-A4849DBF1101}"/>
    <cellStyle name="Input 3 24" xfId="11632" xr:uid="{70C10A6E-B59F-48A7-9F5B-E46A54F43C3D}"/>
    <cellStyle name="Input 3 25" xfId="11500" xr:uid="{E6795DDE-5DC7-440A-9AC4-68FA279896C2}"/>
    <cellStyle name="Input 3 26" xfId="11749" xr:uid="{B5B3E15B-D008-4B50-9156-56049794DA4C}"/>
    <cellStyle name="Input 3 27" xfId="14522" xr:uid="{800ED43E-8661-483C-9F26-ABD2495E3F6C}"/>
    <cellStyle name="Input 3 28" xfId="15595" xr:uid="{2E5903E0-258D-4874-8981-D2A9B7A19DFA}"/>
    <cellStyle name="Input 3 29" xfId="16283" xr:uid="{6960A286-5EC2-4271-8613-8BA8D283EA0D}"/>
    <cellStyle name="Input 3 3" xfId="587" xr:uid="{0BE961A3-F770-450F-AD6A-992FF118D9B9}"/>
    <cellStyle name="Input 3 3 10" xfId="2230" xr:uid="{9A4F39F0-672F-402F-BFAF-15B4395363C3}"/>
    <cellStyle name="Input 3 3 11" xfId="5235" xr:uid="{93166A83-0B82-485E-83BF-9F9759DE9A97}"/>
    <cellStyle name="Input 3 3 12" xfId="5956" xr:uid="{F5B28F3C-5EAD-4AEE-A9A9-13EA3A1CA452}"/>
    <cellStyle name="Input 3 3 13" xfId="6099" xr:uid="{DE7FCD68-C660-4976-877E-15A483C7235E}"/>
    <cellStyle name="Input 3 3 14" xfId="6489" xr:uid="{7A25D977-A80A-4DAD-8D09-DC382DF999DE}"/>
    <cellStyle name="Input 3 3 15" xfId="7307" xr:uid="{522403A9-59B2-46AB-A4DE-2AC6BD50DA62}"/>
    <cellStyle name="Input 3 3 16" xfId="6898" xr:uid="{5A51924D-A06C-43E6-B6CC-8E03AE2595D7}"/>
    <cellStyle name="Input 3 3 17" xfId="8567" xr:uid="{6B55F851-9718-40B7-B2C2-C12F78D0C724}"/>
    <cellStyle name="Input 3 3 18" xfId="8504" xr:uid="{07A41D9F-D784-46ED-AD3D-13166ABA26C9}"/>
    <cellStyle name="Input 3 3 19" xfId="9521" xr:uid="{A4B2E98B-CB8C-4039-A4D4-06296DF0DCD2}"/>
    <cellStyle name="Input 3 3 2" xfId="802" xr:uid="{04B7D6A5-C979-423B-9D25-770B4AF2DE88}"/>
    <cellStyle name="Input 3 3 2 10" xfId="5450" xr:uid="{A56A93E0-6831-42F6-99D2-51B270CB8FF4}"/>
    <cellStyle name="Input 3 3 2 11" xfId="3676" xr:uid="{24BEA7D4-2DB6-4674-BCDD-2EF145BBB05F}"/>
    <cellStyle name="Input 3 3 2 12" xfId="5925" xr:uid="{00984DD3-9C90-4566-9F74-11631E1A7FF7}"/>
    <cellStyle name="Input 3 3 2 13" xfId="6613" xr:uid="{916DD8A2-A55F-4F36-A462-6CAE6278D653}"/>
    <cellStyle name="Input 3 3 2 14" xfId="7522" xr:uid="{E57CC347-5694-4036-B7B0-995F5E96FCFF}"/>
    <cellStyle name="Input 3 3 2 15" xfId="7201" xr:uid="{C471428A-8E17-4239-8CE5-8BF7DF808730}"/>
    <cellStyle name="Input 3 3 2 16" xfId="8438" xr:uid="{7ADA61B0-71C7-4974-9F75-AD5FEA12FA4D}"/>
    <cellStyle name="Input 3 3 2 17" xfId="8841" xr:uid="{486D0C2A-AC87-4A81-AEA8-221BFB347A60}"/>
    <cellStyle name="Input 3 3 2 18" xfId="9736" xr:uid="{4C0055ED-C5DE-4F7D-BC5E-387814E4D10B}"/>
    <cellStyle name="Input 3 3 2 19" xfId="9414" xr:uid="{8879BFB9-ED8C-445A-B7E5-C8581CAAA03C}"/>
    <cellStyle name="Input 3 3 2 2" xfId="1276" xr:uid="{5193D4CA-5FF6-4330-A90E-54C17DC9CB58}"/>
    <cellStyle name="Input 3 3 2 20" xfId="10147" xr:uid="{B7315DC9-1952-4FF6-BCB0-3C14E4E64888}"/>
    <cellStyle name="Input 3 3 2 21" xfId="10331" xr:uid="{5E83C809-85D9-4B7E-AF52-9A1DD0CAC523}"/>
    <cellStyle name="Input 3 3 2 22" xfId="10956" xr:uid="{2CA5C061-E2AF-4B62-897F-082C8CCFFE73}"/>
    <cellStyle name="Input 3 3 2 23" xfId="12155" xr:uid="{61FFC056-7D5B-40CF-A4E9-3F8857CEBD5E}"/>
    <cellStyle name="Input 3 3 2 24" xfId="12628" xr:uid="{E98BB11E-C493-4EBE-8377-FF0A780167EB}"/>
    <cellStyle name="Input 3 3 2 25" xfId="13062" xr:uid="{655122BE-135B-4D70-BDC9-ED4C3B29227B}"/>
    <cellStyle name="Input 3 3 2 26" xfId="13499" xr:uid="{EF047D8A-63E8-4A0B-B096-5750B669E31D}"/>
    <cellStyle name="Input 3 3 2 27" xfId="13756" xr:uid="{1219D013-5A63-4C1D-98B9-3C395199B744}"/>
    <cellStyle name="Input 3 3 2 28" xfId="13964" xr:uid="{1A38A21E-AFC5-47B5-AEE9-A9A865BCCBDD}"/>
    <cellStyle name="Input 3 3 2 29" xfId="14262" xr:uid="{7ABEA85C-075C-4D3F-BC4C-AAE8DEB904A1}"/>
    <cellStyle name="Input 3 3 2 3" xfId="1540" xr:uid="{CE5032E1-0603-41A6-A423-8059BBAE9278}"/>
    <cellStyle name="Input 3 3 2 30" xfId="15166" xr:uid="{7C0CC465-A977-4592-B412-D185DE5C81EF}"/>
    <cellStyle name="Input 3 3 2 31" xfId="15614" xr:uid="{2BB1E77F-CD3A-4754-B189-025281944587}"/>
    <cellStyle name="Input 3 3 2 32" xfId="14683" xr:uid="{7D9DD5E0-5566-43DF-846C-3B4DB51AB8EB}"/>
    <cellStyle name="Input 3 3 2 33" xfId="16847" xr:uid="{682A8FE4-DC28-461A-9EF6-2A90202428F7}"/>
    <cellStyle name="Input 3 3 2 34" xfId="16523" xr:uid="{79D00EAC-13F3-4513-B5B3-CCB0A5FBE4F5}"/>
    <cellStyle name="Input 3 3 2 35" xfId="17267" xr:uid="{6772B9F7-4564-49E4-B081-09959BC1C77F}"/>
    <cellStyle name="Input 3 3 2 36" xfId="17374" xr:uid="{8B5E964C-1857-4ADB-9842-6E7BA2DFB369}"/>
    <cellStyle name="Input 3 3 2 37" xfId="18665" xr:uid="{07D4620F-3C13-484F-8CAE-00D2852FCF82}"/>
    <cellStyle name="Input 3 3 2 38" xfId="19025" xr:uid="{5B1706EB-0240-4D29-8C41-0EB4CE58631B}"/>
    <cellStyle name="Input 3 3 2 39" xfId="19232" xr:uid="{E0BECDA7-6809-488F-A918-BC0BAA1AAC83}"/>
    <cellStyle name="Input 3 3 2 4" xfId="2624" xr:uid="{BFB9D7F2-7A7A-415F-A665-0EC00A8975E9}"/>
    <cellStyle name="Input 3 3 2 40" xfId="20184" xr:uid="{98E76703-D45B-4BCC-ACA0-5F0E107B5C62}"/>
    <cellStyle name="Input 3 3 2 41" xfId="19859" xr:uid="{1EB4ABC8-4050-42AD-80D7-9F0D5786A670}"/>
    <cellStyle name="Input 3 3 2 42" xfId="19574" xr:uid="{0BAE0902-7109-4BD3-8DB6-26AF84C08651}"/>
    <cellStyle name="Input 3 3 2 43" xfId="21360" xr:uid="{33BBB32E-41BF-4C10-A181-A3CDE7A3A3AC}"/>
    <cellStyle name="Input 3 3 2 44" xfId="21464" xr:uid="{A47C6886-F39B-45F1-B412-77CDFA515527}"/>
    <cellStyle name="Input 3 3 2 45" xfId="21933" xr:uid="{7C449A6C-9148-40C9-9637-8C71062D481E}"/>
    <cellStyle name="Input 3 3 2 46" xfId="22751" xr:uid="{3ED54A07-4E67-40E6-8C15-0C31DDAB7A4D}"/>
    <cellStyle name="Input 3 3 2 47" xfId="23304" xr:uid="{82FADE7D-C088-45F7-BADD-73DE7D8210F4}"/>
    <cellStyle name="Input 3 3 2 48" xfId="23310" xr:uid="{3BFE424A-B0A1-4119-A371-023F9B677E31}"/>
    <cellStyle name="Input 3 3 2 49" xfId="23984" xr:uid="{ADA35942-6FB8-46FD-A7ED-6D83F38E66BE}"/>
    <cellStyle name="Input 3 3 2 5" xfId="2922" xr:uid="{2DA802B2-2A68-4B7F-803D-2095CFB89BDD}"/>
    <cellStyle name="Input 3 3 2 50" xfId="24892" xr:uid="{648D3EE4-78AB-431B-B6CA-F0CAB71C9374}"/>
    <cellStyle name="Input 3 3 2 51" xfId="24427" xr:uid="{76D4D728-A1BD-43DD-9DF9-CF0111A4973B}"/>
    <cellStyle name="Input 3 3 2 52" xfId="25808" xr:uid="{6E2D8F86-66DC-4FC7-BE5E-FE92BCEC5685}"/>
    <cellStyle name="Input 3 3 2 53" xfId="25249" xr:uid="{DC54CD90-8F98-42C2-87E8-8C1A8870B5E8}"/>
    <cellStyle name="Input 3 3 2 54" xfId="26131" xr:uid="{9D4E5866-4FCD-4561-BC1A-BF61EC19B58F}"/>
    <cellStyle name="Input 3 3 2 55" xfId="27096" xr:uid="{A42B8DEC-46DB-403A-9181-3C17230B8FAA}"/>
    <cellStyle name="Input 3 3 2 56" xfId="27515" xr:uid="{D17BAFDD-906E-4DEA-93F8-4130C8E9FFAB}"/>
    <cellStyle name="Input 3 3 2 57" xfId="27698" xr:uid="{57730369-D8F2-4386-9723-CA855DA5DF8E}"/>
    <cellStyle name="Input 3 3 2 58" xfId="28642" xr:uid="{1AADBB42-E94E-40BD-9CBC-5DC7C3570EE7}"/>
    <cellStyle name="Input 3 3 2 59" xfId="29109" xr:uid="{FA9FB460-C794-4E47-9467-6474995302F7}"/>
    <cellStyle name="Input 3 3 2 6" xfId="3474" xr:uid="{FBE4BCCE-128A-438A-9798-0B1F66B17C8A}"/>
    <cellStyle name="Input 3 3 2 60" xfId="28000" xr:uid="{3FCEC2D9-C385-4A05-8BAA-AB72FACC499B}"/>
    <cellStyle name="Input 3 3 2 61" xfId="29898" xr:uid="{143227E9-027E-4697-982E-2FE9E7C618C7}"/>
    <cellStyle name="Input 3 3 2 62" xfId="30304" xr:uid="{C5101065-0EEB-4BFC-A05E-9EC2825C23E6}"/>
    <cellStyle name="Input 3 3 2 63" xfId="30721" xr:uid="{943CBB85-5D19-44DD-956F-D974AC028BC8}"/>
    <cellStyle name="Input 3 3 2 64" xfId="28289" xr:uid="{ABB61F77-4CFF-43C8-8C6A-18A546E92C0D}"/>
    <cellStyle name="Input 3 3 2 65" xfId="31337" xr:uid="{DFD7115A-1668-4445-82DF-E1317CCD57EA}"/>
    <cellStyle name="Input 3 3 2 7" xfId="4120" xr:uid="{F19B9DC0-C6D8-4E80-A744-31E1D4545BB5}"/>
    <cellStyle name="Input 3 3 2 8" xfId="4557" xr:uid="{E8F22D5E-5517-4582-9645-92A8474C6550}"/>
    <cellStyle name="Input 3 3 2 9" xfId="4243" xr:uid="{F6F23F01-6AB8-4637-B924-8FAEE3A39844}"/>
    <cellStyle name="Input 3 3 20" xfId="9111" xr:uid="{2F2B399D-E558-483D-AC1B-E7D35180A868}"/>
    <cellStyle name="Input 3 3 21" xfId="10186" xr:uid="{B41FFC45-9AB4-4458-A547-622C88C2D30A}"/>
    <cellStyle name="Input 3 3 22" xfId="10924" xr:uid="{97B82400-B67A-4590-A963-6F04120D1671}"/>
    <cellStyle name="Input 3 3 23" xfId="11108" xr:uid="{A695D605-7DBD-45E4-A70B-43325D9C55AA}"/>
    <cellStyle name="Input 3 3 24" xfId="11940" xr:uid="{C16E1904-0782-427B-B760-EDF03A96B232}"/>
    <cellStyle name="Input 3 3 25" xfId="12413" xr:uid="{C9A05C67-5122-4C04-A33F-B1F8B89C89ED}"/>
    <cellStyle name="Input 3 3 26" xfId="12847" xr:uid="{581C28D5-1A1A-4ED5-B13A-659D58AFA2F1}"/>
    <cellStyle name="Input 3 3 27" xfId="13284" xr:uid="{C2D2A700-8574-4E58-AB71-62EFBD890B08}"/>
    <cellStyle name="Input 3 3 28" xfId="13752" xr:uid="{88FCED2C-4B97-4A9C-87B2-74168ECE0D94}"/>
    <cellStyle name="Input 3 3 29" xfId="13909" xr:uid="{4A09C4BC-B1B0-4A1D-B0AE-9E44063936C0}"/>
    <cellStyle name="Input 3 3 3" xfId="1070" xr:uid="{41CEE0C6-01F3-40F6-93B0-5CE2B8CE6D0E}"/>
    <cellStyle name="Input 3 3 30" xfId="14738" xr:uid="{0928E349-8CC6-48C7-B99C-596C52502E57}"/>
    <cellStyle name="Input 3 3 31" xfId="15069" xr:uid="{86967B63-6D25-4ADE-91EB-5D9C70DBEFC7}"/>
    <cellStyle name="Input 3 3 32" xfId="15617" xr:uid="{D5FCCB6C-5DD9-4971-A093-F0DDDF6D9136}"/>
    <cellStyle name="Input 3 3 33" xfId="15762" xr:uid="{2C148C5C-1CFE-4B42-9907-F776F35359A2}"/>
    <cellStyle name="Input 3 3 34" xfId="16632" xr:uid="{6066E8FB-6839-452E-931E-4A49F8EBE7BC}"/>
    <cellStyle name="Input 3 3 35" xfId="16214" xr:uid="{9D8A3DA2-512A-409D-BA50-41A09943EB18}"/>
    <cellStyle name="Input 3 3 36" xfId="17306" xr:uid="{D4208777-8D4C-462B-BD66-1290298D1A9C}"/>
    <cellStyle name="Input 3 3 37" xfId="18122" xr:uid="{F28539A6-B15C-411B-AA61-FC7E2593F218}"/>
    <cellStyle name="Input 3 3 38" xfId="18450" xr:uid="{6123C996-A4AC-4915-9FDA-28FAB21CCF72}"/>
    <cellStyle name="Input 3 3 39" xfId="17010" xr:uid="{EF58D5B2-F7CA-43B7-B999-E8C0EEF418B1}"/>
    <cellStyle name="Input 3 3 4" xfId="1580" xr:uid="{D2EFCA9F-5FF7-4DDF-9166-21592CEB54E9}"/>
    <cellStyle name="Input 3 3 40" xfId="19229" xr:uid="{82196B6D-7E5D-448F-8945-A1EDC2DC24AA}"/>
    <cellStyle name="Input 3 3 41" xfId="19969" xr:uid="{E690F0BE-0B66-484E-901E-E582A59E81DA}"/>
    <cellStyle name="Input 3 3 42" xfId="19547" xr:uid="{BCF39DDC-660B-4B8A-B161-27C4F0444C3F}"/>
    <cellStyle name="Input 3 3 43" xfId="20082" xr:uid="{B0D61D9C-D8A6-4EC1-B9AA-6C5B691F8DF2}"/>
    <cellStyle name="Input 3 3 44" xfId="21353" xr:uid="{70F426D9-0454-4ED1-A9BB-DB5470AF59D1}"/>
    <cellStyle name="Input 3 3 45" xfId="21197" xr:uid="{30F02610-57E0-4A74-9F2F-AF2B0F1B254E}"/>
    <cellStyle name="Input 3 3 46" xfId="22000" xr:uid="{866670EC-4E28-4618-BE46-E77C63487879}"/>
    <cellStyle name="Input 3 3 47" xfId="22747" xr:uid="{BC04565E-D1DB-4AEE-AE2B-5BB468EB695C}"/>
    <cellStyle name="Input 3 3 48" xfId="22990" xr:uid="{B85F51C8-3B80-4A62-A39B-97042B0144C4}"/>
    <cellStyle name="Input 3 3 49" xfId="23491" xr:uid="{F674DDD0-4DDB-4021-B776-99E3669B8159}"/>
    <cellStyle name="Input 3 3 5" xfId="2409" xr:uid="{F8CBDAF1-CAFA-429D-861A-25CE285A8D21}"/>
    <cellStyle name="Input 3 3 50" xfId="23778" xr:uid="{56B37C66-1ED5-4FE8-84C7-9739132435C6}"/>
    <cellStyle name="Input 3 3 51" xfId="24677" xr:uid="{CA5413E1-BF62-460A-9B10-3AB1DB1EA027}"/>
    <cellStyle name="Input 3 3 52" xfId="24521" xr:uid="{BBBF4A16-2FD8-4B0B-90A3-BD761D16EF2F}"/>
    <cellStyle name="Input 3 3 53" xfId="25595" xr:uid="{F751E60E-B949-43A7-9E29-BC498CCB5BDD}"/>
    <cellStyle name="Input 3 3 54" xfId="25999" xr:uid="{FA2CBC0C-EDA8-4601-ADCD-CD94010F6866}"/>
    <cellStyle name="Input 3 3 55" xfId="26383" xr:uid="{3678278F-349B-49AF-80DE-7864105E11B8}"/>
    <cellStyle name="Input 3 3 56" xfId="26885" xr:uid="{8DF79A34-5911-482E-82EF-A18F88797181}"/>
    <cellStyle name="Input 3 3 57" xfId="27304" xr:uid="{5E5683F0-259F-4F94-9F63-B2567FF2C1F7}"/>
    <cellStyle name="Input 3 3 58" xfId="27694" xr:uid="{43101B99-492A-42C2-A0F7-3BA5873AB406}"/>
    <cellStyle name="Input 3 3 59" xfId="28427" xr:uid="{D513DC14-BAAD-400B-B243-77E2AE830D6D}"/>
    <cellStyle name="Input 3 3 6" xfId="2918" xr:uid="{A95E3E4C-1C65-4213-8A7B-8349647B18C2}"/>
    <cellStyle name="Input 3 3 60" xfId="28895" xr:uid="{7D8441E6-1265-46F4-9474-67F3CCD71BE9}"/>
    <cellStyle name="Input 3 3 61" xfId="28079" xr:uid="{89C4AFBD-8364-4C11-95CF-90287241BFC4}"/>
    <cellStyle name="Input 3 3 62" xfId="29685" xr:uid="{E3BF2944-7F01-4E03-949A-2E69D2601304}"/>
    <cellStyle name="Input 3 3 63" xfId="30093" xr:uid="{E60E7702-8702-47DC-B0B7-2660BF200E22}"/>
    <cellStyle name="Input 3 3 64" xfId="30507" xr:uid="{D0466182-0941-42E3-A41F-BE0084E67359}"/>
    <cellStyle name="Input 3 3 65" xfId="30875" xr:uid="{AB9C962C-2596-4A23-9C7F-DA5761DBD33A}"/>
    <cellStyle name="Input 3 3 66" xfId="31131" xr:uid="{9C17C1D4-AEE4-4AAF-82F6-3E89F64CBF61}"/>
    <cellStyle name="Input 3 3 7" xfId="3035" xr:uid="{48F670D2-26D2-4258-BD07-44B5747DC9B2}"/>
    <cellStyle name="Input 3 3 8" xfId="3905" xr:uid="{D8F395E4-805D-4A33-BAA5-6B8784A19A20}"/>
    <cellStyle name="Input 3 3 9" xfId="4343" xr:uid="{9367C389-ED3C-4A2A-8C97-BFE3103EC317}"/>
    <cellStyle name="Input 3 30" xfId="16166" xr:uid="{C19FF874-AC40-4222-A22B-E7DF7B9602AF}"/>
    <cellStyle name="Input 3 31" xfId="17465" xr:uid="{29E5785C-C83A-4091-8EB0-88210F3BD991}"/>
    <cellStyle name="Input 3 32" xfId="18095" xr:uid="{4A6B2212-1752-4640-BF87-D3D25B9FDA00}"/>
    <cellStyle name="Input 3 33" xfId="17282" xr:uid="{40F5FD44-2C32-4A9F-9932-C3BF883D5DAC}"/>
    <cellStyle name="Input 3 34" xfId="19616" xr:uid="{61C5D0A6-AFEE-4BAE-AB46-94D621F26B93}"/>
    <cellStyle name="Input 3 35" xfId="19380" xr:uid="{09FEA69D-CEA2-4839-BCE4-1307F38F4BA3}"/>
    <cellStyle name="Input 3 36" xfId="21965" xr:uid="{A10F7F6B-A05F-45EE-BCBF-CB56E41D1FEB}"/>
    <cellStyle name="Input 3 37" xfId="22539" xr:uid="{395778F0-A1BA-44CB-842B-35720AA6FD01}"/>
    <cellStyle name="Input 3 38" xfId="23452" xr:uid="{2A3D75A5-766C-4129-BA3D-FCB726F0EF58}"/>
    <cellStyle name="Input 3 39" xfId="24337" xr:uid="{9DDC1A40-4DFB-46CF-B2B8-D7738ACE9452}"/>
    <cellStyle name="Input 3 4" xfId="531" xr:uid="{3B4C0FF8-83BB-4419-8601-16E764647C6D}"/>
    <cellStyle name="Input 3 4 10" xfId="4700" xr:uid="{39ACDF01-B293-4337-A416-C928351E9901}"/>
    <cellStyle name="Input 3 4 11" xfId="5179" xr:uid="{F4585C83-9CDB-41C3-AB6E-1C096D7CD359}"/>
    <cellStyle name="Input 3 4 12" xfId="4680" xr:uid="{143F5DC1-1EDF-4DD1-B7AF-82B66443F772}"/>
    <cellStyle name="Input 3 4 13" xfId="6297" xr:uid="{772F3236-C8F4-41ED-9651-9CB556DEEE2F}"/>
    <cellStyle name="Input 3 4 14" xfId="6643" xr:uid="{6A6EE0D3-497A-4C3F-9568-DBB8CD948753}"/>
    <cellStyle name="Input 3 4 15" xfId="7251" xr:uid="{2A0BE5E3-FA2F-4C8D-8E68-385132DA30D8}"/>
    <cellStyle name="Input 3 4 16" xfId="7933" xr:uid="{19C21379-554D-4721-8374-2A541394F98E}"/>
    <cellStyle name="Input 3 4 17" xfId="8562" xr:uid="{206C7414-EBFC-460E-88A6-C97BC1C29765}"/>
    <cellStyle name="Input 3 4 18" xfId="8698" xr:uid="{3F47DCAA-D49F-4BB7-BE59-26D07CA27AA2}"/>
    <cellStyle name="Input 3 4 19" xfId="9465" xr:uid="{B4FB9F41-68A8-495E-ACA3-82114DCEF168}"/>
    <cellStyle name="Input 3 4 2" xfId="746" xr:uid="{3B0D784A-ED2C-492C-B59E-DD88B8AA6C91}"/>
    <cellStyle name="Input 3 4 2 10" xfId="5394" xr:uid="{6B08E4E2-64CB-4777-BEA3-231EC63C842B}"/>
    <cellStyle name="Input 3 4 2 11" xfId="2138" xr:uid="{10EB0635-9C6E-440C-89E5-88F61DAD908F}"/>
    <cellStyle name="Input 3 4 2 12" xfId="6067" xr:uid="{F55C0571-8ED0-4CBF-8DF3-4F6929E1144B}"/>
    <cellStyle name="Input 3 4 2 13" xfId="6464" xr:uid="{52EE36E0-2067-4B4A-8E05-FE4585801BF9}"/>
    <cellStyle name="Input 3 4 2 14" xfId="7466" xr:uid="{72AD6F19-39D5-407F-9F37-D68643AC5F95}"/>
    <cellStyle name="Input 3 4 2 15" xfId="7158" xr:uid="{C412CCA8-04C1-4E35-BAD2-3876DA8118D8}"/>
    <cellStyle name="Input 3 4 2 16" xfId="7770" xr:uid="{1A3CC963-F494-4A3C-9A23-E9CE5BA7F2EF}"/>
    <cellStyle name="Input 3 4 2 17" xfId="8708" xr:uid="{DEFB808C-7FAA-457D-8DDC-321236012448}"/>
    <cellStyle name="Input 3 4 2 18" xfId="9680" xr:uid="{8BE2B0E1-35B3-480B-B52D-76ABCA1DF067}"/>
    <cellStyle name="Input 3 4 2 19" xfId="9373" xr:uid="{69A2AB17-B447-4A2A-86FC-998C21EE43B5}"/>
    <cellStyle name="Input 3 4 2 2" xfId="1220" xr:uid="{39398FBE-CEE7-4771-A897-EEAA07A9600B}"/>
    <cellStyle name="Input 3 4 2 20" xfId="10213" xr:uid="{64F48B97-2BD3-49FE-8150-958F558223AC}"/>
    <cellStyle name="Input 3 4 2 21" xfId="10719" xr:uid="{9C74DDFB-19E4-4744-A819-B40BE7F5F1F0}"/>
    <cellStyle name="Input 3 4 2 22" xfId="11166" xr:uid="{5E5E1D8A-D5E3-49DE-BC2C-7F9C6E4AB6BF}"/>
    <cellStyle name="Input 3 4 2 23" xfId="12099" xr:uid="{C4141C3D-11E2-4F17-8B0F-0F0D96A9FE07}"/>
    <cellStyle name="Input 3 4 2 24" xfId="12572" xr:uid="{7BBDA337-0D97-4100-95B4-D9A7A2CABA19}"/>
    <cellStyle name="Input 3 4 2 25" xfId="13006" xr:uid="{09613734-852C-49C8-AC20-DD63DDB9FE35}"/>
    <cellStyle name="Input 3 4 2 26" xfId="13443" xr:uid="{EED02616-BDEF-4C57-BDF2-7B388D48C2FB}"/>
    <cellStyle name="Input 3 4 2 27" xfId="11667" xr:uid="{53A02693-0BD8-4636-87D7-83A31E304043}"/>
    <cellStyle name="Input 3 4 2 28" xfId="13636" xr:uid="{0C5471B3-710C-47FD-95D5-D1B905030E27}"/>
    <cellStyle name="Input 3 4 2 29" xfId="14289" xr:uid="{8B7DD29A-CF93-41D6-B5AB-348FE2D8D4E0}"/>
    <cellStyle name="Input 3 4 2 3" xfId="1516" xr:uid="{E2306C1B-C263-4641-8561-E95F2B2F5C4D}"/>
    <cellStyle name="Input 3 4 2 30" xfId="15330" xr:uid="{2B6D3C8E-7CC5-4A4D-B788-26508613D14E}"/>
    <cellStyle name="Input 3 4 2 31" xfId="14540" xr:uid="{67D44F02-F93D-47AA-9528-D8F16981BF29}"/>
    <cellStyle name="Input 3 4 2 32" xfId="15673" xr:uid="{50D23C0D-BC46-45BD-8336-675BCEC367E5}"/>
    <cellStyle name="Input 3 4 2 33" xfId="16791" xr:uid="{4D41A428-F90A-4463-BB1A-61D100F21A5B}"/>
    <cellStyle name="Input 3 4 2 34" xfId="16479" xr:uid="{D9D90F50-553B-4C76-A1B4-64644B2B85FB}"/>
    <cellStyle name="Input 3 4 2 35" xfId="17334" xr:uid="{F1F96049-0398-4602-A1E2-46A9EC8AC96C}"/>
    <cellStyle name="Input 3 4 2 36" xfId="17512" xr:uid="{AF4891B2-A209-4D3C-A7EB-0900B504D94A}"/>
    <cellStyle name="Input 3 4 2 37" xfId="18609" xr:uid="{761E33CA-BAF4-4EAF-86C8-EF4F48735E3C}"/>
    <cellStyle name="Input 3 4 2 38" xfId="18789" xr:uid="{D4E4A912-4BB0-4A50-8987-2584D389F692}"/>
    <cellStyle name="Input 3 4 2 39" xfId="19011" xr:uid="{55B0B27B-CB82-4B40-84E8-7716D96E45A4}"/>
    <cellStyle name="Input 3 4 2 4" xfId="2568" xr:uid="{90FE62FC-3179-41CB-BD1D-0C5D2B9BA288}"/>
    <cellStyle name="Input 3 4 2 40" xfId="20128" xr:uid="{69F91476-8472-4B08-BF3C-D9E6EA0B6FDE}"/>
    <cellStyle name="Input 3 4 2 41" xfId="19815" xr:uid="{70C50BE1-A6BB-48FC-9EFD-538899CBA1F5}"/>
    <cellStyle name="Input 3 4 2 42" xfId="19536" xr:uid="{4090AA75-4987-4947-B32A-D5738A810EDC}"/>
    <cellStyle name="Input 3 4 2 43" xfId="21252" xr:uid="{BA0FED16-210D-46DB-8BDE-3F76C6E5BBE2}"/>
    <cellStyle name="Input 3 4 2 44" xfId="21652" xr:uid="{0B0B8D86-FBC4-4D47-9ABA-012966D8EC57}"/>
    <cellStyle name="Input 3 4 2 45" xfId="21078" xr:uid="{47FD692E-DBB9-4661-8A70-1AF25C6E3996}"/>
    <cellStyle name="Input 3 4 2 46" xfId="22193" xr:uid="{8DDFB935-1A33-4220-8C64-72E5A51840AC}"/>
    <cellStyle name="Input 3 4 2 47" xfId="23061" xr:uid="{3543E190-CDA1-4513-BC94-E7407F7B6194}"/>
    <cellStyle name="Input 3 4 2 48" xfId="23094" xr:uid="{B6067819-AC5E-4EF8-A04B-0CFA800F3F15}"/>
    <cellStyle name="Input 3 4 2 49" xfId="23928" xr:uid="{F1066324-189E-4D9A-8605-3FC73AA74242}"/>
    <cellStyle name="Input 3 4 2 5" xfId="2332" xr:uid="{7337D35A-64F4-4E8B-96B9-29E3A0B5F011}"/>
    <cellStyle name="Input 3 4 2 50" xfId="24836" xr:uid="{A5A683A2-F071-4218-B2F4-4A9C68AC57DD}"/>
    <cellStyle name="Input 3 4 2 51" xfId="24526" xr:uid="{DC91A393-8ABE-4E91-9648-0BAD671B7FEC}"/>
    <cellStyle name="Input 3 4 2 52" xfId="25752" xr:uid="{2813498B-5626-418B-B208-2D31AC3BE1BE}"/>
    <cellStyle name="Input 3 4 2 53" xfId="25149" xr:uid="{E3F81272-FF83-493F-BAA3-65D211C150F3}"/>
    <cellStyle name="Input 3 4 2 54" xfId="26291" xr:uid="{E99E9A35-E311-4AEA-BF61-B106323EFD03}"/>
    <cellStyle name="Input 3 4 2 55" xfId="27040" xr:uid="{2DBE40FB-59C4-4DB3-9FB1-87BEA04F268F}"/>
    <cellStyle name="Input 3 4 2 56" xfId="27459" xr:uid="{71A27C55-2DC1-426A-80E3-83D1D5A1938B}"/>
    <cellStyle name="Input 3 4 2 57" xfId="25393" xr:uid="{A3E7EB4C-ADA3-41E9-A4AD-E11BF166CB6A}"/>
    <cellStyle name="Input 3 4 2 58" xfId="28586" xr:uid="{8231D21C-B3D9-4749-BDC0-B3D4D23F1D8C}"/>
    <cellStyle name="Input 3 4 2 59" xfId="29053" xr:uid="{859DB729-B102-4DCF-BCF1-4F063A6E4ACD}"/>
    <cellStyle name="Input 3 4 2 6" xfId="3461" xr:uid="{80439BE7-9712-4F20-8C74-6E5B465FAC96}"/>
    <cellStyle name="Input 3 4 2 60" xfId="28749" xr:uid="{19503F3B-917C-4D55-B032-4552F2DEC923}"/>
    <cellStyle name="Input 3 4 2 61" xfId="29842" xr:uid="{A0A4E5F6-38CB-4999-96FC-7771098C7E6D}"/>
    <cellStyle name="Input 3 4 2 62" xfId="30248" xr:uid="{85075A99-01D7-4AC7-94D7-58FE949EC888}"/>
    <cellStyle name="Input 3 4 2 63" xfId="30665" xr:uid="{240BCAB4-10C8-4D04-87D8-6572F987714A}"/>
    <cellStyle name="Input 3 4 2 64" xfId="30403" xr:uid="{0C2F4481-F17D-4FAA-BDA5-62EAAC197896}"/>
    <cellStyle name="Input 3 4 2 65" xfId="31281" xr:uid="{635226DB-4043-40C4-BDC1-7FCE0FE03E6D}"/>
    <cellStyle name="Input 3 4 2 7" xfId="4064" xr:uid="{8F9B9E50-6891-4884-8725-1BA9D365DE36}"/>
    <cellStyle name="Input 3 4 2 8" xfId="4501" xr:uid="{BFCF04EE-1AA6-47C0-A677-7078CC0F706A}"/>
    <cellStyle name="Input 3 4 2 9" xfId="3414" xr:uid="{65F6FBD8-A90D-4CA0-8BD1-4D2FA600FBCB}"/>
    <cellStyle name="Input 3 4 20" xfId="10146" xr:uid="{1D9A4884-EBAB-4B48-A684-5F0510F03A38}"/>
    <cellStyle name="Input 3 4 21" xfId="10556" xr:uid="{4DB1F49C-C2C8-4FCF-A641-0E4E80A5886B}"/>
    <cellStyle name="Input 3 4 22" xfId="10553" xr:uid="{BA260212-2211-495F-A22A-77C684D42822}"/>
    <cellStyle name="Input 3 4 23" xfId="11049" xr:uid="{F12F4C26-BDEB-4DB6-B1FB-85B3688E0772}"/>
    <cellStyle name="Input 3 4 24" xfId="11884" xr:uid="{000924C8-24E9-453B-94A2-C6FB04670AAC}"/>
    <cellStyle name="Input 3 4 25" xfId="12357" xr:uid="{33551E80-ADF6-4BB4-8865-8CB9B8453A88}"/>
    <cellStyle name="Input 3 4 26" xfId="12791" xr:uid="{0E3D20CA-44E4-4DEF-8122-8521991E4AAB}"/>
    <cellStyle name="Input 3 4 27" xfId="13228" xr:uid="{D9CA839F-626B-4529-9B55-74D09A0A1886}"/>
    <cellStyle name="Input 3 4 28" xfId="11811" xr:uid="{E21BB54D-E0AD-400E-A604-4FD45DA93E8A}"/>
    <cellStyle name="Input 3 4 29" xfId="14443" xr:uid="{79CCFA2D-2352-447D-8AF5-C40F1E2B24ED}"/>
    <cellStyle name="Input 3 4 3" xfId="1014" xr:uid="{F56B4FC3-F4D7-46D2-88F6-A388015DA23A}"/>
    <cellStyle name="Input 3 4 30" xfId="14739" xr:uid="{A2A70D43-5156-4331-BFAA-09334BDC5681}"/>
    <cellStyle name="Input 3 4 31" xfId="14095" xr:uid="{F1CA1D1E-D6E8-4D86-9391-44135D4C71DF}"/>
    <cellStyle name="Input 3 4 32" xfId="15441" xr:uid="{907F5CB3-DC1A-44A7-9C09-2FD53CDD4072}"/>
    <cellStyle name="Input 3 4 33" xfId="15936" xr:uid="{814AE9EF-4EBF-492E-8385-75749805C864}"/>
    <cellStyle name="Input 3 4 34" xfId="16576" xr:uid="{FFC79447-C0EA-444E-8EE7-42739D460DA4}"/>
    <cellStyle name="Input 3 4 35" xfId="17266" xr:uid="{CF08117D-8349-48DA-AFC1-A3659C1FF0E0}"/>
    <cellStyle name="Input 3 4 36" xfId="17710" xr:uid="{92153CA0-3679-4F29-8C2F-C3AE75B4F21C}"/>
    <cellStyle name="Input 3 4 37" xfId="17720" xr:uid="{70148EA7-1A9F-4E56-87EC-5888DCEA21D8}"/>
    <cellStyle name="Input 3 4 38" xfId="18394" xr:uid="{A87F0D64-44E3-41F6-A229-DD69765C9BE6}"/>
    <cellStyle name="Input 3 4 39" xfId="18774" xr:uid="{DA415E29-2C5D-475C-9E0A-7CBD2F988508}"/>
    <cellStyle name="Input 3 4 4" xfId="1701" xr:uid="{9CFC1AFC-182E-431D-B8BF-E59958A13CE5}"/>
    <cellStyle name="Input 3 4 40" xfId="18155" xr:uid="{18E95773-4FF5-4275-A86C-FAAC1C523A86}"/>
    <cellStyle name="Input 3 4 41" xfId="19913" xr:uid="{79212410-6365-4E90-B5BB-60D087ABBF1C}"/>
    <cellStyle name="Input 3 4 42" xfId="20616" xr:uid="{DBDBDDAC-FC2F-46FC-B4D8-FADF7C058370}"/>
    <cellStyle name="Input 3 4 43" xfId="21071" xr:uid="{8DF18A2C-B749-45AE-BC5B-F8DA35163DDA}"/>
    <cellStyle name="Input 3 4 44" xfId="21020" xr:uid="{CFCC1E83-55FE-47DF-BEBA-DB6D769E0AE6}"/>
    <cellStyle name="Input 3 4 45" xfId="22002" xr:uid="{D4A058D6-CEE9-42F4-AA16-F25E07174068}"/>
    <cellStyle name="Input 3 4 46" xfId="22433" xr:uid="{626AF258-9099-4EE3-8493-B291AD2B9CCA}"/>
    <cellStyle name="Input 3 4 47" xfId="21305" xr:uid="{8CED5BCE-7F16-4320-8CE0-B030BB5BE562}"/>
    <cellStyle name="Input 3 4 48" xfId="23043" xr:uid="{9197CA3A-DC10-4C5D-B492-47F97102B397}"/>
    <cellStyle name="Input 3 4 49" xfId="22836" xr:uid="{589C1437-4D32-4969-B72A-C2B652812D32}"/>
    <cellStyle name="Input 3 4 5" xfId="2353" xr:uid="{C0B81B63-05B9-401E-BFE9-18AEC8B30F81}"/>
    <cellStyle name="Input 3 4 50" xfId="23722" xr:uid="{4AE780C7-C520-485A-88A3-102A2A79546F}"/>
    <cellStyle name="Input 3 4 51" xfId="24621" xr:uid="{6D2F2594-7079-4AE1-91A5-F55EE57880AA}"/>
    <cellStyle name="Input 3 4 52" xfId="25322" xr:uid="{1E362173-D469-4908-82AD-1BDC4E4DDFFD}"/>
    <cellStyle name="Input 3 4 53" xfId="25539" xr:uid="{4B38F802-1081-4FAE-AE0B-BDE868687211}"/>
    <cellStyle name="Input 3 4 54" xfId="24327" xr:uid="{8205EE19-08A5-4B10-B185-EAC9E2319328}"/>
    <cellStyle name="Input 3 4 55" xfId="24210" xr:uid="{FCC99AA8-4F39-4149-AEB8-C492C08F402F}"/>
    <cellStyle name="Input 3 4 56" xfId="26829" xr:uid="{D3E123AB-AEA2-45FB-B598-BC0A63B93C10}"/>
    <cellStyle name="Input 3 4 57" xfId="27248" xr:uid="{4371CDA9-4FC8-4A36-BBBE-E7872166046E}"/>
    <cellStyle name="Input 3 4 58" xfId="27631" xr:uid="{34FC272B-157C-4DB2-9F35-81A854AC1A6D}"/>
    <cellStyle name="Input 3 4 59" xfId="28371" xr:uid="{ED1F1F73-CB3F-49B5-8E8D-7027287963A8}"/>
    <cellStyle name="Input 3 4 6" xfId="1964" xr:uid="{E148C2B0-B088-4817-8BB2-C3F3698929C8}"/>
    <cellStyle name="Input 3 4 60" xfId="28839" xr:uid="{71E11862-86EA-44F7-B234-FC4882C9DEAD}"/>
    <cellStyle name="Input 3 4 61" xfId="29446" xr:uid="{F8B7FD43-22EE-4DAC-836E-5C6E919893DC}"/>
    <cellStyle name="Input 3 4 62" xfId="29629" xr:uid="{3005A7BA-6B57-4603-A157-41BD550CA499}"/>
    <cellStyle name="Input 3 4 63" xfId="30037" xr:uid="{3DCE88D2-57E4-4E1D-8AEE-332390CE4D05}"/>
    <cellStyle name="Input 3 4 64" xfId="30451" xr:uid="{B99C51BB-9300-4E35-BA62-83C6F5F03707}"/>
    <cellStyle name="Input 3 4 65" xfId="30876" xr:uid="{C4091A8F-3C19-4DD5-9103-B790CB26AF82}"/>
    <cellStyle name="Input 3 4 66" xfId="31075" xr:uid="{845B4E71-C3F2-4386-BF13-B04D3D7CBE1F}"/>
    <cellStyle name="Input 3 4 7" xfId="2919" xr:uid="{B75CDFC8-20F5-4E10-A8A4-54CE9DED87F4}"/>
    <cellStyle name="Input 3 4 8" xfId="3849" xr:uid="{F44C9DFD-AA5F-4323-8A84-1030FA4B5C87}"/>
    <cellStyle name="Input 3 4 9" xfId="4287" xr:uid="{414E44AE-AB55-4124-822C-54B52754B051}"/>
    <cellStyle name="Input 3 40" xfId="24443" xr:uid="{48FCA1D1-9012-47D9-9117-A191C98FEAB9}"/>
    <cellStyle name="Input 3 41" xfId="24214" xr:uid="{159972BB-FA23-4D94-91D7-4868E8E830BB}"/>
    <cellStyle name="Input 3 42" xfId="25678" xr:uid="{EB89CA04-447A-42A5-82F2-F106562F8768}"/>
    <cellStyle name="Input 3 43" xfId="26118" xr:uid="{692DD2C0-2491-4065-9131-80923A595534}"/>
    <cellStyle name="Input 3 44" xfId="24573" xr:uid="{7798BF0C-E33E-4F1D-9235-97907428F2CC}"/>
    <cellStyle name="Input 3 45" xfId="27605" xr:uid="{F27B051F-2E9F-42DB-AFF9-A372C8FACF03}"/>
    <cellStyle name="Input 3 46" xfId="28111" xr:uid="{49BF5115-9789-462A-966B-C08C0568064E}"/>
    <cellStyle name="Input 3 47" xfId="28251" xr:uid="{C5CE99FC-6949-44C1-849A-3BD676CADAFA}"/>
    <cellStyle name="Input 3 48" xfId="27910" xr:uid="{59016165-9CEA-4A56-A793-E54685106EA5}"/>
    <cellStyle name="Input 3 49" xfId="28081" xr:uid="{DFC04158-6BE6-49A8-B88B-1E481FECC581}"/>
    <cellStyle name="Input 3 5" xfId="689" xr:uid="{E5D25F2D-C348-4B51-9B91-EFD3B775CCB7}"/>
    <cellStyle name="Input 3 5 10" xfId="5337" xr:uid="{AD8F774E-7A69-4ED6-89F8-F338671D8ADC}"/>
    <cellStyle name="Input 3 5 11" xfId="5891" xr:uid="{1CF86E1B-59D9-41D6-B5DA-DD250717FCCE}"/>
    <cellStyle name="Input 3 5 12" xfId="6236" xr:uid="{208C50C2-03BF-4A98-B737-8F022C19CB60}"/>
    <cellStyle name="Input 3 5 13" xfId="3301" xr:uid="{CE86797C-1B81-4F7B-9BBA-7E672C1DA0CB}"/>
    <cellStyle name="Input 3 5 14" xfId="7409" xr:uid="{BDB657ED-490F-43FA-921C-10A4CBA43DAF}"/>
    <cellStyle name="Input 3 5 15" xfId="7886" xr:uid="{F1D8F895-B3FB-4EEA-A957-88C21F2EE1AC}"/>
    <cellStyle name="Input 3 5 16" xfId="8406" xr:uid="{7B8E273E-3B8C-4859-A857-9FFC1FEF9EB8}"/>
    <cellStyle name="Input 3 5 17" xfId="8186" xr:uid="{C13187D9-7964-4CDF-B0C8-E37FB3E9CC95}"/>
    <cellStyle name="Input 3 5 18" xfId="9623" xr:uid="{3C110981-A550-44CF-BBF3-F283A93A37B3}"/>
    <cellStyle name="Input 3 5 19" xfId="10099" xr:uid="{24420A1F-5FF3-47A5-AF3E-4DA16EEF5357}"/>
    <cellStyle name="Input 3 5 2" xfId="1171" xr:uid="{1EA2C184-09A2-4921-A4E6-EE7B499AB945}"/>
    <cellStyle name="Input 3 5 20" xfId="10515" xr:uid="{16C121E3-7279-4225-B408-11B5B7FEA32C}"/>
    <cellStyle name="Input 3 5 21" xfId="10156" xr:uid="{995ABFF5-1888-4CA3-A0BF-F92E9B24D2E6}"/>
    <cellStyle name="Input 3 5 22" xfId="10705" xr:uid="{78B2D53B-BE91-430B-8A84-45588B0915A8}"/>
    <cellStyle name="Input 3 5 23" xfId="12042" xr:uid="{387845C5-E91C-48A3-ACF2-80BA9E696FAE}"/>
    <cellStyle name="Input 3 5 24" xfId="12515" xr:uid="{DFE7DD1D-1A08-4364-A83B-842F180B5381}"/>
    <cellStyle name="Input 3 5 25" xfId="12949" xr:uid="{04EC8F29-93B7-4B70-8900-358CE35E46CB}"/>
    <cellStyle name="Input 3 5 26" xfId="13386" xr:uid="{189BC303-8488-4A69-9F98-AA28FAB36CCB}"/>
    <cellStyle name="Input 3 5 27" xfId="13859" xr:uid="{69C3804B-12AD-47F5-8366-52953AB0B98F}"/>
    <cellStyle name="Input 3 5 28" xfId="13695" xr:uid="{CCF61A84-23A9-4D9D-BCE9-EF26A01F9724}"/>
    <cellStyle name="Input 3 5 29" xfId="14749" xr:uid="{A4E4A31F-E216-495E-B4BD-3BFDFA3ACA92}"/>
    <cellStyle name="Input 3 5 3" xfId="1754" xr:uid="{3216E670-B39A-41D7-B13C-1B18EBE1BAF1}"/>
    <cellStyle name="Input 3 5 30" xfId="15232" xr:uid="{24189BD3-5374-47FB-896C-78B5612599F6}"/>
    <cellStyle name="Input 3 5 31" xfId="14771" xr:uid="{74A5578B-4889-462D-9E72-E0AAAB323F37}"/>
    <cellStyle name="Input 3 5 32" xfId="15910" xr:uid="{3413E1F8-FA44-49E2-85D4-027034F1AEF5}"/>
    <cellStyle name="Input 3 5 33" xfId="16734" xr:uid="{ABB74A94-5051-44B3-87F3-BF8292AE4A69}"/>
    <cellStyle name="Input 3 5 34" xfId="17218" xr:uid="{80497A6A-BB28-4A96-8A59-6726112A1426}"/>
    <cellStyle name="Input 3 5 35" xfId="17664" xr:uid="{673FC1F8-410B-4F15-AC57-83596B29EA4C}"/>
    <cellStyle name="Input 3 5 36" xfId="18221" xr:uid="{A2506036-A717-4F0A-8310-A600117BC618}"/>
    <cellStyle name="Input 3 5 37" xfId="18552" xr:uid="{25E528E8-BEC7-45E6-BB42-F1A58F1841C0}"/>
    <cellStyle name="Input 3 5 38" xfId="18851" xr:uid="{C956920C-328F-4A5D-8B81-BAD387D75EA2}"/>
    <cellStyle name="Input 3 5 39" xfId="19279" xr:uid="{74BD1FA0-F1F6-4773-917A-90C5A7B13C46}"/>
    <cellStyle name="Input 3 5 4" xfId="2511" xr:uid="{BBB966DE-3463-4852-8B5A-EF3A491003DA}"/>
    <cellStyle name="Input 3 5 40" xfId="20071" xr:uid="{72EC3D65-E39E-499C-BAAB-E96D35666980}"/>
    <cellStyle name="Input 3 5 41" xfId="20571" xr:uid="{867FCB37-2823-495A-99B2-116158C5E865}"/>
    <cellStyle name="Input 3 5 42" xfId="21024" xr:uid="{DC34D845-5ADA-474D-8733-5F305EDCC1EE}"/>
    <cellStyle name="Input 3 5 43" xfId="21080" xr:uid="{2319B9E3-3505-4929-893A-854ECF686390}"/>
    <cellStyle name="Input 3 5 44" xfId="21955" xr:uid="{0075FD8D-C8A1-4221-A767-0A37D4260278}"/>
    <cellStyle name="Input 3 5 45" xfId="22386" xr:uid="{2B3DE675-144C-4E9D-8E64-ADD50FF40966}"/>
    <cellStyle name="Input 3 5 46" xfId="22843" xr:uid="{70F7F79F-43C1-4192-BC71-27DF88E1FB05}"/>
    <cellStyle name="Input 3 5 47" xfId="23126" xr:uid="{42AD0AED-B4D2-4556-AAA6-0EA5AECEF724}"/>
    <cellStyle name="Input 3 5 48" xfId="23559" xr:uid="{A14670DF-2CCC-4665-BF15-A0B51E774FCE}"/>
    <cellStyle name="Input 3 5 49" xfId="23879" xr:uid="{7AA035E3-402C-440D-8139-AB90BB0F15E6}"/>
    <cellStyle name="Input 3 5 5" xfId="3025" xr:uid="{B7E28FD4-822C-4D11-94DE-9348772CA200}"/>
    <cellStyle name="Input 3 5 50" xfId="24779" xr:uid="{D92F426A-3DC2-412A-8373-49A01230F3E7}"/>
    <cellStyle name="Input 3 5 51" xfId="25279" xr:uid="{238A6FFB-823E-49F5-AD7E-E0EB63A10F68}"/>
    <cellStyle name="Input 3 5 52" xfId="25697" xr:uid="{77C4D2EC-2A51-4D35-8D6A-B05B4B69F33E}"/>
    <cellStyle name="Input 3 5 53" xfId="26147" xr:uid="{5EBB9AB0-3674-412D-B93E-13731C3EEDE8}"/>
    <cellStyle name="Input 3 5 54" xfId="25953" xr:uid="{8A99F106-3908-4CA4-AAC0-114DE741716B}"/>
    <cellStyle name="Input 3 5 55" xfId="26987" xr:uid="{B1AEC577-DFFD-4A6B-A7E7-6B4133507FE7}"/>
    <cellStyle name="Input 3 5 56" xfId="27406" xr:uid="{9DC58012-EF5C-4F54-8B62-93645FBE5605}"/>
    <cellStyle name="Input 3 5 57" xfId="24109" xr:uid="{17468387-5B17-4179-B51D-C569510BFA75}"/>
    <cellStyle name="Input 3 5 58" xfId="28529" xr:uid="{C7C536C0-5BF9-4FB8-B5CA-D12F5BEB6D92}"/>
    <cellStyle name="Input 3 5 59" xfId="28997" xr:uid="{2FD7EE3E-BFE7-483E-B1F2-A8FADAD5D996}"/>
    <cellStyle name="Input 3 5 6" xfId="1988" xr:uid="{72D9B1D4-15B4-4114-87DE-5D7FC51FE9CB}"/>
    <cellStyle name="Input 3 5 60" xfId="29407" xr:uid="{0F78014D-4703-43C1-8D80-5ABC9A21AEE3}"/>
    <cellStyle name="Input 3 5 61" xfId="29787" xr:uid="{A9A6CF30-FDE3-48AC-A3AC-579DE4F2D6B3}"/>
    <cellStyle name="Input 3 5 62" xfId="30194" xr:uid="{7DBCE8EB-C7E2-48C0-AE1B-615643C4F82A}"/>
    <cellStyle name="Input 3 5 63" xfId="30609" xr:uid="{38E16BE0-40BE-444C-84F1-20B020C6C3BA}"/>
    <cellStyle name="Input 3 5 64" xfId="30980" xr:uid="{E2BD57FE-06CF-4642-A18C-79E24714C809}"/>
    <cellStyle name="Input 3 5 65" xfId="31232" xr:uid="{523269E7-81D8-48DC-A108-59EDE07A7235}"/>
    <cellStyle name="Input 3 5 7" xfId="4007" xr:uid="{FD47397A-3723-47C9-9732-109EE30B557F}"/>
    <cellStyle name="Input 3 5 8" xfId="4445" xr:uid="{51AD45D9-8693-48F0-9740-A7B949EBB29D}"/>
    <cellStyle name="Input 3 5 9" xfId="3805" xr:uid="{744EFBF7-D8E5-4336-A1F5-77E713F1D664}"/>
    <cellStyle name="Input 3 50" xfId="30815" xr:uid="{3137D187-D5BA-4994-982C-280AF994503B}"/>
    <cellStyle name="Input 3 51" xfId="30834" xr:uid="{6BFFCDB7-E80E-4299-9A7D-C1F04DBC9042}"/>
    <cellStyle name="Input 3 6" xfId="932" xr:uid="{D1D7D482-81EB-4424-AEB2-561F104AA2D4}"/>
    <cellStyle name="Input 3 7" xfId="2057" xr:uid="{FF66476C-8450-48EF-93EB-B5C76F4DF6D7}"/>
    <cellStyle name="Input 3 8" xfId="2241" xr:uid="{F88D91D9-4F43-47CC-A2A2-760CC850509D}"/>
    <cellStyle name="Input 3 9" xfId="3756" xr:uid="{F6B62600-31C8-4419-B8DF-8B6ADBC5E465}"/>
    <cellStyle name="Input 4" xfId="343" xr:uid="{F1974FB9-F6E4-4196-90DA-98D79D25093C}"/>
    <cellStyle name="InputCells" xfId="11" xr:uid="{7178EF6D-87E0-48BF-8BBB-763795055469}"/>
    <cellStyle name="InputCells 2" xfId="143" xr:uid="{13413629-C6C4-49D6-96C3-8E202D91CBD8}"/>
    <cellStyle name="InputCells 3" xfId="194" xr:uid="{ADB60E43-8BA5-497E-BC87-59765815C84C}"/>
    <cellStyle name="InputCells 4" xfId="346" xr:uid="{DBFA5568-AE25-4C62-914C-6768DBB8A84D}"/>
    <cellStyle name="InputCells_Bborder_1" xfId="144" xr:uid="{81C0FB55-87CC-4178-8082-4F54C76042B0}"/>
    <cellStyle name="InputCells12" xfId="20" xr:uid="{9A45EE3B-E8BF-4336-B2E4-7B0494E52BE3}"/>
    <cellStyle name="InputCells12 2" xfId="145" xr:uid="{1504E456-1CB1-4234-85E6-6926146A4EB3}"/>
    <cellStyle name="InputCells12 2 2" xfId="420" xr:uid="{FE690286-C3F4-46F4-8B1B-67B352F942A0}"/>
    <cellStyle name="InputCells12 2 2 2" xfId="594" xr:uid="{D677EDA6-DB60-4DD3-9700-B72FA00DB0BB}"/>
    <cellStyle name="InputCells12 2 2 2 10" xfId="4990" xr:uid="{ACB97DC0-2CD6-4C7F-B344-60A718360EF5}"/>
    <cellStyle name="InputCells12 2 2 2 11" xfId="5242" xr:uid="{AF964B8B-31C1-44E3-85D3-E45DDD536895}"/>
    <cellStyle name="InputCells12 2 2 2 12" xfId="3489" xr:uid="{A78E430F-D410-44B8-BF57-74D78D92B295}"/>
    <cellStyle name="InputCells12 2 2 2 13" xfId="5108" xr:uid="{A435A3B2-B846-4DAC-AFF7-A96D8D6B9F88}"/>
    <cellStyle name="InputCells12 2 2 2 14" xfId="6034" xr:uid="{5D1E83CF-F873-48F0-9949-F46C7CA42290}"/>
    <cellStyle name="InputCells12 2 2 2 15" xfId="7314" xr:uid="{565C75A6-4C13-419A-B4B1-FAC8321EFDE2}"/>
    <cellStyle name="InputCells12 2 2 2 16" xfId="7992" xr:uid="{BCA619E9-896E-4FDE-A5B1-9BA494FE5EBC}"/>
    <cellStyle name="InputCells12 2 2 2 17" xfId="8529" xr:uid="{C6022477-95DE-46FD-93CF-DD4583D8E70C}"/>
    <cellStyle name="InputCells12 2 2 2 18" xfId="8272" xr:uid="{31EB33CA-E91B-41BF-B956-39F9230FFBBE}"/>
    <cellStyle name="InputCells12 2 2 2 19" xfId="9528" xr:uid="{FC587709-A5F2-45A0-BA48-F4BF6BD8FAA8}"/>
    <cellStyle name="InputCells12 2 2 2 2" xfId="809" xr:uid="{C9CEDC2F-6D80-4453-9462-6B7209AAAC2A}"/>
    <cellStyle name="InputCells12 2 2 2 2 10" xfId="5457" xr:uid="{2CE6C1B4-0469-4520-823C-51E325E400CD}"/>
    <cellStyle name="InputCells12 2 2 2 2 11" xfId="2729" xr:uid="{F27E5792-B266-4343-9FD3-26BA6698BDCA}"/>
    <cellStyle name="InputCells12 2 2 2 2 12" xfId="6044" xr:uid="{52FFCCCC-5165-45E5-AFEA-96B710DDC047}"/>
    <cellStyle name="InputCells12 2 2 2 2 13" xfId="6548" xr:uid="{64577002-9020-4B2F-8526-F57D2A6A175C}"/>
    <cellStyle name="InputCells12 2 2 2 2 14" xfId="7529" xr:uid="{09D312FB-447C-45D6-B71F-14765D6FDEA9}"/>
    <cellStyle name="InputCells12 2 2 2 2 15" xfId="6879" xr:uid="{790015A4-2B28-44B6-A140-9BD3CA1F4F85}"/>
    <cellStyle name="InputCells12 2 2 2 2 16" xfId="7146" xr:uid="{53DB1E3A-7364-4C1B-AC23-816A9D1DAEC6}"/>
    <cellStyle name="InputCells12 2 2 2 2 17" xfId="8630" xr:uid="{04356F4C-1150-4779-B622-A1C873E89573}"/>
    <cellStyle name="InputCells12 2 2 2 2 18" xfId="9743" xr:uid="{A43DA1FA-7CFB-4B4A-B25F-98CB9E8DCDC7}"/>
    <cellStyle name="InputCells12 2 2 2 2 19" xfId="9092" xr:uid="{CFC4B23A-A136-4807-A715-5ABCB8967CC5}"/>
    <cellStyle name="InputCells12 2 2 2 2 2" xfId="1283" xr:uid="{89561740-0834-4F11-8BDA-9CCD438343B8}"/>
    <cellStyle name="InputCells12 2 2 2 2 20" xfId="10266" xr:uid="{3D338DC6-38E2-4C8C-AF29-1FF1965E59F4}"/>
    <cellStyle name="InputCells12 2 2 2 2 21" xfId="10565" xr:uid="{1BC1E2BA-7989-43DB-BB14-61098DB13D68}"/>
    <cellStyle name="InputCells12 2 2 2 2 22" xfId="8959" xr:uid="{4B8AEB2F-D177-40F2-9F45-F74A86FF00A8}"/>
    <cellStyle name="InputCells12 2 2 2 2 23" xfId="12162" xr:uid="{2642E987-90DB-436F-9E1E-3DE24A7DF12B}"/>
    <cellStyle name="InputCells12 2 2 2 2 24" xfId="12635" xr:uid="{999DDB07-A7A6-447F-B875-7509011E9B80}"/>
    <cellStyle name="InputCells12 2 2 2 2 25" xfId="13069" xr:uid="{A9D35E5C-76EE-4B4C-AE9E-342FC879B57C}"/>
    <cellStyle name="InputCells12 2 2 2 2 26" xfId="13506" xr:uid="{47A0DADA-BD7B-4BF5-A99D-E0FB7B7C55ED}"/>
    <cellStyle name="InputCells12 2 2 2 2 27" xfId="11559" xr:uid="{8932C1EF-F592-45E3-ACF2-87144FBC68A4}"/>
    <cellStyle name="InputCells12 2 2 2 2 28" xfId="11536" xr:uid="{7E359E3C-ADB1-4B62-9607-7A6796DF12DD}"/>
    <cellStyle name="InputCells12 2 2 2 2 29" xfId="14411" xr:uid="{E36E557B-55AD-4E75-AC03-9994EBF07483}"/>
    <cellStyle name="InputCells12 2 2 2 2 3" xfId="1422" xr:uid="{D1F2C808-D760-4F18-BB24-6CABA44BE5CC}"/>
    <cellStyle name="InputCells12 2 2 2 2 30" xfId="15278" xr:uid="{6D89BE81-AA84-4D6D-8AAC-6CEF3BE7788E}"/>
    <cellStyle name="InputCells12 2 2 2 2 31" xfId="15076" xr:uid="{6C3A6EA5-AFD4-4A29-A7DD-DE8526792F7B}"/>
    <cellStyle name="InputCells12 2 2 2 2 32" xfId="14764" xr:uid="{0AD3F840-709D-4E3A-B9FD-9193199C79B4}"/>
    <cellStyle name="InputCells12 2 2 2 2 33" xfId="16854" xr:uid="{F9930BC9-748F-44D7-9833-11D1B1035416}"/>
    <cellStyle name="InputCells12 2 2 2 2 34" xfId="16195" xr:uid="{4A131A37-A550-4C36-B944-A5292A6EABCB}"/>
    <cellStyle name="InputCells12 2 2 2 2 35" xfId="17388" xr:uid="{D2DBCDD3-4E6A-4423-92D5-B7C625C7B28F}"/>
    <cellStyle name="InputCells12 2 2 2 2 36" xfId="18216" xr:uid="{4B4A4BE9-B3A5-40EC-ADF9-66F947D410A7}"/>
    <cellStyle name="InputCells12 2 2 2 2 37" xfId="18672" xr:uid="{363FE542-D604-4849-8D14-122B63F5BDBF}"/>
    <cellStyle name="InputCells12 2 2 2 2 38" xfId="19043" xr:uid="{EE97E129-3D17-431D-AF58-E9695EACAF4B}"/>
    <cellStyle name="InputCells12 2 2 2 2 39" xfId="18909" xr:uid="{8D8430E2-BD77-4CA8-BD06-CBDC8418D829}"/>
    <cellStyle name="InputCells12 2 2 2 2 4" xfId="2631" xr:uid="{303464D1-D02A-44F4-B7A7-FE5F51A3D556}"/>
    <cellStyle name="InputCells12 2 2 2 2 40" xfId="20191" xr:uid="{FE85D68C-4C2D-4084-AF8C-ABD79860ABFA}"/>
    <cellStyle name="InputCells12 2 2 2 2 41" xfId="19527" xr:uid="{9A660C8C-B9CE-424D-93C7-D0E41455887F}"/>
    <cellStyle name="InputCells12 2 2 2 2 42" xfId="19755" xr:uid="{48353126-76CC-4E3A-BB44-5420A5CC8AAE}"/>
    <cellStyle name="InputCells12 2 2 2 2 43" xfId="21281" xr:uid="{AD9CE8DC-49EC-44AA-9C14-139A06C3A480}"/>
    <cellStyle name="InputCells12 2 2 2 2 44" xfId="21661" xr:uid="{BA365E6B-DEA6-4F8C-9F47-1CCA59866A8A}"/>
    <cellStyle name="InputCells12 2 2 2 2 45" xfId="21963" xr:uid="{9FF09F56-3081-47C1-BA60-7BC46CEE12CB}"/>
    <cellStyle name="InputCells12 2 2 2 2 46" xfId="21672" xr:uid="{8E1AC0AB-F513-4431-8622-BD688A14B42F}"/>
    <cellStyle name="InputCells12 2 2 2 2 47" xfId="23320" xr:uid="{61554405-9314-4A89-90E2-11BBAFD7E159}"/>
    <cellStyle name="InputCells12 2 2 2 2 48" xfId="23439" xr:uid="{4F878B97-588E-4C1D-BFAB-6F1369AE1011}"/>
    <cellStyle name="InputCells12 2 2 2 2 49" xfId="23991" xr:uid="{F869D416-0411-4D31-9F9B-06D0426F74A9}"/>
    <cellStyle name="InputCells12 2 2 2 2 5" xfId="2038" xr:uid="{63FE7051-FAD7-47E7-9D44-1567180848A4}"/>
    <cellStyle name="InputCells12 2 2 2 2 50" xfId="24899" xr:uid="{57332645-036D-4E7F-9F7B-D3E34415F0B2}"/>
    <cellStyle name="InputCells12 2 2 2 2 51" xfId="24464" xr:uid="{99A43550-5969-4258-9414-2989172F91AC}"/>
    <cellStyle name="InputCells12 2 2 2 2 52" xfId="25815" xr:uid="{4A4B25E6-D73E-4AB6-8C14-1B05B846466D}"/>
    <cellStyle name="InputCells12 2 2 2 2 53" xfId="25016" xr:uid="{B683A5EF-3375-4C69-80C2-3142C42AD914}"/>
    <cellStyle name="InputCells12 2 2 2 2 54" xfId="26223" xr:uid="{8D5C3852-9203-4CED-968D-289CB1EB01E2}"/>
    <cellStyle name="InputCells12 2 2 2 2 55" xfId="27103" xr:uid="{8D99B565-8B95-469F-9760-0E779BCCC4A8}"/>
    <cellStyle name="InputCells12 2 2 2 2 56" xfId="27522" xr:uid="{99851493-24B1-4433-B828-C5D4B7ACD30E}"/>
    <cellStyle name="InputCells12 2 2 2 2 57" xfId="26548" xr:uid="{1384A7A6-601B-48B8-AB58-BC9A4DECD027}"/>
    <cellStyle name="InputCells12 2 2 2 2 58" xfId="28649" xr:uid="{2F070A46-061A-44A6-9C8C-40EDC74E7402}"/>
    <cellStyle name="InputCells12 2 2 2 2 59" xfId="29116" xr:uid="{787E63CC-6170-49DD-A458-5A43C4BB948E}"/>
    <cellStyle name="InputCells12 2 2 2 2 6" xfId="3696" xr:uid="{BE540FCC-3CC1-4CFC-89C9-D79EBB2885BA}"/>
    <cellStyle name="InputCells12 2 2 2 2 60" xfId="28233" xr:uid="{272C6D0D-A969-4B1A-9236-19C8C0B8F36D}"/>
    <cellStyle name="InputCells12 2 2 2 2 61" xfId="29905" xr:uid="{3945EC1D-36DD-4013-9E62-2C371630602E}"/>
    <cellStyle name="InputCells12 2 2 2 2 62" xfId="30311" xr:uid="{61F5D271-0F30-4279-860D-F9EF2DDAD3C3}"/>
    <cellStyle name="InputCells12 2 2 2 2 63" xfId="30728" xr:uid="{188C5EEC-BB77-40C3-93E6-1A069354A823}"/>
    <cellStyle name="InputCells12 2 2 2 2 64" xfId="29552" xr:uid="{EE9207E6-2B1D-4E43-BAC9-DD8D3574CB35}"/>
    <cellStyle name="InputCells12 2 2 2 2 65" xfId="31344" xr:uid="{7B3C8310-E1BC-48A7-9DBF-AFA69F32C735}"/>
    <cellStyle name="InputCells12 2 2 2 2 7" xfId="4127" xr:uid="{51E7395E-F621-4893-8595-8FB17A7189B2}"/>
    <cellStyle name="InputCells12 2 2 2 2 8" xfId="4564" xr:uid="{546F5136-7E56-404C-BF2C-2543F7003E6F}"/>
    <cellStyle name="InputCells12 2 2 2 2 9" xfId="3239" xr:uid="{231CFB2A-0B58-4AB3-A222-D1D5F8CBB68C}"/>
    <cellStyle name="InputCells12 2 2 2 20" xfId="10208" xr:uid="{9F7DC70A-332B-4D87-929E-320B79C0684D}"/>
    <cellStyle name="InputCells12 2 2 2 21" xfId="10612" xr:uid="{D45ADA2A-2EB1-4834-ACDC-10027D4934F8}"/>
    <cellStyle name="InputCells12 2 2 2 22" xfId="10891" xr:uid="{B50F9B5E-2152-4D35-A75E-E729938FE7B1}"/>
    <cellStyle name="InputCells12 2 2 2 23" xfId="11177" xr:uid="{A8EACFA9-C41D-4355-B614-6D5C40C8FCCE}"/>
    <cellStyle name="InputCells12 2 2 2 24" xfId="11947" xr:uid="{8CD63319-ECB4-4D0F-8005-A8C8BDC00151}"/>
    <cellStyle name="InputCells12 2 2 2 25" xfId="12420" xr:uid="{DCD0A277-F403-4712-897E-45D42A83A437}"/>
    <cellStyle name="InputCells12 2 2 2 26" xfId="12854" xr:uid="{3E35628F-A191-417E-BDB1-7C238256402E}"/>
    <cellStyle name="InputCells12 2 2 2 27" xfId="13291" xr:uid="{EDB30BC0-5B99-42B1-BA7D-9E6BB2010642}"/>
    <cellStyle name="InputCells12 2 2 2 28" xfId="12308" xr:uid="{015075B7-93E2-4C1B-9E9E-4B5455E73F7C}"/>
    <cellStyle name="InputCells12 2 2 2 29" xfId="14205" xr:uid="{3A99B5EB-C68C-42BA-93AD-4B5164707D92}"/>
    <cellStyle name="InputCells12 2 2 2 3" xfId="1077" xr:uid="{EB18A701-2DBE-4B08-9D6A-02739A71F7AE}"/>
    <cellStyle name="InputCells12 2 2 2 30" xfId="14075" xr:uid="{594B30E1-FDFA-4E31-9551-718BED36741D}"/>
    <cellStyle name="InputCells12 2 2 2 31" xfId="15106" xr:uid="{5E65D536-9827-4A2A-AEE7-647F5464908F}"/>
    <cellStyle name="InputCells12 2 2 2 32" xfId="15556" xr:uid="{698528F3-812E-439B-A26A-0C0DD4B16EA8}"/>
    <cellStyle name="InputCells12 2 2 2 33" xfId="15971" xr:uid="{1609ADCE-CDCF-45AE-92BE-9752578DC3AD}"/>
    <cellStyle name="InputCells12 2 2 2 34" xfId="16639" xr:uid="{A26C7A2A-D54F-4E8C-9AE7-2C53149977BA}"/>
    <cellStyle name="InputCells12 2 2 2 35" xfId="17329" xr:uid="{36602476-8DCD-447F-AAE6-C38363793FFF}"/>
    <cellStyle name="InputCells12 2 2 2 36" xfId="17772" xr:uid="{F8B5C185-6BF6-4FB3-A4E1-EA86E6BE4D60}"/>
    <cellStyle name="InputCells12 2 2 2 37" xfId="16552" xr:uid="{4101E24A-92F5-4473-BD0F-1BDBE1EA3BA7}"/>
    <cellStyle name="InputCells12 2 2 2 38" xfId="18457" xr:uid="{51123B0F-EF5A-4735-A218-5E9C99ED9F74}"/>
    <cellStyle name="InputCells12 2 2 2 39" xfId="17589" xr:uid="{7AAFA8B0-4D88-4DFD-89FB-3287486C3C20}"/>
    <cellStyle name="InputCells12 2 2 2 4" xfId="1638" xr:uid="{A6AAAC7D-E723-4854-A160-51DD392CEEDB}"/>
    <cellStyle name="InputCells12 2 2 2 40" xfId="19237" xr:uid="{BCB81BCC-F174-4A89-A743-D7859264EC13}"/>
    <cellStyle name="InputCells12 2 2 2 41" xfId="19976" xr:uid="{B7192AEA-E821-4ED2-B442-4F0B06F34988}"/>
    <cellStyle name="InputCells12 2 2 2 42" xfId="20680" xr:uid="{E7635C1F-4DBB-45C3-9210-57526AC27078}"/>
    <cellStyle name="InputCells12 2 2 2 43" xfId="21136" xr:uid="{0D434695-D111-43C6-AF80-D2BA23DB5F65}"/>
    <cellStyle name="InputCells12 2 2 2 44" xfId="21115" xr:uid="{287A474C-A2BD-499B-B8F2-2610B2F2C98D}"/>
    <cellStyle name="InputCells12 2 2 2 45" xfId="22068" xr:uid="{12087063-CD91-43C1-B89C-18A806A24B66}"/>
    <cellStyle name="InputCells12 2 2 2 46" xfId="22496" xr:uid="{A8F761BC-11DE-425B-BE29-47D1990F0821}"/>
    <cellStyle name="InputCells12 2 2 2 47" xfId="22387" xr:uid="{21D48587-0780-4FF5-86C0-75E9C9525023}"/>
    <cellStyle name="InputCells12 2 2 2 48" xfId="22784" xr:uid="{D9666F5D-A67F-495E-BAF7-EC9AA2907D07}"/>
    <cellStyle name="InputCells12 2 2 2 49" xfId="23464" xr:uid="{728EB2D3-78AA-4F1C-BC9D-906E25553685}"/>
    <cellStyle name="InputCells12 2 2 2 5" xfId="2416" xr:uid="{C14E3446-8175-4052-81E7-F5958FB0E5E3}"/>
    <cellStyle name="InputCells12 2 2 2 50" xfId="23785" xr:uid="{4BAD6C52-A913-4F93-8DC2-CC547D8BFF57}"/>
    <cellStyle name="InputCells12 2 2 2 51" xfId="24684" xr:uid="{D6202E94-B0CF-48CC-95A2-377E0649EFE5}"/>
    <cellStyle name="InputCells12 2 2 2 52" xfId="25383" xr:uid="{703FFAE5-6BC3-4264-9B85-E8790520AAD3}"/>
    <cellStyle name="InputCells12 2 2 2 53" xfId="25602" xr:uid="{B9E2BF6D-9F52-46F4-AD50-298B9FE2E82A}"/>
    <cellStyle name="InputCells12 2 2 2 54" xfId="24508" xr:uid="{3C58E174-BDEE-40C1-94F0-7460CF0065D2}"/>
    <cellStyle name="InputCells12 2 2 2 55" xfId="25940" xr:uid="{928CBA10-0EEC-4AB2-9D65-B56AB75DB11C}"/>
    <cellStyle name="InputCells12 2 2 2 56" xfId="26892" xr:uid="{D47BA7E2-42A2-4A2D-AB32-E9F96FB713D2}"/>
    <cellStyle name="InputCells12 2 2 2 57" xfId="27311" xr:uid="{D006076D-BF20-4D2D-971C-7DCD4B876AB1}"/>
    <cellStyle name="InputCells12 2 2 2 58" xfId="27682" xr:uid="{6B766C94-1B7B-424C-9240-63B4782B8344}"/>
    <cellStyle name="InputCells12 2 2 2 59" xfId="28434" xr:uid="{E3731350-49AF-47EF-B02D-4A42C77A565A}"/>
    <cellStyle name="InputCells12 2 2 2 6" xfId="1954" xr:uid="{1AAEB20B-2BCC-4267-9366-B3EFCA5C0408}"/>
    <cellStyle name="InputCells12 2 2 2 60" xfId="28902" xr:uid="{D2EC759C-8B86-4503-AF10-22B462681017}"/>
    <cellStyle name="InputCells12 2 2 2 61" xfId="29505" xr:uid="{68AA0501-6C10-43F1-8731-99C7FFA51E14}"/>
    <cellStyle name="InputCells12 2 2 2 62" xfId="29692" xr:uid="{19F34B12-9450-4A98-B3BC-168D720FD284}"/>
    <cellStyle name="InputCells12 2 2 2 63" xfId="30100" xr:uid="{24481FEE-5572-45E8-81F0-0888D679C484}"/>
    <cellStyle name="InputCells12 2 2 2 64" xfId="30514" xr:uid="{59361549-758D-46A1-A015-169378ECA3B4}"/>
    <cellStyle name="InputCells12 2 2 2 65" xfId="30418" xr:uid="{D50CC9A3-B47B-47E9-B1E7-63BF981A8F4D}"/>
    <cellStyle name="InputCells12 2 2 2 66" xfId="31138" xr:uid="{AE79D37D-7065-47F2-9951-334B500AF867}"/>
    <cellStyle name="InputCells12 2 2 2 7" xfId="2164" xr:uid="{4FAAC915-5C45-4226-A17C-0C0EC7A509F5}"/>
    <cellStyle name="InputCells12 2 2 2 8" xfId="3912" xr:uid="{A2591DB2-99C0-4172-B5FE-F0866131064D}"/>
    <cellStyle name="InputCells12 2 2 2 9" xfId="4350" xr:uid="{12C35395-42B7-4482-B824-4F7DC1860477}"/>
    <cellStyle name="InputCells12 2 2 3" xfId="719" xr:uid="{23C51A7D-7966-41E6-B11F-B2A27478AB56}"/>
    <cellStyle name="InputCells12 2 2 3 10" xfId="5367" xr:uid="{579A8F00-2A1C-431B-9B8D-B902AE226397}"/>
    <cellStyle name="InputCells12 2 2 3 11" xfId="5825" xr:uid="{F09D3336-D900-43A9-A6EF-687B1C6C15F1}"/>
    <cellStyle name="InputCells12 2 2 3 12" xfId="6218" xr:uid="{595A4A4B-6D47-4FA5-8A9F-865E53F92ADC}"/>
    <cellStyle name="InputCells12 2 2 3 13" xfId="6587" xr:uid="{79FF506C-CBB4-45AA-B220-BB673B0F6955}"/>
    <cellStyle name="InputCells12 2 2 3 14" xfId="7439" xr:uid="{F024AD27-7A40-4A74-9739-AC6F868A4A87}"/>
    <cellStyle name="InputCells12 2 2 3 15" xfId="6932" xr:uid="{924CF952-DE43-41F5-86A0-2E69E34A5A91}"/>
    <cellStyle name="InputCells12 2 2 3 16" xfId="8651" xr:uid="{DB695427-2DBD-40AD-8D0C-90BDA17E9226}"/>
    <cellStyle name="InputCells12 2 2 3 17" xfId="6951" xr:uid="{6D354CB2-6DBD-4F0F-9743-246359E474CA}"/>
    <cellStyle name="InputCells12 2 2 3 18" xfId="9653" xr:uid="{E3CDC040-F9FA-4F7B-A6C5-BF0411F8BC8C}"/>
    <cellStyle name="InputCells12 2 2 3 19" xfId="9035" xr:uid="{0011C01E-A927-4301-B061-C1351727E483}"/>
    <cellStyle name="InputCells12 2 2 3 2" xfId="1193" xr:uid="{231529B4-BE83-4793-9B49-CF89FEB815AB}"/>
    <cellStyle name="InputCells12 2 2 3 20" xfId="9161" xr:uid="{6758D66E-C495-4D4B-80C9-4FCEB5CBCF35}"/>
    <cellStyle name="InputCells12 2 2 3 21" xfId="10761" xr:uid="{EE0692C7-4CD4-48F3-8B2C-DD1EDC49260B}"/>
    <cellStyle name="InputCells12 2 2 3 22" xfId="10951" xr:uid="{0FBA59B7-335C-4EE6-8628-8974FAFF57FD}"/>
    <cellStyle name="InputCells12 2 2 3 23" xfId="12072" xr:uid="{950286B8-0E17-47EA-9903-F3D3F12FEE79}"/>
    <cellStyle name="InputCells12 2 2 3 24" xfId="12545" xr:uid="{52BCFF47-5291-498D-97A5-EE72C11D5E1A}"/>
    <cellStyle name="InputCells12 2 2 3 25" xfId="12979" xr:uid="{E7874A52-B4F0-48D9-9EB3-65C73566629A}"/>
    <cellStyle name="InputCells12 2 2 3 26" xfId="13416" xr:uid="{96B30D68-40C8-4004-88E5-2F4A1310B901}"/>
    <cellStyle name="InputCells12 2 2 3 27" xfId="13896" xr:uid="{8CFE1B7D-B867-4223-899B-00152B17CA3C}"/>
    <cellStyle name="InputCells12 2 2 3 28" xfId="13635" xr:uid="{CA31AF57-14E0-4E34-9C60-E084035896BF}"/>
    <cellStyle name="InputCells12 2 2 3 29" xfId="13728" xr:uid="{D60A72FD-0370-4F7F-A07C-D481C477DDDC}"/>
    <cellStyle name="InputCells12 2 2 3 3" xfId="1546" xr:uid="{A63339AA-BF40-44DD-A35F-A3E60E448A40}"/>
    <cellStyle name="InputCells12 2 2 3 30" xfId="15277" xr:uid="{BB9B03E8-2438-4546-A8D8-802E0573996C}"/>
    <cellStyle name="InputCells12 2 2 3 31" xfId="15690" xr:uid="{49B7C70C-2458-41F0-BE85-8DC7944D5F66}"/>
    <cellStyle name="InputCells12 2 2 3 32" xfId="15492" xr:uid="{F762E58E-A90F-46CE-AB59-D66EA3C78747}"/>
    <cellStyle name="InputCells12 2 2 3 33" xfId="16764" xr:uid="{F0A3B46B-F06B-4FCA-A710-6E296618B4FE}"/>
    <cellStyle name="InputCells12 2 2 3 34" xfId="16250" xr:uid="{1931019B-69AA-482E-86F9-3688C31267DD}"/>
    <cellStyle name="InputCells12 2 2 3 35" xfId="17191" xr:uid="{DCBD96C5-63E7-4829-B63D-4629113B4F43}"/>
    <cellStyle name="InputCells12 2 2 3 36" xfId="17571" xr:uid="{96D606CF-4B78-47E9-BD8C-091341D09C9E}"/>
    <cellStyle name="InputCells12 2 2 3 37" xfId="18582" xr:uid="{3F7974EE-32B9-4FFE-8CC9-41C5F33B4D96}"/>
    <cellStyle name="InputCells12 2 2 3 38" xfId="18350" xr:uid="{912EDAAB-6741-45C8-858E-95D11D2CAD7B}"/>
    <cellStyle name="InputCells12 2 2 3 39" xfId="19294" xr:uid="{26C75E5D-E4EA-4351-87EC-3A7A380916A2}"/>
    <cellStyle name="InputCells12 2 2 3 4" xfId="2541" xr:uid="{7FE74B58-EDCF-42D5-9A67-5B987BE2B3B5}"/>
    <cellStyle name="InputCells12 2 2 3 40" xfId="20101" xr:uid="{1D7E4474-57F7-43BE-A679-21077AB8E77F}"/>
    <cellStyle name="InputCells12 2 2 3 41" xfId="19629" xr:uid="{A032B93F-01C1-497B-86EE-B4276CB68D8C}"/>
    <cellStyle name="InputCells12 2 2 3 42" xfId="20345" xr:uid="{4311921A-1552-4FC9-A78E-CBE1846560B8}"/>
    <cellStyle name="InputCells12 2 2 3 43" xfId="20455" xr:uid="{538B56D6-CB7E-4910-A644-CF22F3322D7B}"/>
    <cellStyle name="InputCells12 2 2 3 44" xfId="20870" xr:uid="{B45B0FA4-D8D5-4D0F-B5BA-582DE33DDBCE}"/>
    <cellStyle name="InputCells12 2 2 3 45" xfId="21686" xr:uid="{D7889AA5-5847-4A5B-94F1-6A14FE376C2B}"/>
    <cellStyle name="InputCells12 2 2 3 46" xfId="22876" xr:uid="{27C00D0F-A96C-4BAF-A59D-42E592E62B48}"/>
    <cellStyle name="InputCells12 2 2 3 47" xfId="22225" xr:uid="{42125DB3-2AF0-446F-91D6-B86B8EEA477C}"/>
    <cellStyle name="InputCells12 2 2 3 48" xfId="23588" xr:uid="{0F1B2BE6-E23F-4253-BB76-8BDB3C576EF6}"/>
    <cellStyle name="InputCells12 2 2 3 49" xfId="23901" xr:uid="{E263491E-A5B8-4F69-B993-F75F1E9DD5B5}"/>
    <cellStyle name="InputCells12 2 2 3 5" xfId="3064" xr:uid="{E39E27F1-DE08-4572-AB54-5D60AA065967}"/>
    <cellStyle name="InputCells12 2 2 3 50" xfId="24809" xr:uid="{9AFC5375-00CF-4BAE-8A22-A424C0F04EDA}"/>
    <cellStyle name="InputCells12 2 2 3 51" xfId="24130" xr:uid="{982E3559-409D-46D6-8F37-E8A99A401E03}"/>
    <cellStyle name="InputCells12 2 2 3 52" xfId="25725" xr:uid="{C1FFB93F-3A90-4D7A-8B3F-33DD49FB5AF9}"/>
    <cellStyle name="InputCells12 2 2 3 53" xfId="26182" xr:uid="{185AC320-4285-4135-A9EC-8455FEEA7961}"/>
    <cellStyle name="InputCells12 2 2 3 54" xfId="26474" xr:uid="{E9042A55-71F6-4471-9070-93B7427F466F}"/>
    <cellStyle name="InputCells12 2 2 3 55" xfId="27013" xr:uid="{C15B4982-8C8B-4D97-85EF-E17C1B1D0AB8}"/>
    <cellStyle name="InputCells12 2 2 3 56" xfId="27432" xr:uid="{FF59A7A9-C782-4591-BADE-E513577C3421}"/>
    <cellStyle name="InputCells12 2 2 3 57" xfId="27737" xr:uid="{A6251166-5321-4379-9E45-08871C59D844}"/>
    <cellStyle name="InputCells12 2 2 3 58" xfId="28559" xr:uid="{86FA304F-334D-45C6-AF51-1B294B7AD2BA}"/>
    <cellStyle name="InputCells12 2 2 3 59" xfId="29026" xr:uid="{9429BCF4-286E-4CEB-8B68-82CE9201D25C}"/>
    <cellStyle name="InputCells12 2 2 3 6" xfId="3753" xr:uid="{0C23C8D9-C2DE-4C36-8A10-663EED208C7F}"/>
    <cellStyle name="InputCells12 2 2 3 60" xfId="28208" xr:uid="{2B42566D-E3DF-4682-80FB-86A3D005BF8D}"/>
    <cellStyle name="InputCells12 2 2 3 61" xfId="29815" xr:uid="{1975FA26-1320-4FC8-A972-9C65E040F475}"/>
    <cellStyle name="InputCells12 2 2 3 62" xfId="30221" xr:uid="{F976D3F8-A69E-4F3C-916F-EFD1DE187041}"/>
    <cellStyle name="InputCells12 2 2 3 63" xfId="30638" xr:uid="{3274709C-95EA-4595-A284-6D1F2BB00821}"/>
    <cellStyle name="InputCells12 2 2 3 64" xfId="30926" xr:uid="{ECCD18A4-FD6B-4AAA-92A5-0BBEDF11B72F}"/>
    <cellStyle name="InputCells12 2 2 3 65" xfId="31254" xr:uid="{E0CF2B95-6522-4A0A-B0B2-8F26BE6F00B4}"/>
    <cellStyle name="InputCells12 2 2 3 7" xfId="4037" xr:uid="{DFD401EC-2E71-4DCE-89CA-AC6D3A749BAD}"/>
    <cellStyle name="InputCells12 2 2 3 8" xfId="4474" xr:uid="{D5699725-F77B-489C-B63B-95AB5BAAE519}"/>
    <cellStyle name="InputCells12 2 2 3 9" xfId="3292" xr:uid="{B859A495-77FD-4596-AF5E-1A1422DE0A7E}"/>
    <cellStyle name="InputCells12 2 3" xfId="279" xr:uid="{FE2ADDC0-E774-4C9A-B1DD-2668BADC81DC}"/>
    <cellStyle name="InputCells12 2 3 10" xfId="3258" xr:uid="{4FFDA76B-0E62-4163-A1F5-334F1245F818}"/>
    <cellStyle name="InputCells12 2 3 11" xfId="3350" xr:uid="{913963E7-84F7-4C50-BF52-77B8B8CE64CF}"/>
    <cellStyle name="InputCells12 2 3 12" xfId="3463" xr:uid="{41AF326F-436C-4779-B11A-1BBA1767C5FA}"/>
    <cellStyle name="InputCells12 2 3 13" xfId="4808" xr:uid="{36A9FB7F-3B73-4CC9-BCED-B51DEC750AEA}"/>
    <cellStyle name="InputCells12 2 3 14" xfId="3745" xr:uid="{6A6916CB-7D5D-4181-832D-8E5DA97A9508}"/>
    <cellStyle name="InputCells12 2 3 15" xfId="5114" xr:uid="{C7851A0D-7CA8-4E15-B494-4612F5F5F0C9}"/>
    <cellStyle name="InputCells12 2 3 16" xfId="6487" xr:uid="{550AFE8F-C737-4BB5-8D9A-3C8B38783FF6}"/>
    <cellStyle name="InputCells12 2 3 17" xfId="7009" xr:uid="{099C7A5A-7711-439C-906A-124B9347F242}"/>
    <cellStyle name="InputCells12 2 3 18" xfId="7639" xr:uid="{FF245449-E901-40E5-BC91-D125C4A5F3B2}"/>
    <cellStyle name="InputCells12 2 3 19" xfId="8134" xr:uid="{6F52477A-7275-461E-8A94-8A41A4D3A228}"/>
    <cellStyle name="InputCells12 2 3 2" xfId="617" xr:uid="{8EAE4368-E289-4F27-91CC-E3325E251677}"/>
    <cellStyle name="InputCells12 2 3 2 10" xfId="2822" xr:uid="{E4FD8745-B74F-4F30-8B4C-73072B196A91}"/>
    <cellStyle name="InputCells12 2 3 2 11" xfId="5265" xr:uid="{14048626-8357-4EDC-8A5C-04C1B5DF7182}"/>
    <cellStyle name="InputCells12 2 3 2 12" xfId="5729" xr:uid="{5D88D210-F461-4608-8EE1-774645AF0B43}"/>
    <cellStyle name="InputCells12 2 3 2 13" xfId="4743" xr:uid="{FAB4CC88-8DC7-4B85-A9AB-F7A60403E94F}"/>
    <cellStyle name="InputCells12 2 3 2 14" xfId="5630" xr:uid="{82E30113-F850-4FDF-B58D-E6B51BFAC81B}"/>
    <cellStyle name="InputCells12 2 3 2 15" xfId="7337" xr:uid="{E92D6047-A6C5-4B7A-994E-4F3BE57DD9D9}"/>
    <cellStyle name="InputCells12 2 3 2 16" xfId="7990" xr:uid="{9E52606A-7580-48E5-8996-4A2EB5061F61}"/>
    <cellStyle name="InputCells12 2 3 2 17" xfId="8550" xr:uid="{A212FBB0-337F-48A8-97E2-53E590D89B0B}"/>
    <cellStyle name="InputCells12 2 3 2 18" xfId="7958" xr:uid="{C125A2C0-AAA1-4878-9459-5A717F29CFB2}"/>
    <cellStyle name="InputCells12 2 3 2 19" xfId="9551" xr:uid="{4B9AF540-EF76-45BF-B116-4DC254C58F79}"/>
    <cellStyle name="InputCells12 2 3 2 2" xfId="832" xr:uid="{6CF6E12C-7A54-423D-A8F8-B51C94AE84AC}"/>
    <cellStyle name="InputCells12 2 3 2 2 10" xfId="5480" xr:uid="{7CF5C80E-56F1-4084-A8C4-60A8EE05444C}"/>
    <cellStyle name="InputCells12 2 3 2 2 11" xfId="4910" xr:uid="{7B029EC0-DE93-418F-A2F5-286C8893EC6C}"/>
    <cellStyle name="InputCells12 2 3 2 2 12" xfId="6180" xr:uid="{8BDAD63D-AEE7-4876-B453-6695A83ECE7B}"/>
    <cellStyle name="InputCells12 2 3 2 2 13" xfId="6593" xr:uid="{94837B54-250E-4B12-B4BA-CC2780F22879}"/>
    <cellStyle name="InputCells12 2 3 2 2 14" xfId="7552" xr:uid="{F49B3765-2F18-47CB-AA04-C4331A32E1B1}"/>
    <cellStyle name="InputCells12 2 3 2 2 15" xfId="7815" xr:uid="{6670362A-A074-43D9-8824-26BEBD441B2D}"/>
    <cellStyle name="InputCells12 2 3 2 2 16" xfId="7753" xr:uid="{685A3BE3-3348-4C07-9051-E7361F57C9B8}"/>
    <cellStyle name="InputCells12 2 3 2 2 17" xfId="8724" xr:uid="{B7746209-E7AD-4C3E-8B15-B06583A56851}"/>
    <cellStyle name="InputCells12 2 3 2 2 18" xfId="9766" xr:uid="{15BCF072-F11F-4455-AFBC-D0A0BCC2F8F6}"/>
    <cellStyle name="InputCells12 2 3 2 2 19" xfId="10028" xr:uid="{DEB588DB-F28F-4019-8F16-11B4DE13C66A}"/>
    <cellStyle name="InputCells12 2 3 2 2 2" xfId="1306" xr:uid="{7192BE28-726B-4459-86A8-DC67E7E74D5D}"/>
    <cellStyle name="InputCells12 2 3 2 2 20" xfId="10448" xr:uid="{08A8E907-32E0-46EC-9E85-12315CD7F080}"/>
    <cellStyle name="InputCells12 2 3 2 2 21" xfId="10794" xr:uid="{C018E002-61D3-400C-838B-47B184DA7594}"/>
    <cellStyle name="InputCells12 2 3 2 2 22" xfId="11268" xr:uid="{3F5B657B-4D10-4578-AF56-20A475E61715}"/>
    <cellStyle name="InputCells12 2 3 2 2 23" xfId="12185" xr:uid="{95850217-913E-4807-8EAE-731A88239018}"/>
    <cellStyle name="InputCells12 2 3 2 2 24" xfId="12658" xr:uid="{4D18526E-F576-4C27-957B-4E66DE62A1F6}"/>
    <cellStyle name="InputCells12 2 3 2 2 25" xfId="13092" xr:uid="{FABB4C19-7C68-42A6-BBA5-0E5A33F102D3}"/>
    <cellStyle name="InputCells12 2 3 2 2 26" xfId="13529" xr:uid="{04CECC70-82FF-45A2-AF0A-4E90EA9D919D}"/>
    <cellStyle name="InputCells12 2 3 2 2 27" xfId="13796" xr:uid="{2C1849C7-C4B1-4F8B-AF6F-5638F44DB2F7}"/>
    <cellStyle name="InputCells12 2 3 2 2 28" xfId="11518" xr:uid="{B0ED9833-1A2A-4BF1-879D-1512A74260EC}"/>
    <cellStyle name="InputCells12 2 3 2 2 29" xfId="14682" xr:uid="{67C694DC-C8AC-4376-8A36-B127FBFD5D19}"/>
    <cellStyle name="InputCells12 2 3 2 2 3" xfId="1552" xr:uid="{E5953B54-E6D6-448F-B24E-2E15D827A033}"/>
    <cellStyle name="InputCells12 2 3 2 2 30" xfId="14994" xr:uid="{C49A2F42-38CF-4233-9216-9A0B63F8F5C9}"/>
    <cellStyle name="InputCells12 2 3 2 2 31" xfId="14171" xr:uid="{241D694C-997A-4CB7-AB27-0479692E8BCE}"/>
    <cellStyle name="InputCells12 2 3 2 2 32" xfId="15866" xr:uid="{12E6AF16-79E8-40B8-A815-347505110491}"/>
    <cellStyle name="InputCells12 2 3 2 2 33" xfId="16877" xr:uid="{66EB8297-6861-4743-9479-20AF1B4FFD0D}"/>
    <cellStyle name="InputCells12 2 3 2 2 34" xfId="17145" xr:uid="{E2F4D396-EFA7-4642-9CCA-A567CB955240}"/>
    <cellStyle name="InputCells12 2 3 2 2 35" xfId="17592" xr:uid="{473EC84E-6DAA-4377-B8C3-36CC9FC95875}"/>
    <cellStyle name="InputCells12 2 3 2 2 36" xfId="17725" xr:uid="{FAAD8588-B241-42C3-8DA6-BA1B72FB9A02}"/>
    <cellStyle name="InputCells12 2 3 2 2 37" xfId="18695" xr:uid="{599EC862-9089-49FD-8787-063B70B27B69}"/>
    <cellStyle name="InputCells12 2 3 2 2 38" xfId="18901" xr:uid="{5C2E8F68-94F5-4105-A7C4-91DE01E5FD2B}"/>
    <cellStyle name="InputCells12 2 3 2 2 39" xfId="19224" xr:uid="{E5A42B4A-3CC6-4EF3-A9F7-8F883C2E5FC9}"/>
    <cellStyle name="InputCells12 2 3 2 2 4" xfId="2654" xr:uid="{643B3D82-50CA-4322-A1D5-142A15321D1F}"/>
    <cellStyle name="InputCells12 2 3 2 2 40" xfId="20214" xr:uid="{2E9E4289-8D37-4AC4-86B3-CBE944ED1C03}"/>
    <cellStyle name="InputCells12 2 3 2 2 41" xfId="20497" xr:uid="{A2E040C3-6921-4147-B294-8D747B5D6CF0}"/>
    <cellStyle name="InputCells12 2 3 2 2 42" xfId="20952" xr:uid="{01070847-C5E0-4649-B2AD-800D81E170B4}"/>
    <cellStyle name="InputCells12 2 3 2 2 43" xfId="21268" xr:uid="{1ED228C1-AB41-46D8-81A8-3E7624CD7A70}"/>
    <cellStyle name="InputCells12 2 3 2 2 44" xfId="21881" xr:uid="{6A5BBE5D-EE83-4B90-9FB4-EEF3C2572342}"/>
    <cellStyle name="InputCells12 2 3 2 2 45" xfId="22317" xr:uid="{7D42C16B-1462-4494-B90A-C13D9FE711DF}"/>
    <cellStyle name="InputCells12 2 3 2 2 46" xfId="22788" xr:uid="{74D7B6CA-1F17-4366-AE13-D876C3680BF3}"/>
    <cellStyle name="InputCells12 2 3 2 2 47" xfId="23176" xr:uid="{3E584887-7DDD-47FF-8C12-8B1B6903F13E}"/>
    <cellStyle name="InputCells12 2 3 2 2 48" xfId="23267" xr:uid="{43A26389-1651-4D9C-A182-7D332C4258F1}"/>
    <cellStyle name="InputCells12 2 3 2 2 49" xfId="24014" xr:uid="{CD3AC4EB-0F7D-463A-96A5-7744D2469C76}"/>
    <cellStyle name="InputCells12 2 3 2 2 5" xfId="2963" xr:uid="{06226469-64A0-43F8-BF3C-749D559C3C66}"/>
    <cellStyle name="InputCells12 2 3 2 2 50" xfId="24922" xr:uid="{F9A71171-3464-4DA9-BC26-C0B47C986189}"/>
    <cellStyle name="InputCells12 2 3 2 2 51" xfId="25206" xr:uid="{1C5676BB-92C4-4A20-AF59-2AC92AA0A20E}"/>
    <cellStyle name="InputCells12 2 3 2 2 52" xfId="25838" xr:uid="{E25C4792-ABBB-46D8-8B1A-F079AE6ED3C2}"/>
    <cellStyle name="InputCells12 2 3 2 2 53" xfId="26090" xr:uid="{D67DFACA-4EDA-4F7F-AF02-53A293AAD0C1}"/>
    <cellStyle name="InputCells12 2 3 2 2 54" xfId="26442" xr:uid="{71F585DA-CC54-4292-9EC9-D4909F10A08D}"/>
    <cellStyle name="InputCells12 2 3 2 2 55" xfId="27126" xr:uid="{0F50F812-8DD8-47B3-8FAB-32E4EC908755}"/>
    <cellStyle name="InputCells12 2 3 2 2 56" xfId="27545" xr:uid="{073DC460-5A76-4EFD-B415-207F5C0E884B}"/>
    <cellStyle name="InputCells12 2 3 2 2 57" xfId="26362" xr:uid="{3BAF869B-DF80-4BEF-93D2-69CCAA3DD502}"/>
    <cellStyle name="InputCells12 2 3 2 2 58" xfId="28672" xr:uid="{E4B0F0E7-6FCD-4149-AAA2-082D694B8B0F}"/>
    <cellStyle name="InputCells12 2 3 2 2 59" xfId="29139" xr:uid="{0991EB7D-948D-4C8C-9488-486A528D761E}"/>
    <cellStyle name="InputCells12 2 3 2 2 6" xfId="2899" xr:uid="{E0BBBF87-355D-4648-9DE1-11F81F22345F}"/>
    <cellStyle name="InputCells12 2 3 2 2 60" xfId="29348" xr:uid="{AE32E0FC-66F6-42E4-B0CE-BA583F1E2E04}"/>
    <cellStyle name="InputCells12 2 3 2 2 61" xfId="29928" xr:uid="{0E047B4C-3580-492C-AB44-9067F4999C1E}"/>
    <cellStyle name="InputCells12 2 3 2 2 62" xfId="30334" xr:uid="{5B8B9521-EF8D-405E-A8E8-91B19D8F5288}"/>
    <cellStyle name="InputCells12 2 3 2 2 63" xfId="30751" xr:uid="{232D16A0-F239-4851-8EF1-20D8FDDA483D}"/>
    <cellStyle name="InputCells12 2 3 2 2 64" xfId="28190" xr:uid="{BD5DEFD8-3578-49FB-80D2-90A5FCF694FC}"/>
    <cellStyle name="InputCells12 2 3 2 2 65" xfId="31367" xr:uid="{C8DA192C-3204-4B86-9A0B-A2E4C566AD09}"/>
    <cellStyle name="InputCells12 2 3 2 2 7" xfId="4150" xr:uid="{AE7E44D3-4C50-41B5-B50A-7FC987A367A3}"/>
    <cellStyle name="InputCells12 2 3 2 2 8" xfId="4587" xr:uid="{29B146D4-C376-4524-BF32-E13D88C5A1C7}"/>
    <cellStyle name="InputCells12 2 3 2 2 9" xfId="3740" xr:uid="{78C2F0DA-D7BE-4D55-9985-94AE70C39F60}"/>
    <cellStyle name="InputCells12 2 3 2 20" xfId="10206" xr:uid="{2DF38090-6D98-40DC-A35E-45B3DE62ADF2}"/>
    <cellStyle name="InputCells12 2 3 2 21" xfId="10610" xr:uid="{ABE3F2D6-B06E-4DA6-8FD7-249ABFBF8920}"/>
    <cellStyle name="InputCells12 2 3 2 22" xfId="9834" xr:uid="{5D206E20-7B82-4EF7-84C0-707E4AE32B58}"/>
    <cellStyle name="InputCells12 2 3 2 23" xfId="11074" xr:uid="{D4193843-B5FB-4963-835D-1468B3DDD828}"/>
    <cellStyle name="InputCells12 2 3 2 24" xfId="11970" xr:uid="{3C22CEA5-CE17-4F28-80DA-7376A3BB34B3}"/>
    <cellStyle name="InputCells12 2 3 2 25" xfId="12443" xr:uid="{6BF53EEB-6D2A-4509-8AA6-7FEEE78A865A}"/>
    <cellStyle name="InputCells12 2 3 2 26" xfId="12877" xr:uid="{890F24D3-77F3-4153-AA21-CF4628DF595F}"/>
    <cellStyle name="InputCells12 2 3 2 27" xfId="13314" xr:uid="{93D18E54-128E-4860-B10E-C725D5BCA705}"/>
    <cellStyle name="InputCells12 2 3 2 28" xfId="11405" xr:uid="{6B5FC175-9B86-4687-ADEC-7FDEC617B44C}"/>
    <cellStyle name="InputCells12 2 3 2 29" xfId="14304" xr:uid="{CE9F1331-244A-4399-BA76-B47D6397BD1F}"/>
    <cellStyle name="InputCells12 2 3 2 3" xfId="1100" xr:uid="{3A37C695-4325-4A00-B933-09D1E0F94E45}"/>
    <cellStyle name="InputCells12 2 3 2 30" xfId="14334" xr:uid="{0B28FC19-C439-4738-805E-364B7AFE3A3C}"/>
    <cellStyle name="InputCells12 2 3 2 31" xfId="15206" xr:uid="{B149DB99-BA6E-4690-89E4-B16CDC1F7DBD}"/>
    <cellStyle name="InputCells12 2 3 2 32" xfId="15619" xr:uid="{ABA139FD-138D-4CB0-B265-63F598F531CA}"/>
    <cellStyle name="InputCells12 2 3 2 33" xfId="15969" xr:uid="{DDCC163F-4FBC-4333-BEC5-7B69B0281587}"/>
    <cellStyle name="InputCells12 2 3 2 34" xfId="16662" xr:uid="{69462503-EB81-4440-9D9F-2A2DFB99BE70}"/>
    <cellStyle name="InputCells12 2 3 2 35" xfId="17327" xr:uid="{D3286130-70E6-415E-969D-00640858C578}"/>
    <cellStyle name="InputCells12 2 3 2 36" xfId="17770" xr:uid="{532EF38B-130C-4D95-ACA3-8B8EBC35CBD1}"/>
    <cellStyle name="InputCells12 2 3 2 37" xfId="16399" xr:uid="{FF03D42A-65F5-41E5-AFEB-F44C579E15AE}"/>
    <cellStyle name="InputCells12 2 3 2 38" xfId="18480" xr:uid="{A7C8B9E5-CCA3-49B4-A27A-338B778A2317}"/>
    <cellStyle name="InputCells12 2 3 2 39" xfId="18556" xr:uid="{78AAB436-78A3-4440-AD09-B2677476820F}"/>
    <cellStyle name="InputCells12 2 3 2 4" xfId="1636" xr:uid="{5A47EA5D-6570-4D69-A23D-50618DAF44D0}"/>
    <cellStyle name="InputCells12 2 3 2 40" xfId="19190" xr:uid="{71800F61-08FE-4D5F-9882-A0E031CCE5D0}"/>
    <cellStyle name="InputCells12 2 3 2 41" xfId="19999" xr:uid="{57BA448A-C54A-45A2-8CF0-4F081356A6CA}"/>
    <cellStyle name="InputCells12 2 3 2 42" xfId="20678" xr:uid="{A1809DF2-44C9-4F6A-843F-E3D3E8ADF66B}"/>
    <cellStyle name="InputCells12 2 3 2 43" xfId="21134" xr:uid="{18262EC4-C5C2-4DDB-B695-7642C837B2D9}"/>
    <cellStyle name="InputCells12 2 3 2 44" xfId="20476" xr:uid="{1681F28E-C940-4B9B-94BF-002548D363AC}"/>
    <cellStyle name="InputCells12 2 3 2 45" xfId="22066" xr:uid="{E01DB7A8-9BC7-4504-84ED-F82E385D07A0}"/>
    <cellStyle name="InputCells12 2 3 2 46" xfId="22494" xr:uid="{533149FF-0848-48A4-B8F3-B93544B0AA81}"/>
    <cellStyle name="InputCells12 2 3 2 47" xfId="22534" xr:uid="{D7FBDEAD-636E-4938-AF6C-19C1E4F672CE}"/>
    <cellStyle name="InputCells12 2 3 2 48" xfId="22365" xr:uid="{3006C8AE-104A-49F0-A6E0-FF3B8B72390F}"/>
    <cellStyle name="InputCells12 2 3 2 49" xfId="23141" xr:uid="{B8DF5205-0988-437E-A043-657419B9A474}"/>
    <cellStyle name="InputCells12 2 3 2 5" xfId="2439" xr:uid="{55AEB57F-3CCA-497C-8C57-3FFACE8A484B}"/>
    <cellStyle name="InputCells12 2 3 2 50" xfId="23808" xr:uid="{EE9407C9-8FAC-49D9-99B2-CF8E6AF84082}"/>
    <cellStyle name="InputCells12 2 3 2 51" xfId="24707" xr:uid="{4AFABA60-EA86-4EB4-8BE9-266E8D81E822}"/>
    <cellStyle name="InputCells12 2 3 2 52" xfId="25381" xr:uid="{582FC105-150F-4D45-8E1A-AE922753D978}"/>
    <cellStyle name="InputCells12 2 3 2 53" xfId="25625" xr:uid="{5A0BF8A2-5E5F-44EF-A323-1011B0A9AFF0}"/>
    <cellStyle name="InputCells12 2 3 2 54" xfId="25191" xr:uid="{B14168F1-E21E-492A-9C6E-C8D72F6DA34C}"/>
    <cellStyle name="InputCells12 2 3 2 55" xfId="25111" xr:uid="{157A170B-B580-42AC-B790-B1FA13285E7E}"/>
    <cellStyle name="InputCells12 2 3 2 56" xfId="26915" xr:uid="{01BE1672-9BDB-4305-A573-EC82C824B463}"/>
    <cellStyle name="InputCells12 2 3 2 57" xfId="27334" xr:uid="{6D9272B3-01FD-4A7F-A780-C11924160895}"/>
    <cellStyle name="InputCells12 2 3 2 58" xfId="27664" xr:uid="{53B587F2-9452-49EC-B2D4-C6E93BB5C795}"/>
    <cellStyle name="InputCells12 2 3 2 59" xfId="28457" xr:uid="{EC9A87C7-0C18-42AC-88F7-BD2DE8564444}"/>
    <cellStyle name="InputCells12 2 3 2 6" xfId="2186" xr:uid="{539A9B68-768B-4A40-97F8-38E321133DEA}"/>
    <cellStyle name="InputCells12 2 3 2 60" xfId="28925" xr:uid="{93AA4F07-B92D-4901-B81D-1727F52870A1}"/>
    <cellStyle name="InputCells12 2 3 2 61" xfId="29503" xr:uid="{FD511D8C-7B3F-4C5F-8193-06CEBA3CE44E}"/>
    <cellStyle name="InputCells12 2 3 2 62" xfId="29715" xr:uid="{0B2067F5-3E61-41C2-9E04-45447CBC1E2C}"/>
    <cellStyle name="InputCells12 2 3 2 63" xfId="30123" xr:uid="{AE5EA3FA-9F31-405D-A26D-B597D43D3869}"/>
    <cellStyle name="InputCells12 2 3 2 64" xfId="30537" xr:uid="{F9ED2652-D94F-47FF-AB2E-95078DB51514}"/>
    <cellStyle name="InputCells12 2 3 2 65" xfId="30975" xr:uid="{5722D885-7187-4D23-8275-E4F3503C0E54}"/>
    <cellStyle name="InputCells12 2 3 2 66" xfId="31161" xr:uid="{1D6E27D0-72BB-42A7-9241-78490DA1F969}"/>
    <cellStyle name="InputCells12 2 3 2 7" xfId="3303" xr:uid="{DD3AD900-D965-48C8-8753-D00078FD6F70}"/>
    <cellStyle name="InputCells12 2 3 2 8" xfId="3935" xr:uid="{FDBCE3AE-479E-49CB-A164-6C9B2EE5AAB7}"/>
    <cellStyle name="InputCells12 2 3 2 9" xfId="4373" xr:uid="{AD4B9C76-9418-4991-BCEC-C94655A892BD}"/>
    <cellStyle name="InputCells12 2 3 20" xfId="8137" xr:uid="{78081E3F-2030-4A9E-BC7D-EEBFCE6221BA}"/>
    <cellStyle name="InputCells12 2 3 21" xfId="9222" xr:uid="{5071F7AC-F162-49C8-9584-BF05AC17ED1B}"/>
    <cellStyle name="InputCells12 2 3 22" xfId="9849" xr:uid="{90FAEDE8-B713-4FF5-AA35-0D35A6B2C9AE}"/>
    <cellStyle name="InputCells12 2 3 23" xfId="9064" xr:uid="{6FD3DE82-9AD1-411E-8CF1-CCED61A60A27}"/>
    <cellStyle name="InputCells12 2 3 24" xfId="10778" xr:uid="{C2968995-A9DB-4569-8A1E-6942E81D6242}"/>
    <cellStyle name="InputCells12 2 3 25" xfId="11239" xr:uid="{0389DE53-96A5-4AD6-80CF-2D0B5B5D9996}"/>
    <cellStyle name="InputCells12 2 3 26" xfId="11635" xr:uid="{EBD18F52-52A4-4D1A-A296-EC17E9CEC4CF}"/>
    <cellStyle name="InputCells12 2 3 27" xfId="12047" xr:uid="{9DCF4090-BAFD-468A-93C6-1A70EA387849}"/>
    <cellStyle name="InputCells12 2 3 28" xfId="11645" xr:uid="{6EC76F6F-D1A2-46D3-996F-BBB76EAC4F3A}"/>
    <cellStyle name="InputCells12 2 3 29" xfId="11806" xr:uid="{E89DC0A3-C489-48C1-8861-4BE2C8DE4663}"/>
    <cellStyle name="InputCells12 2 3 3" xfId="540" xr:uid="{7491A65D-FA3C-487B-BF40-655964F0EFCB}"/>
    <cellStyle name="InputCells12 2 3 3 10" xfId="4839" xr:uid="{A728E525-8069-4536-8C3D-02A2528CB7CA}"/>
    <cellStyle name="InputCells12 2 3 3 11" xfId="5188" xr:uid="{064BEC4D-0059-4E9B-8173-FEEBA5021A7A}"/>
    <cellStyle name="InputCells12 2 3 3 12" xfId="3481" xr:uid="{A11E4E54-CE21-4BEA-8A6A-50A12EF84AA4}"/>
    <cellStyle name="InputCells12 2 3 3 13" xfId="5661" xr:uid="{40E6F649-CBE8-4C7C-8357-A9D00ED3305C}"/>
    <cellStyle name="InputCells12 2 3 3 14" xfId="6678" xr:uid="{49F1B20A-F8C7-47F2-9CCB-578AA43B66CF}"/>
    <cellStyle name="InputCells12 2 3 3 15" xfId="7260" xr:uid="{E2E4E140-B3F8-4547-B319-40FF493CF5E3}"/>
    <cellStyle name="InputCells12 2 3 3 16" xfId="7138" xr:uid="{0D267E9B-8C13-47DD-8110-25E5AF727FFA}"/>
    <cellStyle name="InputCells12 2 3 3 17" xfId="8160" xr:uid="{50CD1C64-3BA4-428F-B70A-A9BA15CE2558}"/>
    <cellStyle name="InputCells12 2 3 3 18" xfId="6944" xr:uid="{CBA2FD20-8A3D-485D-B35C-75AAB6EA93F6}"/>
    <cellStyle name="InputCells12 2 3 3 19" xfId="9474" xr:uid="{44332C5E-641D-4504-AF6A-A9B55DA36906}"/>
    <cellStyle name="InputCells12 2 3 3 2" xfId="755" xr:uid="{DE740F5F-00D6-4D75-865F-8CA2F36D3893}"/>
    <cellStyle name="InputCells12 2 3 3 2 10" xfId="5403" xr:uid="{71520439-2FC1-4A23-A387-E46EAB54CBC1}"/>
    <cellStyle name="InputCells12 2 3 3 2 11" xfId="5908" xr:uid="{581BDE6D-0666-4C95-8148-7CACDA451AFD}"/>
    <cellStyle name="InputCells12 2 3 3 2 12" xfId="5744" xr:uid="{393D3036-ED54-4724-A2CA-E2F83001F532}"/>
    <cellStyle name="InputCells12 2 3 3 2 13" xfId="6617" xr:uid="{1BA7899F-E557-4322-8220-AEEEF6C99BA1}"/>
    <cellStyle name="InputCells12 2 3 3 2 14" xfId="7475" xr:uid="{5DAC2325-34F7-4271-9EF1-7CFBDA2A41C5}"/>
    <cellStyle name="InputCells12 2 3 3 2 15" xfId="7113" xr:uid="{D6FAD18E-E5D3-4241-BFA7-19AF19717B8A}"/>
    <cellStyle name="InputCells12 2 3 3 2 16" xfId="7865" xr:uid="{3B46D0F5-75A7-47E5-ADCD-D17EBE1E45C8}"/>
    <cellStyle name="InputCells12 2 3 3 2 17" xfId="8788" xr:uid="{DB26563E-DA6F-409F-B760-7D99452FDAAA}"/>
    <cellStyle name="InputCells12 2 3 3 2 18" xfId="9689" xr:uid="{533A552C-FB96-4E80-8479-28F7F7A15BA2}"/>
    <cellStyle name="InputCells12 2 3 3 2 19" xfId="9199" xr:uid="{8EC70834-0BB0-4371-A70A-CAFD364593F5}"/>
    <cellStyle name="InputCells12 2 3 3 2 2" xfId="1229" xr:uid="{82669DB1-DA5C-4A93-9476-FF71A37D31F3}"/>
    <cellStyle name="InputCells12 2 3 3 2 20" xfId="9875" xr:uid="{4A4CDA7B-1A4D-4CBA-8C6D-119BB1C4772D}"/>
    <cellStyle name="InputCells12 2 3 3 2 21" xfId="10389" xr:uid="{93AB9A2D-FBCA-412C-ACBF-44CEFCFCBEE4}"/>
    <cellStyle name="InputCells12 2 3 3 2 22" xfId="11067" xr:uid="{31EBCEE6-14D7-4ECE-AB65-18F128EB1D3D}"/>
    <cellStyle name="InputCells12 2 3 3 2 23" xfId="12108" xr:uid="{4AD15DFF-4C30-494F-8FFC-B1C324CFB303}"/>
    <cellStyle name="InputCells12 2 3 3 2 24" xfId="12581" xr:uid="{EEE966BE-E046-4CD4-AE65-F2213C2495EC}"/>
    <cellStyle name="InputCells12 2 3 3 2 25" xfId="13015" xr:uid="{5BAAE21B-A0AD-4FE3-8E18-647284515FF7}"/>
    <cellStyle name="InputCells12 2 3 3 2 26" xfId="13452" xr:uid="{9D27101A-7630-4A65-9651-E0981E2FED4E}"/>
    <cellStyle name="InputCells12 2 3 3 2 27" xfId="12520" xr:uid="{7AA3B519-A7E8-42ED-8B05-79E504907A55}"/>
    <cellStyle name="InputCells12 2 3 3 2 28" xfId="11475" xr:uid="{0503E021-494B-49D5-9038-9FCB85F9920A}"/>
    <cellStyle name="InputCells12 2 3 3 2 29" xfId="14311" xr:uid="{FA1B3F7C-A10F-4259-9E44-89692CB08529}"/>
    <cellStyle name="InputCells12 2 3 3 2 3" xfId="1564" xr:uid="{6849FAF2-1D09-4A47-9EF8-BC349974CB1A}"/>
    <cellStyle name="InputCells12 2 3 3 2 30" xfId="15327" xr:uid="{E035E73A-34AD-4435-9240-EDCA02E1B607}"/>
    <cellStyle name="InputCells12 2 3 3 2 31" xfId="15722" xr:uid="{A2B8F420-D5A5-497F-9463-77A2AE157AC9}"/>
    <cellStyle name="InputCells12 2 3 3 2 32" xfId="15174" xr:uid="{8F2A1421-5887-4542-8C31-9F1073025648}"/>
    <cellStyle name="InputCells12 2 3 3 2 33" xfId="16800" xr:uid="{0E03BEF7-67F1-4CA4-B11B-90BE6859F87C}"/>
    <cellStyle name="InputCells12 2 3 3 2 34" xfId="16435" xr:uid="{FD4B55CF-BC68-4FC6-AE1F-3E25568128AF}"/>
    <cellStyle name="InputCells12 2 3 3 2 35" xfId="16247" xr:uid="{F8CF3BAE-D543-4414-8D35-79E2E11D1F34}"/>
    <cellStyle name="InputCells12 2 3 3 2 36" xfId="18110" xr:uid="{07258838-9A0B-4014-A463-6D182DB458C8}"/>
    <cellStyle name="InputCells12 2 3 3 2 37" xfId="18618" xr:uid="{33141DAE-B38F-4E4A-9096-3AEE6BE42192}"/>
    <cellStyle name="InputCells12 2 3 3 2 38" xfId="18914" xr:uid="{C08321AD-53DB-4FB8-9C7B-96CD5E1136D6}"/>
    <cellStyle name="InputCells12 2 3 3 2 39" xfId="18090" xr:uid="{1E161B98-5E71-4DAB-9FCF-960E6E250A43}"/>
    <cellStyle name="InputCells12 2 3 3 2 4" xfId="2577" xr:uid="{F4B59176-1F12-43C9-BFD4-985A7F8370F7}"/>
    <cellStyle name="InputCells12 2 3 3 2 40" xfId="20137" xr:uid="{59620BEF-3DBB-40E7-800E-A64971BE998E}"/>
    <cellStyle name="InputCells12 2 3 3 2 41" xfId="19481" xr:uid="{B1A3F75A-41AD-430D-9C4C-9962F8F45EA4}"/>
    <cellStyle name="InputCells12 2 3 3 2 42" xfId="19805" xr:uid="{53D7F5D5-A0ED-4F7C-AB27-FDCEFC57AEAA}"/>
    <cellStyle name="InputCells12 2 3 3 2 43" xfId="20882" xr:uid="{40DA7982-9064-4EED-90B4-20E924A12503}"/>
    <cellStyle name="InputCells12 2 3 3 2 44" xfId="21337" xr:uid="{1AB9893A-821B-49DA-B4FD-F9953B744D9C}"/>
    <cellStyle name="InputCells12 2 3 3 2 45" xfId="21280" xr:uid="{97CC4F37-2A2A-4AA9-AF55-C82989ADCCA8}"/>
    <cellStyle name="InputCells12 2 3 3 2 46" xfId="21309" xr:uid="{68655517-5836-4BA5-A95A-B582DBE2C0D3}"/>
    <cellStyle name="InputCells12 2 3 3 2 47" xfId="23195" xr:uid="{FF6A0E64-037D-47D1-9EDC-B8A864296340}"/>
    <cellStyle name="InputCells12 2 3 3 2 48" xfId="23368" xr:uid="{F7B68A66-35CB-400D-A300-7B72B113F3B8}"/>
    <cellStyle name="InputCells12 2 3 3 2 49" xfId="23937" xr:uid="{C6A83CE9-0B61-4803-8D34-3E3E957555D1}"/>
    <cellStyle name="InputCells12 2 3 3 2 5" xfId="2117" xr:uid="{43ED9D6A-FC89-4C2B-99F3-07785250F184}"/>
    <cellStyle name="InputCells12 2 3 3 2 50" xfId="24845" xr:uid="{E604D510-8A4A-496A-99F6-EDDD868F332D}"/>
    <cellStyle name="InputCells12 2 3 3 2 51" xfId="24313" xr:uid="{A009A694-4199-4248-8523-24EE947C139C}"/>
    <cellStyle name="InputCells12 2 3 3 2 52" xfId="25761" xr:uid="{0245A738-ED17-42BC-AA5E-A8026E543851}"/>
    <cellStyle name="InputCells12 2 3 3 2 53" xfId="25126" xr:uid="{BA1D2BAF-274B-4CF0-8CC2-0B4D43ABCFF7}"/>
    <cellStyle name="InputCells12 2 3 3 2 54" xfId="26551" xr:uid="{E703B909-EB15-45CE-B7A3-78DE204A689F}"/>
    <cellStyle name="InputCells12 2 3 3 2 55" xfId="27049" xr:uid="{F352DFBE-E3A7-4C17-B17F-41134A0D7056}"/>
    <cellStyle name="InputCells12 2 3 3 2 56" xfId="27468" xr:uid="{0D988BE0-1A61-46CF-8EFA-89A89051A70D}"/>
    <cellStyle name="InputCells12 2 3 3 2 57" xfId="27200" xr:uid="{7DE1F87D-B15B-40E6-B052-B85EC86F22B1}"/>
    <cellStyle name="InputCells12 2 3 3 2 58" xfId="28595" xr:uid="{6B467C40-2608-409D-B291-0AB5DD3D63A0}"/>
    <cellStyle name="InputCells12 2 3 3 2 59" xfId="29062" xr:uid="{7F97A54E-DB51-40A3-818F-A46ED23BF8F1}"/>
    <cellStyle name="InputCells12 2 3 3 2 6" xfId="3277" xr:uid="{36EBFD72-1C71-4C34-8DCB-68AE22377AE0}"/>
    <cellStyle name="InputCells12 2 3 3 2 60" xfId="28258" xr:uid="{D4A8AF23-E33C-4978-BF73-256DE05270F4}"/>
    <cellStyle name="InputCells12 2 3 3 2 61" xfId="29851" xr:uid="{C2B55263-403E-422B-A87E-85134DB075FE}"/>
    <cellStyle name="InputCells12 2 3 3 2 62" xfId="30257" xr:uid="{5918FB9A-9E1D-4FEF-94C3-F5B45E7F4FE3}"/>
    <cellStyle name="InputCells12 2 3 3 2 63" xfId="30674" xr:uid="{B493B04F-F7AC-40DC-80AD-1EE811699E0F}"/>
    <cellStyle name="InputCells12 2 3 3 2 64" xfId="28766" xr:uid="{1C0AB8E5-9D2F-4F7D-B05F-C58694068751}"/>
    <cellStyle name="InputCells12 2 3 3 2 65" xfId="31290" xr:uid="{ABC71D48-F596-44BE-9DED-B95C8A3BFA4C}"/>
    <cellStyle name="InputCells12 2 3 3 2 7" xfId="4073" xr:uid="{DA360A05-3F63-4536-8FDA-1169A009C5C5}"/>
    <cellStyle name="InputCells12 2 3 3 2 8" xfId="4510" xr:uid="{E9235175-4D8A-470A-91B4-24B59FDA6850}"/>
    <cellStyle name="InputCells12 2 3 3 2 9" xfId="1944" xr:uid="{A3E6C2C7-539F-4349-8968-54CFF6CCF20C}"/>
    <cellStyle name="InputCells12 2 3 3 20" xfId="9630" xr:uid="{090955DB-6FE8-467A-BDD3-B8050CC9DC13}"/>
    <cellStyle name="InputCells12 2 3 3 21" xfId="9976" xr:uid="{77F093E4-DC19-4BB6-9B6D-09312A37AD2D}"/>
    <cellStyle name="InputCells12 2 3 3 22" xfId="10386" xr:uid="{4492458D-B84A-4EAD-BE53-E4F05D115353}"/>
    <cellStyle name="InputCells12 2 3 3 23" xfId="11295" xr:uid="{D101D98D-5880-46E4-ABAA-3841431DC663}"/>
    <cellStyle name="InputCells12 2 3 3 24" xfId="11893" xr:uid="{1ABA52DE-8194-4468-911C-AE2AFB3E85C0}"/>
    <cellStyle name="InputCells12 2 3 3 25" xfId="12366" xr:uid="{FFB1E3FE-E530-4767-97D5-741EBFE79F4B}"/>
    <cellStyle name="InputCells12 2 3 3 26" xfId="12800" xr:uid="{02325DB3-98BF-47B1-A6EB-535EF1A57E2C}"/>
    <cellStyle name="InputCells12 2 3 3 27" xfId="13237" xr:uid="{D3E7FC7F-12DD-4043-996A-CCBD9D752F8B}"/>
    <cellStyle name="InputCells12 2 3 3 28" xfId="11741" xr:uid="{2F35BDA0-EF2F-41A5-B0F2-F853799D220F}"/>
    <cellStyle name="InputCells12 2 3 3 29" xfId="14342" xr:uid="{F01C1AE6-FA8A-49CB-B832-882DB058BC82}"/>
    <cellStyle name="InputCells12 2 3 3 3" xfId="1023" xr:uid="{2AF97464-0C48-45FE-B74C-BCD97F8721F3}"/>
    <cellStyle name="InputCells12 2 3 3 30" xfId="14818" xr:uid="{1F1D821D-F476-46D3-9176-F04E1A66CAC8}"/>
    <cellStyle name="InputCells12 2 3 3 31" xfId="14876" xr:uid="{4686A8EA-D574-4164-A71D-95DDFA27BFFD}"/>
    <cellStyle name="InputCells12 2 3 3 32" xfId="15102" xr:uid="{DF8A956B-91E1-452F-B8B3-97F32BE8CEFD}"/>
    <cellStyle name="InputCells12 2 3 3 33" xfId="14775" xr:uid="{FFB9EB5B-7203-40F7-B6AB-DB46B92357A4}"/>
    <cellStyle name="InputCells12 2 3 3 34" xfId="16585" xr:uid="{FD17FED2-F6DF-40F5-8692-D087B0470D72}"/>
    <cellStyle name="InputCells12 2 3 3 35" xfId="16461" xr:uid="{0213B52D-8F5E-415F-85B1-994F755C42DE}"/>
    <cellStyle name="InputCells12 2 3 3 36" xfId="17302" xr:uid="{C53195D8-7F86-474D-8BAD-39F6BD63CA87}"/>
    <cellStyle name="InputCells12 2 3 3 37" xfId="17544" xr:uid="{46B2F4A2-776D-4FCD-B239-DB9F8B021A8E}"/>
    <cellStyle name="InputCells12 2 3 3 38" xfId="18403" xr:uid="{6889341E-A604-47BF-9C58-0F6E3BA61CF1}"/>
    <cellStyle name="InputCells12 2 3 3 39" xfId="18018" xr:uid="{C3D176F6-99E0-48A4-8137-ABD0C66942B9}"/>
    <cellStyle name="InputCells12 2 3 3 4" xfId="1698" xr:uid="{0C3E6E8C-202B-46B5-AFAB-54F65282182B}"/>
    <cellStyle name="InputCells12 2 3 3 40" xfId="18875" xr:uid="{6AECA577-09B9-49EC-ADC5-3BDB58194AF7}"/>
    <cellStyle name="InputCells12 2 3 3 41" xfId="19922" xr:uid="{06378CBD-434B-4BD1-BFAF-C1E3E8AE1EB3}"/>
    <cellStyle name="InputCells12 2 3 3 42" xfId="20076" xr:uid="{47ECA9C2-90C6-41DF-81F2-28F76F2A39AB}"/>
    <cellStyle name="InputCells12 2 3 3 43" xfId="20450" xr:uid="{D4B78A9B-D3DA-4CA5-93F5-0DDA57321EBF}"/>
    <cellStyle name="InputCells12 2 3 3 44" xfId="20371" xr:uid="{EEBFBDA5-2CDC-464A-A6FD-0CAE8C98AF1B}"/>
    <cellStyle name="InputCells12 2 3 3 45" xfId="20837" xr:uid="{A168C2DA-39F9-4596-B5D1-E3CAB2E71036}"/>
    <cellStyle name="InputCells12 2 3 3 46" xfId="21826" xr:uid="{838E7497-F124-4A3D-A8F6-3695312572F4}"/>
    <cellStyle name="InputCells12 2 3 3 47" xfId="22311" xr:uid="{94112DDC-C911-48BA-B37F-1C7F5B7758A2}"/>
    <cellStyle name="InputCells12 2 3 3 48" xfId="22785" xr:uid="{D94030BD-C272-46E9-B4CC-2BD10D55B8A9}"/>
    <cellStyle name="InputCells12 2 3 3 49" xfId="22804" xr:uid="{2FF6AB9B-7CCE-419B-9959-6875B4F6FCE9}"/>
    <cellStyle name="InputCells12 2 3 3 5" xfId="2362" xr:uid="{2D372D85-48B2-4965-85F6-B36495BE8DF3}"/>
    <cellStyle name="InputCells12 2 3 3 50" xfId="23731" xr:uid="{4683E0D1-6D98-4CE9-9EA5-E9B5045F8497}"/>
    <cellStyle name="InputCells12 2 3 3 51" xfId="24630" xr:uid="{63548553-1237-447C-B2B9-16A31A2CE9A3}"/>
    <cellStyle name="InputCells12 2 3 3 52" xfId="24111" xr:uid="{10644B62-60A5-47B9-BF0A-7068D9AF9FC7}"/>
    <cellStyle name="InputCells12 2 3 3 53" xfId="25548" xr:uid="{D1496C96-DF9B-49E0-A897-53DE33A41B6C}"/>
    <cellStyle name="InputCells12 2 3 3 54" xfId="25050" xr:uid="{2FB366AF-34A6-41E6-A1C9-B23F47173FEA}"/>
    <cellStyle name="InputCells12 2 3 3 55" xfId="26413" xr:uid="{27FF78F6-F154-444A-BAA3-735D37D93B22}"/>
    <cellStyle name="InputCells12 2 3 3 56" xfId="26838" xr:uid="{E1E92924-2D35-4E73-9A4A-E54435F20433}"/>
    <cellStyle name="InputCells12 2 3 3 57" xfId="27257" xr:uid="{29385733-BD8D-4F5E-B944-3A2DB0506485}"/>
    <cellStyle name="InputCells12 2 3 3 58" xfId="27630" xr:uid="{A3894D06-4AC3-489A-A8DF-42C03749CBF9}"/>
    <cellStyle name="InputCells12 2 3 3 59" xfId="28380" xr:uid="{6902EE04-5F82-4296-8933-ABDDD53E2D32}"/>
    <cellStyle name="InputCells12 2 3 3 6" xfId="1838" xr:uid="{D84F965D-40A2-41E2-B4F4-AE14C78E534B}"/>
    <cellStyle name="InputCells12 2 3 3 60" xfId="28848" xr:uid="{282587C3-5FAB-4DF5-8A41-D27183616478}"/>
    <cellStyle name="InputCells12 2 3 3 61" xfId="28155" xr:uid="{5BCE6D4A-04FF-46CF-B8F5-3CBFECB912CA}"/>
    <cellStyle name="InputCells12 2 3 3 62" xfId="29638" xr:uid="{7FB7AE9C-58A7-4905-A24A-4571BB4756FA}"/>
    <cellStyle name="InputCells12 2 3 3 63" xfId="30046" xr:uid="{5396030E-5571-457E-8656-63E5F68EBFFE}"/>
    <cellStyle name="InputCells12 2 3 3 64" xfId="30460" xr:uid="{31FCA3F6-1B86-43EB-809C-8A5BA45CAC1F}"/>
    <cellStyle name="InputCells12 2 3 3 65" xfId="30623" xr:uid="{1408930A-C4E3-4084-AEAB-92955F4592E1}"/>
    <cellStyle name="InputCells12 2 3 3 66" xfId="31084" xr:uid="{FFAFF13C-3A74-4BAC-BF30-B7E8766E604E}"/>
    <cellStyle name="InputCells12 2 3 3 7" xfId="3496" xr:uid="{E7B35A73-D34F-4580-B1DA-58C92C9B8D58}"/>
    <cellStyle name="InputCells12 2 3 3 8" xfId="3858" xr:uid="{C4B98293-005D-4710-9BED-4DD009B991F2}"/>
    <cellStyle name="InputCells12 2 3 3 9" xfId="4296" xr:uid="{4EA1D0B1-A4EE-4D3E-A762-64651B34C2FA}"/>
    <cellStyle name="InputCells12 2 3 30" xfId="13830" xr:uid="{E67942B3-383C-4EFE-9796-34E46AD90226}"/>
    <cellStyle name="InputCells12 2 3 31" xfId="11504" xr:uid="{3A53A9EC-0CC8-482F-823E-AEBC68339754}"/>
    <cellStyle name="InputCells12 2 3 32" xfId="13990" xr:uid="{30A4467D-0A8D-42C5-811D-C811D7F40630}"/>
    <cellStyle name="InputCells12 2 3 33" xfId="15328" xr:uid="{C76804FF-1A16-465F-BAD7-76A47BB78F83}"/>
    <cellStyle name="InputCells12 2 3 34" xfId="15607" xr:uid="{5D3C82DB-D3B4-4297-AB7B-D714FA366508}"/>
    <cellStyle name="InputCells12 2 3 35" xfId="15728" xr:uid="{771E80A6-CBDD-4E09-AD68-48851E5FB735}"/>
    <cellStyle name="InputCells12 2 3 36" xfId="16330" xr:uid="{61427C3B-C410-430D-AC15-70146141D218}"/>
    <cellStyle name="InputCells12 2 3 37" xfId="16965" xr:uid="{F3724ED0-0930-484D-8F2B-2A1C7FC6864B}"/>
    <cellStyle name="InputCells12 2 3 38" xfId="17066" xr:uid="{0E91C4B2-FC4A-4C8E-BA6B-74E9434220EB}"/>
    <cellStyle name="InputCells12 2 3 39" xfId="17903" xr:uid="{B44C48D1-2AD5-4A79-B73D-3A4FCC0D6A91}"/>
    <cellStyle name="InputCells12 2 3 4" xfId="656" xr:uid="{E5A2F4E9-50A4-4E53-84A0-E274BF2AA459}"/>
    <cellStyle name="InputCells12 2 3 4 10" xfId="4903" xr:uid="{C5CA155A-B693-464C-A1A3-9854727C6DC8}"/>
    <cellStyle name="InputCells12 2 3 4 11" xfId="5304" xr:uid="{07B077D7-938B-4ABF-982F-540841AD0BBF}"/>
    <cellStyle name="InputCells12 2 3 4 12" xfId="4670" xr:uid="{B77C22DA-0649-4951-AC04-D4B05F7F93A7}"/>
    <cellStyle name="InputCells12 2 3 4 13" xfId="5747" xr:uid="{1B02DC0F-4636-49FD-BF91-B7ED46687CAC}"/>
    <cellStyle name="InputCells12 2 3 4 14" xfId="4834" xr:uid="{5656CC5D-79A5-491A-9194-50A04895584C}"/>
    <cellStyle name="InputCells12 2 3 4 15" xfId="7376" xr:uid="{1B9D25DB-9288-4077-985D-A502CF89DFA0}"/>
    <cellStyle name="InputCells12 2 3 4 16" xfId="7040" xr:uid="{BD78FD5E-8882-43B0-943F-C133279562E5}"/>
    <cellStyle name="InputCells12 2 3 4 17" xfId="7975" xr:uid="{E38147EC-A4A0-4F56-BFF1-67EF52505174}"/>
    <cellStyle name="InputCells12 2 3 4 18" xfId="8904" xr:uid="{F8DD2BE8-2DEA-421F-A8E2-158EA564CACE}"/>
    <cellStyle name="InputCells12 2 3 4 19" xfId="9590" xr:uid="{0E9876CA-9CC3-4670-8F0A-FF38590CFB70}"/>
    <cellStyle name="InputCells12 2 3 4 2" xfId="871" xr:uid="{D54D62E8-22D1-4160-8DC8-48ADB632D772}"/>
    <cellStyle name="InputCells12 2 3 4 2 10" xfId="5519" xr:uid="{A211002C-6AB8-49DD-8E1B-8E0F128597C7}"/>
    <cellStyle name="InputCells12 2 3 4 2 11" xfId="6013" xr:uid="{96D56737-5235-495E-AFA3-C229C1382AE7}"/>
    <cellStyle name="InputCells12 2 3 4 2 12" xfId="6372" xr:uid="{49DDFF5E-9000-4011-A329-EE0BF53231DC}"/>
    <cellStyle name="InputCells12 2 3 4 2 13" xfId="6710" xr:uid="{F178DC77-70C4-48AB-9023-0AA6E8FC0474}"/>
    <cellStyle name="InputCells12 2 3 4 2 14" xfId="7591" xr:uid="{8CBABF38-1C00-47EE-B099-66183B843505}"/>
    <cellStyle name="InputCells12 2 3 4 2 15" xfId="8055" xr:uid="{60A17DB4-F0AD-4180-ABC6-A7DECF239A3E}"/>
    <cellStyle name="InputCells12 2 3 4 2 16" xfId="8664" xr:uid="{284E0AF0-7D32-4B98-91CE-65E6E4D1966F}"/>
    <cellStyle name="InputCells12 2 3 4 2 17" xfId="8923" xr:uid="{F7C40439-B4AD-4255-8AAC-E1B029B85E85}"/>
    <cellStyle name="InputCells12 2 3 4 2 18" xfId="9805" xr:uid="{2D663DFA-AA30-40DA-B4DE-60CB6326EFE3}"/>
    <cellStyle name="InputCells12 2 3 4 2 19" xfId="10274" xr:uid="{BEB01F5F-2A59-44C0-BDA1-9E32D63843E8}"/>
    <cellStyle name="InputCells12 2 3 4 2 2" xfId="1345" xr:uid="{A4505340-F653-4F52-B6DC-E2E755623DAF}"/>
    <cellStyle name="InputCells12 2 3 4 2 20" xfId="10668" xr:uid="{F71BCE6C-CF3C-4084-8780-AF46FFECEAF5}"/>
    <cellStyle name="InputCells12 2 3 4 2 21" xfId="11017" xr:uid="{0472D808-8118-4406-9A26-D31428F6D98A}"/>
    <cellStyle name="InputCells12 2 3 4 2 22" xfId="11327" xr:uid="{5FA7DBAB-49A9-4FDD-A42A-61C74F303E73}"/>
    <cellStyle name="InputCells12 2 3 4 2 23" xfId="12224" xr:uid="{A4DBE885-7F64-44D6-BB1E-E6B0745ABF48}"/>
    <cellStyle name="InputCells12 2 3 4 2 24" xfId="12697" xr:uid="{76BBA1E3-39F3-495B-839A-614DE6746180}"/>
    <cellStyle name="InputCells12 2 3 4 2 25" xfId="13131" xr:uid="{483F06C9-793E-432B-A9D0-39A090F6F055}"/>
    <cellStyle name="InputCells12 2 3 4 2 26" xfId="13568" xr:uid="{DF3A9151-9253-40C9-BE75-5E9BA118C314}"/>
    <cellStyle name="InputCells12 2 3 4 2 27" xfId="14040" xr:uid="{3F51C312-75A1-435F-917B-1A7A5C05DDE5}"/>
    <cellStyle name="InputCells12 2 3 4 2 28" xfId="14487" xr:uid="{84D9514C-5519-4A9B-B071-A2750912EA56}"/>
    <cellStyle name="InputCells12 2 3 4 2 29" xfId="14921" xr:uid="{40A3B073-5640-43B5-8D5A-4BB86B1F1139}"/>
    <cellStyle name="InputCells12 2 3 4 2 3" xfId="1794" xr:uid="{B649DA07-1776-457F-A327-FD23CF352466}"/>
    <cellStyle name="InputCells12 2 3 4 2 30" xfId="15391" xr:uid="{10D51C16-439F-4D12-A265-46075095A687}"/>
    <cellStyle name="InputCells12 2 3 4 2 31" xfId="15781" xr:uid="{FE28CD2C-17E9-4CB1-9AD1-BCA400962EFF}"/>
    <cellStyle name="InputCells12 2 3 4 2 32" xfId="16003" xr:uid="{9FB1AF65-DF6A-4419-8F51-CBBB341B44B4}"/>
    <cellStyle name="InputCells12 2 3 4 2 33" xfId="16916" xr:uid="{416DD9C8-1B34-4F20-88B0-513E4DA1EEDB}"/>
    <cellStyle name="InputCells12 2 3 4 2 34" xfId="17397" xr:uid="{BCAE5E7D-F052-4F28-9E68-6362390B5356}"/>
    <cellStyle name="InputCells12 2 3 4 2 35" xfId="17838" xr:uid="{D45E4E91-41A2-4EBB-A1B7-0244565035D8}"/>
    <cellStyle name="InputCells12 2 3 4 2 36" xfId="18313" xr:uid="{C522B9BB-FC75-43EE-AAD0-17F104A26FA6}"/>
    <cellStyle name="InputCells12 2 3 4 2 37" xfId="18734" xr:uid="{DBB735D0-16F1-4A2A-A341-427F1B5B79B0}"/>
    <cellStyle name="InputCells12 2 3 4 2 38" xfId="19121" xr:uid="{287152DF-95D7-4C5E-A0F1-A52C377B968F}"/>
    <cellStyle name="InputCells12 2 3 4 2 39" xfId="19351" xr:uid="{1F69CFBB-7DE6-4998-983E-1E6C6B3A86FD}"/>
    <cellStyle name="InputCells12 2 3 4 2 4" xfId="2693" xr:uid="{374E7ECB-C721-4DC7-92C6-5246916D1A92}"/>
    <cellStyle name="InputCells12 2 3 4 2 40" xfId="20253" xr:uid="{C3090E31-F5CA-4EE3-930C-3AC7532BD7B3}"/>
    <cellStyle name="InputCells12 2 3 4 2 41" xfId="20746" xr:uid="{0D2A545E-0A4E-45B1-A8D3-E8DF15765ABD}"/>
    <cellStyle name="InputCells12 2 3 4 2 42" xfId="21205" xr:uid="{14F2EAA3-9561-4501-9F0D-D2CCB34C5B5E}"/>
    <cellStyle name="InputCells12 2 3 4 2 43" xfId="21697" xr:uid="{EC31BD52-6610-4D80-91D2-9E59E7247BF7}"/>
    <cellStyle name="InputCells12 2 3 4 2 44" xfId="22136" xr:uid="{89AF716C-D733-4C5C-906E-981C728AB61A}"/>
    <cellStyle name="InputCells12 2 3 4 2 45" xfId="22563" xr:uid="{E1E51554-1CFB-465E-8525-6CA176E6989A}"/>
    <cellStyle name="InputCells12 2 3 4 2 46" xfId="23008" xr:uid="{435A3F88-0D23-49CD-A659-E91C0D47A21C}"/>
    <cellStyle name="InputCells12 2 3 4 2 47" xfId="23410" xr:uid="{AA5C0979-1ADB-48EE-9D22-B883EA78FE6D}"/>
    <cellStyle name="InputCells12 2 3 4 2 48" xfId="23673" xr:uid="{CBB672EA-2C2E-4D35-916A-928960F93125}"/>
    <cellStyle name="InputCells12 2 3 4 2 49" xfId="24053" xr:uid="{EE8B9C44-CA10-4764-9C69-6E5541987A3C}"/>
    <cellStyle name="InputCells12 2 3 4 2 5" xfId="3213" xr:uid="{B7191F9B-C501-4BE6-8BAE-6525B3C11F02}"/>
    <cellStyle name="InputCells12 2 3 4 2 50" xfId="24961" xr:uid="{63124E47-CC4D-4117-9806-49C97B6887F3}"/>
    <cellStyle name="InputCells12 2 3 4 2 51" xfId="25449" xr:uid="{DD7E4AE2-F191-4837-B6C8-AD4FFCB3B05C}"/>
    <cellStyle name="InputCells12 2 3 4 2 52" xfId="25877" xr:uid="{7F99E560-8BB7-4042-B3A5-B28BDE8385BF}"/>
    <cellStyle name="InputCells12 2 3 4 2 53" xfId="26315" xr:uid="{D58AA927-0DD5-4C1A-AB45-07A8D2496AF0}"/>
    <cellStyle name="InputCells12 2 3 4 2 54" xfId="26744" xr:uid="{ACF1BB8C-492B-490B-8DF2-EC145828A4B3}"/>
    <cellStyle name="InputCells12 2 3 4 2 55" xfId="27165" xr:uid="{8D1A92AA-70A6-4C0D-9A60-D2832486F0AF}"/>
    <cellStyle name="InputCells12 2 3 4 2 56" xfId="27584" xr:uid="{0402B261-30A8-465F-85C1-7EF76951FDAD}"/>
    <cellStyle name="InputCells12 2 3 4 2 57" xfId="26277" xr:uid="{A3D58D16-675C-4686-9153-6A5C20E163AE}"/>
    <cellStyle name="InputCells12 2 3 4 2 58" xfId="28711" xr:uid="{945D391D-3B5B-4C42-B798-219E8F88F965}"/>
    <cellStyle name="InputCells12 2 3 4 2 59" xfId="29178" xr:uid="{530FB08A-1FE3-44A6-82ED-602F60C5DCCA}"/>
    <cellStyle name="InputCells12 2 3 4 2 6" xfId="3768" xr:uid="{1896FB2F-F981-44FE-A8B1-35637241C7F2}"/>
    <cellStyle name="InputCells12 2 3 4 2 60" xfId="29560" xr:uid="{547C1314-BE8E-455A-8C65-24286381C415}"/>
    <cellStyle name="InputCells12 2 3 4 2 61" xfId="29967" xr:uid="{7B4F14A0-C3BA-4D50-AABE-60DC105550F4}"/>
    <cellStyle name="InputCells12 2 3 4 2 62" xfId="30373" xr:uid="{B5EA414A-0915-4D00-96BA-32A75ACB4A77}"/>
    <cellStyle name="InputCells12 2 3 4 2 63" xfId="30790" xr:uid="{982F6113-5D5C-4D15-BB4B-93837394032F}"/>
    <cellStyle name="InputCells12 2 3 4 2 64" xfId="31035" xr:uid="{1E6AE83C-FE81-4C20-AA9A-ECB69D30A7AE}"/>
    <cellStyle name="InputCells12 2 3 4 2 65" xfId="31406" xr:uid="{9E8D9CAB-277C-4ECD-9450-AF5E9778E72D}"/>
    <cellStyle name="InputCells12 2 3 4 2 7" xfId="4189" xr:uid="{AFFE2F03-2CC2-4E1B-8664-E87DA79072A3}"/>
    <cellStyle name="InputCells12 2 3 4 2 8" xfId="4626" xr:uid="{7F362ADD-4BA3-4F1D-A65D-12B83E9A8341}"/>
    <cellStyle name="InputCells12 2 3 4 2 9" xfId="5072" xr:uid="{C0A913D2-742B-45D8-A217-E2C60E31FBBF}"/>
    <cellStyle name="InputCells12 2 3 4 20" xfId="9253" xr:uid="{6DB5EAF2-BE8E-46B4-B25F-6F50D049E746}"/>
    <cellStyle name="InputCells12 2 3 4 21" xfId="9908" xr:uid="{71FBEDA9-E41A-4C05-A032-33E8BC5FEAE1}"/>
    <cellStyle name="InputCells12 2 3 4 22" xfId="10007" xr:uid="{B8B11C6E-3A02-465B-B6BB-AACAE91B7E08}"/>
    <cellStyle name="InputCells12 2 3 4 23" xfId="11043" xr:uid="{047A273E-DBBC-4699-B6B0-49CC1D82E85A}"/>
    <cellStyle name="InputCells12 2 3 4 24" xfId="12009" xr:uid="{E60356B2-9061-45BD-9128-E059ECBC5192}"/>
    <cellStyle name="InputCells12 2 3 4 25" xfId="12482" xr:uid="{61C76C02-1C4E-41E6-A513-E05CC62496C1}"/>
    <cellStyle name="InputCells12 2 3 4 26" xfId="12916" xr:uid="{09C23B17-F1F9-4668-A3FA-B393C837C195}"/>
    <cellStyle name="InputCells12 2 3 4 27" xfId="13353" xr:uid="{26CFA5E1-DEDC-4DEF-94D9-EA655C72FFD3}"/>
    <cellStyle name="InputCells12 2 3 4 28" xfId="13999" xr:uid="{E03EAB28-5D95-4DC3-8C6A-8F142DFDA4FE}"/>
    <cellStyle name="InputCells12 2 3 4 29" xfId="14114" xr:uid="{1378380C-726F-4BB8-935C-FBFE4AB44D8A}"/>
    <cellStyle name="InputCells12 2 3 4 3" xfId="1139" xr:uid="{D6F6984C-86BD-4911-AED5-45574CE15060}"/>
    <cellStyle name="InputCells12 2 3 4 30" xfId="13697" xr:uid="{85DF08E9-B289-4341-900A-71FF41E69948}"/>
    <cellStyle name="InputCells12 2 3 4 31" xfId="14638" xr:uid="{60996011-75A6-4540-8209-6964C10D5F99}"/>
    <cellStyle name="InputCells12 2 3 4 32" xfId="14591" xr:uid="{0E357697-3DA5-42A0-8692-DB51C32B9A63}"/>
    <cellStyle name="InputCells12 2 3 4 33" xfId="14895" xr:uid="{5B1FB40E-F0EF-4E9C-8FA5-3E8C50C809D2}"/>
    <cellStyle name="InputCells12 2 3 4 34" xfId="16701" xr:uid="{B50401CE-FAA7-46DB-BF43-5AA43613B266}"/>
    <cellStyle name="InputCells12 2 3 4 35" xfId="16363" xr:uid="{3C1EF570-8F61-4125-BDBC-72C16828F31D}"/>
    <cellStyle name="InputCells12 2 3 4 36" xfId="17020" xr:uid="{61E35FF9-AF3E-4A68-B04B-C24570684DCC}"/>
    <cellStyle name="InputCells12 2 3 4 37" xfId="18275" xr:uid="{791CF7AB-BB59-4058-8F31-936C86393E60}"/>
    <cellStyle name="InputCells12 2 3 4 38" xfId="18519" xr:uid="{38EDFB19-F693-4068-A389-52B059B90690}"/>
    <cellStyle name="InputCells12 2 3 4 39" xfId="19097" xr:uid="{9F57EF30-7D9E-4BC9-9815-C0C08788F506}"/>
    <cellStyle name="InputCells12 2 3 4 4" xfId="1723" xr:uid="{F8AC1047-B3AD-4E2F-9422-A3092B057364}"/>
    <cellStyle name="InputCells12 2 3 4 40" xfId="19327" xr:uid="{DD4F3625-5F61-4F57-9778-98AC7D391A69}"/>
    <cellStyle name="InputCells12 2 3 4 41" xfId="20038" xr:uid="{C130EF70-991B-49E7-95B9-129FE968DFED}"/>
    <cellStyle name="InputCells12 2 3 4 42" xfId="19696" xr:uid="{33BE59B5-2170-4C1B-A76A-64F453AE268F}"/>
    <cellStyle name="InputCells12 2 3 4 43" xfId="20646" xr:uid="{0EC0A9F3-6FA9-4E3B-AD8F-6D7A381EE605}"/>
    <cellStyle name="InputCells12 2 3 4 44" xfId="21655" xr:uid="{6C7AA0C9-B72D-4498-A353-3CFA9CB9555D}"/>
    <cellStyle name="InputCells12 2 3 4 45" xfId="21623" xr:uid="{359914A8-0B53-4F18-B5FB-1425B64BF7D4}"/>
    <cellStyle name="InputCells12 2 3 4 46" xfId="20868" xr:uid="{67C69BAA-C59A-4825-AF37-5B66C6E5AB59}"/>
    <cellStyle name="InputCells12 2 3 4 47" xfId="22970" xr:uid="{F5A0FFD0-8043-487E-AAF0-BEB3FD9013CE}"/>
    <cellStyle name="InputCells12 2 3 4 48" xfId="23376" xr:uid="{24626F4F-D258-436B-8C62-D798E609D6AD}"/>
    <cellStyle name="InputCells12 2 3 4 49" xfId="23545" xr:uid="{2050E93F-9A2B-466B-8A7C-D3D0418FCDAD}"/>
    <cellStyle name="InputCells12 2 3 4 5" xfId="2478" xr:uid="{1A3EC22E-E5FC-4E9E-A8A1-5D934B2C7219}"/>
    <cellStyle name="InputCells12 2 3 4 50" xfId="23847" xr:uid="{16B4488B-CCD7-4470-8F6F-610358C251DA}"/>
    <cellStyle name="InputCells12 2 3 4 51" xfId="24746" xr:uid="{94C56023-DC33-4F2F-A33A-1BE400687CA6}"/>
    <cellStyle name="InputCells12 2 3 4 52" xfId="24575" xr:uid="{441B4C6E-EB3B-4799-83F2-D30B04D6C5EE}"/>
    <cellStyle name="InputCells12 2 3 4 53" xfId="25664" xr:uid="{B9EEF6BF-D08B-4D14-8B3A-C0B9B1EA7D7D}"/>
    <cellStyle name="InputCells12 2 3 4 54" xfId="26245" xr:uid="{ECDC145C-00F0-4D56-95A8-1B7AD8DCC345}"/>
    <cellStyle name="InputCells12 2 3 4 55" xfId="26130" xr:uid="{8677A6F0-A8EB-4AEA-BB7E-7E9503D02EA7}"/>
    <cellStyle name="InputCells12 2 3 4 56" xfId="26954" xr:uid="{797623DA-8AC9-4C4B-AD54-07AE735D0D5C}"/>
    <cellStyle name="InputCells12 2 3 4 57" xfId="27373" xr:uid="{34FC8DF4-A446-4318-90EC-2ACCB18E40A1}"/>
    <cellStyle name="InputCells12 2 3 4 58" xfId="26156" xr:uid="{E11DA388-9E08-451E-A6BC-5A4FF9AA77FE}"/>
    <cellStyle name="InputCells12 2 3 4 59" xfId="28496" xr:uid="{F3504916-D800-4DC6-9FC4-C120C7FF78FA}"/>
    <cellStyle name="InputCells12 2 3 4 6" xfId="3170" xr:uid="{77CE32B8-BBFD-4E83-9417-194D2F633227}"/>
    <cellStyle name="InputCells12 2 3 4 60" xfId="28964" xr:uid="{2944F142-E061-4444-96F3-BAC74B1EE4B9}"/>
    <cellStyle name="InputCells12 2 3 4 61" xfId="28806" xr:uid="{749DB374-5D9F-4EE0-BF45-BC4ECFAB0931}"/>
    <cellStyle name="InputCells12 2 3 4 62" xfId="29754" xr:uid="{E63CC1F9-C3B6-4CEE-B5D7-5DF58DE626ED}"/>
    <cellStyle name="InputCells12 2 3 4 63" xfId="30162" xr:uid="{0B38FC2E-3AD4-45B3-8E2C-EAE11229A9CA}"/>
    <cellStyle name="InputCells12 2 3 4 64" xfId="30576" xr:uid="{983498C7-3294-4F8A-A3EB-EFD6964D96B4}"/>
    <cellStyle name="InputCells12 2 3 4 65" xfId="30929" xr:uid="{F6F64ECD-1297-4876-88EA-46BCB2F97C46}"/>
    <cellStyle name="InputCells12 2 3 4 66" xfId="31200" xr:uid="{85D1F245-53BE-41B1-A268-0AC3C83D2C5C}"/>
    <cellStyle name="InputCells12 2 3 4 7" xfId="2221" xr:uid="{F4806964-A740-498D-8D77-79BDD7F5A337}"/>
    <cellStyle name="InputCells12 2 3 4 8" xfId="3974" xr:uid="{919906CA-B3C1-4D84-B9A4-63EAEFC0430F}"/>
    <cellStyle name="InputCells12 2 3 4 9" xfId="4412" xr:uid="{C537F4E0-AA08-4F58-BBD7-7C59790730D6}"/>
    <cellStyle name="InputCells12 2 3 40" xfId="16042" xr:uid="{1A2422AD-4C46-4594-B1F7-D4DA269238EF}"/>
    <cellStyle name="InputCells12 2 3 41" xfId="18941" xr:uid="{8EF724C7-1C37-4BEC-9A47-328C83AB94C3}"/>
    <cellStyle name="InputCells12 2 3 42" xfId="19304" xr:uid="{100D9901-5145-4A05-83E7-C17F9D12FFB2}"/>
    <cellStyle name="InputCells12 2 3 43" xfId="19663" xr:uid="{17E5D64E-5EA5-4DAC-815D-8F714D5CA2FB}"/>
    <cellStyle name="InputCells12 2 3 44" xfId="20312" xr:uid="{A96E9ED8-DE5F-4BF4-8364-515C809EEA78}"/>
    <cellStyle name="InputCells12 2 3 45" xfId="20768" xr:uid="{BAF6F404-A0C4-460E-B6AC-507008FD0475}"/>
    <cellStyle name="InputCells12 2 3 46" xfId="20808" xr:uid="{E7DA26D4-5EED-4A3A-917B-F26FE98491AB}"/>
    <cellStyle name="InputCells12 2 3 47" xfId="20933" xr:uid="{20C036B3-F9F0-4D96-A451-FAE4E65C5030}"/>
    <cellStyle name="InputCells12 2 3 48" xfId="20520" xr:uid="{32A91B0B-F147-44BB-A5D9-3831B6964742}"/>
    <cellStyle name="InputCells12 2 3 49" xfId="22817" xr:uid="{45F5610A-9E65-47CE-B395-8ED13D322E63}"/>
    <cellStyle name="InputCells12 2 3 5" xfId="955" xr:uid="{1D0185CC-C02C-468B-9EB5-FB0604CF6D53}"/>
    <cellStyle name="InputCells12 2 3 50" xfId="23228" xr:uid="{73AA755D-DC8D-417B-8D89-28F35C46B35B}"/>
    <cellStyle name="InputCells12 2 3 51" xfId="23627" xr:uid="{AA6167E3-C20B-4D3D-9A7D-40566AB22873}"/>
    <cellStyle name="InputCells12 2 3 52" xfId="23573" xr:uid="{55C63F8C-CF1F-424E-A346-0BBB84444056}"/>
    <cellStyle name="InputCells12 2 3 53" xfId="24383" xr:uid="{7708BCEC-01B1-4380-A6E7-708A53B80291}"/>
    <cellStyle name="InputCells12 2 3 54" xfId="24321" xr:uid="{546BBDCB-B377-4EBB-ABF2-34124CBBBAA4}"/>
    <cellStyle name="InputCells12 2 3 55" xfId="25332" xr:uid="{313EFFBC-BF1C-4BE6-9E26-9B8003362D3D}"/>
    <cellStyle name="InputCells12 2 3 56" xfId="25470" xr:uid="{66BB50F5-0356-42FB-A23B-3EF902C8619B}"/>
    <cellStyle name="InputCells12 2 3 57" xfId="26287" xr:uid="{0B828CBF-59EE-435F-8B96-76D336728C74}"/>
    <cellStyle name="InputCells12 2 3 58" xfId="26187" xr:uid="{B3D61D46-3046-47B2-B46C-DD20F9ECB637}"/>
    <cellStyle name="InputCells12 2 3 59" xfId="24361" xr:uid="{F1D42C3F-778B-4838-B8CF-810F7C2859E7}"/>
    <cellStyle name="InputCells12 2 3 6" xfId="1466" xr:uid="{A1F3AEE5-C514-4C73-8625-1F7942114316}"/>
    <cellStyle name="InputCells12 2 3 60" xfId="26341" xr:uid="{3AF5A910-1CDB-48E8-BD58-D5763F3559B4}"/>
    <cellStyle name="InputCells12 2 3 61" xfId="28154" xr:uid="{188207A8-A861-4155-9A1F-641DE36D221D}"/>
    <cellStyle name="InputCells12 2 3 62" xfId="27913" xr:uid="{BDF99AE2-32DC-47E1-B402-9B4DAC6268DD}"/>
    <cellStyle name="InputCells12 2 3 63" xfId="28271" xr:uid="{9DFDC870-A242-4530-8E16-DDCE958BB940}"/>
    <cellStyle name="InputCells12 2 3 64" xfId="28278" xr:uid="{8050DA9B-9F6A-4E6A-93D4-383C324BE391}"/>
    <cellStyle name="InputCells12 2 3 65" xfId="29382" xr:uid="{C3A77481-C1AD-4EBC-A4F7-0F87900E26EA}"/>
    <cellStyle name="InputCells12 2 3 66" xfId="29245" xr:uid="{DE687883-7BE2-447D-9F1C-C1E5409E35BD}"/>
    <cellStyle name="InputCells12 2 3 67" xfId="28112" xr:uid="{2A3AC8A3-8F07-4801-975F-33E85B08D4AE}"/>
    <cellStyle name="InputCells12 2 3 68" xfId="30879" xr:uid="{5EA69381-F228-441A-A708-FD2707612B31}"/>
    <cellStyle name="InputCells12 2 3 7" xfId="2103" xr:uid="{7DC3CE65-B97A-4248-9DF9-5D964FD4CE63}"/>
    <cellStyle name="InputCells12 2 3 8" xfId="2996" xr:uid="{80151FAB-A821-4521-B299-242A1866B176}"/>
    <cellStyle name="InputCells12 2 3 9" xfId="3682" xr:uid="{E7844D40-875A-4E66-9B2D-E8CD62AB2B32}"/>
    <cellStyle name="InputCells12 3" xfId="419" xr:uid="{3D9B1F67-42BA-466F-9FC4-E8E7C1440165}"/>
    <cellStyle name="InputCells12 3 2" xfId="524" xr:uid="{2F6F1984-1CBF-4224-9EB9-DC20F450CC07}"/>
    <cellStyle name="InputCells12 3 2 10" xfId="4994" xr:uid="{F4A81C16-A9A6-45C6-9C2F-A2D2DB73397D}"/>
    <cellStyle name="InputCells12 3 2 11" xfId="5172" xr:uid="{8140F143-CABD-42A9-A69D-08E25E200B68}"/>
    <cellStyle name="InputCells12 3 2 12" xfId="4648" xr:uid="{FD17314A-F795-49E2-88A5-25F62A0ECBA7}"/>
    <cellStyle name="InputCells12 3 2 13" xfId="4940" xr:uid="{FC0BFAFD-C5DA-4B4D-9F2C-CA40B3803858}"/>
    <cellStyle name="InputCells12 3 2 14" xfId="5993" xr:uid="{8B673789-A682-4E99-A5B3-7B320D5ED217}"/>
    <cellStyle name="InputCells12 3 2 15" xfId="7244" xr:uid="{751FEA31-8C58-486F-A66F-DE487277EE88}"/>
    <cellStyle name="InputCells12 3 2 16" xfId="7183" xr:uid="{5C0F30A1-17EE-40BE-BBC5-89187A95699B}"/>
    <cellStyle name="InputCells12 3 2 17" xfId="6747" xr:uid="{1DC815E9-7BAD-418A-959D-4655EF25767A}"/>
    <cellStyle name="InputCells12 3 2 18" xfId="8252" xr:uid="{C5F74D81-46B9-4403-A821-9D5CDAD27731}"/>
    <cellStyle name="InputCells12 3 2 19" xfId="9458" xr:uid="{F95E2385-2CA3-4938-ADA1-4ADB2A8A9CF1}"/>
    <cellStyle name="InputCells12 3 2 2" xfId="739" xr:uid="{2E598F35-BC91-43C8-BE96-574437B2D108}"/>
    <cellStyle name="InputCells12 3 2 2 10" xfId="5387" xr:uid="{EE149950-428F-40C5-874E-AD344F17C61E}"/>
    <cellStyle name="InputCells12 3 2 2 11" xfId="2772" xr:uid="{87954818-7433-4C33-971F-2AE5FE18DD59}"/>
    <cellStyle name="InputCells12 3 2 2 12" xfId="4647" xr:uid="{74991862-0128-4942-8028-F8F86C41DEA8}"/>
    <cellStyle name="InputCells12 3 2 2 13" xfId="5574" xr:uid="{B977BFB0-59C9-4EBC-BC53-CEF85CED71D3}"/>
    <cellStyle name="InputCells12 3 2 2 14" xfId="7459" xr:uid="{C7920BD9-126A-4FB0-B6E3-8DCE03527FE7}"/>
    <cellStyle name="InputCells12 3 2 2 15" xfId="6885" xr:uid="{0B4A627E-8A3C-4969-BD74-E71CD98F6D4D}"/>
    <cellStyle name="InputCells12 3 2 2 16" xfId="8155" xr:uid="{CDBA63C5-E2B5-4B6F-AA46-0473ECBB371E}"/>
    <cellStyle name="InputCells12 3 2 2 17" xfId="8900" xr:uid="{60FEE456-D812-4809-A679-C780FCD5240B}"/>
    <cellStyle name="InputCells12 3 2 2 18" xfId="9673" xr:uid="{406E493A-9CE9-4215-A3C8-267E90935A6C}"/>
    <cellStyle name="InputCells12 3 2 2 19" xfId="9099" xr:uid="{84971054-0723-46DF-B70F-8EB9FE51E7D0}"/>
    <cellStyle name="InputCells12 3 2 2 2" xfId="1213" xr:uid="{694B56DF-FF88-435C-82C0-6FF70867BD4B}"/>
    <cellStyle name="InputCells12 3 2 2 20" xfId="8993" xr:uid="{90E03417-1979-43F0-BCED-ED58AFD00E10}"/>
    <cellStyle name="InputCells12 3 2 2 21" xfId="9261" xr:uid="{A77BBFD7-A547-432A-9A71-1AC6CEFB7EE2}"/>
    <cellStyle name="InputCells12 3 2 2 22" xfId="11143" xr:uid="{38616CE0-537A-475A-B65F-E373B8251009}"/>
    <cellStyle name="InputCells12 3 2 2 23" xfId="12092" xr:uid="{0A4327A5-5115-44BA-8B68-8720B4F63C05}"/>
    <cellStyle name="InputCells12 3 2 2 24" xfId="12565" xr:uid="{7E76187A-3292-4A72-B2CF-C0E0D4B1BE5B}"/>
    <cellStyle name="InputCells12 3 2 2 25" xfId="12999" xr:uid="{16A802E1-64B6-4B8A-8B5C-E065B23B686C}"/>
    <cellStyle name="InputCells12 3 2 2 26" xfId="13436" xr:uid="{BE1277A0-E9AC-4D1C-9B04-8E3960C5C344}"/>
    <cellStyle name="InputCells12 3 2 2 27" xfId="13625" xr:uid="{1447E6A0-6C2B-4A78-A8EC-22ED5855DDEC}"/>
    <cellStyle name="InputCells12 3 2 2 28" xfId="13877" xr:uid="{5274FE69-967B-457F-A671-4FBBD91A4002}"/>
    <cellStyle name="InputCells12 3 2 2 29" xfId="11467" xr:uid="{A03D8BD6-D469-446D-9AE9-0AE98A38508F}"/>
    <cellStyle name="InputCells12 3 2 2 3" xfId="1437" xr:uid="{C3EED381-6FF4-4F1A-B706-CA71654BEDBC}"/>
    <cellStyle name="InputCells12 3 2 2 30" xfId="14588" xr:uid="{C320020E-79EF-4032-BD64-8EE721A393AF}"/>
    <cellStyle name="InputCells12 3 2 2 31" xfId="15647" xr:uid="{2B0D446E-2009-486F-A9EB-B2EE26C04F9F}"/>
    <cellStyle name="InputCells12 3 2 2 32" xfId="15055" xr:uid="{C2589D34-68C6-4AB2-83FA-C135642A22CA}"/>
    <cellStyle name="InputCells12 3 2 2 33" xfId="16784" xr:uid="{20C2BAE8-26E2-4964-B304-CD70CFB5F66E}"/>
    <cellStyle name="InputCells12 3 2 2 34" xfId="16202" xr:uid="{08A09012-3DD3-47CD-8D79-37686B82BA4A}"/>
    <cellStyle name="InputCells12 3 2 2 35" xfId="16090" xr:uid="{1DD8D75B-5770-45C9-BAEF-17A1A7CB9834}"/>
    <cellStyle name="InputCells12 3 2 2 36" xfId="18253" xr:uid="{B100AD33-3412-460E-8316-8F9DE735D505}"/>
    <cellStyle name="InputCells12 3 2 2 37" xfId="18602" xr:uid="{5E8885E4-5FD0-46F5-AE65-D5F41EDEF0C6}"/>
    <cellStyle name="InputCells12 3 2 2 38" xfId="19076" xr:uid="{F6F7B2F4-9BC1-48FE-95B5-C6BA16648238}"/>
    <cellStyle name="InputCells12 3 2 2 39" xfId="19177" xr:uid="{4097AA4F-193E-46F4-A4E2-D4FD9EAE7963}"/>
    <cellStyle name="InputCells12 3 2 2 4" xfId="2561" xr:uid="{6CEE369B-F55B-4FA2-83B7-8254E51DFD11}"/>
    <cellStyle name="InputCells12 3 2 2 40" xfId="20121" xr:uid="{018351E1-A329-43AB-B314-E70E6AA83594}"/>
    <cellStyle name="InputCells12 3 2 2 41" xfId="19534" xr:uid="{DDEA422E-FF94-4FD3-87EC-A98CCC2AA47F}"/>
    <cellStyle name="InputCells12 3 2 2 42" xfId="20722" xr:uid="{C317843A-BF64-4CE2-A87E-6B7D9437A172}"/>
    <cellStyle name="InputCells12 3 2 2 43" xfId="21153" xr:uid="{534FB567-02F0-4406-B14E-AEA43D9E8279}"/>
    <cellStyle name="InputCells12 3 2 2 44" xfId="20417" xr:uid="{1D40BA1A-E67C-49F3-83A9-7115F7846923}"/>
    <cellStyle name="InputCells12 3 2 2 45" xfId="21761" xr:uid="{46431C3C-D220-44E6-B4FA-D764A77437BE}"/>
    <cellStyle name="InputCells12 3 2 2 46" xfId="22633" xr:uid="{8CD2BEB1-FB20-4B63-8EAF-23528593DA9D}"/>
    <cellStyle name="InputCells12 3 2 2 47" xfId="23354" xr:uid="{743628AE-F7BB-40B6-988D-1EC5A23B757D}"/>
    <cellStyle name="InputCells12 3 2 2 48" xfId="22034" xr:uid="{40B13E26-9033-47ED-9095-155CC0DE3C23}"/>
    <cellStyle name="InputCells12 3 2 2 49" xfId="23921" xr:uid="{2AAFE575-A6FE-4F43-8F4F-C2F476CD19CE}"/>
    <cellStyle name="InputCells12 3 2 2 5" xfId="2792" xr:uid="{5ADF5EC8-77DE-4170-95C5-01861483A185}"/>
    <cellStyle name="InputCells12 3 2 2 50" xfId="24829" xr:uid="{9DA389EE-A800-4D8B-9C05-51A606D005F4}"/>
    <cellStyle name="InputCells12 3 2 2 51" xfId="24121" xr:uid="{D76CF8F9-912D-4262-B0AD-D1886F3F7CA3}"/>
    <cellStyle name="InputCells12 3 2 2 52" xfId="25745" xr:uid="{3CC1DC61-7694-4736-B908-B656E77394FA}"/>
    <cellStyle name="InputCells12 3 2 2 53" xfId="25147" xr:uid="{CED8AD85-514F-413E-B6CF-E9EEF0AA7859}"/>
    <cellStyle name="InputCells12 3 2 2 54" xfId="25415" xr:uid="{B5F1B5C5-645D-43CD-AD6E-44214137DA56}"/>
    <cellStyle name="InputCells12 3 2 2 55" xfId="27033" xr:uid="{8292FA65-9B88-4A15-B529-A942F32FA86E}"/>
    <cellStyle name="InputCells12 3 2 2 56" xfId="27452" xr:uid="{31013F1D-0941-4C23-99C0-56A0ABF84EE4}"/>
    <cellStyle name="InputCells12 3 2 2 57" xfId="25076" xr:uid="{721952F1-7165-4BE6-872E-F5E368188774}"/>
    <cellStyle name="InputCells12 3 2 2 58" xfId="28579" xr:uid="{30766368-D9CD-4FF3-A9E8-534851001A6C}"/>
    <cellStyle name="InputCells12 3 2 2 59" xfId="29046" xr:uid="{DDFC6331-3B46-4F0B-AF36-6FCE3A48EC09}"/>
    <cellStyle name="InputCells12 3 2 2 6" xfId="2264" xr:uid="{A586319B-DD00-4247-AB2C-AFCA042B5829}"/>
    <cellStyle name="InputCells12 3 2 2 60" xfId="28053" xr:uid="{2C5FA96F-B24E-43DB-90D1-45F938629B54}"/>
    <cellStyle name="InputCells12 3 2 2 61" xfId="29835" xr:uid="{9D4F3D42-F7BD-4494-A523-0519DB6D3164}"/>
    <cellStyle name="InputCells12 3 2 2 62" xfId="30241" xr:uid="{2F618CFD-99AE-4978-9C40-9A43691DC064}"/>
    <cellStyle name="InputCells12 3 2 2 63" xfId="30658" xr:uid="{5CE91B25-BABB-495D-A1E2-03FA19F1EE84}"/>
    <cellStyle name="InputCells12 3 2 2 64" xfId="30402" xr:uid="{AF5C36A8-03D7-450D-B0BA-DB7CC0D8946B}"/>
    <cellStyle name="InputCells12 3 2 2 65" xfId="31274" xr:uid="{B8E5D922-FB30-43EC-A470-95B3DD59D12F}"/>
    <cellStyle name="InputCells12 3 2 2 7" xfId="4057" xr:uid="{32BFCEBF-518A-40E4-A531-1E4C78A6FD20}"/>
    <cellStyle name="InputCells12 3 2 2 8" xfId="4494" xr:uid="{1DDE6E89-F317-4DFD-911C-67DA8916FF75}"/>
    <cellStyle name="InputCells12 3 2 2 9" xfId="2934" xr:uid="{25B39DC9-5E79-4808-9907-BA601B5F1E57}"/>
    <cellStyle name="InputCells12 3 2 20" xfId="9396" xr:uid="{AC5C1D63-9D70-4AC3-801B-046BDBE0BA88}"/>
    <cellStyle name="InputCells12 3 2 21" xfId="9069" xr:uid="{94427692-0CE4-43AA-A69B-EFDDA88641FA}"/>
    <cellStyle name="InputCells12 3 2 22" xfId="10970" xr:uid="{1B4298AB-E9C3-4E73-AA40-DA1F3B70DF32}"/>
    <cellStyle name="InputCells12 3 2 23" xfId="10144" xr:uid="{B744369E-F76C-4F5E-AC9F-CD83FF9CA3E1}"/>
    <cellStyle name="InputCells12 3 2 24" xfId="11877" xr:uid="{966A7840-355E-489A-BD65-BD3F08829451}"/>
    <cellStyle name="InputCells12 3 2 25" xfId="12350" xr:uid="{B359B46C-D065-45F2-86E5-F51401D83537}"/>
    <cellStyle name="InputCells12 3 2 26" xfId="12784" xr:uid="{1EF9D6A1-2BBB-471D-8279-079E5B68DC0A}"/>
    <cellStyle name="InputCells12 3 2 27" xfId="13221" xr:uid="{A337E861-39B2-4622-ACF3-709D99B47937}"/>
    <cellStyle name="InputCells12 3 2 28" xfId="13900" xr:uid="{CB265BD7-17B2-45F6-96F4-4A5D657B3363}"/>
    <cellStyle name="InputCells12 3 2 29" xfId="14209" xr:uid="{734A55C9-5A3A-4BC7-A207-81A1B8744C4F}"/>
    <cellStyle name="InputCells12 3 2 3" xfId="1007" xr:uid="{EDEA2055-0DCC-4EF1-AC27-A08244E02252}"/>
    <cellStyle name="InputCells12 3 2 30" xfId="14723" xr:uid="{9B96B2CC-30D7-4197-BC96-E341A970299B}"/>
    <cellStyle name="InputCells12 3 2 31" xfId="14307" xr:uid="{F9831B30-CC39-40AB-A0E5-58F40B49A95C}"/>
    <cellStyle name="InputCells12 3 2 32" xfId="15104" xr:uid="{9B856237-F8A0-498B-924A-9A1B39EB6E25}"/>
    <cellStyle name="InputCells12 3 2 33" xfId="15778" xr:uid="{20D9706A-E726-4FF0-94EE-1A2ADD5FF0C6}"/>
    <cellStyle name="InputCells12 3 2 34" xfId="16569" xr:uid="{E67EED50-03F9-42AB-8760-5C2E4B474252}"/>
    <cellStyle name="InputCells12 3 2 35" xfId="16505" xr:uid="{2502A5AE-D1A7-4E1B-AD7A-3EA32E8DECBB}"/>
    <cellStyle name="InputCells12 3 2 36" xfId="16056" xr:uid="{E979C660-29DC-4245-9385-41712090C18D}"/>
    <cellStyle name="InputCells12 3 2 37" xfId="17294" xr:uid="{19AC67D6-FF13-43BA-ADE4-15A1AF4699D4}"/>
    <cellStyle name="InputCells12 3 2 38" xfId="18387" xr:uid="{34D3B6B9-C6E1-44DC-AAC3-5C2B99EF4F1E}"/>
    <cellStyle name="InputCells12 3 2 39" xfId="18267" xr:uid="{D3937A89-D9F4-42CB-8BEC-F52B5230EF24}"/>
    <cellStyle name="InputCells12 3 2 4" xfId="1570" xr:uid="{C2E4E49B-C02B-4D62-96A3-FA0730B9F8E0}"/>
    <cellStyle name="InputCells12 3 2 40" xfId="19289" xr:uid="{30F79B63-28F3-4AC8-9D17-A83A9FDF5DAA}"/>
    <cellStyle name="InputCells12 3 2 41" xfId="19906" xr:uid="{08C4E10B-CC02-4AE7-AF96-FE48524DEB4B}"/>
    <cellStyle name="InputCells12 3 2 42" xfId="19841" xr:uid="{42CBAA30-9B99-4FEE-B132-541B5CE369AE}"/>
    <cellStyle name="InputCells12 3 2 43" xfId="20709" xr:uid="{CC14CC0E-2752-4368-A28F-356EAECAFA93}"/>
    <cellStyle name="InputCells12 3 2 44" xfId="20953" xr:uid="{7261B1C8-2D38-4602-8F65-746DFDEFA1E8}"/>
    <cellStyle name="InputCells12 3 2 45" xfId="21090" xr:uid="{0F468C40-D964-4AA3-B349-692E5A6BF109}"/>
    <cellStyle name="InputCells12 3 2 46" xfId="22086" xr:uid="{336A8129-3AD1-441E-8CDF-52F2F597A344}"/>
    <cellStyle name="InputCells12 3 2 47" xfId="22880" xr:uid="{3A861F31-9E8D-4578-AEF8-28FA9BD9BE58}"/>
    <cellStyle name="InputCells12 3 2 48" xfId="22709" xr:uid="{CB997242-8A3C-4628-AFCC-EC1E9B715A6A}"/>
    <cellStyle name="InputCells12 3 2 49" xfId="23525" xr:uid="{0C3F25B4-2E04-42F8-BEB2-4DFF38F66F66}"/>
    <cellStyle name="InputCells12 3 2 5" xfId="2346" xr:uid="{1E4A83AC-44D1-4616-8B81-021B53F57546}"/>
    <cellStyle name="InputCells12 3 2 50" xfId="23715" xr:uid="{2C27E573-A882-4C50-94CB-BB9A9BF429EA}"/>
    <cellStyle name="InputCells12 3 2 51" xfId="24614" xr:uid="{E3AD1ADA-0830-41E6-A70B-828F573CF908}"/>
    <cellStyle name="InputCells12 3 2 52" xfId="24415" xr:uid="{DD27A654-4425-49A9-A0FE-45CB38417ABF}"/>
    <cellStyle name="InputCells12 3 2 53" xfId="25532" xr:uid="{B9223DB5-C6E1-40A3-A740-5E8EB7A5A176}"/>
    <cellStyle name="InputCells12 3 2 54" xfId="25992" xr:uid="{DEA1D873-5DA7-4972-A252-5E47D51AA992}"/>
    <cellStyle name="InputCells12 3 2 55" xfId="26047" xr:uid="{696268FD-B63C-4C9B-A49E-8ADCAD815F19}"/>
    <cellStyle name="InputCells12 3 2 56" xfId="26822" xr:uid="{7AAEDA0C-EC84-4ABC-82DD-B2C662DC1BAA}"/>
    <cellStyle name="InputCells12 3 2 57" xfId="27241" xr:uid="{27253D6E-0EE8-47A7-9899-45400C93161F}"/>
    <cellStyle name="InputCells12 3 2 58" xfId="26377" xr:uid="{D371139A-38D9-4C0B-B249-5C070F77A490}"/>
    <cellStyle name="InputCells12 3 2 59" xfId="28364" xr:uid="{93208B70-0980-4D7F-BC18-4CBDFD9FE551}"/>
    <cellStyle name="InputCells12 3 2 6" xfId="3068" xr:uid="{F58AB117-C43B-48FE-B642-FE0E128F5E1B}"/>
    <cellStyle name="InputCells12 3 2 60" xfId="28832" xr:uid="{05BF16DB-D796-41C0-83C2-3331F310C26B}"/>
    <cellStyle name="InputCells12 3 2 61" xfId="28216" xr:uid="{158387D9-DCDD-4750-9457-77EFAD905E5D}"/>
    <cellStyle name="InputCells12 3 2 62" xfId="29622" xr:uid="{B0903C37-54E6-4AF1-B219-6F2BF44EB73F}"/>
    <cellStyle name="InputCells12 3 2 63" xfId="30030" xr:uid="{D0D660FF-FE8F-40E5-A80B-6F2316EC65DA}"/>
    <cellStyle name="InputCells12 3 2 64" xfId="30444" xr:uid="{6E2EE919-EE09-4629-983B-88EE8DF14CE2}"/>
    <cellStyle name="InputCells12 3 2 65" xfId="30839" xr:uid="{3B72DA5B-6063-45AF-B902-A393155B40DB}"/>
    <cellStyle name="InputCells12 3 2 66" xfId="31068" xr:uid="{971AF26F-DD09-40BB-8AEB-98A60BC6723B}"/>
    <cellStyle name="InputCells12 3 2 7" xfId="2157" xr:uid="{A671382C-8A79-43EA-9F88-B43BC40FC619}"/>
    <cellStyle name="InputCells12 3 2 8" xfId="3842" xr:uid="{E799284A-C621-44CA-A8C4-C16FFAE2419C}"/>
    <cellStyle name="InputCells12 3 2 9" xfId="4280" xr:uid="{CE661517-BF62-4674-9B13-6963422A67B2}"/>
    <cellStyle name="InputCells12 3 3" xfId="718" xr:uid="{97BD65BD-95B6-40D7-953E-E56D4000FABB}"/>
    <cellStyle name="InputCells12 3 3 10" xfId="5366" xr:uid="{DFC9353B-832C-4D4B-B96E-B4AAFF43CFB6}"/>
    <cellStyle name="InputCells12 3 3 11" xfId="3264" xr:uid="{AA26C2B8-F5DC-4CC2-8A20-123F39D333E9}"/>
    <cellStyle name="InputCells12 3 3 12" xfId="6252" xr:uid="{6A26F9CE-79B3-48A8-9E5F-16E33BB81DBC}"/>
    <cellStyle name="InputCells12 3 3 13" xfId="6692" xr:uid="{3CE38BEB-1834-43E8-BDE2-EFDE36531E7F}"/>
    <cellStyle name="InputCells12 3 3 14" xfId="7438" xr:uid="{089F6AE1-B367-4F08-9AE5-DDEBF8A13AB3}"/>
    <cellStyle name="InputCells12 3 3 15" xfId="7712" xr:uid="{62D4B69B-0865-4A3C-8BFF-ED4C82146242}"/>
    <cellStyle name="InputCells12 3 3 16" xfId="8144" xr:uid="{F6F33673-B1D9-4451-BBFB-54FF8B2D5703}"/>
    <cellStyle name="InputCells12 3 3 17" xfId="8905" xr:uid="{27934783-336E-4629-A060-127A6D698C61}"/>
    <cellStyle name="InputCells12 3 3 18" xfId="9652" xr:uid="{E6867D2F-573E-41DB-BCBC-98FAD9E0436D}"/>
    <cellStyle name="InputCells12 3 3 19" xfId="9926" xr:uid="{422ABAE6-D5FD-4279-A595-506775A42B49}"/>
    <cellStyle name="InputCells12 3 3 2" xfId="1192" xr:uid="{DA873FC9-5388-4F06-879A-6B3E98773264}"/>
    <cellStyle name="InputCells12 3 3 20" xfId="10357" xr:uid="{BE37EC7F-E9CF-41E0-B75B-B293DE03C16A}"/>
    <cellStyle name="InputCells12 3 3 21" xfId="10861" xr:uid="{1E35F427-73CB-4EFF-8396-1D1617DC2D7C}"/>
    <cellStyle name="InputCells12 3 3 22" xfId="11309" xr:uid="{4384E08D-9A42-480F-9EA6-2C7E43229044}"/>
    <cellStyle name="InputCells12 3 3 23" xfId="12071" xr:uid="{D5D71556-BEC7-45CD-AD86-3F6158E1C4E7}"/>
    <cellStyle name="InputCells12 3 3 24" xfId="12544" xr:uid="{BFB4E924-79F4-42C2-901D-CAB02680B2C1}"/>
    <cellStyle name="InputCells12 3 3 25" xfId="12978" xr:uid="{72FEE780-DDC0-4F78-8998-4B6C7A6C2729}"/>
    <cellStyle name="InputCells12 3 3 26" xfId="13415" xr:uid="{A51A965E-02A5-4925-B55B-57B8D1CB95A8}"/>
    <cellStyle name="InputCells12 3 3 27" xfId="14001" xr:uid="{C8B8EDAB-9E3D-4BBF-BD33-4C00CF7CE17B}"/>
    <cellStyle name="InputCells12 3 3 28" xfId="13732" xr:uid="{225C1AAE-D6AB-43A3-A46F-A9698E06C84B}"/>
    <cellStyle name="InputCells12 3 3 29" xfId="14578" xr:uid="{9AC14BA0-B178-43C0-A6DB-84B618FD8A6D}"/>
    <cellStyle name="InputCells12 3 3 3" xfId="1445" xr:uid="{D3FC9A97-CC5E-46D5-8F5F-27D123B42DD8}"/>
    <cellStyle name="InputCells12 3 3 30" xfId="14674" xr:uid="{0EA6C10F-C88C-467D-B23A-570C60654EB1}"/>
    <cellStyle name="InputCells12 3 3 31" xfId="14629" xr:uid="{5E74C3A8-C5DF-45F3-883D-837B8B29E1A5}"/>
    <cellStyle name="InputCells12 3 3 32" xfId="15814" xr:uid="{FD57BD7E-90CB-47EB-8AEC-382D832B3F05}"/>
    <cellStyle name="InputCells12 3 3 33" xfId="16763" xr:uid="{48B10CE5-8AA3-481F-8E27-60578F87F072}"/>
    <cellStyle name="InputCells12 3 3 34" xfId="17040" xr:uid="{59B3EB52-1640-4E37-B166-419968EB3FFE}"/>
    <cellStyle name="InputCells12 3 3 35" xfId="17488" xr:uid="{DA9B54FE-E44D-4DE6-BBDE-FBEB34EC9883}"/>
    <cellStyle name="InputCells12 3 3 36" xfId="18277" xr:uid="{F72A3C2B-A2EC-4B0E-9B21-DC941258FA2E}"/>
    <cellStyle name="InputCells12 3 3 37" xfId="18581" xr:uid="{711F3045-781E-4C21-A337-D8E297A538D3}"/>
    <cellStyle name="InputCells12 3 3 38" xfId="19098" xr:uid="{8D39FCE6-66AF-4D59-BF13-3FF79ADC8DE7}"/>
    <cellStyle name="InputCells12 3 3 39" xfId="19193" xr:uid="{D1D96F79-0489-42D7-9E3E-890E537A2858}"/>
    <cellStyle name="InputCells12 3 3 4" xfId="2540" xr:uid="{D6697E4F-7985-4E02-A646-7D724710FFAD}"/>
    <cellStyle name="InputCells12 3 3 40" xfId="20100" xr:uid="{C0B9B25E-E843-48D1-8E4B-5ACE25C2AE9B}"/>
    <cellStyle name="InputCells12 3 3 41" xfId="20392" xr:uid="{F08B00F3-414A-4799-86ED-A7424D1BC1F6}"/>
    <cellStyle name="InputCells12 3 3 42" xfId="20845" xr:uid="{7F3D5A59-DF06-4558-86EF-D5CD9FFE57D1}"/>
    <cellStyle name="InputCells12 3 3 43" xfId="21657" xr:uid="{C645A4F3-8BE2-4CFA-818A-E4F26684A0B4}"/>
    <cellStyle name="InputCells12 3 3 44" xfId="21778" xr:uid="{B8B1FB98-7719-44C3-8E2D-AD67A7D3B540}"/>
    <cellStyle name="InputCells12 3 3 45" xfId="22215" xr:uid="{C445C8B2-33A1-49FB-B93B-9C9C9091900B}"/>
    <cellStyle name="InputCells12 3 3 46" xfId="22972" xr:uid="{09589F56-42ED-4C3B-B834-1480739B478E}"/>
    <cellStyle name="InputCells12 3 3 47" xfId="23378" xr:uid="{7AF79550-501D-4060-81A7-0F9725E99C0D}"/>
    <cellStyle name="InputCells12 3 3 48" xfId="23600" xr:uid="{949E575D-5D7C-46CF-BCFA-27FE8530369E}"/>
    <cellStyle name="InputCells12 3 3 49" xfId="23900" xr:uid="{FB0FFB91-21FD-4EE8-9DD2-53A1BF965432}"/>
    <cellStyle name="InputCells12 3 3 5" xfId="3172" xr:uid="{822A697C-7EE4-40F0-B37B-F30B952BEDF9}"/>
    <cellStyle name="InputCells12 3 3 50" xfId="24808" xr:uid="{82AB6F14-3A59-4C6E-85D0-57F7B5DCB32A}"/>
    <cellStyle name="InputCells12 3 3 51" xfId="25102" xr:uid="{8861841E-5225-40E9-AE0D-D3FE3E3D5151}"/>
    <cellStyle name="InputCells12 3 3 52" xfId="25724" xr:uid="{0054EC14-63EC-4809-AC17-D269CD0CC41C}"/>
    <cellStyle name="InputCells12 3 3 53" xfId="26278" xr:uid="{E010E995-42E9-4762-9934-472EE7B23A5B}"/>
    <cellStyle name="InputCells12 3 3 54" xfId="24260" xr:uid="{02C949B6-96FF-40FD-8746-EA2004DDC426}"/>
    <cellStyle name="InputCells12 3 3 55" xfId="27012" xr:uid="{B44774A0-FC77-41DE-BE5A-135BA89831AE}"/>
    <cellStyle name="InputCells12 3 3 56" xfId="27431" xr:uid="{F1CCA602-AF40-4E47-87E7-8FDD4FA65D82}"/>
    <cellStyle name="InputCells12 3 3 57" xfId="27676" xr:uid="{A0A60879-119E-4A6C-8195-3F6DC9A70534}"/>
    <cellStyle name="InputCells12 3 3 58" xfId="28558" xr:uid="{9AB0B817-9A1A-42E0-8571-E426973BB414}"/>
    <cellStyle name="InputCells12 3 3 59" xfId="29025" xr:uid="{0F78E729-EB8E-4978-9EA7-C72B0B11066A}"/>
    <cellStyle name="InputCells12 3 3 6" xfId="3466" xr:uid="{F1E0162E-20B0-4660-B46C-6B133C902AB5}"/>
    <cellStyle name="InputCells12 3 3 60" xfId="29256" xr:uid="{61F58A83-E085-4908-85E1-26C870AB4176}"/>
    <cellStyle name="InputCells12 3 3 61" xfId="29814" xr:uid="{B1730EF7-6D78-437B-BFDF-FC6B6895353F}"/>
    <cellStyle name="InputCells12 3 3 62" xfId="30220" xr:uid="{E0130ABD-66B8-463E-A73A-B8FA9150BD3B}"/>
    <cellStyle name="InputCells12 3 3 63" xfId="30637" xr:uid="{E91E6737-04C3-4080-AD92-EAEC13D4BD9C}"/>
    <cellStyle name="InputCells12 3 3 64" xfId="30430" xr:uid="{B1CB3A9E-C68C-479D-8CF7-8F6FEDE020DC}"/>
    <cellStyle name="InputCells12 3 3 65" xfId="31253" xr:uid="{4B455A02-9FD8-4727-9567-0F47CBA769D5}"/>
    <cellStyle name="InputCells12 3 3 7" xfId="4036" xr:uid="{E4D934F5-3273-4CE6-8022-B8DB02D9044B}"/>
    <cellStyle name="InputCells12 3 3 8" xfId="4473" xr:uid="{D04ADDA7-A400-45BD-9456-8E5A7FA87236}"/>
    <cellStyle name="InputCells12 3 3 9" xfId="3282" xr:uid="{14BE597F-19AA-4CBD-B02C-3B16A779C601}"/>
    <cellStyle name="InputCells12 4" xfId="278" xr:uid="{30E85860-5B50-43DB-82E4-473421F718F4}"/>
    <cellStyle name="InputCells12 4 10" xfId="1966" xr:uid="{B54202E0-93AF-441A-A316-DB0214AE9851}"/>
    <cellStyle name="InputCells12 4 11" xfId="3444" xr:uid="{9ED763FD-2569-47EE-AAA5-7E52150B88F1}"/>
    <cellStyle name="InputCells12 4 12" xfId="3711" xr:uid="{8A47DD1B-AE86-4FBA-8E66-A70D9F90D66E}"/>
    <cellStyle name="InputCells12 4 13" xfId="4811" xr:uid="{9E1B8583-8913-4775-A256-006B15D0DBD8}"/>
    <cellStyle name="InputCells12 4 14" xfId="5622" xr:uid="{BAD0819E-21F5-4916-8533-4A33D9B13B7C}"/>
    <cellStyle name="InputCells12 4 15" xfId="6217" xr:uid="{E4B4A820-F5CE-4DEA-BE81-FF52BDAC6603}"/>
    <cellStyle name="InputCells12 4 16" xfId="6561" xr:uid="{C2C17D01-93A1-4F39-BC77-60429D499D34}"/>
    <cellStyle name="InputCells12 4 17" xfId="7008" xr:uid="{17E6491F-8DBD-46AE-B285-09C51AA19B85}"/>
    <cellStyle name="InputCells12 4 18" xfId="7638" xr:uid="{22752CAA-0CD7-4CC5-978A-C2278A47492C}"/>
    <cellStyle name="InputCells12 4 19" xfId="8106" xr:uid="{A2DC21C2-63C8-4E70-BCD1-7A10CA38CD0B}"/>
    <cellStyle name="InputCells12 4 2" xfId="616" xr:uid="{5392C8F6-62DB-475B-BE99-00899B02E347}"/>
    <cellStyle name="InputCells12 4 2 10" xfId="4786" xr:uid="{B58C5132-8306-4F04-BB1C-C2D998F8215D}"/>
    <cellStyle name="InputCells12 4 2 11" xfId="5264" xr:uid="{5677BA1C-7F6B-4DC2-8166-693C8AA993C3}"/>
    <cellStyle name="InputCells12 4 2 12" xfId="5541" xr:uid="{67F6CAE5-6711-481D-8A1A-9D8AAE3A12A2}"/>
    <cellStyle name="InputCells12 4 2 13" xfId="6033" xr:uid="{78147113-A0E1-426A-8090-83DCF40EC92B}"/>
    <cellStyle name="InputCells12 4 2 14" xfId="4806" xr:uid="{553480A9-178A-4284-80AA-403941A63EEF}"/>
    <cellStyle name="InputCells12 4 2 15" xfId="7336" xr:uid="{0F91D74E-D177-41EC-89B5-6220AE113ED7}"/>
    <cellStyle name="InputCells12 4 2 16" xfId="7731" xr:uid="{0289FB98-F4C6-412D-94C0-774B838AA442}"/>
    <cellStyle name="InputCells12 4 2 17" xfId="8490" xr:uid="{76A9F6FB-6737-4751-B91C-79A78D381331}"/>
    <cellStyle name="InputCells12 4 2 18" xfId="7878" xr:uid="{BD5F34BF-6AAE-4AF4-BF5A-A6EFCE6C187D}"/>
    <cellStyle name="InputCells12 4 2 19" xfId="9550" xr:uid="{6720976B-7251-4E0D-A401-B3E0DABE0ACE}"/>
    <cellStyle name="InputCells12 4 2 2" xfId="831" xr:uid="{908802FF-695D-487B-A75A-4E8E2D948708}"/>
    <cellStyle name="InputCells12 4 2 2 10" xfId="5479" xr:uid="{D9D8E42D-0842-47FA-906C-4A208A9F69F7}"/>
    <cellStyle name="InputCells12 4 2 2 11" xfId="4259" xr:uid="{1D2F22F6-D7D5-410D-9FD0-8F5948BA87C4}"/>
    <cellStyle name="InputCells12 4 2 2 12" xfId="3792" xr:uid="{6A18953B-C7E8-4779-957E-177320F08D56}"/>
    <cellStyle name="InputCells12 4 2 2 13" xfId="6505" xr:uid="{3F9A40C7-928C-4B99-97F7-85CCAD5C88E2}"/>
    <cellStyle name="InputCells12 4 2 2 14" xfId="7551" xr:uid="{1DDBCF17-E96B-4E2C-82C2-BCA4B9E923F2}"/>
    <cellStyle name="InputCells12 4 2 2 15" xfId="8016" xr:uid="{A41366CF-87B1-42E3-B703-9D63B9286A7B}"/>
    <cellStyle name="InputCells12 4 2 2 16" xfId="7130" xr:uid="{D13F5BED-435E-4C94-BDEB-A80CDB110355}"/>
    <cellStyle name="InputCells12 4 2 2 17" xfId="8703" xr:uid="{9F686821-FC2A-45C5-8E8A-6F346827CFD7}"/>
    <cellStyle name="InputCells12 4 2 2 18" xfId="9765" xr:uid="{D461342A-16A1-4877-8013-06DBC5351794}"/>
    <cellStyle name="InputCells12 4 2 2 19" xfId="10234" xr:uid="{8A3F0BB7-D8A3-44E8-B6A0-796271DAAD70}"/>
    <cellStyle name="InputCells12 4 2 2 2" xfId="1305" xr:uid="{6294B62C-FEE1-452E-9FA4-990EA4A842CC}"/>
    <cellStyle name="InputCells12 4 2 2 20" xfId="10631" xr:uid="{3C49CCDA-8E6F-478E-AB13-51AF7F795BEA}"/>
    <cellStyle name="InputCells12 4 2 2 21" xfId="10351" xr:uid="{A11CCC8E-F957-4AF9-8A05-922E3E0A8DD2}"/>
    <cellStyle name="InputCells12 4 2 2 22" xfId="10888" xr:uid="{A4922715-80D0-446A-B3EE-B57895B10109}"/>
    <cellStyle name="InputCells12 4 2 2 23" xfId="12184" xr:uid="{F2D9822D-114C-4712-8BFF-6BE442E0988E}"/>
    <cellStyle name="InputCells12 4 2 2 24" xfId="12657" xr:uid="{B8B7AF78-B7A2-4007-88B6-08787E653A31}"/>
    <cellStyle name="InputCells12 4 2 2 25" xfId="13091" xr:uid="{487FF939-03FF-46BF-B34D-D0D41D4EEA65}"/>
    <cellStyle name="InputCells12 4 2 2 26" xfId="13528" xr:uid="{2F30B4A8-40EF-4036-8131-29702D3E9A4E}"/>
    <cellStyle name="InputCells12 4 2 2 27" xfId="11669" xr:uid="{6D31EE1F-294C-4AB2-BEE6-02469BBF5144}"/>
    <cellStyle name="InputCells12 4 2 2 28" xfId="13981" xr:uid="{AFF3FE6E-D1B3-4384-8102-E55C07F5AD01}"/>
    <cellStyle name="InputCells12 4 2 2 29" xfId="14882" xr:uid="{D4C13BB5-8B01-471F-81BB-CA497799AC20}"/>
    <cellStyle name="InputCells12 4 2 2 3" xfId="1500" xr:uid="{D53929EB-1FA0-461F-B60B-64F764ED340A}"/>
    <cellStyle name="InputCells12 4 2 2 30" xfId="15018" xr:uid="{7C04C7F0-31A2-4809-B0A4-A9180DA4C414}"/>
    <cellStyle name="InputCells12 4 2 2 31" xfId="15613" xr:uid="{BFF4B37F-1F2D-472E-82B8-F77ABC51BC2C}"/>
    <cellStyle name="InputCells12 4 2 2 32" xfId="15980" xr:uid="{7D8D4A15-30C7-459A-9E38-287DD2A0575F}"/>
    <cellStyle name="InputCells12 4 2 2 33" xfId="16876" xr:uid="{7BE76B40-BD72-4504-B57D-012CB95B078A}"/>
    <cellStyle name="InputCells12 4 2 2 34" xfId="17355" xr:uid="{6133C1CC-B859-4319-9861-4CE8FB1BC278}"/>
    <cellStyle name="InputCells12 4 2 2 35" xfId="17797" xr:uid="{D5393D15-AE88-445F-935C-6755CBCDF155}"/>
    <cellStyle name="InputCells12 4 2 2 36" xfId="17995" xr:uid="{B0B8CCF0-AFA1-4E67-A396-291B8063C192}"/>
    <cellStyle name="InputCells12 4 2 2 37" xfId="18694" xr:uid="{A60D6D03-3224-4521-B5AF-BCB698C3C311}"/>
    <cellStyle name="InputCells12 4 2 2 38" xfId="18781" xr:uid="{F0AA4A9F-BA09-49F5-93B9-86532131BEB9}"/>
    <cellStyle name="InputCells12 4 2 2 39" xfId="17932" xr:uid="{4AFA6D0C-9512-4998-B9F4-1F7C48CF484C}"/>
    <cellStyle name="InputCells12 4 2 2 4" xfId="2653" xr:uid="{2237CC57-0ED5-4F6A-A8D5-D7EFC20BC845}"/>
    <cellStyle name="InputCells12 4 2 2 40" xfId="20213" xr:uid="{EB0DCCB0-3108-44E6-A37B-BCFC9301DE3A}"/>
    <cellStyle name="InputCells12 4 2 2 41" xfId="20706" xr:uid="{F2AA5BD8-0C80-4EC7-96B3-49ED3B46E09F}"/>
    <cellStyle name="InputCells12 4 2 2 42" xfId="21163" xr:uid="{AFE5DAC4-8EF5-4C22-AA34-40FC8EF5855E}"/>
    <cellStyle name="InputCells12 4 2 2 43" xfId="21149" xr:uid="{3C571271-386D-4AB4-976F-2A7B98DB7373}"/>
    <cellStyle name="InputCells12 4 2 2 44" xfId="22094" xr:uid="{DB6B58EF-4EBE-4C86-8E46-4EC1FFF64F31}"/>
    <cellStyle name="InputCells12 4 2 2 45" xfId="22522" xr:uid="{0CAC0EB6-AB37-4FE1-98F1-09E902DF83D7}"/>
    <cellStyle name="InputCells12 4 2 2 46" xfId="22045" xr:uid="{EC090D26-0ED2-47F6-B679-4BFB7FDF4988}"/>
    <cellStyle name="InputCells12 4 2 2 47" xfId="23052" xr:uid="{6914E39C-E89A-4204-93B2-7DBF0D964830}"/>
    <cellStyle name="InputCells12 4 2 2 48" xfId="22713" xr:uid="{656E9A41-0CF8-4920-8E84-E7D943B054B9}"/>
    <cellStyle name="InputCells12 4 2 2 49" xfId="24013" xr:uid="{45DF9069-721F-42FA-B020-78C12CB4EB3F}"/>
    <cellStyle name="InputCells12 4 2 2 5" xfId="2169" xr:uid="{CD1233FB-6E43-4FB5-8008-798A96989DBC}"/>
    <cellStyle name="InputCells12 4 2 2 50" xfId="24921" xr:uid="{8A96CE2E-477B-4224-8411-D6591465CEFA}"/>
    <cellStyle name="InputCells12 4 2 2 51" xfId="25409" xr:uid="{CE7455FB-5B25-4FEF-8C5E-82593EDFD430}"/>
    <cellStyle name="InputCells12 4 2 2 52" xfId="25837" xr:uid="{6ECB5D0D-AAD6-4118-8ADC-997571672633}"/>
    <cellStyle name="InputCells12 4 2 2 53" xfId="25363" xr:uid="{9A8A0A16-547C-4472-9971-8EB7B667DCA5}"/>
    <cellStyle name="InputCells12 4 2 2 54" xfId="26541" xr:uid="{63549283-5CC8-4876-895F-6FCB629032CE}"/>
    <cellStyle name="InputCells12 4 2 2 55" xfId="27125" xr:uid="{ADCDD5F0-7341-4C53-8513-1E7A87E70E5D}"/>
    <cellStyle name="InputCells12 4 2 2 56" xfId="27544" xr:uid="{F10A7CAB-0FDB-4307-947F-86BB19185B24}"/>
    <cellStyle name="InputCells12 4 2 2 57" xfId="26781" xr:uid="{80665D2D-D824-4B17-A0C9-677ECC6DFBF6}"/>
    <cellStyle name="InputCells12 4 2 2 58" xfId="28671" xr:uid="{DFDE5FD5-3503-4886-812C-2775A8C64B2E}"/>
    <cellStyle name="InputCells12 4 2 2 59" xfId="29138" xr:uid="{839D54FC-5D44-4EC6-953C-6146581A4947}"/>
    <cellStyle name="InputCells12 4 2 2 6" xfId="3543" xr:uid="{23FC20E8-8529-44FF-9D88-309DDA94D327}"/>
    <cellStyle name="InputCells12 4 2 2 60" xfId="29524" xr:uid="{C15CE7CE-BF4B-409D-B302-9E4D318E5197}"/>
    <cellStyle name="InputCells12 4 2 2 61" xfId="29927" xr:uid="{089D0B49-6BA2-444B-B407-49C362E4E9F1}"/>
    <cellStyle name="InputCells12 4 2 2 62" xfId="30333" xr:uid="{4BDDEF0A-6A50-4A32-9C50-338EDE5295BC}"/>
    <cellStyle name="InputCells12 4 2 2 63" xfId="30750" xr:uid="{D72D4B2E-2CA6-4C90-8504-5772AA8392ED}"/>
    <cellStyle name="InputCells12 4 2 2 64" xfId="28316" xr:uid="{AF61470F-3377-43BE-87F2-6A5F307509A7}"/>
    <cellStyle name="InputCells12 4 2 2 65" xfId="31366" xr:uid="{59C21A0A-0A65-4242-BDAD-AF96B83FAF1C}"/>
    <cellStyle name="InputCells12 4 2 2 7" xfId="4149" xr:uid="{ADE73231-80B4-4B52-9049-BFE3FA619520}"/>
    <cellStyle name="InputCells12 4 2 2 8" xfId="4586" xr:uid="{A17CBED3-3207-4B4C-BBBE-F612E0E5E2E9}"/>
    <cellStyle name="InputCells12 4 2 2 9" xfId="3547" xr:uid="{98C910CE-E77A-4251-B5BA-681DE6D289DB}"/>
    <cellStyle name="InputCells12 4 2 20" xfId="9945" xr:uid="{3EA2A3C8-9A81-42A8-9DF0-8E5CBAEDB159}"/>
    <cellStyle name="InputCells12 4 2 21" xfId="10375" xr:uid="{581CF3DF-CC2B-4886-B9AD-FC9A375B80AD}"/>
    <cellStyle name="InputCells12 4 2 22" xfId="10844" xr:uid="{28CE9264-DCA6-4412-A715-9CFF04B11BAF}"/>
    <cellStyle name="InputCells12 4 2 23" xfId="10106" xr:uid="{2EAAE959-23E6-41A8-B11F-2D96B04A4573}"/>
    <cellStyle name="InputCells12 4 2 24" xfId="11969" xr:uid="{18B95120-692F-4A4D-8AB5-D5249FF4271A}"/>
    <cellStyle name="InputCells12 4 2 25" xfId="12442" xr:uid="{7A6AF2F4-95A0-4D85-B3DA-318D1CC024DF}"/>
    <cellStyle name="InputCells12 4 2 26" xfId="12876" xr:uid="{FC8A0D99-FE96-40EC-AA3D-BF0DB6D11CD4}"/>
    <cellStyle name="InputCells12 4 2 27" xfId="13313" xr:uid="{94BF011B-8767-411C-BE7D-81C92DB65DEC}"/>
    <cellStyle name="InputCells12 4 2 28" xfId="11528" xr:uid="{579CB3A1-60D3-4886-B4F3-F7CBA9C088DE}"/>
    <cellStyle name="InputCells12 4 2 29" xfId="13715" xr:uid="{EB67597F-06CA-43E7-8E26-F6C90DADA714}"/>
    <cellStyle name="InputCells12 4 2 3" xfId="1099" xr:uid="{4E9564BF-5837-4D05-81C7-91E1158AD3D7}"/>
    <cellStyle name="InputCells12 4 2 30" xfId="14655" xr:uid="{E77E1592-7AE1-4386-B894-C0A26B62C5AB}"/>
    <cellStyle name="InputCells12 4 2 31" xfId="15053" xr:uid="{FE785482-42B3-4FEE-8ADF-BB7D48AB510C}"/>
    <cellStyle name="InputCells12 4 2 32" xfId="15659" xr:uid="{D80858E9-2939-4869-9FF2-5CD722DBFEBC}"/>
    <cellStyle name="InputCells12 4 2 33" xfId="15825" xr:uid="{7F6024FE-DB30-430D-B34E-E5224A54FDE8}"/>
    <cellStyle name="InputCells12 4 2 34" xfId="16661" xr:uid="{EE625A43-C029-4808-8CA2-B9CB7689C5D2}"/>
    <cellStyle name="InputCells12 4 2 35" xfId="17059" xr:uid="{3C171BD8-EA20-4705-BEBF-EEF36E83BA0C}"/>
    <cellStyle name="InputCells12 4 2 36" xfId="17505" xr:uid="{818D8D66-D341-4D64-A3EB-19192C3D6683}"/>
    <cellStyle name="InputCells12 4 2 37" xfId="18107" xr:uid="{D51FFC68-C859-429F-81EF-2528B1BC7291}"/>
    <cellStyle name="InputCells12 4 2 38" xfId="18479" xr:uid="{2824634C-49AB-4EEB-BF48-069A305B4D92}"/>
    <cellStyle name="InputCells12 4 2 39" xfId="17518" xr:uid="{2301A8D2-B27F-4210-B8B6-52F396A4888F}"/>
    <cellStyle name="InputCells12 4 2 4" xfId="1728" xr:uid="{7F88AF45-B137-4203-97D9-0533B1A2B686}"/>
    <cellStyle name="InputCells12 4 2 40" xfId="17435" xr:uid="{035911F8-DC54-4E60-8D41-194D1055E574}"/>
    <cellStyle name="InputCells12 4 2 41" xfId="19998" xr:uid="{7EEBBFF8-1433-485C-9FF2-515551856CF7}"/>
    <cellStyle name="InputCells12 4 2 42" xfId="20411" xr:uid="{5B04893D-8B59-4D75-94DB-3143D77C94A5}"/>
    <cellStyle name="InputCells12 4 2 43" xfId="20864" xr:uid="{4B2AADDD-2D59-4A5F-BB83-F79005F38AB3}"/>
    <cellStyle name="InputCells12 4 2 44" xfId="21437" xr:uid="{33643EBE-A6D1-4D5D-8F05-C53347FBE266}"/>
    <cellStyle name="InputCells12 4 2 45" xfId="21796" xr:uid="{D4A700FD-5F09-4FC9-B4AD-48EAAEFBC9E0}"/>
    <cellStyle name="InputCells12 4 2 46" xfId="22233" xr:uid="{152D3010-4414-4F2A-9C1A-E3C23C50BB16}"/>
    <cellStyle name="InputCells12 4 2 47" xfId="21339" xr:uid="{BF833A50-4F77-4F96-B635-C9D4CE14D040}"/>
    <cellStyle name="InputCells12 4 2 48" xfId="21340" xr:uid="{BECFA0C1-BC72-41A4-AD03-A5BF153C9921}"/>
    <cellStyle name="InputCells12 4 2 49" xfId="23650" xr:uid="{998AA417-EDC4-4897-80CD-A0781AD014E6}"/>
    <cellStyle name="InputCells12 4 2 5" xfId="2438" xr:uid="{8FE22EAD-A94A-49D2-9228-F63BD9F6CEA6}"/>
    <cellStyle name="InputCells12 4 2 50" xfId="23807" xr:uid="{9EEBF16B-BF3A-4753-93E7-8D85291DE73A}"/>
    <cellStyle name="InputCells12 4 2 51" xfId="24706" xr:uid="{A5354F04-D0C7-4634-9892-DC419E307CFA}"/>
    <cellStyle name="InputCells12 4 2 52" xfId="25119" xr:uid="{21EEAC8F-222F-41B6-858D-6E7D1885BC56}"/>
    <cellStyle name="InputCells12 4 2 53" xfId="25624" xr:uid="{0706EE65-088B-4024-9EEE-319049D077C7}"/>
    <cellStyle name="InputCells12 4 2 54" xfId="25710" xr:uid="{402ED5C5-E4D9-4A51-AC87-0BA73EB23723}"/>
    <cellStyle name="InputCells12 4 2 55" xfId="26144" xr:uid="{C0AAD08D-631C-494B-8726-96294455C3C4}"/>
    <cellStyle name="InputCells12 4 2 56" xfId="26914" xr:uid="{1E1288FA-FC57-4538-8616-DB7B393C8788}"/>
    <cellStyle name="InputCells12 4 2 57" xfId="27333" xr:uid="{CC3DCAD4-9547-4978-9744-75C5B1821A6F}"/>
    <cellStyle name="InputCells12 4 2 58" xfId="27785" xr:uid="{0C247D3F-3B06-4996-A4A1-8F3918F587B1}"/>
    <cellStyle name="InputCells12 4 2 59" xfId="28456" xr:uid="{4BF0ADC0-F113-454A-8DBB-69CFC817F3D9}"/>
    <cellStyle name="InputCells12 4 2 6" xfId="1909" xr:uid="{1BD1B1B0-F456-4E0E-A641-83DF8B1ADCF3}"/>
    <cellStyle name="InputCells12 4 2 60" xfId="28924" xr:uid="{C7B28426-8CBB-4FAA-B6F5-89BBCC363B85}"/>
    <cellStyle name="InputCells12 4 2 61" xfId="29274" xr:uid="{3564E7B1-F797-4B11-9275-B8A07F0F5033}"/>
    <cellStyle name="InputCells12 4 2 62" xfId="29714" xr:uid="{FC8D7A6C-5987-427E-9339-E890798EDCC6}"/>
    <cellStyle name="InputCells12 4 2 63" xfId="30122" xr:uid="{A6E65038-49C1-4DF0-B35F-6B1A93D9A718}"/>
    <cellStyle name="InputCells12 4 2 64" xfId="30536" xr:uid="{3C468A55-EF86-4AB1-BE92-7A1A376DB93B}"/>
    <cellStyle name="InputCells12 4 2 65" xfId="27922" xr:uid="{8202BE78-0A5D-43A4-A371-CBAB9A68B164}"/>
    <cellStyle name="InputCells12 4 2 66" xfId="31160" xr:uid="{72F01313-52E8-4458-A012-5EE36C768922}"/>
    <cellStyle name="InputCells12 4 2 7" xfId="1864" xr:uid="{5B110120-DD2E-4ECC-B1F0-C522854D9223}"/>
    <cellStyle name="InputCells12 4 2 8" xfId="3934" xr:uid="{5B87E159-C970-4D5B-A736-9CEC9C11B8B2}"/>
    <cellStyle name="InputCells12 4 2 9" xfId="4372" xr:uid="{87BEFDA4-C40B-45CD-8976-156959389D2B}"/>
    <cellStyle name="InputCells12 4 20" xfId="8433" xr:uid="{D31C19C2-4B2F-4E63-B051-04843C7F6AB3}"/>
    <cellStyle name="InputCells12 4 21" xfId="9221" xr:uid="{C3E030EF-DD37-4AD3-96ED-A123C36CF555}"/>
    <cellStyle name="InputCells12 4 22" xfId="9848" xr:uid="{573E207F-7F77-474B-93E0-5D7E420FA4D2}"/>
    <cellStyle name="InputCells12 4 23" xfId="9392" xr:uid="{6B2B4829-E173-4B65-A663-B4090724D68E}"/>
    <cellStyle name="InputCells12 4 24" xfId="10931" xr:uid="{B081591A-FF99-4B37-B900-9669BE6843B7}"/>
    <cellStyle name="InputCells12 4 25" xfId="10840" xr:uid="{7FD4FCAC-DFDE-4353-87AC-92CB88D933FC}"/>
    <cellStyle name="InputCells12 4 26" xfId="11634" xr:uid="{79BA8C5B-9918-4011-9980-736303A80A36}"/>
    <cellStyle name="InputCells12 4 27" xfId="11763" xr:uid="{C6D6872F-EE8A-4821-B420-39C15D9AAB21}"/>
    <cellStyle name="InputCells12 4 28" xfId="11813" xr:uid="{268DAB5C-DD00-4435-A490-1FC75EBB8F9D}"/>
    <cellStyle name="InputCells12 4 29" xfId="11719" xr:uid="{652F6FFB-91A8-4EC2-BE79-2ED4F00B4367}"/>
    <cellStyle name="InputCells12 4 3" xfId="541" xr:uid="{780EBBCB-37A1-436C-87BF-C89EDB91F0DE}"/>
    <cellStyle name="InputCells12 4 3 10" xfId="4931" xr:uid="{6AC98077-B77C-43D2-ACED-FE42090B14F9}"/>
    <cellStyle name="InputCells12 4 3 11" xfId="5189" xr:uid="{9759B152-CBB0-4E0C-B802-B7A0908BFB97}"/>
    <cellStyle name="InputCells12 4 3 12" xfId="5127" xr:uid="{0848E480-56ED-4599-BE1E-C2989B79DAD7}"/>
    <cellStyle name="InputCells12 4 3 13" xfId="5560" xr:uid="{ADD2B036-D008-47E8-A3AB-8F796B8FC544}"/>
    <cellStyle name="InputCells12 4 3 14" xfId="6547" xr:uid="{4522B7E6-0D56-4029-BDC5-9858368BFD48}"/>
    <cellStyle name="InputCells12 4 3 15" xfId="7261" xr:uid="{8A9E29AC-8439-4387-B5BC-2E32452A8F0F}"/>
    <cellStyle name="InputCells12 4 3 16" xfId="7881" xr:uid="{78B6A875-832D-4989-8F6F-D33729B8E090}"/>
    <cellStyle name="InputCells12 4 3 17" xfId="8161" xr:uid="{82B0266D-42EC-4316-9B9E-03191212137E}"/>
    <cellStyle name="InputCells12 4 3 18" xfId="8566" xr:uid="{D61D44C6-7226-4049-9F19-92987703498E}"/>
    <cellStyle name="InputCells12 4 3 19" xfId="9475" xr:uid="{9E5255CA-8209-47D5-85D8-6E2498BBE617}"/>
    <cellStyle name="InputCells12 4 3 2" xfId="756" xr:uid="{2A108688-A165-45ED-B60D-5D5B8D36BCFE}"/>
    <cellStyle name="InputCells12 4 3 2 10" xfId="5404" xr:uid="{67B54A86-10F9-4238-AB07-4ACF0605116B}"/>
    <cellStyle name="InputCells12 4 3 2 11" xfId="5667" xr:uid="{7D5C90C8-A1FF-4CE5-8A11-FB3BB44EC058}"/>
    <cellStyle name="InputCells12 4 3 2 12" xfId="6036" xr:uid="{47E3BF85-9956-434E-953C-D1AE1F78CFCB}"/>
    <cellStyle name="InputCells12 4 3 2 13" xfId="5612" xr:uid="{BD05B404-458F-4526-8623-64EF3CDDB4C1}"/>
    <cellStyle name="InputCells12 4 3 2 14" xfId="7476" xr:uid="{4EB87CF9-72C1-45CE-844C-0382509F29FF}"/>
    <cellStyle name="InputCells12 4 3 2 15" xfId="6961" xr:uid="{1B1A9579-0EBC-437A-A55E-2808E8B1B4D0}"/>
    <cellStyle name="InputCells12 4 3 2 16" xfId="8572" xr:uid="{DCE2DA31-CA79-4FE4-AB6A-9401D0D98A56}"/>
    <cellStyle name="InputCells12 4 3 2 17" xfId="8820" xr:uid="{713DA3E7-9F70-45C5-B167-FFD8EC69139A}"/>
    <cellStyle name="InputCells12 4 3 2 18" xfId="9690" xr:uid="{CD2DA6B5-14DA-4370-84B5-92CEA605B5AA}"/>
    <cellStyle name="InputCells12 4 3 2 19" xfId="9174" xr:uid="{051083D3-FA6F-472B-A747-E24453FF2898}"/>
    <cellStyle name="InputCells12 4 3 2 2" xfId="1230" xr:uid="{4781AEF2-3EF6-4AA6-AD1E-6E0F26576C60}"/>
    <cellStyle name="InputCells12 4 3 2 20" xfId="9096" xr:uid="{140B90CB-A917-4F26-B0B1-F120CCAB2288}"/>
    <cellStyle name="InputCells12 4 3 2 21" xfId="10511" xr:uid="{139ECAC0-26C4-4A50-B743-17EFB90C4871}"/>
    <cellStyle name="InputCells12 4 3 2 22" xfId="11277" xr:uid="{B08B0613-6045-4265-8B81-43BBE1E901B8}"/>
    <cellStyle name="InputCells12 4 3 2 23" xfId="12109" xr:uid="{F78C5207-DA57-4011-BC21-8893DC432A59}"/>
    <cellStyle name="InputCells12 4 3 2 24" xfId="12582" xr:uid="{EA5E9F99-7E24-468A-AFEE-BDE5029D856A}"/>
    <cellStyle name="InputCells12 4 3 2 25" xfId="13016" xr:uid="{218AB1AE-813B-4C99-B97E-FF70E37759BB}"/>
    <cellStyle name="InputCells12 4 3 2 26" xfId="13453" xr:uid="{14B2F1C8-0CFF-4A3E-8A5A-5FEF63CB3A56}"/>
    <cellStyle name="InputCells12 4 3 2 27" xfId="11819" xr:uid="{27065FDA-35E1-455E-BCA4-53751827D95E}"/>
    <cellStyle name="InputCells12 4 3 2 28" xfId="11589" xr:uid="{344A1E60-2E12-4276-BBDF-2CF06D5D6E27}"/>
    <cellStyle name="InputCells12 4 3 2 29" xfId="13879" xr:uid="{D9D63D9A-FBD5-43C0-9C39-6C8D69D52841}"/>
    <cellStyle name="InputCells12 4 3 2 3" xfId="1511" xr:uid="{2A690E0D-D1F4-4CAF-9D2A-0A0BF07EDC63}"/>
    <cellStyle name="InputCells12 4 3 2 30" xfId="15346" xr:uid="{6AE061C0-1683-4EDF-9DC8-2C98832DAC9B}"/>
    <cellStyle name="InputCells12 4 3 2 31" xfId="12268" xr:uid="{8D2256CB-2CFB-43C5-A3D0-FCBA1398293B}"/>
    <cellStyle name="InputCells12 4 3 2 32" xfId="15415" xr:uid="{6A67C29C-FFD1-42FE-A530-2520214D36FD}"/>
    <cellStyle name="InputCells12 4 3 2 33" xfId="16801" xr:uid="{21764AAD-FA3B-4D0E-9F4F-5E07CE36298F}"/>
    <cellStyle name="InputCells12 4 3 2 34" xfId="16280" xr:uid="{6B6C5400-FA06-4EF0-97CE-166413C1247E}"/>
    <cellStyle name="InputCells12 4 3 2 35" xfId="16199" xr:uid="{A240E9E4-BB22-42BE-9F07-69B145C60401}"/>
    <cellStyle name="InputCells12 4 3 2 36" xfId="16074" xr:uid="{AE051BF4-70D9-4E72-B6DC-88A4B39A979D}"/>
    <cellStyle name="InputCells12 4 3 2 37" xfId="18619" xr:uid="{AE7E82F5-03E8-4862-A062-DBCAC0B639C6}"/>
    <cellStyle name="InputCells12 4 3 2 38" xfId="18123" xr:uid="{0CB1FC05-5BAF-4810-8FFB-B2F89715C4DA}"/>
    <cellStyle name="InputCells12 4 3 2 39" xfId="18352" xr:uid="{F28FCFB0-3140-434B-9852-24175340E5CE}"/>
    <cellStyle name="InputCells12 4 3 2 4" xfId="2578" xr:uid="{8D9E983F-56B9-4773-A8B8-FE8177E67C02}"/>
    <cellStyle name="InputCells12 4 3 2 40" xfId="20138" xr:uid="{95FB30A8-BAC2-49BD-8124-3B2DCB4C8F16}"/>
    <cellStyle name="InputCells12 4 3 2 41" xfId="19613" xr:uid="{673217C1-035E-4CB6-9972-C8787DA33B44}"/>
    <cellStyle name="InputCells12 4 3 2 42" xfId="20403" xr:uid="{65284DCD-B9C4-4337-AAE8-BE31728A3B75}"/>
    <cellStyle name="InputCells12 4 3 2 43" xfId="21298" xr:uid="{F6EBA58C-D7E3-4CE4-AB2D-BBC95CE3D3D7}"/>
    <cellStyle name="InputCells12 4 3 2 44" xfId="21387" xr:uid="{7D8E6EA8-51CA-467D-82DD-9C4C466A8299}"/>
    <cellStyle name="InputCells12 4 3 2 45" xfId="21811" xr:uid="{A67009C0-FB95-4D25-9757-9BD5998B0C27}"/>
    <cellStyle name="InputCells12 4 3 2 46" xfId="22181" xr:uid="{C17E768B-4AD4-46D3-9AC9-48243E029E21}"/>
    <cellStyle name="InputCells12 4 3 2 47" xfId="21819" xr:uid="{FE13A5AF-FCE7-489D-9801-1949B93D6DFF}"/>
    <cellStyle name="InputCells12 4 3 2 48" xfId="23431" xr:uid="{3D8C379B-504B-4D17-AA32-CDBE7759DF1F}"/>
    <cellStyle name="InputCells12 4 3 2 49" xfId="23938" xr:uid="{FC21BF1A-CD8C-483E-8666-65479FA2723F}"/>
    <cellStyle name="InputCells12 4 3 2 5" xfId="2041" xr:uid="{E54C4BD2-37C2-4356-9090-564E4C9EE4B1}"/>
    <cellStyle name="InputCells12 4 3 2 50" xfId="24846" xr:uid="{1C33F31F-5175-4274-BED2-250F1B24C705}"/>
    <cellStyle name="InputCells12 4 3 2 51" xfId="24241" xr:uid="{3F3C630B-485B-4B22-AA00-AE239A31C3A0}"/>
    <cellStyle name="InputCells12 4 3 2 52" xfId="25762" xr:uid="{0ACE2577-AC45-4D4F-8C2B-9AE1653D7B18}"/>
    <cellStyle name="InputCells12 4 3 2 53" xfId="25920" xr:uid="{6AFE7C48-5F39-48C1-8702-7FF996390C35}"/>
    <cellStyle name="InputCells12 4 3 2 54" xfId="26385" xr:uid="{62F4E33C-FB5F-443C-912B-813D76D8BDCB}"/>
    <cellStyle name="InputCells12 4 3 2 55" xfId="27050" xr:uid="{4FF2BF2C-38F7-42AB-B4A3-9A1F657E89DE}"/>
    <cellStyle name="InputCells12 4 3 2 56" xfId="27469" xr:uid="{E850C302-44FD-421A-8CCD-BC3836244119}"/>
    <cellStyle name="InputCells12 4 3 2 57" xfId="27193" xr:uid="{DEDBCFDD-E19D-4F41-939A-5DBABD63B32B}"/>
    <cellStyle name="InputCells12 4 3 2 58" xfId="28596" xr:uid="{7372011D-B2BD-4C4E-9632-8D191E1E3023}"/>
    <cellStyle name="InputCells12 4 3 2 59" xfId="29063" xr:uid="{4046F7BE-DB5D-4B57-950E-03CEDD93AD69}"/>
    <cellStyle name="InputCells12 4 3 2 6" xfId="3439" xr:uid="{4E505A8B-FB9D-41B7-8366-40D930E35257}"/>
    <cellStyle name="InputCells12 4 3 2 60" xfId="28738" xr:uid="{C5C3DAC5-9340-4412-A553-FAEA4F64C695}"/>
    <cellStyle name="InputCells12 4 3 2 61" xfId="29852" xr:uid="{97AFC114-3A6C-474B-AB5B-7EF8A66E5761}"/>
    <cellStyle name="InputCells12 4 3 2 62" xfId="30258" xr:uid="{6E985740-6A8B-4E1E-94F4-0E69BD382FE9}"/>
    <cellStyle name="InputCells12 4 3 2 63" xfId="30675" xr:uid="{45578297-324A-4330-8A9D-E45668571691}"/>
    <cellStyle name="InputCells12 4 3 2 64" xfId="29427" xr:uid="{3C2E088E-105F-47D5-B348-450940E78D43}"/>
    <cellStyle name="InputCells12 4 3 2 65" xfId="31291" xr:uid="{089047A2-AA06-4DA7-902A-FCF08F67F803}"/>
    <cellStyle name="InputCells12 4 3 2 7" xfId="4074" xr:uid="{57B403D8-9EC8-4591-8478-07745F671975}"/>
    <cellStyle name="InputCells12 4 3 2 8" xfId="4511" xr:uid="{F251DFF3-B1AB-433B-B82E-187298ED174D}"/>
    <cellStyle name="InputCells12 4 3 2 9" xfId="4236" xr:uid="{07C73246-8AE0-4D07-808E-40A948DB1792}"/>
    <cellStyle name="InputCells12 4 3 20" xfId="10095" xr:uid="{A9CEFE95-F898-4AE0-911B-9F1FF5B1712B}"/>
    <cellStyle name="InputCells12 4 3 21" xfId="10510" xr:uid="{EBF14D05-446F-4631-AA13-C8E42FBDDF3B}"/>
    <cellStyle name="InputCells12 4 3 22" xfId="10811" xr:uid="{C5BFC865-27F2-46A6-B4ED-43A46A68191A}"/>
    <cellStyle name="InputCells12 4 3 23" xfId="11057" xr:uid="{3D6A2BC5-DF8B-4A3B-B539-1C7534087F00}"/>
    <cellStyle name="InputCells12 4 3 24" xfId="11894" xr:uid="{211966D8-4069-4CAF-9DBC-5B7141C8DDAB}"/>
    <cellStyle name="InputCells12 4 3 25" xfId="12367" xr:uid="{63836E60-006D-42D6-8867-04402F305720}"/>
    <cellStyle name="InputCells12 4 3 26" xfId="12801" xr:uid="{A9BB8532-043E-4F9F-82BA-5B0F7CED8B31}"/>
    <cellStyle name="InputCells12 4 3 27" xfId="13238" xr:uid="{79CE65D8-1CA0-4BF0-BDA9-2DB68526FF93}"/>
    <cellStyle name="InputCells12 4 3 28" xfId="12279" xr:uid="{2F815430-7694-4B6A-8AEB-1F018B85E3F5}"/>
    <cellStyle name="InputCells12 4 3 29" xfId="14145" xr:uid="{D4D73CBA-5FE9-41CB-9BA0-EDED12E9001C}"/>
    <cellStyle name="InputCells12 4 3 3" xfId="1024" xr:uid="{23E17E98-9BA7-4C6F-B0A3-A612FAC9CDDE}"/>
    <cellStyle name="InputCells12 4 3 30" xfId="14616" xr:uid="{22164FFD-135A-439F-B6D4-F5574A6ED2ED}"/>
    <cellStyle name="InputCells12 4 3 31" xfId="15013" xr:uid="{BF0794C1-8356-4E81-94BA-E332B8D198D4}"/>
    <cellStyle name="InputCells12 4 3 32" xfId="13662" xr:uid="{BCAB5BC3-2447-4DB6-9A88-FE7A27B2F912}"/>
    <cellStyle name="InputCells12 4 3 33" xfId="15906" xr:uid="{5124C7D1-16F8-40D9-AC2A-DBD8F6B7FB18}"/>
    <cellStyle name="InputCells12 4 3 34" xfId="16586" xr:uid="{90005F1A-64CB-47DF-AEEA-A344FBA29108}"/>
    <cellStyle name="InputCells12 4 3 35" xfId="17213" xr:uid="{13F6F0D1-6542-4E1F-BC9A-9EEBA44055B1}"/>
    <cellStyle name="InputCells12 4 3 36" xfId="17659" xr:uid="{58F307CB-E3FA-44C2-9111-211C19E316ED}"/>
    <cellStyle name="InputCells12 4 3 37" xfId="17728" xr:uid="{F456BC23-620D-402B-A2AD-78DBBC1A6F2B}"/>
    <cellStyle name="InputCells12 4 3 38" xfId="18404" xr:uid="{B99E142E-5658-42D0-B48E-8C6C3959AA94}"/>
    <cellStyle name="InputCells12 4 3 39" xfId="17983" xr:uid="{0889B623-6044-4A5B-965A-8EBFA80C3109}"/>
    <cellStyle name="InputCells12 4 3 4" xfId="1606" xr:uid="{DDC7ADC7-E3FD-4CDD-9DBB-E454FBA9656B}"/>
    <cellStyle name="InputCells12 4 3 40" xfId="19182" xr:uid="{CACABCCC-E844-4416-BCE3-9BD5932F8278}"/>
    <cellStyle name="InputCells12 4 3 41" xfId="19923" xr:uid="{5420EB13-245B-411D-94F2-B553C04AEBC4}"/>
    <cellStyle name="InputCells12 4 3 42" xfId="20566" xr:uid="{EF5BD076-7437-4B91-8422-33129A063D47}"/>
    <cellStyle name="InputCells12 4 3 43" xfId="21019" xr:uid="{DEE721AC-C72A-4CF4-A31F-C079493E26EF}"/>
    <cellStyle name="InputCells12 4 3 44" xfId="20380" xr:uid="{7DD62F93-E554-48EB-9E1D-394A3CB23CBE}"/>
    <cellStyle name="InputCells12 4 3 45" xfId="21950" xr:uid="{BDCD4AF2-4E7C-433A-A6E3-447C5668BE49}"/>
    <cellStyle name="InputCells12 4 3 46" xfId="22381" xr:uid="{7CF77353-53FC-4F3B-8E64-5E154D875802}"/>
    <cellStyle name="InputCells12 4 3 47" xfId="21947" xr:uid="{34DD4C92-89B6-4BE8-A088-F6CE49A25C8A}"/>
    <cellStyle name="InputCells12 4 3 48" xfId="21447" xr:uid="{F07CC408-0CC9-4E7F-A004-20F70380E5BA}"/>
    <cellStyle name="InputCells12 4 3 49" xfId="23569" xr:uid="{FBD00359-ECD6-4020-9A41-2EA67B80BE44}"/>
    <cellStyle name="InputCells12 4 3 5" xfId="2363" xr:uid="{50AF5944-2B88-49FC-B2F6-D5C14B22C5F1}"/>
    <cellStyle name="InputCells12 4 3 50" xfId="23732" xr:uid="{CE6C2103-A137-4F37-8D93-10D220D7DF98}"/>
    <cellStyle name="InputCells12 4 3 51" xfId="24631" xr:uid="{DFA0F734-48DE-449D-96D8-D75A9C3292B5}"/>
    <cellStyle name="InputCells12 4 3 52" xfId="25274" xr:uid="{32D3AE48-DE77-4C84-9736-834452411187}"/>
    <cellStyle name="InputCells12 4 3 53" xfId="25549" xr:uid="{F1DF0B3A-0061-49B9-88A1-6BFB99AD8073}"/>
    <cellStyle name="InputCells12 4 3 54" xfId="24516" xr:uid="{676F171B-F615-4402-B0EF-8168EA3A74C0}"/>
    <cellStyle name="InputCells12 4 3 55" xfId="26227" xr:uid="{E6A7A168-D051-41BB-A96F-6E5293E0A82A}"/>
    <cellStyle name="InputCells12 4 3 56" xfId="26839" xr:uid="{1F74D430-D14A-42BF-9B16-A2FCAF723DE1}"/>
    <cellStyle name="InputCells12 4 3 57" xfId="27258" xr:uid="{3E842B44-0422-4C57-84D4-D0A3D8F3854F}"/>
    <cellStyle name="InputCells12 4 3 58" xfId="27715" xr:uid="{2834DA6E-8555-4B84-BE84-AE8E7EDDDF4F}"/>
    <cellStyle name="InputCells12 4 3 59" xfId="28381" xr:uid="{0AC4A6C7-8DBF-48D9-9629-DFF3287927AC}"/>
    <cellStyle name="InputCells12 4 3 6" xfId="2008" xr:uid="{0D90BBBC-E050-4C41-8445-D0913984368D}"/>
    <cellStyle name="InputCells12 4 3 60" xfId="28849" xr:uid="{66D78098-ED78-421F-9D2E-14C5A01A69FE}"/>
    <cellStyle name="InputCells12 4 3 61" xfId="29403" xr:uid="{1DE3266B-1A06-4C94-9F97-E5122EEA7F54}"/>
    <cellStyle name="InputCells12 4 3 62" xfId="29639" xr:uid="{89C22EF9-2902-4486-936A-4569BBAA0CF0}"/>
    <cellStyle name="InputCells12 4 3 63" xfId="30047" xr:uid="{1B3D5156-5946-45C2-9D33-9278F521D244}"/>
    <cellStyle name="InputCells12 4 3 64" xfId="30461" xr:uid="{72CD6CFD-DA8B-4D05-836E-7A2227DA40A4}"/>
    <cellStyle name="InputCells12 4 3 65" xfId="29227" xr:uid="{BFF7E7E9-7F44-4E76-B2CC-DDB20EA17EEE}"/>
    <cellStyle name="InputCells12 4 3 66" xfId="31085" xr:uid="{332899A5-0E8A-4E00-BD3E-D90984175510}"/>
    <cellStyle name="InputCells12 4 3 7" xfId="2974" xr:uid="{6C47DC35-C77B-4D1F-8D16-64D7ABD6130A}"/>
    <cellStyle name="InputCells12 4 3 8" xfId="3859" xr:uid="{B75A0F14-4B29-40F6-A352-ED9274F41B9F}"/>
    <cellStyle name="InputCells12 4 3 9" xfId="4297" xr:uid="{CC747A2F-CB26-4D16-823C-C94149D3E565}"/>
    <cellStyle name="InputCells12 4 30" xfId="11817" xr:uid="{13192B36-3ACF-46D8-9ED4-60119E2A1E30}"/>
    <cellStyle name="InputCells12 4 31" xfId="13855" xr:uid="{0DF3D31D-6585-40C1-8EF5-7FAB48E5CEE0}"/>
    <cellStyle name="InputCells12 4 32" xfId="14066" xr:uid="{9A7A2CFF-165B-4040-B04C-A0E4AD333AB1}"/>
    <cellStyle name="InputCells12 4 33" xfId="14187" xr:uid="{37F0F936-79CA-44F2-A7B5-1BEE95AC1560}"/>
    <cellStyle name="InputCells12 4 34" xfId="14561" xr:uid="{F148F194-D734-4753-B25B-9D1232ECE662}"/>
    <cellStyle name="InputCells12 4 35" xfId="15413" xr:uid="{D596040A-ED9E-4FDA-8C17-883C394DDFE1}"/>
    <cellStyle name="InputCells12 4 36" xfId="16329" xr:uid="{3979ED8F-9AEB-454F-9473-AE324706DA1A}"/>
    <cellStyle name="InputCells12 4 37" xfId="16964" xr:uid="{C8A1F242-3484-4E26-994A-6EC0A03CF4E0}"/>
    <cellStyle name="InputCells12 4 38" xfId="16047" xr:uid="{9EF19D18-F162-495F-BC55-C1AB7E11F387}"/>
    <cellStyle name="InputCells12 4 39" xfId="16443" xr:uid="{B96DD9A7-011D-4B3C-B8F9-D77746F566AC}"/>
    <cellStyle name="InputCells12 4 4" xfId="515" xr:uid="{DCCE8F4D-7D87-4BC7-8391-B41BD6E22C9A}"/>
    <cellStyle name="InputCells12 4 4 10" xfId="5040" xr:uid="{81717E00-C273-4FEF-8F47-1119EBEF7DC7}"/>
    <cellStyle name="InputCells12 4 4 11" xfId="5163" xr:uid="{B55F65D4-C98C-491D-AC26-C3D891A1B30F}"/>
    <cellStyle name="InputCells12 4 4 12" xfId="4684" xr:uid="{757FA18A-B9D5-4F3D-883A-EE401C699937}"/>
    <cellStyle name="InputCells12 4 4 13" xfId="4649" xr:uid="{F8BA6EA9-AD76-41C1-8CC6-A5B8533F4C9F}"/>
    <cellStyle name="InputCells12 4 4 14" xfId="6590" xr:uid="{55360F80-C31B-4873-B41E-9DA4A2AEDF46}"/>
    <cellStyle name="InputCells12 4 4 15" xfId="7235" xr:uid="{D326E2BF-B292-4C44-A159-02B942326E12}"/>
    <cellStyle name="InputCells12 4 4 16" xfId="7766" xr:uid="{6D1935F2-7D49-402A-A964-1D75F72174C6}"/>
    <cellStyle name="InputCells12 4 4 17" xfId="8150" xr:uid="{6712D893-2ADE-4F6A-BABB-8D7166EB37AD}"/>
    <cellStyle name="InputCells12 4 4 18" xfId="8527" xr:uid="{B72F39A9-95F0-4F8D-8DFD-7A0820788A2B}"/>
    <cellStyle name="InputCells12 4 4 19" xfId="9449" xr:uid="{FCC03048-D094-4B96-955F-6F23781BA129}"/>
    <cellStyle name="InputCells12 4 4 2" xfId="730" xr:uid="{3081BBD2-02FA-480D-8E7E-E247CC2F2CE1}"/>
    <cellStyle name="InputCells12 4 4 2 10" xfId="5378" xr:uid="{01652166-E7F5-4A04-AC26-EA1296391BC2}"/>
    <cellStyle name="InputCells12 4 4 2 11" xfId="4679" xr:uid="{9B5E1E6E-5F33-4AFE-9626-1AB80CBE064C}"/>
    <cellStyle name="InputCells12 4 4 2 12" xfId="6267" xr:uid="{76251DF8-0C3D-4906-835B-F89626D09983}"/>
    <cellStyle name="InputCells12 4 4 2 13" xfId="6683" xr:uid="{91AB6611-6D76-450A-BB50-C5D10192961C}"/>
    <cellStyle name="InputCells12 4 4 2 14" xfId="7450" xr:uid="{249CD354-0631-44F1-9BA2-942D5FEBBA0E}"/>
    <cellStyle name="InputCells12 4 4 2 15" xfId="6819" xr:uid="{B1135BD9-DE60-42C7-A288-A50BB36CEF12}"/>
    <cellStyle name="InputCells12 4 4 2 16" xfId="6892" xr:uid="{26419025-59AA-4FB5-9071-EA59C9EA4C34}"/>
    <cellStyle name="InputCells12 4 4 2 17" xfId="8835" xr:uid="{3398CBC3-D523-4060-B238-1CCEDF5062BD}"/>
    <cellStyle name="InputCells12 4 4 2 18" xfId="9664" xr:uid="{C4B9D9D5-F338-4E62-8F5A-367FFD575ABB}"/>
    <cellStyle name="InputCells12 4 4 2 19" xfId="9146" xr:uid="{0F5976FE-2E72-4BEF-9DAB-6AA62D448449}"/>
    <cellStyle name="InputCells12 4 4 2 2" xfId="1204" xr:uid="{C7E27C61-4ADC-4439-BF0A-3719D1E67DE1}"/>
    <cellStyle name="InputCells12 4 4 2 20" xfId="10074" xr:uid="{B194F804-7D56-442F-9B4E-026184FE421E}"/>
    <cellStyle name="InputCells12 4 4 2 21" xfId="10895" xr:uid="{24BF3F79-2B11-40E6-AA58-8C4F68C0E5B3}"/>
    <cellStyle name="InputCells12 4 4 2 22" xfId="11300" xr:uid="{8CA80C59-D8F8-4D18-9ACA-BDA574C3031D}"/>
    <cellStyle name="InputCells12 4 4 2 23" xfId="12083" xr:uid="{4465F717-4156-44F0-85A6-3FDD685A0223}"/>
    <cellStyle name="InputCells12 4 4 2 24" xfId="12556" xr:uid="{6C13C40B-5B64-41D8-AEEC-7A8506BBB664}"/>
    <cellStyle name="InputCells12 4 4 2 25" xfId="12990" xr:uid="{B49D29A6-15E2-4E5D-B20D-E353D0179BE8}"/>
    <cellStyle name="InputCells12 4 4 2 26" xfId="13427" xr:uid="{B8261D33-FB98-459C-A4D2-0AEA71D5055D}"/>
    <cellStyle name="InputCells12 4 4 2 27" xfId="13685" xr:uid="{172A63FE-8194-41A8-BE44-0DE7B7FAEF6F}"/>
    <cellStyle name="InputCells12 4 4 2 28" xfId="13717" xr:uid="{6756AC2C-0EDB-488C-AC18-F1E0C2392561}"/>
    <cellStyle name="InputCells12 4 4 2 29" xfId="12250" xr:uid="{FD3148B8-55D7-4800-A5D5-38667DDDC7AF}"/>
    <cellStyle name="InputCells12 4 4 2 3" xfId="1441" xr:uid="{143ACD98-5B71-41DC-B603-A3AEC0A5CC77}"/>
    <cellStyle name="InputCells12 4 4 2 30" xfId="14234" xr:uid="{F001E5E5-26C8-4139-A72F-E205677C33A4}"/>
    <cellStyle name="InputCells12 4 4 2 31" xfId="15741" xr:uid="{F8DD5CDF-C7E6-4E85-818E-4E69CEC44095}"/>
    <cellStyle name="InputCells12 4 4 2 32" xfId="15464" xr:uid="{189DBD3B-8474-4370-920E-0D0158B5F29C}"/>
    <cellStyle name="InputCells12 4 4 2 33" xfId="16775" xr:uid="{C72C378B-9234-4C54-95A6-BE87EEF956EB}"/>
    <cellStyle name="InputCells12 4 4 2 34" xfId="16131" xr:uid="{DF6E0CBA-7D6C-4286-B42D-0460E119B7F3}"/>
    <cellStyle name="InputCells12 4 4 2 35" xfId="16998" xr:uid="{87490EDC-890C-4596-97E0-91AC64F49215}"/>
    <cellStyle name="InputCells12 4 4 2 36" xfId="18257" xr:uid="{801982B4-0CFB-491A-A5B6-EA2B9F0AC31F}"/>
    <cellStyle name="InputCells12 4 4 2 37" xfId="18593" xr:uid="{2676F7C2-0FB4-4D75-A803-51B0836EAB95}"/>
    <cellStyle name="InputCells12 4 4 2 38" xfId="19081" xr:uid="{175669F2-52B8-45BB-BC23-B5FEBC2616E4}"/>
    <cellStyle name="InputCells12 4 4 2 39" xfId="19203" xr:uid="{49407123-A75F-488E-9A00-6F03A219180C}"/>
    <cellStyle name="InputCells12 4 4 2 4" xfId="2552" xr:uid="{E5362BA2-B762-476A-8AB9-47FA0D5E8FEA}"/>
    <cellStyle name="InputCells12 4 4 2 40" xfId="20112" xr:uid="{6CF65510-1C68-482C-9BAA-B800A29C94F5}"/>
    <cellStyle name="InputCells12 4 4 2 41" xfId="19760" xr:uid="{CB86DAFD-C123-470E-86E8-C1DD1C72DA01}"/>
    <cellStyle name="InputCells12 4 4 2 42" xfId="20452" xr:uid="{A3E5BDBC-991A-4C45-BD53-BB60CD77797D}"/>
    <cellStyle name="InputCells12 4 4 2 43" xfId="21508" xr:uid="{16631BDA-B413-41BD-A6F8-503C75754E8F}"/>
    <cellStyle name="InputCells12 4 4 2 44" xfId="21512" xr:uid="{79C7291B-E613-4655-9EB2-25C35AAF2F14}"/>
    <cellStyle name="InputCells12 4 4 2 45" xfId="21471" xr:uid="{9D778F6B-C076-41F2-B41F-FC20F41AAC63}"/>
    <cellStyle name="InputCells12 4 4 2 46" xfId="22684" xr:uid="{F06C6487-976B-4834-B52A-58833F892819}"/>
    <cellStyle name="InputCells12 4 4 2 47" xfId="23359" xr:uid="{A2683304-232C-4C82-B446-E66553AE5DBB}"/>
    <cellStyle name="InputCells12 4 4 2 48" xfId="23467" xr:uid="{D2D51951-D869-4D63-A228-C03B15ADC52B}"/>
    <cellStyle name="InputCells12 4 4 2 49" xfId="23912" xr:uid="{EFC6112A-4B54-41D3-AB76-D4BC8F26D68B}"/>
    <cellStyle name="InputCells12 4 4 2 5" xfId="2850" xr:uid="{EFDFD4C1-F756-4E32-B956-13AD5EF1AC54}"/>
    <cellStyle name="InputCells12 4 4 2 50" xfId="24820" xr:uid="{273FFA16-23AF-4476-9184-96D2A0317DA0}"/>
    <cellStyle name="InputCells12 4 4 2 51" xfId="24982" xr:uid="{0856902C-D60D-477D-96F1-B37A1E7E54E3}"/>
    <cellStyle name="InputCells12 4 4 2 52" xfId="25736" xr:uid="{FBC76443-6FC2-4849-B2FA-3EDB64F8775C}"/>
    <cellStyle name="InputCells12 4 4 2 53" xfId="25988" xr:uid="{D54D1990-AE7A-4841-AAE7-9B5B76C2BF77}"/>
    <cellStyle name="InputCells12 4 4 2 54" xfId="25075" xr:uid="{523762EA-92E8-4821-95FB-5850AA85ADEF}"/>
    <cellStyle name="InputCells12 4 4 2 55" xfId="27024" xr:uid="{780097DA-6999-4EC3-8B28-B601DCF3AB3E}"/>
    <cellStyle name="InputCells12 4 4 2 56" xfId="27443" xr:uid="{CA5A157B-D7C8-4520-B941-E8BBADABE77E}"/>
    <cellStyle name="InputCells12 4 4 2 57" xfId="27823" xr:uid="{77BDAD04-A5E1-405A-8652-9ECE8F4DF948}"/>
    <cellStyle name="InputCells12 4 4 2 58" xfId="28570" xr:uid="{0CC04F2B-130B-4196-BCD9-A734F0024E0C}"/>
    <cellStyle name="InputCells12 4 4 2 59" xfId="29037" xr:uid="{077D9B5E-FEBA-4B4B-9647-965C0337B5CD}"/>
    <cellStyle name="InputCells12 4 4 2 6" xfId="2950" xr:uid="{A19930F4-9DEF-4750-BEDF-E7420DDC8448}"/>
    <cellStyle name="InputCells12 4 4 2 60" xfId="28167" xr:uid="{C66B903F-A486-4455-9E6F-B75C7DC2E3D8}"/>
    <cellStyle name="InputCells12 4 4 2 61" xfId="29826" xr:uid="{1075831F-E22B-47C6-A965-3BF061A6DEC6}"/>
    <cellStyle name="InputCells12 4 4 2 62" xfId="30232" xr:uid="{5A30CD8E-40AA-4E6C-8FA6-B01A46D068CF}"/>
    <cellStyle name="InputCells12 4 4 2 63" xfId="30649" xr:uid="{9B165FD1-002A-4D36-86BC-08E5EBE525B1}"/>
    <cellStyle name="InputCells12 4 4 2 64" xfId="28757" xr:uid="{9A40FB95-BA17-4BFE-B902-CD0537011FC4}"/>
    <cellStyle name="InputCells12 4 4 2 65" xfId="31265" xr:uid="{8F3865CC-E637-48CD-884D-B67AA0CD0E5E}"/>
    <cellStyle name="InputCells12 4 4 2 7" xfId="4048" xr:uid="{B778E842-4DC9-4058-B176-F2DD27E3629F}"/>
    <cellStyle name="InputCells12 4 4 2 8" xfId="4485" xr:uid="{ED1AE89B-0590-4069-8315-D0DF01E9B6BA}"/>
    <cellStyle name="InputCells12 4 4 2 9" xfId="2796" xr:uid="{EE36BEB8-E523-4D4B-862C-E6F60387FA9D}"/>
    <cellStyle name="InputCells12 4 4 20" xfId="9979" xr:uid="{25EF9A30-BF95-46BE-B1E1-E209ADE42B5F}"/>
    <cellStyle name="InputCells12 4 4 21" xfId="10406" xr:uid="{A5A27CCE-4C1D-4DDE-8AE9-F3FA4A281B78}"/>
    <cellStyle name="InputCells12 4 4 22" xfId="10860" xr:uid="{27517558-BFDE-4EE4-953E-D9B8998A3CB5}"/>
    <cellStyle name="InputCells12 4 4 23" xfId="11199" xr:uid="{626D1607-2666-4635-AF3D-F10383315559}"/>
    <cellStyle name="InputCells12 4 4 24" xfId="11868" xr:uid="{82159BB4-8997-4C70-AA7F-E05B57A4C454}"/>
    <cellStyle name="InputCells12 4 4 25" xfId="12341" xr:uid="{AB5C7557-CA3C-4B99-AE61-A14A5CEC7FA7}"/>
    <cellStyle name="InputCells12 4 4 26" xfId="12775" xr:uid="{11ECC173-C34B-4C81-9389-D94AB554461E}"/>
    <cellStyle name="InputCells12 4 4 27" xfId="13212" xr:uid="{6F6B9D5A-E4CB-44E1-BF19-82F4B9FC40D1}"/>
    <cellStyle name="InputCells12 4 4 28" xfId="13984" xr:uid="{00E0973B-DADD-4E88-9887-3429ABA10B42}"/>
    <cellStyle name="InputCells12 4 4 29" xfId="14253" xr:uid="{16804A21-AC75-4C30-A40D-B905C9CF1102}"/>
    <cellStyle name="InputCells12 4 4 3" xfId="998" xr:uid="{E3A72D73-BE88-42A9-8CF7-642B0CB40613}"/>
    <cellStyle name="InputCells12 4 4 30" xfId="14724" xr:uid="{DA710BE6-A41E-4EDF-A38E-39F4495A4ECD}"/>
    <cellStyle name="InputCells12 4 4 31" xfId="14913" xr:uid="{6FC24DBB-C722-45A0-A83A-EADDD11F519C}"/>
    <cellStyle name="InputCells12 4 4 32" xfId="15179" xr:uid="{6E552B27-6C23-4FDA-B4B7-80B2030E1794}"/>
    <cellStyle name="InputCells12 4 4 33" xfId="15840" xr:uid="{643FF178-1EAD-4B29-83CD-6260F120CB53}"/>
    <cellStyle name="InputCells12 4 4 34" xfId="16560" xr:uid="{862991C0-B9EC-42AD-9D53-2495011BD048}"/>
    <cellStyle name="InputCells12 4 4 35" xfId="17094" xr:uid="{B0A81153-744B-4780-8D3E-109E12D22AFF}"/>
    <cellStyle name="InputCells12 4 4 36" xfId="17542" xr:uid="{16B6D9DE-9E5B-455D-9814-3014BF867BB2}"/>
    <cellStyle name="InputCells12 4 4 37" xfId="16284" xr:uid="{22EFF420-3B45-46A2-8D78-8F4CF5B4818B}"/>
    <cellStyle name="InputCells12 4 4 38" xfId="18378" xr:uid="{5A1EE92D-ED52-4B87-967C-8097BD702BA3}"/>
    <cellStyle name="InputCells12 4 4 39" xfId="17467" xr:uid="{F01DBA8B-1AE9-40D6-84B7-B202CC37DEF6}"/>
    <cellStyle name="InputCells12 4 4 4" xfId="1641" xr:uid="{42C7AEFE-F7C9-4ED1-AA14-673705A4141F}"/>
    <cellStyle name="InputCells12 4 4 40" xfId="19258" xr:uid="{8B98FAB2-DEE9-499D-B460-0B2A5236AC0F}"/>
    <cellStyle name="InputCells12 4 4 41" xfId="19897" xr:uid="{6021D000-912D-46A4-AF35-B159F62DA5DE}"/>
    <cellStyle name="InputCells12 4 4 42" xfId="20448" xr:uid="{4507F055-DB30-4023-A46C-619AA3A13770}"/>
    <cellStyle name="InputCells12 4 4 43" xfId="20900" xr:uid="{AACABB48-85B8-4DB7-B29B-D83E7934EEF1}"/>
    <cellStyle name="InputCells12 4 4 44" xfId="20514" xr:uid="{CADA933D-B898-40FD-9E4A-9095FCEBFF85}"/>
    <cellStyle name="InputCells12 4 4 45" xfId="21830" xr:uid="{A91B371F-8F10-4769-89E1-3C87A902A05C}"/>
    <cellStyle name="InputCells12 4 4 46" xfId="22266" xr:uid="{30E414F0-687C-4781-A93F-7C9F20CC9C98}"/>
    <cellStyle name="InputCells12 4 4 47" xfId="22956" xr:uid="{27DBB416-CAFD-4A7E-A3D9-D8068964391F}"/>
    <cellStyle name="InputCells12 4 4 48" xfId="20935" xr:uid="{9F12E59C-6609-46DE-B6FE-1EEF7E4AFDB3}"/>
    <cellStyle name="InputCells12 4 4 49" xfId="23606" xr:uid="{F0FBF990-8173-4EB3-AB12-3B929C1086B7}"/>
    <cellStyle name="InputCells12 4 4 5" xfId="2337" xr:uid="{6EDD1A1D-59FC-453F-B5E5-279D947C6669}"/>
    <cellStyle name="InputCells12 4 4 50" xfId="23706" xr:uid="{1E96F33D-9E15-4FDB-AC2C-4E138363119B}"/>
    <cellStyle name="InputCells12 4 4 51" xfId="24605" xr:uid="{86A3C265-DC87-4EBB-82AA-46A56FD53840}"/>
    <cellStyle name="InputCells12 4 4 52" xfId="25155" xr:uid="{CC3244A3-D19F-4DDE-AC3E-583F873EC93B}"/>
    <cellStyle name="InputCells12 4 4 53" xfId="25523" xr:uid="{44282435-4F92-4298-8831-07A351461470}"/>
    <cellStyle name="InputCells12 4 4 54" xfId="26263" xr:uid="{9E3A4563-BE8A-462F-8EB8-0396A1F6A077}"/>
    <cellStyle name="InputCells12 4 4 55" xfId="26715" xr:uid="{77A27DEC-7798-422D-AF12-F8FF233FAF46}"/>
    <cellStyle name="InputCells12 4 4 56" xfId="26813" xr:uid="{2DED78BC-11E0-46EE-964C-96819730F385}"/>
    <cellStyle name="InputCells12 4 4 57" xfId="27232" xr:uid="{09C6AF04-F54C-43E8-8A2A-02516311EC10}"/>
    <cellStyle name="InputCells12 4 4 58" xfId="26662" xr:uid="{FE16E961-3B51-4297-B9AB-7C78583F09A1}"/>
    <cellStyle name="InputCells12 4 4 59" xfId="28355" xr:uid="{40F650F2-1FC0-45D4-B5AD-F7F50C55114E}"/>
    <cellStyle name="InputCells12 4 4 6" xfId="3155" xr:uid="{48C29249-04E3-49AD-915E-AD148B31944D}"/>
    <cellStyle name="InputCells12 4 4 60" xfId="28823" xr:uid="{97554CCF-B649-4A8A-962E-9FA9F4DB83DC}"/>
    <cellStyle name="InputCells12 4 4 61" xfId="29305" xr:uid="{CC75B92D-42DA-48CC-AA69-15AE69ABDD05}"/>
    <cellStyle name="InputCells12 4 4 62" xfId="29613" xr:uid="{99805373-A028-4D5C-80D8-A6F3233EF5F1}"/>
    <cellStyle name="InputCells12 4 4 63" xfId="30021" xr:uid="{7DEEF84A-974D-454E-924E-A6079834A93D}"/>
    <cellStyle name="InputCells12 4 4 64" xfId="30435" xr:uid="{F00F3FAE-4F18-440F-B422-0BB29D2F6102}"/>
    <cellStyle name="InputCells12 4 4 65" xfId="30840" xr:uid="{B7C9C1EA-0C91-42B6-9EB2-1E7E7B127366}"/>
    <cellStyle name="InputCells12 4 4 66" xfId="31059" xr:uid="{2FB9056B-2521-4B19-B7C1-1E6597E037ED}"/>
    <cellStyle name="InputCells12 4 4 7" xfId="2715" xr:uid="{8B4FCA68-73B4-484D-97E1-ECE71B3B0EAC}"/>
    <cellStyle name="InputCells12 4 4 8" xfId="3833" xr:uid="{032F69A2-882B-4F12-B7FF-D01F39559B14}"/>
    <cellStyle name="InputCells12 4 4 9" xfId="4271" xr:uid="{CAB42A9B-EA93-43DD-A9A6-39A3547CE57D}"/>
    <cellStyle name="InputCells12 4 40" xfId="17914" xr:uid="{99CB56B2-8A3D-4148-B0E2-28B54FFD4179}"/>
    <cellStyle name="InputCells12 4 41" xfId="17905" xr:uid="{DFEF4B71-A59E-44EB-AB91-41C78CF7A26A}"/>
    <cellStyle name="InputCells12 4 42" xfId="19184" xr:uid="{E2C0DA23-6DB5-4C07-B837-5E5C385CCCD7}"/>
    <cellStyle name="InputCells12 4 43" xfId="19662" xr:uid="{518D64D5-6D23-4CAA-8E57-E30A7D3C189D}"/>
    <cellStyle name="InputCells12 4 44" xfId="20311" xr:uid="{B6D19FA3-AF2D-4A5F-94DB-0C88E8A2593A}"/>
    <cellStyle name="InputCells12 4 45" xfId="20767" xr:uid="{34DF63CB-536F-4164-9D74-8C8FFEE90F9F}"/>
    <cellStyle name="InputCells12 4 46" xfId="19825" xr:uid="{ABC9977F-DDAE-40BB-B525-758675D3E06C}"/>
    <cellStyle name="InputCells12 4 47" xfId="20794" xr:uid="{A31AC483-F3DB-4B01-AC1F-CA7032B8B94D}"/>
    <cellStyle name="InputCells12 4 48" xfId="21368" xr:uid="{03A628B0-5695-4E74-A1CE-C8376EF7A3D7}"/>
    <cellStyle name="InputCells12 4 49" xfId="19500" xr:uid="{8714413D-D982-46C1-85F4-1486B1FC8AA3}"/>
    <cellStyle name="InputCells12 4 5" xfId="954" xr:uid="{A0620748-B936-4ED7-BD7A-A2912E7DE538}"/>
    <cellStyle name="InputCells12 4 50" xfId="21810" xr:uid="{5CA89E71-9D96-4056-B517-1A47F9A9B775}"/>
    <cellStyle name="InputCells12 4 51" xfId="23496" xr:uid="{5235F41E-2A24-4508-87B3-DDFA7F638146}"/>
    <cellStyle name="InputCells12 4 52" xfId="23590" xr:uid="{32A80D8E-9A0A-4E4F-BF23-A275BA417597}"/>
    <cellStyle name="InputCells12 4 53" xfId="24382" xr:uid="{57B13AB3-57A9-4EED-8FB4-305A9F7FE7E7}"/>
    <cellStyle name="InputCells12 4 54" xfId="25027" xr:uid="{3A9D08DF-7C65-4414-8368-358A72DBB6DC}"/>
    <cellStyle name="InputCells12 4 55" xfId="25356" xr:uid="{71DECA83-263A-4526-BC3E-14EF060EC882}"/>
    <cellStyle name="InputCells12 4 56" xfId="26120" xr:uid="{16BD5488-1AE7-4CA3-8211-D08B215D91F2}"/>
    <cellStyle name="InputCells12 4 57" xfId="26499" xr:uid="{C24525A7-79D9-4843-BD99-29A6263A1F0D}"/>
    <cellStyle name="InputCells12 4 58" xfId="24326" xr:uid="{DFC49395-39F6-494A-8378-5342AD3A4D98}"/>
    <cellStyle name="InputCells12 4 59" xfId="25993" xr:uid="{F9BF92A0-CABA-4ECC-9092-A7C768D12AE4}"/>
    <cellStyle name="InputCells12 4 6" xfId="1467" xr:uid="{A01EB62F-6B3B-4031-BD63-26E2F3CC3A1A}"/>
    <cellStyle name="InputCells12 4 60" xfId="26766" xr:uid="{39F8C118-6F1D-4518-9FBB-E0934547A191}"/>
    <cellStyle name="InputCells12 4 61" xfId="28153" xr:uid="{84B01118-FDE1-4921-A8DE-054B0A5B762F}"/>
    <cellStyle name="InputCells12 4 62" xfId="27915" xr:uid="{049F9DBC-0AB5-4FA8-91C3-CC4E1BFDBC7E}"/>
    <cellStyle name="InputCells12 4 63" xfId="28126" xr:uid="{BB0413E2-0E7E-4932-B914-C94FDADF9BBB}"/>
    <cellStyle name="InputCells12 4 64" xfId="28237" xr:uid="{DA244795-36BC-4F4C-B13B-6396222A41F3}"/>
    <cellStyle name="InputCells12 4 65" xfId="29557" xr:uid="{FF9C596F-4264-48FD-963B-A3E160280C32}"/>
    <cellStyle name="InputCells12 4 66" xfId="29549" xr:uid="{0BD66FE6-ACAB-4AE0-9A98-7E0B722F8AF1}"/>
    <cellStyle name="InputCells12 4 67" xfId="29387" xr:uid="{C8A4DB16-B6A6-4439-946F-FE525F97FE9E}"/>
    <cellStyle name="InputCells12 4 68" xfId="30961" xr:uid="{D8621077-7013-42B9-BB03-5C9F3DD97B92}"/>
    <cellStyle name="InputCells12 4 7" xfId="2102" xr:uid="{45D49C4E-90A9-4937-A59C-6CB6005329EF}"/>
    <cellStyle name="InputCells12 4 8" xfId="1846" xr:uid="{ECE9C893-F2B9-4C21-9B60-DEF4C31C4F0F}"/>
    <cellStyle name="InputCells12 4 9" xfId="2316" xr:uid="{D4529C7F-95DF-4D41-BB48-6A34B0E80645}"/>
    <cellStyle name="InputCells12 5" xfId="73" xr:uid="{8C3FC201-9EAB-4B31-ABDE-C0C76DF6F3A8}"/>
    <cellStyle name="InputCells12 5 10" xfId="16125" xr:uid="{898FC4DA-5619-4462-87A7-5A1CCBC3827E}"/>
    <cellStyle name="InputCells12 5 11" xfId="17482" xr:uid="{20B79D4C-F90F-438C-86B3-56F4E57D92B4}"/>
    <cellStyle name="InputCells12 5 12" xfId="19458" xr:uid="{B3D47032-9E1B-453D-8E2D-10503C781A99}"/>
    <cellStyle name="InputCells12 5 13" xfId="22245" xr:uid="{D8F5D713-B53C-4564-8714-5E35FC3BDA52}"/>
    <cellStyle name="InputCells12 5 14" xfId="24179" xr:uid="{3C045AA2-75A5-4A13-A5F3-BC66831482A9}"/>
    <cellStyle name="InputCells12 5 15" xfId="25245" xr:uid="{F93D296D-DE9A-4EFA-8A93-5ED14CD9780B}"/>
    <cellStyle name="InputCells12 5 16" xfId="27972" xr:uid="{FE6E461D-1480-45AB-AA7E-A87CC25CCC0B}"/>
    <cellStyle name="InputCells12 5 2" xfId="918" xr:uid="{04249042-DF96-4AFD-AA6C-7C875F8FA97F}"/>
    <cellStyle name="InputCells12 5 3" xfId="1901" xr:uid="{E784F422-9201-4A57-BAE7-1CD01C4FDD62}"/>
    <cellStyle name="InputCells12 5 4" xfId="3343" xr:uid="{CC130645-4BF9-412B-B84B-36B26F5D6183}"/>
    <cellStyle name="InputCells12 5 5" xfId="4884" xr:uid="{D4DC8D6F-7909-4D43-A4D7-502635FE6DF3}"/>
    <cellStyle name="InputCells12 5 6" xfId="6814" xr:uid="{29CC8442-29C2-4220-ACED-682464A2F1F7}"/>
    <cellStyle name="InputCells12 5 7" xfId="8549" xr:uid="{88510C0A-BEED-47E8-B480-634A82DA1471}"/>
    <cellStyle name="InputCells12 5 8" xfId="9028" xr:uid="{D4B4577D-1E86-4D89-9E68-4FEF6ACBD956}"/>
    <cellStyle name="InputCells12 5 9" xfId="11433" xr:uid="{00DD92C6-7089-417A-98CE-59138E38DE76}"/>
    <cellStyle name="InputCells12_BBorder" xfId="26" xr:uid="{A548877D-CD0E-4EE1-AF8A-A48040FD15B0}"/>
    <cellStyle name="IntCells" xfId="146" xr:uid="{60A6EB5D-B81F-43AA-901F-0BD9FC364854}"/>
    <cellStyle name="KP_thin_border_dark_grey" xfId="36" xr:uid="{9A5D44AD-0AB4-4B47-919C-0306CE6B33EA}"/>
    <cellStyle name="Linked Cell 2" xfId="147" xr:uid="{7EE34B36-FC81-4D3C-AD66-5D6BCE5844C3}"/>
    <cellStyle name="Linked Cell 3" xfId="233" xr:uid="{CAC52111-5401-4ABF-A777-E2FBFCF25BD5}"/>
    <cellStyle name="Linked Cell 4" xfId="368" xr:uid="{B057DC18-DF59-4369-9A03-55AA4B8E5987}"/>
    <cellStyle name="Neutral 2" xfId="148" xr:uid="{5590DDE8-FE6C-4E52-B634-3385057E35ED}"/>
    <cellStyle name="Neutral 3" xfId="234" xr:uid="{76C3C4A1-ED08-4D0D-B83B-67799571E6AF}"/>
    <cellStyle name="Normaali 2" xfId="149" xr:uid="{EBC00AB2-6051-48C8-9A98-CA17581EE2BE}"/>
    <cellStyle name="Normaali 2 2" xfId="150" xr:uid="{E820EDC1-CFDC-4F9C-9BBC-A95DBCD7204B}"/>
    <cellStyle name="Normal" xfId="0" builtinId="0"/>
    <cellStyle name="Normal 10" xfId="371" xr:uid="{830A227B-37CB-4483-9101-5740DF03F2C8}"/>
    <cellStyle name="Normal 10 2" xfId="440" xr:uid="{8EA894EF-5AA3-4827-83A6-6BFD37D13D77}"/>
    <cellStyle name="Normal 11" xfId="399" xr:uid="{5ED62D92-C3EF-4341-B6AD-6D616C972F91}"/>
    <cellStyle name="Normal 11 2" xfId="441" xr:uid="{972F9425-232F-4796-9BCC-C33E4DAB7F2C}"/>
    <cellStyle name="Normal 12" xfId="510" xr:uid="{AAA54ADB-CA73-4FF1-BF32-B243FBA5D2AB}"/>
    <cellStyle name="Normal 12 2" xfId="670" xr:uid="{F8037825-F997-457D-A7C2-7840F3455A84}"/>
    <cellStyle name="Normal 13" xfId="31426" xr:uid="{60D849C8-45AB-44A0-9913-F8DB4936B683}"/>
    <cellStyle name="Normal 2" xfId="5" xr:uid="{91032084-917E-4CBC-A5C2-440FE949CDC0}"/>
    <cellStyle name="Normal 2 2" xfId="151" xr:uid="{83ECB069-8B74-4C1A-AAF5-96E825D6952A}"/>
    <cellStyle name="Normal 2 2 2" xfId="152" xr:uid="{5EBA34FB-0F27-410C-900B-C3BDF682C323}"/>
    <cellStyle name="Normal 2 3" xfId="153" xr:uid="{A7E81D7C-B4DD-45BC-84B1-E58556C8D26B}"/>
    <cellStyle name="Normal 2 3 2" xfId="421" xr:uid="{A98B3531-03BC-4817-B5E0-22A948C5B23D}"/>
    <cellStyle name="Normal 2 3 2 2" xfId="2243" xr:uid="{4D5164C6-BFD2-4347-83C8-D44B00A06E6D}"/>
    <cellStyle name="Normal 2 3 3" xfId="1980" xr:uid="{75C535EA-B623-48A3-A6E8-D1B86D98B191}"/>
    <cellStyle name="Normal 2 4" xfId="40" xr:uid="{CAC392B0-A231-44B0-A2FC-1F2A41F185D3}"/>
    <cellStyle name="Normal 3" xfId="1" xr:uid="{00000000-0005-0000-0000-000001000000}"/>
    <cellStyle name="Normal 3 2" xfId="154" xr:uid="{AD8EEC0E-57E3-42D1-BF2A-4BE9DDA55823}"/>
    <cellStyle name="Normal 3 2 2" xfId="41" xr:uid="{3861B005-A154-447E-90D0-2F22582F0768}"/>
    <cellStyle name="Normal 3 3" xfId="195" xr:uid="{DA5E2677-7BF1-4EC8-B4C9-CEC16C381A25}"/>
    <cellStyle name="Normal 3 4" xfId="357" xr:uid="{51E879DC-CABE-4CBB-B36C-A880625FF8B1}"/>
    <cellStyle name="Normal 3 5" xfId="37" xr:uid="{9AB6D151-1871-4D82-A3CF-54BE2DDEE62A}"/>
    <cellStyle name="Normal 4" xfId="155" xr:uid="{BB782A3A-132A-4DB6-BF5B-C3E87957D7F7}"/>
    <cellStyle name="Normal 4 2" xfId="156" xr:uid="{82727431-625B-4D3E-A899-0EAB8D80A418}"/>
    <cellStyle name="Normal 4 2 2" xfId="157" xr:uid="{7271FE33-47E9-4666-86D8-4FD1851D7FF7}"/>
    <cellStyle name="Normal 4 2 3" xfId="422" xr:uid="{F66C92D7-4D6F-4FC3-95F1-1FCF5D5DEB83}"/>
    <cellStyle name="Normal 4 3" xfId="196" xr:uid="{79911653-78A5-4DB1-AD6C-20C1430511AB}"/>
    <cellStyle name="Normal 4 3 2" xfId="423" xr:uid="{13EB3205-32CE-4864-A9D9-9BDC8B6F4BDA}"/>
    <cellStyle name="Normal 5" xfId="158" xr:uid="{8F237282-353E-4084-8431-EA2B02D17964}"/>
    <cellStyle name="Normal 5 2" xfId="289" xr:uid="{93B8A054-D2B6-4ABF-8A72-6A2CFFE77A0C}"/>
    <cellStyle name="Normal 5 2 2" xfId="296" xr:uid="{9919FE0D-7CDA-45CA-A79E-07408CD609C4}"/>
    <cellStyle name="Normal 5 2 2 2" xfId="302" xr:uid="{D93076A8-6485-445B-A42C-7E53349EEFEB}"/>
    <cellStyle name="Normal 5 2 2 2 2" xfId="317" xr:uid="{359AFC38-3583-447B-9490-15D9FE3A64A6}"/>
    <cellStyle name="Normal 5 2 2 2 2 2" xfId="446" xr:uid="{76930CAB-847A-4336-8662-36A7AFF8536B}"/>
    <cellStyle name="Normal 5 2 2 2 3" xfId="445" xr:uid="{B1495AEC-5F2D-4582-8C2A-AECC774C7A6E}"/>
    <cellStyle name="Normal 5 2 2 3" xfId="316" xr:uid="{5AAA4E7B-D0C1-4F5A-BF13-3DE7EB763F2E}"/>
    <cellStyle name="Normal 5 2 2 3 2" xfId="447" xr:uid="{4DC33795-7126-4E2F-94D0-E1FCEC6BCBC9}"/>
    <cellStyle name="Normal 5 2 2 4" xfId="444" xr:uid="{5BB3B97C-7F59-4588-8FE6-B6F9CEA779D4}"/>
    <cellStyle name="Normal 5 2 3" xfId="301" xr:uid="{8EE9746C-4B47-47CC-8D54-41F359011B4D}"/>
    <cellStyle name="Normal 5 2 3 2" xfId="318" xr:uid="{050007AF-A4FE-442D-BA6E-E93829EFD11C}"/>
    <cellStyle name="Normal 5 2 3 2 2" xfId="449" xr:uid="{AE1C602E-7852-4A70-972D-F2E7B5EF2BBE}"/>
    <cellStyle name="Normal 5 2 3 3" xfId="448" xr:uid="{F12E0D49-42FF-4F01-99CE-769A516847D7}"/>
    <cellStyle name="Normal 5 2 4" xfId="315" xr:uid="{3ABFBF82-A53D-4160-BB4D-108B3FC2CCAA}"/>
    <cellStyle name="Normal 5 2 4 2" xfId="450" xr:uid="{6EFA785F-F0ED-4775-897D-8C6066089775}"/>
    <cellStyle name="Normal 5 2 5" xfId="424" xr:uid="{D1DEDE17-3EF5-45A8-8705-39F4C6409860}"/>
    <cellStyle name="Normal 5 2 5 2" xfId="451" xr:uid="{F275E865-CEE1-4DD0-8884-7ACEC4A5FC49}"/>
    <cellStyle name="Normal 5 2 6" xfId="443" xr:uid="{B42F8FFC-5242-4E60-A429-F7291507EC1B}"/>
    <cellStyle name="Normal 5 3" xfId="293" xr:uid="{A602D451-A0D8-4D33-8A46-54527D5D9A28}"/>
    <cellStyle name="Normal 5 3 2" xfId="303" xr:uid="{2A0C2A5E-262D-4F6E-9101-F72D789132FC}"/>
    <cellStyle name="Normal 5 3 2 2" xfId="320" xr:uid="{D5D4E6E5-DE2E-47FD-A26B-AE86E8C1E2E7}"/>
    <cellStyle name="Normal 5 3 2 2 2" xfId="454" xr:uid="{016F9E56-1D29-4FAA-A7F1-7C002B10B205}"/>
    <cellStyle name="Normal 5 3 2 3" xfId="453" xr:uid="{DED3EB29-E5AA-4434-89FB-C900169BD428}"/>
    <cellStyle name="Normal 5 3 3" xfId="319" xr:uid="{0ADF63DB-6980-4662-948B-B74C8FAF61C9}"/>
    <cellStyle name="Normal 5 3 3 2" xfId="455" xr:uid="{91DFB202-D06E-4123-8530-AEF672543B8F}"/>
    <cellStyle name="Normal 5 3 4" xfId="452" xr:uid="{AC0DA96C-79CE-4554-85C3-363E5F129053}"/>
    <cellStyle name="Normal 5 4" xfId="300" xr:uid="{58087C44-ED8E-4D99-8529-94AAAE92F2A2}"/>
    <cellStyle name="Normal 5 4 2" xfId="321" xr:uid="{A2249AFB-6980-4ED0-B83E-2934E8EB26DB}"/>
    <cellStyle name="Normal 5 4 2 2" xfId="457" xr:uid="{B1CC5BCE-DF4F-4F3D-B901-664193F672E1}"/>
    <cellStyle name="Normal 5 4 3" xfId="456" xr:uid="{46C0E625-3DB1-48DE-87AE-57118F0A261C}"/>
    <cellStyle name="Normal 5 5" xfId="314" xr:uid="{39457B5E-1858-4816-8E99-8890FBBAA1A8}"/>
    <cellStyle name="Normal 5 5 2" xfId="458" xr:uid="{DDB08CE7-9DA8-4944-87B1-1F437C430466}"/>
    <cellStyle name="Normal 5 6" xfId="358" xr:uid="{438968F2-EB56-4321-9D16-9E7FC6E6B38B}"/>
    <cellStyle name="Normal 5 7" xfId="442" xr:uid="{986F4432-37BB-43B0-9458-09ADFAECFDD8}"/>
    <cellStyle name="Normal 5 8" xfId="280" xr:uid="{9E00E9F7-A841-4058-9B76-B65426616FA8}"/>
    <cellStyle name="Normal 6" xfId="159" xr:uid="{E61F29B1-D3E4-4FF7-8771-F48F7EE3341B}"/>
    <cellStyle name="Normal 6 10" xfId="425" xr:uid="{D12C1F6E-9132-42FD-BDB9-0E0BB3DE255C}"/>
    <cellStyle name="Normal 6 10 2" xfId="460" xr:uid="{A0DF9630-2B0E-4DF0-8531-21553A1676AE}"/>
    <cellStyle name="Normal 6 11" xfId="459" xr:uid="{A3A86156-42C3-4153-8737-B2BAB7217541}"/>
    <cellStyle name="Normal 6 2" xfId="290" xr:uid="{308FA2C4-8526-48AD-AA17-11CEE7F49A80}"/>
    <cellStyle name="Normal 6 2 2" xfId="297" xr:uid="{E66EBEE0-A848-46C7-9780-155EC4394347}"/>
    <cellStyle name="Normal 6 2 2 2" xfId="306" xr:uid="{8EC0D0B7-EB7D-4BD5-AB5A-19C5007A53D9}"/>
    <cellStyle name="Normal 6 2 2 2 2" xfId="325" xr:uid="{C531E324-B883-4F87-8B09-9694922A5905}"/>
    <cellStyle name="Normal 6 2 2 2 2 2" xfId="464" xr:uid="{3A691EAA-C975-4C37-A882-B33335B04EBD}"/>
    <cellStyle name="Normal 6 2 2 2 3" xfId="463" xr:uid="{C92C781E-1DC7-476D-8093-FE9BDA1D7294}"/>
    <cellStyle name="Normal 6 2 2 3" xfId="324" xr:uid="{651A1212-6A50-41F2-8041-45BCDD7F3BA7}"/>
    <cellStyle name="Normal 6 2 2 3 2" xfId="465" xr:uid="{3ACF6614-4F53-4419-96F8-9ED00F6843CA}"/>
    <cellStyle name="Normal 6 2 2 4" xfId="462" xr:uid="{1BCD7A1B-BA73-4209-B8E3-E983F5C22A71}"/>
    <cellStyle name="Normal 6 2 3" xfId="305" xr:uid="{4FDB9BEA-ABF3-465C-89E7-D6DDDEC45F90}"/>
    <cellStyle name="Normal 6 2 3 2" xfId="326" xr:uid="{98914965-D641-41A1-82EA-041F3BE053E6}"/>
    <cellStyle name="Normal 6 2 3 2 2" xfId="467" xr:uid="{9FD1C3A8-04D9-45CE-BC08-2738E606B8FE}"/>
    <cellStyle name="Normal 6 2 3 3" xfId="466" xr:uid="{CC111367-9A24-458B-AB90-EBB4E456CF68}"/>
    <cellStyle name="Normal 6 2 4" xfId="323" xr:uid="{67781670-E671-4B47-9347-4BBD880C23C4}"/>
    <cellStyle name="Normal 6 2 4 2" xfId="468" xr:uid="{8646FDD6-3118-4C47-BA18-B765C72181CA}"/>
    <cellStyle name="Normal 6 2 5" xfId="426" xr:uid="{30C1CF9F-4B94-46BD-9618-767EA2051239}"/>
    <cellStyle name="Normal 6 2 5 2" xfId="469" xr:uid="{2833F69A-7C03-48D0-A20F-D73C0AD69B4D}"/>
    <cellStyle name="Normal 6 2 6" xfId="461" xr:uid="{3A0D064A-9D02-4483-8883-7E86C58CA4B0}"/>
    <cellStyle name="Normal 6 3" xfId="292" xr:uid="{EBEC68F0-0844-4935-B828-7A77589CE24A}"/>
    <cellStyle name="Normal 6 3 2" xfId="299" xr:uid="{59E78793-D313-41E5-B72B-FE832674D26C}"/>
    <cellStyle name="Normal 6 3 2 2" xfId="308" xr:uid="{771D9D44-7415-4087-93FD-B1D2548FA0BC}"/>
    <cellStyle name="Normal 6 3 2 2 2" xfId="329" xr:uid="{4A905138-D62A-4B21-8203-7F4BE8EE20A6}"/>
    <cellStyle name="Normal 6 3 2 2 2 2" xfId="473" xr:uid="{31042D9C-B245-44A6-BF11-9C16DFF4B160}"/>
    <cellStyle name="Normal 6 3 2 2 3" xfId="472" xr:uid="{04931410-A1B6-4093-B9C5-1442AF13F4DE}"/>
    <cellStyle name="Normal 6 3 2 3" xfId="328" xr:uid="{C22A4A5A-5CF6-46D5-A0A8-14819D4BD554}"/>
    <cellStyle name="Normal 6 3 2 3 2" xfId="474" xr:uid="{19DF7FE4-2312-49F9-AE16-7BAB338E8FF8}"/>
    <cellStyle name="Normal 6 3 2 4" xfId="471" xr:uid="{BA02C17C-A070-4D9B-837A-E815751F00C0}"/>
    <cellStyle name="Normal 6 3 3" xfId="307" xr:uid="{2FDC6F3D-5479-4E55-A4AF-3A3C7E75DE3A}"/>
    <cellStyle name="Normal 6 3 3 2" xfId="330" xr:uid="{9AD4785C-AE0F-4062-A2FA-66B5F7D49B46}"/>
    <cellStyle name="Normal 6 3 3 2 2" xfId="476" xr:uid="{DB7FA24F-9815-44F6-9A3C-828F467DC29A}"/>
    <cellStyle name="Normal 6 3 3 3" xfId="475" xr:uid="{68EC3157-07A8-44C1-8EA9-8F9B6110203F}"/>
    <cellStyle name="Normal 6 3 4" xfId="327" xr:uid="{272AB0AA-63CF-47C6-A874-19E1DFCC11E3}"/>
    <cellStyle name="Normal 6 3 4 2" xfId="477" xr:uid="{EC016FA7-5189-49C3-B740-CE0051ADBDF1}"/>
    <cellStyle name="Normal 6 3 5" xfId="470" xr:uid="{E30C6FD9-1556-4C18-B3F1-CADFBE5309C3}"/>
    <cellStyle name="Normal 6 4" xfId="294" xr:uid="{BFD2E210-B4B1-490D-9965-A959DD8529D6}"/>
    <cellStyle name="Normal 6 4 2" xfId="309" xr:uid="{61C1E179-5844-4533-BDFB-87BECFEEF4E9}"/>
    <cellStyle name="Normal 6 4 2 2" xfId="332" xr:uid="{42EB4C27-8689-4A6F-B97F-60330BA39D1D}"/>
    <cellStyle name="Normal 6 4 2 2 2" xfId="480" xr:uid="{5774BB8A-1EC9-4E43-8608-A9E7416587D5}"/>
    <cellStyle name="Normal 6 4 2 3" xfId="479" xr:uid="{AB223AA7-1F87-4E29-B37C-2C0AEB336CB3}"/>
    <cellStyle name="Normal 6 4 3" xfId="331" xr:uid="{D9E9449F-8D4C-4B5D-BABC-65A4473557C4}"/>
    <cellStyle name="Normal 6 4 3 2" xfId="481" xr:uid="{2B02EDAC-C9CC-4DA6-8C0B-7322E919D254}"/>
    <cellStyle name="Normal 6 4 4" xfId="478" xr:uid="{9B0719DF-37AC-454D-8193-F65AAB9858AA}"/>
    <cellStyle name="Normal 6 5" xfId="304" xr:uid="{274C4AD4-7365-4C7C-B5D6-C7935E163C6D}"/>
    <cellStyle name="Normal 6 5 2" xfId="333" xr:uid="{A318CB62-0DC2-4441-81A1-585270717554}"/>
    <cellStyle name="Normal 6 5 2 2" xfId="483" xr:uid="{8E5F365B-5B7C-4524-B409-1CB4B545F988}"/>
    <cellStyle name="Normal 6 5 3" xfId="482" xr:uid="{D82442DA-8643-44AB-A31A-5678F4D9780F}"/>
    <cellStyle name="Normal 6 6" xfId="322" xr:uid="{45721E1C-DD49-46A4-8597-6106D4B10DAD}"/>
    <cellStyle name="Normal 6 6 2" xfId="484" xr:uid="{75298F91-C3B9-4F95-9E0E-EC4C50D0C666}"/>
    <cellStyle name="Normal 6 7" xfId="359" xr:uid="{FD6BD21E-7430-496A-A7E2-87407F330806}"/>
    <cellStyle name="Normal 6 7 2" xfId="485" xr:uid="{69F4D824-8F82-438B-931B-196E1BEF5D87}"/>
    <cellStyle name="Normal 6 8" xfId="395" xr:uid="{60F05EB2-6453-46F2-827A-BA4643AC9477}"/>
    <cellStyle name="Normal 6 8 2" xfId="486" xr:uid="{3216BD90-E3E6-4764-8108-498DD06E7747}"/>
    <cellStyle name="Normal 6 9" xfId="398" xr:uid="{6C7F9437-3FE7-47DA-9C5E-9FF2B21F4276}"/>
    <cellStyle name="Normal 6 9 2" xfId="487" xr:uid="{BDF39223-EE15-454A-8B3A-0BE26C388571}"/>
    <cellStyle name="Normal 7" xfId="35" xr:uid="{1FB27423-ABE3-479A-86C0-39983D5EB1E3}"/>
    <cellStyle name="Normal 7 2" xfId="291" xr:uid="{FF538993-F6FD-48D9-86B9-9C8CBBA2CCA2}"/>
    <cellStyle name="Normal 7 2 2" xfId="298" xr:uid="{425A6701-8679-4E4E-8906-7B2381E15285}"/>
    <cellStyle name="Normal 7 2 2 2" xfId="312" xr:uid="{00510D07-3F9A-4244-BB8C-344038323E36}"/>
    <cellStyle name="Normal 7 2 2 2 2" xfId="337" xr:uid="{BF3316FE-AF1F-43E2-940D-521674212493}"/>
    <cellStyle name="Normal 7 2 2 2 2 2" xfId="492" xr:uid="{8ECD9C63-85DE-41A2-8975-C76F97D1ECB6}"/>
    <cellStyle name="Normal 7 2 2 2 3" xfId="491" xr:uid="{A818C8AB-F0A3-4EDE-A59B-9B0190E71478}"/>
    <cellStyle name="Normal 7 2 2 3" xfId="336" xr:uid="{DF63BE66-CD45-4CDA-B8C3-18F813CEB798}"/>
    <cellStyle name="Normal 7 2 2 3 2" xfId="493" xr:uid="{4D403E1F-1E45-41D3-91CA-635FD5CA95FA}"/>
    <cellStyle name="Normal 7 2 2 4" xfId="490" xr:uid="{A7C980E1-113B-4058-BF69-2810AD15590F}"/>
    <cellStyle name="Normal 7 2 3" xfId="311" xr:uid="{D995DF0D-761A-4401-B671-F168A7F43FA5}"/>
    <cellStyle name="Normal 7 2 3 2" xfId="338" xr:uid="{8C45E9A8-B91A-4C0F-863D-CE95EB93EC62}"/>
    <cellStyle name="Normal 7 2 3 2 2" xfId="495" xr:uid="{F07B24D2-FF5A-40CC-898E-BB483E6352DD}"/>
    <cellStyle name="Normal 7 2 3 3" xfId="494" xr:uid="{80446933-BF64-4E88-A4FA-879C7B51A1EF}"/>
    <cellStyle name="Normal 7 2 4" xfId="335" xr:uid="{AA47B84B-5103-4483-8A66-05473C16D23E}"/>
    <cellStyle name="Normal 7 2 4 2" xfId="496" xr:uid="{88DDB9E5-7503-42E5-8D81-9D5AF70E8534}"/>
    <cellStyle name="Normal 7 2 5" xfId="427" xr:uid="{1CF2CA7B-D5CD-48B3-93DE-7B5C4F4BE793}"/>
    <cellStyle name="Normal 7 2 5 2" xfId="497" xr:uid="{47A3E3E9-A570-4C25-AF02-8E2BCF3AD7C7}"/>
    <cellStyle name="Normal 7 2 6" xfId="489" xr:uid="{D9E2A0AB-4AEC-4B0F-A5BD-CB072DA4DA34}"/>
    <cellStyle name="Normal 7 3" xfId="295" xr:uid="{C5A0E816-2950-4EC4-825B-E33D9808AD29}"/>
    <cellStyle name="Normal 7 3 2" xfId="313" xr:uid="{72C7ED50-B098-44D8-84CC-6372E27A1C1D}"/>
    <cellStyle name="Normal 7 3 2 2" xfId="340" xr:uid="{AB8ABB99-65F5-452B-8FB2-7CD294CA63C3}"/>
    <cellStyle name="Normal 7 3 2 2 2" xfId="500" xr:uid="{9F1D5C13-2C46-4C5A-BE93-940A9822E9B0}"/>
    <cellStyle name="Normal 7 3 2 3" xfId="499" xr:uid="{26D56F72-FCE0-46D2-AE19-D6A5E866AF6C}"/>
    <cellStyle name="Normal 7 3 3" xfId="339" xr:uid="{02124AFF-BD5D-4091-AE5C-741017953BFB}"/>
    <cellStyle name="Normal 7 3 3 2" xfId="501" xr:uid="{7F59BC1F-00C9-4685-BCCE-23AFAFA655A4}"/>
    <cellStyle name="Normal 7 3 4" xfId="498" xr:uid="{2FB00E75-9971-4C2A-B3F3-78FE90EB0D45}"/>
    <cellStyle name="Normal 7 4" xfId="310" xr:uid="{722B6A4B-3692-420A-B4C0-6881CDA4BD32}"/>
    <cellStyle name="Normal 7 4 2" xfId="341" xr:uid="{64567387-5B5C-4115-8647-AAA46EDA287B}"/>
    <cellStyle name="Normal 7 4 2 2" xfId="503" xr:uid="{FF9987E7-F7C8-411D-9FDA-C3CA33119C2A}"/>
    <cellStyle name="Normal 7 4 3" xfId="502" xr:uid="{4F9302ED-F5CE-4030-99A5-F520AF0AE6E9}"/>
    <cellStyle name="Normal 7 5" xfId="334" xr:uid="{856480C4-F222-4F21-B24B-4F38AA9E8E94}"/>
    <cellStyle name="Normal 7 5 2" xfId="504" xr:uid="{C67562C5-EE5F-4DC9-A861-6092845A7D97}"/>
    <cellStyle name="Normal 7 6" xfId="347" xr:uid="{0F2BB43D-A8EF-4BE6-8183-424DCA931577}"/>
    <cellStyle name="Normal 7 7" xfId="488" xr:uid="{64E21DC8-5CD8-4716-B6AA-A0CFE94A366A}"/>
    <cellStyle name="Normal 7 8" xfId="288" xr:uid="{ACED72C8-0778-4EB7-ACB3-23FEB856FA41}"/>
    <cellStyle name="Normal 8" xfId="235" xr:uid="{0EDC839C-2D56-45FB-8175-7B0CAA5FD459}"/>
    <cellStyle name="Normal 8 2" xfId="429" xr:uid="{3927BB9F-0B00-460A-B727-1D557657E0D3}"/>
    <cellStyle name="Normal 8 3" xfId="428" xr:uid="{1A2C11F6-D2DF-4142-BBF0-1CE0C406DDF5}"/>
    <cellStyle name="Normal 9" xfId="342" xr:uid="{DCAA7AA7-DED5-43E5-93BD-729BF5C6342D}"/>
    <cellStyle name="Normal 9 2" xfId="505" xr:uid="{D9EBC724-65D7-4F4D-B8F5-ED1CCCE356D3}"/>
    <cellStyle name="Normal GHG Numbers (0.00)" xfId="160" xr:uid="{F951F8D5-251D-4848-98BF-9233A0DA7C3C}"/>
    <cellStyle name="Normal GHG Numbers (0.00) 2" xfId="161" xr:uid="{4832CD5B-AAF2-4B1B-9EAE-3DD274AB962E}"/>
    <cellStyle name="Normal GHG Numbers (0.00) 3" xfId="38" xr:uid="{0DA708F6-3F69-4DAB-9AFC-E8EAC849D768}"/>
    <cellStyle name="Normal GHG Numbers (0.00) 3 2" xfId="430" xr:uid="{D2E78790-3A2B-4D55-A052-DC2E3E04EFF2}"/>
    <cellStyle name="Normal GHG Numbers (0.00) 3 2 2" xfId="579" xr:uid="{EE54812B-4DBC-49AE-806C-26BF145C52BB}"/>
    <cellStyle name="Normal GHG Numbers (0.00) 3 2 2 10" xfId="4767" xr:uid="{120341FA-1BBA-4EFE-B983-427036190683}"/>
    <cellStyle name="Normal GHG Numbers (0.00) 3 2 2 11" xfId="5227" xr:uid="{DDAFC8B8-E6C9-4D07-A7F0-278C10BA16C5}"/>
    <cellStyle name="Normal GHG Numbers (0.00) 3 2 2 12" xfId="3585" xr:uid="{321149B1-C269-4D7E-A735-E8F30E66B115}"/>
    <cellStyle name="Normal GHG Numbers (0.00) 3 2 2 13" xfId="6330" xr:uid="{7045FA6A-9F64-4E46-B092-268D24FE6424}"/>
    <cellStyle name="Normal GHG Numbers (0.00) 3 2 2 14" xfId="5724" xr:uid="{D0AEDAA4-0608-4AC7-9F2B-916C657E43AF}"/>
    <cellStyle name="Normal GHG Numbers (0.00) 3 2 2 15" xfId="7299" xr:uid="{9D288505-2A93-4B17-81D3-1A66CCEB66CD}"/>
    <cellStyle name="Normal GHG Numbers (0.00) 3 2 2 16" xfId="7841" xr:uid="{0CF327AD-CFE5-49DF-B1B9-E9924E22660E}"/>
    <cellStyle name="Normal GHG Numbers (0.00) 3 2 2 17" xfId="8375" xr:uid="{BA14C83D-2B16-4713-9B3A-4AABBF1BE6D7}"/>
    <cellStyle name="Normal GHG Numbers (0.00) 3 2 2 18" xfId="8337" xr:uid="{FC8A266C-3565-4273-9A30-51D3CC607990}"/>
    <cellStyle name="Normal GHG Numbers (0.00) 3 2 2 19" xfId="9513" xr:uid="{84F382F4-9985-4204-865F-A5127A68629A}"/>
    <cellStyle name="Normal GHG Numbers (0.00) 3 2 2 2" xfId="794" xr:uid="{5D703A99-7032-4FBF-9DE2-CABA8D771818}"/>
    <cellStyle name="Normal GHG Numbers (0.00) 3 2 2 2 10" xfId="5442" xr:uid="{8FE6221A-C397-4926-91DB-179C292C85EB}"/>
    <cellStyle name="Normal GHG Numbers (0.00) 3 2 2 2 11" xfId="5702" xr:uid="{3ABFBC38-A9BC-473E-B665-1086C55E891C}"/>
    <cellStyle name="Normal GHG Numbers (0.00) 3 2 2 2 12" xfId="5550" xr:uid="{472CC988-B0B9-43C7-B225-48AE0878004A}"/>
    <cellStyle name="Normal GHG Numbers (0.00) 3 2 2 2 13" xfId="6253" xr:uid="{EB98420F-9A2F-4BBD-972A-05E97D529E4F}"/>
    <cellStyle name="Normal GHG Numbers (0.00) 3 2 2 2 14" xfId="7514" xr:uid="{68BA86B2-AE90-4D90-B87A-816A75EB555F}"/>
    <cellStyle name="Normal GHG Numbers (0.00) 3 2 2 2 15" xfId="7845" xr:uid="{6F6BE4BA-F83D-4B69-AE20-ED48D3259869}"/>
    <cellStyle name="Normal GHG Numbers (0.00) 3 2 2 2 16" xfId="8615" xr:uid="{BB0104E2-1F90-4544-A10B-90E7F5267717}"/>
    <cellStyle name="Normal GHG Numbers (0.00) 3 2 2 2 17" xfId="8730" xr:uid="{D896D0E8-9B32-44CF-B859-AFF531A5A611}"/>
    <cellStyle name="Normal GHG Numbers (0.00) 3 2 2 2 18" xfId="9728" xr:uid="{FD25AFA3-0908-4E44-810C-562338571CA7}"/>
    <cellStyle name="Normal GHG Numbers (0.00) 3 2 2 2 19" xfId="10057" xr:uid="{31BB35D9-6960-4D97-BB4A-AC612D099D3E}"/>
    <cellStyle name="Normal GHG Numbers (0.00) 3 2 2 2 2" xfId="1268" xr:uid="{5D84533C-3F8B-469C-B76B-36278666384B}"/>
    <cellStyle name="Normal GHG Numbers (0.00) 3 2 2 2 20" xfId="10477" xr:uid="{717EA920-DB1E-4ACB-AFEF-0F3233A495FB}"/>
    <cellStyle name="Normal GHG Numbers (0.00) 3 2 2 2 21" xfId="10721" xr:uid="{D35B653F-C426-4785-9224-679F30AD2AF7}"/>
    <cellStyle name="Normal GHG Numbers (0.00) 3 2 2 2 22" xfId="11213" xr:uid="{A6356E46-5499-4100-8150-3DCCD38C97E0}"/>
    <cellStyle name="Normal GHG Numbers (0.00) 3 2 2 2 23" xfId="12147" xr:uid="{C5A43C8B-09BE-4E3B-AF5F-A4DEEB9C9785}"/>
    <cellStyle name="Normal GHG Numbers (0.00) 3 2 2 2 24" xfId="12620" xr:uid="{1F9282BC-74B8-45B4-8932-02B1A7D5C18A}"/>
    <cellStyle name="Normal GHG Numbers (0.00) 3 2 2 2 25" xfId="13054" xr:uid="{59EDFF80-3426-4AE8-B3E0-0D7D168B86A1}"/>
    <cellStyle name="Normal GHG Numbers (0.00) 3 2 2 2 26" xfId="13491" xr:uid="{CC3FC1FA-4417-493A-AC71-C5E48C6DF872}"/>
    <cellStyle name="Normal GHG Numbers (0.00) 3 2 2 2 27" xfId="11611" xr:uid="{5AB14F8E-77B5-4C98-A2A2-8360A91BE6CE}"/>
    <cellStyle name="Normal GHG Numbers (0.00) 3 2 2 2 28" xfId="14031" xr:uid="{16CC8C1A-07CF-4DE1-B516-75055933F715}"/>
    <cellStyle name="Normal GHG Numbers (0.00) 3 2 2 2 29" xfId="14711" xr:uid="{AE10565F-21D3-4CE8-9669-ED9407D5C2D3}"/>
    <cellStyle name="Normal GHG Numbers (0.00) 3 2 2 2 3" xfId="1505" xr:uid="{FBBB8F22-6B53-47B1-9F1F-1B8EF2F324BB}"/>
    <cellStyle name="Normal GHG Numbers (0.00) 3 2 2 2 30" xfId="15006" xr:uid="{DC0C41FB-4D12-43CC-9EB6-B176B7C0885B}"/>
    <cellStyle name="Normal GHG Numbers (0.00) 3 2 2 2 31" xfId="13677" xr:uid="{DCFBB973-4BEB-430A-9EF0-D21B4E9A67AC}"/>
    <cellStyle name="Normal GHG Numbers (0.00) 3 2 2 2 32" xfId="15887" xr:uid="{CDC85D6B-EE61-4729-B56B-7331C8EB3C9B}"/>
    <cellStyle name="Normal GHG Numbers (0.00) 3 2 2 2 33" xfId="16839" xr:uid="{2FD62F81-EBD5-4A3E-9FA8-8B8F41982E0A}"/>
    <cellStyle name="Normal GHG Numbers (0.00) 3 2 2 2 34" xfId="17175" xr:uid="{3FD552C9-F33E-4989-A71B-44A447525EBC}"/>
    <cellStyle name="Normal GHG Numbers (0.00) 3 2 2 2 35" xfId="17620" xr:uid="{6C1470A5-79DB-4843-AA66-1CFC80A94428}"/>
    <cellStyle name="Normal GHG Numbers (0.00) 3 2 2 2 36" xfId="18115" xr:uid="{1680E49F-CE48-4446-B7EB-3751D19132BB}"/>
    <cellStyle name="Normal GHG Numbers (0.00) 3 2 2 2 37" xfId="18657" xr:uid="{34706FD9-B402-4AFC-B4BF-719906B958E6}"/>
    <cellStyle name="Normal GHG Numbers (0.00) 3 2 2 2 38" xfId="18839" xr:uid="{B034B343-52C5-406C-9E89-E313AF983318}"/>
    <cellStyle name="Normal GHG Numbers (0.00) 3 2 2 2 39" xfId="19311" xr:uid="{F1F9BC85-004B-4DBA-BEBA-417A47542B2F}"/>
    <cellStyle name="Normal GHG Numbers (0.00) 3 2 2 2 4" xfId="2616" xr:uid="{2335E46A-FEDC-4238-B93C-F91BC3A166A0}"/>
    <cellStyle name="Normal GHG Numbers (0.00) 3 2 2 2 40" xfId="20176" xr:uid="{C0A7EE23-1266-4671-9B44-098CA0B74D4D}"/>
    <cellStyle name="Normal GHG Numbers (0.00) 3 2 2 2 41" xfId="20527" xr:uid="{FAE22938-B3A2-4823-BD52-5038BDF8064F}"/>
    <cellStyle name="Normal GHG Numbers (0.00) 3 2 2 2 42" xfId="20980" xr:uid="{45CED5DF-38A7-4216-8A1B-442DF235062D}"/>
    <cellStyle name="Normal GHG Numbers (0.00) 3 2 2 2 43" xfId="20872" xr:uid="{F191ABFB-C765-4DE4-A175-446666843F18}"/>
    <cellStyle name="Normal GHG Numbers (0.00) 3 2 2 2 44" xfId="21911" xr:uid="{AB4FA269-682B-4F0B-97CE-A52C9745716A}"/>
    <cellStyle name="Normal GHG Numbers (0.00) 3 2 2 2 45" xfId="22345" xr:uid="{74C18159-42BF-4DBB-99BF-EA9F7C35DB32}"/>
    <cellStyle name="Normal GHG Numbers (0.00) 3 2 2 2 46" xfId="21726" xr:uid="{DDFB7504-FFA6-433E-9FF3-A6D0EE28C879}"/>
    <cellStyle name="Normal GHG Numbers (0.00) 3 2 2 2 47" xfId="23114" xr:uid="{09A58007-AE61-4FD5-9058-38466E1A8A2F}"/>
    <cellStyle name="Normal GHG Numbers (0.00) 3 2 2 2 48" xfId="23623" xr:uid="{1013A6F5-C8EF-4E0B-906F-AC39EBD4A621}"/>
    <cellStyle name="Normal GHG Numbers (0.00) 3 2 2 2 49" xfId="23976" xr:uid="{57B4F3BD-92C6-45A6-9F90-42212AA7534B}"/>
    <cellStyle name="Normal GHG Numbers (0.00) 3 2 2 2 5" xfId="2197" xr:uid="{2D1992D2-BC94-419C-82A7-4090C20F1C3D}"/>
    <cellStyle name="Normal GHG Numbers (0.00) 3 2 2 2 50" xfId="24884" xr:uid="{AD2AF282-ECD3-49F6-B916-0B4419A35DBB}"/>
    <cellStyle name="Normal GHG Numbers (0.00) 3 2 2 2 51" xfId="25236" xr:uid="{D3656951-A60E-492B-9B62-C7EB655E81C4}"/>
    <cellStyle name="Normal GHG Numbers (0.00) 3 2 2 2 52" xfId="25800" xr:uid="{C190EBCE-B549-4DEB-ADE5-BF6E3FFA0682}"/>
    <cellStyle name="Normal GHG Numbers (0.00) 3 2 2 2 53" xfId="25288" xr:uid="{E2EFE2EF-C4E2-4F17-ACB4-5EE1ED169C85}"/>
    <cellStyle name="Normal GHG Numbers (0.00) 3 2 2 2 54" xfId="26128" xr:uid="{6E0BCD28-1E0A-4A56-ABCD-7F634174EE03}"/>
    <cellStyle name="Normal GHG Numbers (0.00) 3 2 2 2 55" xfId="27088" xr:uid="{2FF3C929-A53E-442E-A436-FBB087D00219}"/>
    <cellStyle name="Normal GHG Numbers (0.00) 3 2 2 2 56" xfId="27507" xr:uid="{7FFCC206-3D44-49FE-B4CE-AB36A11BEF54}"/>
    <cellStyle name="Normal GHG Numbers (0.00) 3 2 2 2 57" xfId="26586" xr:uid="{D7CDCBAE-5209-4776-A2FA-C92D0DA34712}"/>
    <cellStyle name="Normal GHG Numbers (0.00) 3 2 2 2 58" xfId="28634" xr:uid="{4846BA68-5411-4933-86C0-5EA2B38F10AA}"/>
    <cellStyle name="Normal GHG Numbers (0.00) 3 2 2 2 59" xfId="29101" xr:uid="{69B262C8-346D-4095-A1D3-50D43209C144}"/>
    <cellStyle name="Normal GHG Numbers (0.00) 3 2 2 2 6" xfId="3709" xr:uid="{779AF32F-02FC-449C-88E7-FAB2CB62841C}"/>
    <cellStyle name="Normal GHG Numbers (0.00) 3 2 2 2 60" xfId="29375" xr:uid="{50F62031-2B02-4BB4-A966-6F5A3F3DDF39}"/>
    <cellStyle name="Normal GHG Numbers (0.00) 3 2 2 2 61" xfId="29890" xr:uid="{C5E51149-C268-49A6-A000-9F37EEBDA86C}"/>
    <cellStyle name="Normal GHG Numbers (0.00) 3 2 2 2 62" xfId="30296" xr:uid="{2AFE76D0-4A25-4BC2-863C-A163909B640D}"/>
    <cellStyle name="Normal GHG Numbers (0.00) 3 2 2 2 63" xfId="30713" xr:uid="{4586A2CB-9EAE-4058-B571-9711EEEC10A0}"/>
    <cellStyle name="Normal GHG Numbers (0.00) 3 2 2 2 64" xfId="30409" xr:uid="{144F01A6-C5D3-45CC-B396-D1AF5B1E6D15}"/>
    <cellStyle name="Normal GHG Numbers (0.00) 3 2 2 2 65" xfId="31329" xr:uid="{11E5DDA1-94CC-42B3-A502-8615FF9431BF}"/>
    <cellStyle name="Normal GHG Numbers (0.00) 3 2 2 2 7" xfId="4112" xr:uid="{8508F016-4D87-46CA-B1D1-83EF962A78FB}"/>
    <cellStyle name="Normal GHG Numbers (0.00) 3 2 2 2 8" xfId="4549" xr:uid="{459CE134-0802-4337-A9CB-2C8482061A52}"/>
    <cellStyle name="Normal GHG Numbers (0.00) 3 2 2 2 9" xfId="4241" xr:uid="{B20D3C17-8D62-4C29-94CE-CB5EE19A93CF}"/>
    <cellStyle name="Normal GHG Numbers (0.00) 3 2 2 20" xfId="10053" xr:uid="{525192D1-A387-4BD4-97F3-DCBD7B1448C6}"/>
    <cellStyle name="Normal GHG Numbers (0.00) 3 2 2 21" xfId="10473" xr:uid="{7646CD82-2FC5-409D-8613-ABDA0132F212}"/>
    <cellStyle name="Normal GHG Numbers (0.00) 3 2 2 22" xfId="9346" xr:uid="{75C058E2-20AA-4B7C-8FC7-803B41E65F51}"/>
    <cellStyle name="Normal GHG Numbers (0.00) 3 2 2 23" xfId="11038" xr:uid="{1EA9A278-4EDB-451F-8CF1-72F693923EE1}"/>
    <cellStyle name="Normal GHG Numbers (0.00) 3 2 2 24" xfId="11932" xr:uid="{DE70A118-A57C-452A-8914-114BA7A9C78F}"/>
    <cellStyle name="Normal GHG Numbers (0.00) 3 2 2 25" xfId="12405" xr:uid="{5F8DCEE3-706C-4B98-8183-4E6B0231AF13}"/>
    <cellStyle name="Normal GHG Numbers (0.00) 3 2 2 26" xfId="12839" xr:uid="{1B0677F1-A2D7-4F62-A004-24DB73A88369}"/>
    <cellStyle name="Normal GHG Numbers (0.00) 3 2 2 27" xfId="13276" xr:uid="{FCF7924A-73A4-4563-AF3E-6BD6B0E5C5F1}"/>
    <cellStyle name="Normal GHG Numbers (0.00) 3 2 2 28" xfId="11643" xr:uid="{A88A7CAF-26AF-4267-8DB9-8758D94709AA}"/>
    <cellStyle name="Normal GHG Numbers (0.00) 3 2 2 29" xfId="14406" xr:uid="{089CA17B-54FA-4F9C-95EF-89A70ADEA7C3}"/>
    <cellStyle name="Normal GHG Numbers (0.00) 3 2 2 3" xfId="1062" xr:uid="{9B4452E4-B9B7-467B-BA29-E862A01CA420}"/>
    <cellStyle name="Normal GHG Numbers (0.00) 3 2 2 30" xfId="14687" xr:uid="{D05B3825-6BE4-4200-B10B-04D99ADF2BA6}"/>
    <cellStyle name="Normal GHG Numbers (0.00) 3 2 2 31" xfId="14584" xr:uid="{88224224-A254-4B11-8056-525A13E625C6}"/>
    <cellStyle name="Normal GHG Numbers (0.00) 3 2 2 32" xfId="15170" xr:uid="{BD47F841-7CE2-45A7-B955-1BEC8CD49A56}"/>
    <cellStyle name="Normal GHG Numbers (0.00) 3 2 2 33" xfId="15883" xr:uid="{321CA013-297D-4803-9FFA-17BC71EE70F5}"/>
    <cellStyle name="Normal GHG Numbers (0.00) 3 2 2 34" xfId="16624" xr:uid="{65D799EB-C6D6-44DD-8A5B-5137D565B885}"/>
    <cellStyle name="Normal GHG Numbers (0.00) 3 2 2 35" xfId="17171" xr:uid="{32C82736-CF8C-4757-963E-57F843686D0C}"/>
    <cellStyle name="Normal GHG Numbers (0.00) 3 2 2 36" xfId="17616" xr:uid="{788ADF8F-2145-43E3-89E4-FF21C112B983}"/>
    <cellStyle name="Normal GHG Numbers (0.00) 3 2 2 37" xfId="16338" xr:uid="{F81FD1EC-881B-41B1-8C2E-A0CF1C6A1963}"/>
    <cellStyle name="Normal GHG Numbers (0.00) 3 2 2 38" xfId="18442" xr:uid="{6CE246A5-2C25-49AE-A556-3ED6B23721BD}"/>
    <cellStyle name="Normal GHG Numbers (0.00) 3 2 2 39" xfId="17724" xr:uid="{21A144EE-4C6E-40B6-A1FA-25F40321791F}"/>
    <cellStyle name="Normal GHG Numbers (0.00) 3 2 2 4" xfId="1672" xr:uid="{54F3341F-C7C0-4BEE-B146-4744B422A383}"/>
    <cellStyle name="Normal GHG Numbers (0.00) 3 2 2 40" xfId="19278" xr:uid="{27B3FB4A-E844-4AE5-B6EA-1B6A2686011D}"/>
    <cellStyle name="Normal GHG Numbers (0.00) 3 2 2 41" xfId="19961" xr:uid="{F6C4C5A7-67D5-4364-8FF1-C53617E2BA2C}"/>
    <cellStyle name="Normal GHG Numbers (0.00) 3 2 2 42" xfId="20523" xr:uid="{7107B40F-F3EE-4FF7-AFEB-F42785F6DE08}"/>
    <cellStyle name="Normal GHG Numbers (0.00) 3 2 2 43" xfId="20976" xr:uid="{90C9032C-CD49-4996-A737-2D9B973E74E1}"/>
    <cellStyle name="Normal GHG Numbers (0.00) 3 2 2 44" xfId="20939" xr:uid="{4D037E9E-5143-43CA-9683-3C8C8831EE24}"/>
    <cellStyle name="Normal GHG Numbers (0.00) 3 2 2 45" xfId="21907" xr:uid="{67EFAF39-E971-4F62-909A-49A0689C1306}"/>
    <cellStyle name="Normal GHG Numbers (0.00) 3 2 2 46" xfId="22341" xr:uid="{51CACF51-A134-46E9-9CD7-45D0A82AFEDF}"/>
    <cellStyle name="Normal GHG Numbers (0.00) 3 2 2 47" xfId="22524" xr:uid="{A094C2E1-4971-4B06-B3D9-8CEBAAAE4DB3}"/>
    <cellStyle name="Normal GHG Numbers (0.00) 3 2 2 48" xfId="22714" xr:uid="{06124F59-A74E-490E-BB24-B88EE55D284D}"/>
    <cellStyle name="Normal GHG Numbers (0.00) 3 2 2 49" xfId="23578" xr:uid="{FDE018E4-2057-4741-A013-832344B2D324}"/>
    <cellStyle name="Normal GHG Numbers (0.00) 3 2 2 5" xfId="2401" xr:uid="{5EE882D8-F6BC-4221-849D-3DD7EEBB3ECD}"/>
    <cellStyle name="Normal GHG Numbers (0.00) 3 2 2 50" xfId="23770" xr:uid="{68A9D437-8EA5-4486-BE88-00476B694F1D}"/>
    <cellStyle name="Normal GHG Numbers (0.00) 3 2 2 51" xfId="24669" xr:uid="{9EC50474-D4BF-467A-AFAE-A7874F635B78}"/>
    <cellStyle name="Normal GHG Numbers (0.00) 3 2 2 52" xfId="25232" xr:uid="{97FAED13-5EF1-4EFE-83B8-9B748ABD37E1}"/>
    <cellStyle name="Normal GHG Numbers (0.00) 3 2 2 53" xfId="25587" xr:uid="{F6F26C6B-E55E-48FA-9AB7-A7D76748FAF1}"/>
    <cellStyle name="Normal GHG Numbers (0.00) 3 2 2 54" xfId="25705" xr:uid="{C1209A1D-18C9-4FA5-A94D-26CC318CF5E0}"/>
    <cellStyle name="Normal GHG Numbers (0.00) 3 2 2 55" xfId="25250" xr:uid="{B58153F6-1652-4AFD-B7D8-47F80C4A44DA}"/>
    <cellStyle name="Normal GHG Numbers (0.00) 3 2 2 56" xfId="26877" xr:uid="{4ADF9275-0821-4C9C-B741-048D4792179F}"/>
    <cellStyle name="Normal GHG Numbers (0.00) 3 2 2 57" xfId="27296" xr:uid="{DFE6A669-4914-42D0-AE20-70232B373A32}"/>
    <cellStyle name="Normal GHG Numbers (0.00) 3 2 2 58" xfId="24500" xr:uid="{4B1600B5-9F56-4BDA-B1BD-996DA6EF7606}"/>
    <cellStyle name="Normal GHG Numbers (0.00) 3 2 2 59" xfId="28419" xr:uid="{1C12A281-4F61-47A4-A359-68F71D2DA718}"/>
    <cellStyle name="Normal GHG Numbers (0.00) 3 2 2 6" xfId="2518" xr:uid="{5385044B-6CF5-4BCC-A0F3-98443F957ED9}"/>
    <cellStyle name="Normal GHG Numbers (0.00) 3 2 2 60" xfId="28887" xr:uid="{72F06B2B-9DFD-4B31-8AAC-B3C0B5FCE90C}"/>
    <cellStyle name="Normal GHG Numbers (0.00) 3 2 2 61" xfId="29371" xr:uid="{E12A2B9E-1E94-4562-B51E-0A4129EAC673}"/>
    <cellStyle name="Normal GHG Numbers (0.00) 3 2 2 62" xfId="29677" xr:uid="{E2CE1CB6-1EDC-49C2-823A-E9D27D4B3ACC}"/>
    <cellStyle name="Normal GHG Numbers (0.00) 3 2 2 63" xfId="30085" xr:uid="{AC2E2905-A31B-4123-8130-4333DACB5441}"/>
    <cellStyle name="Normal GHG Numbers (0.00) 3 2 2 64" xfId="30499" xr:uid="{3E800D27-E431-453E-8FEA-81F1894FB561}"/>
    <cellStyle name="Normal GHG Numbers (0.00) 3 2 2 65" xfId="28035" xr:uid="{2E509607-143E-4AD5-A94C-7A80A85FE93C}"/>
    <cellStyle name="Normal GHG Numbers (0.00) 3 2 2 66" xfId="31123" xr:uid="{386E5CC8-A07C-486A-A727-FE2AF4769D2C}"/>
    <cellStyle name="Normal GHG Numbers (0.00) 3 2 2 7" xfId="3456" xr:uid="{B2391F09-CEF7-46DA-8474-5704C488D606}"/>
    <cellStyle name="Normal GHG Numbers (0.00) 3 2 2 8" xfId="3897" xr:uid="{0C97F24F-CE3C-4850-B23B-8FDEF0BB75EE}"/>
    <cellStyle name="Normal GHG Numbers (0.00) 3 2 2 9" xfId="4335" xr:uid="{96B4178A-EFA2-47D1-868C-DF53841AC690}"/>
    <cellStyle name="Normal GHG Numbers (0.00) 3 2 3" xfId="720" xr:uid="{1D018750-0716-4234-9A70-91F8D2AA8A7F}"/>
    <cellStyle name="Normal GHG Numbers (0.00) 3 2 3 10" xfId="5368" xr:uid="{DE89C064-E094-4131-81CB-A7237FC19324}"/>
    <cellStyle name="Normal GHG Numbers (0.00) 3 2 3 11" xfId="6000" xr:uid="{35EB306E-1B18-472E-A7BE-4EDACEC9B44B}"/>
    <cellStyle name="Normal GHG Numbers (0.00) 3 2 3 12" xfId="6362" xr:uid="{5E448DAC-B16A-4847-B7B1-32DA9C2F0C8B}"/>
    <cellStyle name="Normal GHG Numbers (0.00) 3 2 3 13" xfId="6702" xr:uid="{7B8925A0-35C0-4219-B2D8-33A689F2FCDA}"/>
    <cellStyle name="Normal GHG Numbers (0.00) 3 2 3 14" xfId="7440" xr:uid="{0D10E185-B7F7-4B16-993A-A045E4F69780}"/>
    <cellStyle name="Normal GHG Numbers (0.00) 3 2 3 15" xfId="8042" xr:uid="{118B984E-E164-4706-A7DE-5B40494A25A1}"/>
    <cellStyle name="Normal GHG Numbers (0.00) 3 2 3 16" xfId="8405" xr:uid="{E81FAD79-E535-4B45-AE9A-8E6119CE97F5}"/>
    <cellStyle name="Normal GHG Numbers (0.00) 3 2 3 17" xfId="8915" xr:uid="{6F73064E-871B-4910-A807-484128F7D9D5}"/>
    <cellStyle name="Normal GHG Numbers (0.00) 3 2 3 18" xfId="9654" xr:uid="{AA3A21CC-0F03-4381-BEA8-B9683C301119}"/>
    <cellStyle name="Normal GHG Numbers (0.00) 3 2 3 19" xfId="10261" xr:uid="{5E2F03D5-7AA0-49B6-8BAA-21848A212268}"/>
    <cellStyle name="Normal GHG Numbers (0.00) 3 2 3 2" xfId="1194" xr:uid="{68BEA964-561D-4917-9EC8-12E034111260}"/>
    <cellStyle name="Normal GHG Numbers (0.00) 3 2 3 20" xfId="10654" xr:uid="{162E2F56-9CE1-4915-BFD7-809CDE27710B}"/>
    <cellStyle name="Normal GHG Numbers (0.00) 3 2 3 21" xfId="11007" xr:uid="{2A4C7E69-F552-47BC-9255-1BE560A86323}"/>
    <cellStyle name="Normal GHG Numbers (0.00) 3 2 3 22" xfId="11319" xr:uid="{3478BBF1-132C-4B16-AF91-2435B852339A}"/>
    <cellStyle name="Normal GHG Numbers (0.00) 3 2 3 23" xfId="12073" xr:uid="{5431679E-0AE1-41A5-A811-A0825CFFD225}"/>
    <cellStyle name="Normal GHG Numbers (0.00) 3 2 3 24" xfId="12546" xr:uid="{39E93D1D-4F5B-4424-8C2B-621646BD2E18}"/>
    <cellStyle name="Normal GHG Numbers (0.00) 3 2 3 25" xfId="12980" xr:uid="{372DF5CF-4184-4F43-AC51-248624F05A42}"/>
    <cellStyle name="Normal GHG Numbers (0.00) 3 2 3 26" xfId="13417" xr:uid="{C10E8987-02C5-462E-99E4-109B36016584}"/>
    <cellStyle name="Normal GHG Numbers (0.00) 3 2 3 27" xfId="14026" xr:uid="{AB392116-C60A-4880-AB41-30AEB31BEDE3}"/>
    <cellStyle name="Normal GHG Numbers (0.00) 3 2 3 28" xfId="13831" xr:uid="{0F0E9A5F-0984-46F5-8913-3E3C76D602D1}"/>
    <cellStyle name="Normal GHG Numbers (0.00) 3 2 3 29" xfId="14907" xr:uid="{F6530BEB-58F4-4527-AEE1-D65B57F23535}"/>
    <cellStyle name="Normal GHG Numbers (0.00) 3 2 3 3" xfId="1495" xr:uid="{70B0AAD9-3B53-4E67-B7EC-134D054AAA80}"/>
    <cellStyle name="Normal GHG Numbers (0.00) 3 2 3 30" xfId="15378" xr:uid="{EF1D8290-3DBE-444F-9807-E64965F70098}"/>
    <cellStyle name="Normal GHG Numbers (0.00) 3 2 3 31" xfId="15770" xr:uid="{2D1276B7-59F5-4468-A699-F777AD4ABC65}"/>
    <cellStyle name="Normal GHG Numbers (0.00) 3 2 3 32" xfId="15995" xr:uid="{3161CC0A-CD20-4943-AFFA-2B052E21A96D}"/>
    <cellStyle name="Normal GHG Numbers (0.00) 3 2 3 33" xfId="16765" xr:uid="{96186806-9FF4-4BA5-998E-CD46B81D89FC}"/>
    <cellStyle name="Normal GHG Numbers (0.00) 3 2 3 34" xfId="17383" xr:uid="{E824461F-CC11-4895-9E46-70EB78B2CE1C}"/>
    <cellStyle name="Normal GHG Numbers (0.00) 3 2 3 35" xfId="17825" xr:uid="{8E4F29B6-18E2-45AF-831B-C6ECB49B1C37}"/>
    <cellStyle name="Normal GHG Numbers (0.00) 3 2 3 36" xfId="18301" xr:uid="{9C670281-86C4-4741-B9E0-190C18F4EFF0}"/>
    <cellStyle name="Normal GHG Numbers (0.00) 3 2 3 37" xfId="18583" xr:uid="{305D6094-C301-4123-8114-295ECF0A34E7}"/>
    <cellStyle name="Normal GHG Numbers (0.00) 3 2 3 38" xfId="19112" xr:uid="{F5E7B559-F931-4778-BB47-FE91C522076E}"/>
    <cellStyle name="Normal GHG Numbers (0.00) 3 2 3 39" xfId="19344" xr:uid="{8AA8126F-8289-4C00-BB4D-66EA8ABD9260}"/>
    <cellStyle name="Normal GHG Numbers (0.00) 3 2 3 4" xfId="2542" xr:uid="{C06C6B51-74E3-4ABB-830F-F1C1CFC41B2F}"/>
    <cellStyle name="Normal GHG Numbers (0.00) 3 2 3 40" xfId="20102" xr:uid="{7A6D9FD5-1420-4CD7-84D9-76C0C0327835}"/>
    <cellStyle name="Normal GHG Numbers (0.00) 3 2 3 41" xfId="20732" xr:uid="{32483395-FC72-44E3-9F7B-6BE4BFFB8975}"/>
    <cellStyle name="Normal GHG Numbers (0.00) 3 2 3 42" xfId="21191" xr:uid="{2225603A-60B9-45BB-9A8D-25A0E72D8D94}"/>
    <cellStyle name="Normal GHG Numbers (0.00) 3 2 3 43" xfId="21683" xr:uid="{41C5D04F-C1CF-4A3A-923B-811F812899CF}"/>
    <cellStyle name="Normal GHG Numbers (0.00) 3 2 3 44" xfId="22122" xr:uid="{A3ABA5D5-B8B9-4D30-B35A-8864F81D1989}"/>
    <cellStyle name="Normal GHG Numbers (0.00) 3 2 3 45" xfId="22549" xr:uid="{58367181-D740-4FF3-B88E-D120D25A541C}"/>
    <cellStyle name="Normal GHG Numbers (0.00) 3 2 3 46" xfId="22995" xr:uid="{EF9BA248-F31F-4370-9339-E2745E5C4CAC}"/>
    <cellStyle name="Normal GHG Numbers (0.00) 3 2 3 47" xfId="23399" xr:uid="{1EE6E0FD-474E-47C8-9CA6-D3A140A3F8FA}"/>
    <cellStyle name="Normal GHG Numbers (0.00) 3 2 3 48" xfId="23665" xr:uid="{7BEED460-305A-4D78-B699-DBCF75D08B2A}"/>
    <cellStyle name="Normal GHG Numbers (0.00) 3 2 3 49" xfId="23902" xr:uid="{A20297CC-672B-486E-B584-B5A81965CEAB}"/>
    <cellStyle name="Normal GHG Numbers (0.00) 3 2 3 5" xfId="3199" xr:uid="{AE7E3F2D-D966-4749-A7B6-B05E0FC15415}"/>
    <cellStyle name="Normal GHG Numbers (0.00) 3 2 3 50" xfId="24810" xr:uid="{8995FED7-771B-4F33-B3FC-24198C60E2B5}"/>
    <cellStyle name="Normal GHG Numbers (0.00) 3 2 3 51" xfId="25437" xr:uid="{61621189-EC5F-4A5B-ABAB-22429F0CF16E}"/>
    <cellStyle name="Normal GHG Numbers (0.00) 3 2 3 52" xfId="25726" xr:uid="{FC7493BE-2269-401D-A7D4-999F160ED796}"/>
    <cellStyle name="Normal GHG Numbers (0.00) 3 2 3 53" xfId="26303" xr:uid="{C9E43D6C-0E9E-4FAE-B21F-B52EABD769C1}"/>
    <cellStyle name="Normal GHG Numbers (0.00) 3 2 3 54" xfId="26000" xr:uid="{1E642228-48EE-4BBD-B76B-0BEDE52B43CA}"/>
    <cellStyle name="Normal GHG Numbers (0.00) 3 2 3 55" xfId="27014" xr:uid="{0799B0B7-7DA5-4764-B9D5-A2E223C968F7}"/>
    <cellStyle name="Normal GHG Numbers (0.00) 3 2 3 56" xfId="27433" xr:uid="{B7BBBD3A-CC73-44FF-8269-3CD9A72CD5C8}"/>
    <cellStyle name="Normal GHG Numbers (0.00) 3 2 3 57" xfId="27616" xr:uid="{745C73B5-49C8-4AC9-9B9D-15C6305FC0D0}"/>
    <cellStyle name="Normal GHG Numbers (0.00) 3 2 3 58" xfId="28560" xr:uid="{34663441-1474-4B85-818E-D32FC35466EF}"/>
    <cellStyle name="Normal GHG Numbers (0.00) 3 2 3 59" xfId="29027" xr:uid="{4E515B86-2E40-43CD-8E94-40A47C2BE938}"/>
    <cellStyle name="Normal GHG Numbers (0.00) 3 2 3 6" xfId="3367" xr:uid="{18AF27F7-A9B8-49CB-A78A-507FA7C5AED7}"/>
    <cellStyle name="Normal GHG Numbers (0.00) 3 2 3 60" xfId="29546" xr:uid="{F7E5F24F-4675-463C-89C5-69988855EF4A}"/>
    <cellStyle name="Normal GHG Numbers (0.00) 3 2 3 61" xfId="29816" xr:uid="{2451E011-5DCF-43C5-AE5C-A7E02E317977}"/>
    <cellStyle name="Normal GHG Numbers (0.00) 3 2 3 62" xfId="30222" xr:uid="{F6956857-33F8-4DDF-8E16-F13368F79770}"/>
    <cellStyle name="Normal GHG Numbers (0.00) 3 2 3 63" xfId="30639" xr:uid="{E176A625-D95E-41C7-8BD9-FA552DFAAED5}"/>
    <cellStyle name="Normal GHG Numbers (0.00) 3 2 3 64" xfId="30970" xr:uid="{28E3E441-F145-4019-A12B-46843A5C5097}"/>
    <cellStyle name="Normal GHG Numbers (0.00) 3 2 3 65" xfId="31255" xr:uid="{220EDE27-5DA5-4654-9070-B104D79C0C39}"/>
    <cellStyle name="Normal GHG Numbers (0.00) 3 2 3 7" xfId="4038" xr:uid="{2270E619-99EF-4C27-B24E-027A07D9C30A}"/>
    <cellStyle name="Normal GHG Numbers (0.00) 3 2 3 8" xfId="4475" xr:uid="{BF51F9DE-BBBA-4DBE-ADF1-8B194160E6D4}"/>
    <cellStyle name="Normal GHG Numbers (0.00) 3 2 3 9" xfId="3135" xr:uid="{F9D63679-8B03-4343-B2DD-F12E2A269641}"/>
    <cellStyle name="Normal GHG Numbers (0.00) 3 3" xfId="360" xr:uid="{A51E728C-B266-4F36-938D-D1BE00599B84}"/>
    <cellStyle name="Normal GHG Numbers (0.00) 3 3 10" xfId="3428" xr:uid="{23219DF1-D5F4-47F4-82E4-06740D409938}"/>
    <cellStyle name="Normal GHG Numbers (0.00) 3 3 11" xfId="3116" xr:uid="{B4FBCFB0-C528-4E9D-A79A-52CFEF4F6CB7}"/>
    <cellStyle name="Normal GHG Numbers (0.00) 3 3 12" xfId="3087" xr:uid="{6C30C8B4-DC92-4B21-82F0-C5FC0C35AB4A}"/>
    <cellStyle name="Normal GHG Numbers (0.00) 3 3 13" xfId="3333" xr:uid="{B45D8F20-C119-444C-88BC-30550229DCAE}"/>
    <cellStyle name="Normal GHG Numbers (0.00) 3 3 14" xfId="5735" xr:uid="{B4487F20-C928-4A7F-8AC2-BBEA3A8430C1}"/>
    <cellStyle name="Normal GHG Numbers (0.00) 3 3 15" xfId="3269" xr:uid="{DE5E4865-996F-44A1-B11D-2210E67141D9}"/>
    <cellStyle name="Normal GHG Numbers (0.00) 3 3 16" xfId="6063" xr:uid="{36835A4C-F2CC-4566-B832-4585278FE8AF}"/>
    <cellStyle name="Normal GHG Numbers (0.00) 3 3 17" xfId="7087" xr:uid="{246B4744-91FF-4F26-9770-4430C685F4C0}"/>
    <cellStyle name="Normal GHG Numbers (0.00) 3 3 18" xfId="7920" xr:uid="{41AC85B8-2303-41A8-B9A7-6AFC2D8CD67D}"/>
    <cellStyle name="Normal GHG Numbers (0.00) 3 3 19" xfId="7792" xr:uid="{35729DC3-2A83-4BD5-8448-85D9F54BF9EB}"/>
    <cellStyle name="Normal GHG Numbers (0.00) 3 3 2" xfId="638" xr:uid="{F0AE25BA-8247-4E2A-A6C1-456D2BFEF496}"/>
    <cellStyle name="Normal GHG Numbers (0.00) 3 3 2 10" xfId="2145" xr:uid="{EC488CEF-C5D2-42B0-82C9-D7C67354594C}"/>
    <cellStyle name="Normal GHG Numbers (0.00) 3 3 2 11" xfId="5286" xr:uid="{8FAEA889-4BA4-4EA9-8BAA-629C7429AF7B}"/>
    <cellStyle name="Normal GHG Numbers (0.00) 3 3 2 12" xfId="5566" xr:uid="{69F63035-E1F5-47DA-ACDC-4225961250DE}"/>
    <cellStyle name="Normal GHG Numbers (0.00) 3 3 2 13" xfId="5039" xr:uid="{ACEE838E-D6F5-467D-A92C-82F7686FC0D8}"/>
    <cellStyle name="Normal GHG Numbers (0.00) 3 3 2 14" xfId="6422" xr:uid="{F0D5795F-9B29-4F49-9739-D54AFB64927A}"/>
    <cellStyle name="Normal GHG Numbers (0.00) 3 3 2 15" xfId="7358" xr:uid="{4D540AC4-3B33-4B8C-A146-D23088602707}"/>
    <cellStyle name="Normal GHG Numbers (0.00) 3 3 2 16" xfId="8029" xr:uid="{EF6C7AA4-66F3-431D-AB51-3EA704B2A618}"/>
    <cellStyle name="Normal GHG Numbers (0.00) 3 3 2 17" xfId="8308" xr:uid="{8B262714-C27D-4A20-8674-38DEF5F3BE9D}"/>
    <cellStyle name="Normal GHG Numbers (0.00) 3 3 2 18" xfId="8591" xr:uid="{1740C00A-3344-4FE4-9ED6-E3D3B61393AE}"/>
    <cellStyle name="Normal GHG Numbers (0.00) 3 3 2 19" xfId="9572" xr:uid="{3708046B-1BC4-4381-BED5-DF8AFB882C0D}"/>
    <cellStyle name="Normal GHG Numbers (0.00) 3 3 2 2" xfId="853" xr:uid="{8D3E30CE-E73E-4C4B-842E-3D74592C323D}"/>
    <cellStyle name="Normal GHG Numbers (0.00) 3 3 2 2 10" xfId="5501" xr:uid="{34C3AE28-687A-4D54-B842-9E91FF968FC8}"/>
    <cellStyle name="Normal GHG Numbers (0.00) 3 3 2 2 11" xfId="5602" xr:uid="{2B3097E6-2A05-4293-A22D-4F8FE5B8916E}"/>
    <cellStyle name="Normal GHG Numbers (0.00) 3 3 2 2 12" xfId="6241" xr:uid="{F5198D4C-E974-4211-9C9B-F93EEB202B47}"/>
    <cellStyle name="Normal GHG Numbers (0.00) 3 3 2 2 13" xfId="5884" xr:uid="{3AF58D5D-1432-43CD-A5C9-DFC95A0D288A}"/>
    <cellStyle name="Normal GHG Numbers (0.00) 3 3 2 2 14" xfId="7573" xr:uid="{6697710C-0CC1-4412-8DDD-A0D3AE50B341}"/>
    <cellStyle name="Normal GHG Numbers (0.00) 3 3 2 2 15" xfId="7208" xr:uid="{DFEFB3F0-6C8C-4498-8BA4-AF40A5FB3D52}"/>
    <cellStyle name="Normal GHG Numbers (0.00) 3 3 2 2 16" xfId="8379" xr:uid="{CB7C126F-D4D3-47DF-9D82-29809D43E244}"/>
    <cellStyle name="Normal GHG Numbers (0.00) 3 3 2 2 17" xfId="7153" xr:uid="{35FD4F87-A196-46DC-95DD-BC4CC1C8E9FF}"/>
    <cellStyle name="Normal GHG Numbers (0.00) 3 3 2 2 18" xfId="9787" xr:uid="{8ECC6372-1039-49F3-8E7C-7567E224403E}"/>
    <cellStyle name="Normal GHG Numbers (0.00) 3 3 2 2 19" xfId="9421" xr:uid="{1A8786F1-C291-4356-9E9F-26AF88F53FD7}"/>
    <cellStyle name="Normal GHG Numbers (0.00) 3 3 2 2 2" xfId="1327" xr:uid="{B0230C06-35B4-442D-9411-9CF1D2F6D19E}"/>
    <cellStyle name="Normal GHG Numbers (0.00) 3 3 2 2 20" xfId="10253" xr:uid="{B00359C9-3BD4-469D-B263-22985AD6EE40}"/>
    <cellStyle name="Normal GHG Numbers (0.00) 3 3 2 2 21" xfId="10921" xr:uid="{CBFD0022-6D93-4123-B294-54D966D21AFD}"/>
    <cellStyle name="Normal GHG Numbers (0.00) 3 3 2 2 22" xfId="10592" xr:uid="{9A0527AF-78D4-4616-AC97-E629CAE72BE8}"/>
    <cellStyle name="Normal GHG Numbers (0.00) 3 3 2 2 23" xfId="12206" xr:uid="{89CEEAF6-1903-4EE9-8582-057AA90CCF94}"/>
    <cellStyle name="Normal GHG Numbers (0.00) 3 3 2 2 24" xfId="12679" xr:uid="{27ABF1DA-BB77-4EF9-AC23-684718CDCB9B}"/>
    <cellStyle name="Normal GHG Numbers (0.00) 3 3 2 2 25" xfId="13113" xr:uid="{F8E61414-E60B-40EF-98BE-C9D19E18C665}"/>
    <cellStyle name="Normal GHG Numbers (0.00) 3 3 2 2 26" xfId="13550" xr:uid="{A7A6DB88-A389-4ADD-87B1-AAB024635720}"/>
    <cellStyle name="Normal GHG Numbers (0.00) 3 3 2 2 27" xfId="13905" xr:uid="{236FCDEC-0ED4-49AE-9B1B-104CA557540B}"/>
    <cellStyle name="Normal GHG Numbers (0.00) 3 3 2 2 28" xfId="13183" xr:uid="{F5790658-0FAE-4842-A1FC-160927E811F1}"/>
    <cellStyle name="Normal GHG Numbers (0.00) 3 3 2 2 29" xfId="13678" xr:uid="{7D42E091-EF91-41E9-AE6D-F25574262633}"/>
    <cellStyle name="Normal GHG Numbers (0.00) 3 3 2 2 3" xfId="1776" xr:uid="{394AC745-4B30-43AE-ADD0-5250D715D5CA}"/>
    <cellStyle name="Normal GHG Numbers (0.00) 3 3 2 2 30" xfId="15211" xr:uid="{E5430006-9314-41B5-91E0-EE94FBCE31F6}"/>
    <cellStyle name="Normal GHG Numbers (0.00) 3 3 2 2 31" xfId="14659" xr:uid="{2B542561-2846-468D-B346-2B901F167BE7}"/>
    <cellStyle name="Normal GHG Numbers (0.00) 3 3 2 2 32" xfId="15515" xr:uid="{D19429E0-5C30-47EB-A0F0-827B347F37A1}"/>
    <cellStyle name="Normal GHG Numbers (0.00) 3 3 2 2 33" xfId="16898" xr:uid="{954B978C-0B25-460E-B347-86D70539A523}"/>
    <cellStyle name="Normal GHG Numbers (0.00) 3 3 2 2 34" xfId="16530" xr:uid="{4E78E87A-D02A-4147-BEAF-A2A31F13CB66}"/>
    <cellStyle name="Normal GHG Numbers (0.00) 3 3 2 2 35" xfId="17375" xr:uid="{64C60657-A491-4AEE-8CEE-CF87A9188289}"/>
    <cellStyle name="Normal GHG Numbers (0.00) 3 3 2 2 36" xfId="17873" xr:uid="{A48A0E37-7E84-4F60-B214-06B95579AC96}"/>
    <cellStyle name="Normal GHG Numbers (0.00) 3 3 2 2 37" xfId="18716" xr:uid="{26D5278C-DE6E-4C53-B06F-D82BC84D9495}"/>
    <cellStyle name="Normal GHG Numbers (0.00) 3 3 2 2 38" xfId="16474" xr:uid="{E91B0746-0C61-45FD-89B7-6EF1900DB82A}"/>
    <cellStyle name="Normal GHG Numbers (0.00) 3 3 2 2 39" xfId="19292" xr:uid="{F67E068C-2B93-460F-9C8F-F619FF0C7055}"/>
    <cellStyle name="Normal GHG Numbers (0.00) 3 3 2 2 4" xfId="2675" xr:uid="{47A08C93-8869-4826-8A0B-6A054C535E0C}"/>
    <cellStyle name="Normal GHG Numbers (0.00) 3 3 2 2 40" xfId="20235" xr:uid="{461B3BDE-B66C-4F39-A71D-8C6AD2E0E8D9}"/>
    <cellStyle name="Normal GHG Numbers (0.00) 3 3 2 2 41" xfId="19866" xr:uid="{F20B8A03-F81A-46B0-8A44-310F9C09368F}"/>
    <cellStyle name="Normal GHG Numbers (0.00) 3 3 2 2 42" xfId="19794" xr:uid="{8627DEE5-7768-49D6-AE6C-BCE9CD707BA6}"/>
    <cellStyle name="Normal GHG Numbers (0.00) 3 3 2 2 43" xfId="20798" xr:uid="{E619F3D1-8442-4010-A68C-8BFC8EF4A34B}"/>
    <cellStyle name="Normal GHG Numbers (0.00) 3 3 2 2 44" xfId="19833" xr:uid="{FDD0BE6F-F86E-46F7-991B-D1DEC6E18CE9}"/>
    <cellStyle name="Normal GHG Numbers (0.00) 3 3 2 2 45" xfId="22033" xr:uid="{6766422C-A78E-4F30-BB0B-E6E9AC9CA736}"/>
    <cellStyle name="Normal GHG Numbers (0.00) 3 3 2 2 46" xfId="22885" xr:uid="{38DFFC6A-A6A6-4247-AAAE-25AB09586893}"/>
    <cellStyle name="Normal GHG Numbers (0.00) 3 3 2 2 47" xfId="22450" xr:uid="{D6A19FE3-758D-4A84-A30C-FF3FCD00A1ED}"/>
    <cellStyle name="Normal GHG Numbers (0.00) 3 3 2 2 48" xfId="23489" xr:uid="{B9EA6CB2-6FB9-4DD6-ABA0-027F0A62B6E2}"/>
    <cellStyle name="Normal GHG Numbers (0.00) 3 3 2 2 49" xfId="24035" xr:uid="{07DEF7C6-29E7-49E8-8156-6F41AA91F4AF}"/>
    <cellStyle name="Normal GHG Numbers (0.00) 3 3 2 2 5" xfId="3073" xr:uid="{A19D9211-4C43-402C-8FED-3371B89A1245}"/>
    <cellStyle name="Normal GHG Numbers (0.00) 3 3 2 2 50" xfId="24943" xr:uid="{41266D8F-D861-4AFC-9C16-B21F8B3E9984}"/>
    <cellStyle name="Normal GHG Numbers (0.00) 3 3 2 2 51" xfId="24430" xr:uid="{E4BAF5A7-F165-4085-B4AB-6AB0DB846DDC}"/>
    <cellStyle name="Normal GHG Numbers (0.00) 3 3 2 2 52" xfId="25859" xr:uid="{CEE1833D-EAC0-4C9A-B753-CF2D8825C9C7}"/>
    <cellStyle name="Normal GHG Numbers (0.00) 3 3 2 2 53" xfId="26212" xr:uid="{272BE18A-5DCB-42D3-8196-21914B9D986B}"/>
    <cellStyle name="Normal GHG Numbers (0.00) 3 3 2 2 54" xfId="26642" xr:uid="{6AA3BA16-71AC-4EDF-8477-66EEE1E1E67E}"/>
    <cellStyle name="Normal GHG Numbers (0.00) 3 3 2 2 55" xfId="27147" xr:uid="{FEAB5C50-99AE-41DA-88B2-B3732B60670C}"/>
    <cellStyle name="Normal GHG Numbers (0.00) 3 3 2 2 56" xfId="27566" xr:uid="{341D3C8C-F26F-4C56-9F25-A9A11F825B53}"/>
    <cellStyle name="Normal GHG Numbers (0.00) 3 3 2 2 57" xfId="26257" xr:uid="{71A4E193-B1CC-4872-B748-D49FF3384673}"/>
    <cellStyle name="Normal GHG Numbers (0.00) 3 3 2 2 58" xfId="28693" xr:uid="{AE99B8DA-FDAD-4CEF-BEBC-1F801EEAD555}"/>
    <cellStyle name="Normal GHG Numbers (0.00) 3 3 2 2 59" xfId="29160" xr:uid="{8313F157-50AC-4EC0-853C-E965A36E0312}"/>
    <cellStyle name="Normal GHG Numbers (0.00) 3 3 2 2 6" xfId="2953" xr:uid="{D705DE6A-BD68-4511-AF72-27486367E06B}"/>
    <cellStyle name="Normal GHG Numbers (0.00) 3 3 2 2 60" xfId="27995" xr:uid="{79159165-EACE-4DDC-8AE1-9348B6D052CC}"/>
    <cellStyle name="Normal GHG Numbers (0.00) 3 3 2 2 61" xfId="29949" xr:uid="{337DE48C-B5BC-4098-AD40-4E1165D3E52D}"/>
    <cellStyle name="Normal GHG Numbers (0.00) 3 3 2 2 62" xfId="30355" xr:uid="{F3164066-13D6-4F9F-87BA-BDDA0520E6B0}"/>
    <cellStyle name="Normal GHG Numbers (0.00) 3 3 2 2 63" xfId="30772" xr:uid="{F8CB50DC-DB8C-4454-8B4D-CEB716A73CC0}"/>
    <cellStyle name="Normal GHG Numbers (0.00) 3 3 2 2 64" xfId="29998" xr:uid="{84EA6CD4-1280-4082-8CC0-DB84331FA2B5}"/>
    <cellStyle name="Normal GHG Numbers (0.00) 3 3 2 2 65" xfId="31388" xr:uid="{BF390FBC-A4A0-4BF9-B6CC-7D8A89F5D3C8}"/>
    <cellStyle name="Normal GHG Numbers (0.00) 3 3 2 2 7" xfId="4171" xr:uid="{89591EEC-7617-4EAB-8EF9-D32B8A30E3AE}"/>
    <cellStyle name="Normal GHG Numbers (0.00) 3 3 2 2 8" xfId="4608" xr:uid="{D3B6F985-A360-4F87-A16A-8BFEBDB1398B}"/>
    <cellStyle name="Normal GHG Numbers (0.00) 3 3 2 2 9" xfId="2767" xr:uid="{8E87C4CA-5125-44BB-B4A9-0A3D18B8D1C7}"/>
    <cellStyle name="Normal GHG Numbers (0.00) 3 3 2 20" xfId="10249" xr:uid="{07475995-CBDC-465E-8A33-460A00879017}"/>
    <cellStyle name="Normal GHG Numbers (0.00) 3 3 2 21" xfId="10643" xr:uid="{4DD55FC5-26D4-41FD-9FA5-F42210C17B68}"/>
    <cellStyle name="Normal GHG Numbers (0.00) 3 3 2 22" xfId="10998" xr:uid="{85C1C8E5-BF93-4807-B559-4E59A82DD94B}"/>
    <cellStyle name="Normal GHG Numbers (0.00) 3 3 2 23" xfId="11168" xr:uid="{46A8D242-2289-431B-B764-014F680BB221}"/>
    <cellStyle name="Normal GHG Numbers (0.00) 3 3 2 24" xfId="11991" xr:uid="{5D74464A-FC64-457C-865C-42655571113A}"/>
    <cellStyle name="Normal GHG Numbers (0.00) 3 3 2 25" xfId="12464" xr:uid="{CF5F319C-91E8-4542-ACE1-8EEAE63A6727}"/>
    <cellStyle name="Normal GHG Numbers (0.00) 3 3 2 26" xfId="12898" xr:uid="{1B35E921-7792-4496-9DCE-251344F6996F}"/>
    <cellStyle name="Normal GHG Numbers (0.00) 3 3 2 27" xfId="13335" xr:uid="{7E6AB24C-4D88-4AF5-85DF-82609D3FCB2B}"/>
    <cellStyle name="Normal GHG Numbers (0.00) 3 3 2 28" xfId="12740" xr:uid="{12752236-9EF8-4BA0-A4F4-E05DFC7C56BA}"/>
    <cellStyle name="Normal GHG Numbers (0.00) 3 3 2 29" xfId="13891" xr:uid="{D0F39DF5-A2CA-4614-BC67-D58AEA522D4F}"/>
    <cellStyle name="Normal GHG Numbers (0.00) 3 3 2 3" xfId="1121" xr:uid="{F0B9A17D-0CE3-4A4D-8CDD-D2401C874542}"/>
    <cellStyle name="Normal GHG Numbers (0.00) 3 3 2 30" xfId="14854" xr:uid="{6A2FA708-E69F-40C5-9183-9C1E50E5870C}"/>
    <cellStyle name="Normal GHG Numbers (0.00) 3 3 2 31" xfId="15116" xr:uid="{75D4A78B-6B64-4B02-B209-977495498053}"/>
    <cellStyle name="Normal GHG Numbers (0.00) 3 3 2 32" xfId="12315" xr:uid="{55EAA992-2ECF-490F-9BCA-0156DE67162C}"/>
    <cellStyle name="Normal GHG Numbers (0.00) 3 3 2 33" xfId="15987" xr:uid="{2B60C62A-7BB1-42CC-8AD9-F18A8EF96700}"/>
    <cellStyle name="Normal GHG Numbers (0.00) 3 3 2 34" xfId="16683" xr:uid="{8CC3A669-3FD6-4F9F-AD42-B05BFA96AB1D}"/>
    <cellStyle name="Normal GHG Numbers (0.00) 3 3 2 35" xfId="17370" xr:uid="{E04BF7B8-7D81-4C60-98C3-3A30E9C4860F}"/>
    <cellStyle name="Normal GHG Numbers (0.00) 3 3 2 36" xfId="17812" xr:uid="{FEA4A9E2-2699-4D42-9DA0-F1F5BC2CC1F9}"/>
    <cellStyle name="Normal GHG Numbers (0.00) 3 3 2 37" xfId="17931" xr:uid="{B7637556-2FEE-4706-B3CA-54C5391DCC9D}"/>
    <cellStyle name="Normal GHG Numbers (0.00) 3 3 2 38" xfId="18501" xr:uid="{94D355C6-DD1E-4A31-B1B9-BB6D0F2518BF}"/>
    <cellStyle name="Normal GHG Numbers (0.00) 3 3 2 39" xfId="18832" xr:uid="{EA7D557F-23D1-4BDB-8B75-7174B347CBD2}"/>
    <cellStyle name="Normal GHG Numbers (0.00) 3 3 2 4" xfId="1693" xr:uid="{E52D37B6-79C2-435C-AA69-963F8AAE07AD}"/>
    <cellStyle name="Normal GHG Numbers (0.00) 3 3 2 40" xfId="19338" xr:uid="{D5E08874-568E-4F1F-9240-3E1D793D50BF}"/>
    <cellStyle name="Normal GHG Numbers (0.00) 3 3 2 41" xfId="20020" xr:uid="{421A9060-1A54-4C2A-A7A7-907A940231CA}"/>
    <cellStyle name="Normal GHG Numbers (0.00) 3 3 2 42" xfId="20720" xr:uid="{036D87A2-427D-4EF1-B523-D56A0A9D7D03}"/>
    <cellStyle name="Normal GHG Numbers (0.00) 3 3 2 43" xfId="21178" xr:uid="{0AB6D95F-86CB-46B7-B068-DC7C32E5F9C0}"/>
    <cellStyle name="Normal GHG Numbers (0.00) 3 3 2 44" xfId="20457" xr:uid="{EB67118D-5392-4276-B128-1068ACC001EF}"/>
    <cellStyle name="Normal GHG Numbers (0.00) 3 3 2 45" xfId="22109" xr:uid="{35F0BF3D-5766-4DE2-AD6C-9FF4AAF2E6C1}"/>
    <cellStyle name="Normal GHG Numbers (0.00) 3 3 2 46" xfId="22537" xr:uid="{0C32C823-20B0-4A6F-ABED-51550929B3DC}"/>
    <cellStyle name="Normal GHG Numbers (0.00) 3 3 2 47" xfId="22125" xr:uid="{4F82B914-7A6F-42EC-83C6-2658EE8D7EC4}"/>
    <cellStyle name="Normal GHG Numbers (0.00) 3 3 2 48" xfId="23107" xr:uid="{C79281C8-8063-4132-B9FE-56D05F976E70}"/>
    <cellStyle name="Normal GHG Numbers (0.00) 3 3 2 49" xfId="23659" xr:uid="{F9158437-14E8-4092-B897-82F862A9C2E8}"/>
    <cellStyle name="Normal GHG Numbers (0.00) 3 3 2 5" xfId="2460" xr:uid="{ACA9F31A-43B0-4B91-BB26-78C8159D368A}"/>
    <cellStyle name="Normal GHG Numbers (0.00) 3 3 2 50" xfId="23829" xr:uid="{24A2E5CD-9337-4192-BDE8-17E23666AAA0}"/>
    <cellStyle name="Normal GHG Numbers (0.00) 3 3 2 51" xfId="24728" xr:uid="{EF914AAC-B1DF-4EE0-BBCF-AF44459DC16F}"/>
    <cellStyle name="Normal GHG Numbers (0.00) 3 3 2 52" xfId="25424" xr:uid="{A3829783-ACA6-4347-993C-B2436AA92FB5}"/>
    <cellStyle name="Normal GHG Numbers (0.00) 3 3 2 53" xfId="25646" xr:uid="{43278AD6-6A56-4325-9974-9CFCA903FBC1}"/>
    <cellStyle name="Normal GHG Numbers (0.00) 3 3 2 54" xfId="25260" xr:uid="{B0FF627B-A986-4B6D-9D32-CBB1A6AE25D2}"/>
    <cellStyle name="Normal GHG Numbers (0.00) 3 3 2 55" xfId="26649" xr:uid="{F3EC8D52-DD88-44F1-B295-4ECBE0911DBC}"/>
    <cellStyle name="Normal GHG Numbers (0.00) 3 3 2 56" xfId="26936" xr:uid="{D884CE99-E71D-4F69-8136-490AAE7C3F91}"/>
    <cellStyle name="Normal GHG Numbers (0.00) 3 3 2 57" xfId="27355" xr:uid="{7F7C255D-237C-4AEC-92AD-304CB0496E62}"/>
    <cellStyle name="Normal GHG Numbers (0.00) 3 3 2 58" xfId="27662" xr:uid="{AB8BD40A-9BAD-49DC-BCC2-9B9C2266E399}"/>
    <cellStyle name="Normal GHG Numbers (0.00) 3 3 2 59" xfId="28478" xr:uid="{78761C25-5656-4316-849E-A4D034D39737}"/>
    <cellStyle name="Normal GHG Numbers (0.00) 3 3 2 6" xfId="2205" xr:uid="{D9442065-70C6-4FD8-A1FD-7B6E290F4159}"/>
    <cellStyle name="Normal GHG Numbers (0.00) 3 3 2 60" xfId="28946" xr:uid="{291739A6-07A6-4E35-A824-98409E8B5D83}"/>
    <cellStyle name="Normal GHG Numbers (0.00) 3 3 2 61" xfId="29537" xr:uid="{CC43F237-7F86-4F49-82CC-CEBE0CCCF330}"/>
    <cellStyle name="Normal GHG Numbers (0.00) 3 3 2 62" xfId="29736" xr:uid="{F61DD3F1-130A-4645-AB2E-D1890718C5D9}"/>
    <cellStyle name="Normal GHG Numbers (0.00) 3 3 2 63" xfId="30144" xr:uid="{6BE8AAB0-CA3A-4263-8144-BE7D7F5D47ED}"/>
    <cellStyle name="Normal GHG Numbers (0.00) 3 3 2 64" xfId="30558" xr:uid="{D53A71CC-1542-4FA6-B5C9-FEB45694091B}"/>
    <cellStyle name="Normal GHG Numbers (0.00) 3 3 2 65" xfId="28032" xr:uid="{F60503A5-3DE3-4442-92AB-C259AAEAD37E}"/>
    <cellStyle name="Normal GHG Numbers (0.00) 3 3 2 66" xfId="31182" xr:uid="{EA26C5EF-F2EF-4DF7-9435-CB646A0A7520}"/>
    <cellStyle name="Normal GHG Numbers (0.00) 3 3 2 7" xfId="3649" xr:uid="{1353DC64-470C-4739-AD5A-C639656E3B66}"/>
    <cellStyle name="Normal GHG Numbers (0.00) 3 3 2 8" xfId="3956" xr:uid="{73492F34-F8A2-4B59-A8DD-349A1EE1B577}"/>
    <cellStyle name="Normal GHG Numbers (0.00) 3 3 2 9" xfId="4394" xr:uid="{576BB558-441F-4A51-B9AD-29D4E303CABB}"/>
    <cellStyle name="Normal GHG Numbers (0.00) 3 3 20" xfId="8311" xr:uid="{4189964F-09A2-4A8E-9F27-94929AFCD808}"/>
    <cellStyle name="Normal GHG Numbers (0.00) 3 3 21" xfId="9301" xr:uid="{26510DB6-0B17-460A-81D8-A716AF6D0522}"/>
    <cellStyle name="Normal GHG Numbers (0.00) 3 3 22" xfId="10134" xr:uid="{2DC9FD12-0302-48A1-8700-0D6936FF6F2D}"/>
    <cellStyle name="Normal GHG Numbers (0.00) 3 3 23" xfId="10544" xr:uid="{2D823BCE-2CF7-43E6-B1ED-611191017046}"/>
    <cellStyle name="Normal GHG Numbers (0.00) 3 3 24" xfId="9839" xr:uid="{B09876B7-3D7A-4298-B1D9-AD56BECCAC33}"/>
    <cellStyle name="Normal GHG Numbers (0.00) 3 3 25" xfId="9122" xr:uid="{CCDA371F-5C09-49DA-B709-99475A511C73}"/>
    <cellStyle name="Normal GHG Numbers (0.00) 3 3 26" xfId="11714" xr:uid="{2B2BFF92-570C-4414-8996-46EDEEF221DF}"/>
    <cellStyle name="Normal GHG Numbers (0.00) 3 3 27" xfId="11456" xr:uid="{5674E58B-18BE-45D3-89AB-B212F77D3659}"/>
    <cellStyle name="Normal GHG Numbers (0.00) 3 3 28" xfId="11585" xr:uid="{B3884B35-5782-46FA-9DC6-EC373EF860C8}"/>
    <cellStyle name="Normal GHG Numbers (0.00) 3 3 29" xfId="11463" xr:uid="{FB767CD5-3A42-473C-923B-88C6D06D58BB}"/>
    <cellStyle name="Normal GHG Numbers (0.00) 3 3 3" xfId="535" xr:uid="{B01DA47D-AA4B-4827-AC9D-D1F26582A381}"/>
    <cellStyle name="Normal GHG Numbers (0.00) 3 3 3 10" xfId="2142" xr:uid="{00E22404-6835-4E9A-8313-339554DC1C3E}"/>
    <cellStyle name="Normal GHG Numbers (0.00) 3 3 3 11" xfId="5183" xr:uid="{5CE6A227-9CF5-4AA5-ADE7-75DE4CBAF6A6}"/>
    <cellStyle name="Normal GHG Numbers (0.00) 3 3 3 12" xfId="5852" xr:uid="{1D63B907-B04A-4042-BC08-E9D9FC862915}"/>
    <cellStyle name="Normal GHG Numbers (0.00) 3 3 3 13" xfId="4900" xr:uid="{3C5A665C-B81F-4E07-B37D-0CED1A9DD73B}"/>
    <cellStyle name="Normal GHG Numbers (0.00) 3 3 3 14" xfId="6065" xr:uid="{0AEE0F80-8B85-4F6A-A66D-681ECB754FA1}"/>
    <cellStyle name="Normal GHG Numbers (0.00) 3 3 3 15" xfId="7255" xr:uid="{F8CD16BC-8572-4551-B931-1C2CDE4952E1}"/>
    <cellStyle name="Normal GHG Numbers (0.00) 3 3 3 16" xfId="7742" xr:uid="{B4808F7E-7767-4477-8D51-829F1E2B1630}"/>
    <cellStyle name="Normal GHG Numbers (0.00) 3 3 3 17" xfId="7900" xr:uid="{099F7238-D97C-4098-B8A2-D59B9E170EF3}"/>
    <cellStyle name="Normal GHG Numbers (0.00) 3 3 3 18" xfId="8480" xr:uid="{A43E079D-7C12-4BD3-A4A3-AB232D19DF2D}"/>
    <cellStyle name="Normal GHG Numbers (0.00) 3 3 3 19" xfId="9469" xr:uid="{59DFA02D-3563-483C-B364-2AF17F072BD9}"/>
    <cellStyle name="Normal GHG Numbers (0.00) 3 3 3 2" xfId="750" xr:uid="{AD8597DD-2A20-46F8-AB36-0E11B462EC43}"/>
    <cellStyle name="Normal GHG Numbers (0.00) 3 3 3 2 10" xfId="5398" xr:uid="{68E8711D-5587-4062-A216-8CEF3CACAB3E}"/>
    <cellStyle name="Normal GHG Numbers (0.00) 3 3 3 2 11" xfId="5670" xr:uid="{3C693921-D710-43C4-A8D2-0BF3C94CA594}"/>
    <cellStyle name="Normal GHG Numbers (0.00) 3 3 3 2 12" xfId="5851" xr:uid="{A9B38145-59FF-45A8-8B15-85BA03069CB3}"/>
    <cellStyle name="Normal GHG Numbers (0.00) 3 3 3 2 13" xfId="6513" xr:uid="{8E3AA255-4107-4E22-9F5C-49524E0E02AA}"/>
    <cellStyle name="Normal GHG Numbers (0.00) 3 3 3 2 14" xfId="7470" xr:uid="{48312C4F-A6BC-41FA-BE7D-942705447E87}"/>
    <cellStyle name="Normal GHG Numbers (0.00) 3 3 3 2 15" xfId="7091" xr:uid="{E9722783-546D-4F10-A209-DEA21D8C61D0}"/>
    <cellStyle name="Normal GHG Numbers (0.00) 3 3 3 2 16" xfId="7095" xr:uid="{B073EFDF-722A-4BC5-A9F6-78774190C035}"/>
    <cellStyle name="Normal GHG Numbers (0.00) 3 3 3 2 17" xfId="8495" xr:uid="{01194CA5-3C3C-4DF4-8AD0-651E99BBF4D6}"/>
    <cellStyle name="Normal GHG Numbers (0.00) 3 3 3 2 18" xfId="9684" xr:uid="{BF97EC06-0A4B-4F8C-ACC4-0C8A21AFF568}"/>
    <cellStyle name="Normal GHG Numbers (0.00) 3 3 3 2 19" xfId="9304" xr:uid="{B846CDB6-336B-45DB-97BB-771E76BA041D}"/>
    <cellStyle name="Normal GHG Numbers (0.00) 3 3 3 2 2" xfId="1224" xr:uid="{788898D4-50AE-4ED7-B3B6-6B29CAF0E5BA}"/>
    <cellStyle name="Normal GHG Numbers (0.00) 3 3 3 2 20" xfId="9628" xr:uid="{DE3BCAB2-36EA-4FA7-99D8-39AE44CACCFC}"/>
    <cellStyle name="Normal GHG Numbers (0.00) 3 3 3 2 21" xfId="10693" xr:uid="{7D86246F-1641-427B-895D-28161180A319}"/>
    <cellStyle name="Normal GHG Numbers (0.00) 3 3 3 2 22" xfId="11112" xr:uid="{149F92C1-A720-47EF-B2DF-D9E3A1845343}"/>
    <cellStyle name="Normal GHG Numbers (0.00) 3 3 3 2 23" xfId="12103" xr:uid="{1DAE0C5A-9D92-4556-B80C-ECCDBD229460}"/>
    <cellStyle name="Normal GHG Numbers (0.00) 3 3 3 2 24" xfId="12576" xr:uid="{9C0C87AE-88C9-4037-9635-58B5A9276BAC}"/>
    <cellStyle name="Normal GHG Numbers (0.00) 3 3 3 2 25" xfId="13010" xr:uid="{5B567ECF-AA44-41DE-8DF6-11BA01B375B7}"/>
    <cellStyle name="Normal GHG Numbers (0.00) 3 3 3 2 26" xfId="13447" xr:uid="{7B664724-E493-4C45-96BB-E29C2ABF4822}"/>
    <cellStyle name="Normal GHG Numbers (0.00) 3 3 3 2 27" xfId="13609" xr:uid="{63C7D1B7-A6F3-4E0C-9CCD-CA0A6B9AB8C4}"/>
    <cellStyle name="Normal GHG Numbers (0.00) 3 3 3 2 28" xfId="11458" xr:uid="{3EF0628C-688B-4A56-A1A4-2DA21F903B6B}"/>
    <cellStyle name="Normal GHG Numbers (0.00) 3 3 3 2 29" xfId="14071" xr:uid="{7EC7E299-D3DB-4D4A-B742-3A0130A6407E}"/>
    <cellStyle name="Normal GHG Numbers (0.00) 3 3 3 2 3" xfId="1514" xr:uid="{DBFDFECF-A234-4A73-B5A5-92773C42F056}"/>
    <cellStyle name="Normal GHG Numbers (0.00) 3 3 3 2 30" xfId="15293" xr:uid="{C282F60A-3F0B-40E7-82CD-FB41827B4D86}"/>
    <cellStyle name="Normal GHG Numbers (0.00) 3 3 3 2 31" xfId="15702" xr:uid="{E354789C-42A0-4748-8925-9D476D10BF7D}"/>
    <cellStyle name="Normal GHG Numbers (0.00) 3 3 3 2 32" xfId="14773" xr:uid="{4FAAB17C-DE5F-4F34-8CB7-0489750E1EEE}"/>
    <cellStyle name="Normal GHG Numbers (0.00) 3 3 3 2 33" xfId="16795" xr:uid="{0FE37FB7-C0CE-495A-9479-C1947F43A625}"/>
    <cellStyle name="Normal GHG Numbers (0.00) 3 3 3 2 34" xfId="16413" xr:uid="{1FC90FFF-9639-40F9-A264-61D246B90D9F}"/>
    <cellStyle name="Normal GHG Numbers (0.00) 3 3 3 2 35" xfId="16459" xr:uid="{6813F01C-0C3C-4F4F-8665-2EDF891BD80C}"/>
    <cellStyle name="Normal GHG Numbers (0.00) 3 3 3 2 36" xfId="18063" xr:uid="{4B33528A-51BA-4422-9B6D-A41BF5BBF116}"/>
    <cellStyle name="Normal GHG Numbers (0.00) 3 3 3 2 37" xfId="18613" xr:uid="{C6F3C6DD-E945-456C-8CE0-AA6C2B1ECA0A}"/>
    <cellStyle name="Normal GHG Numbers (0.00) 3 3 3 2 38" xfId="18799" xr:uid="{D9ECC2F0-3AA0-4B5C-8455-3A02CC67C72A}"/>
    <cellStyle name="Normal GHG Numbers (0.00) 3 3 3 2 39" xfId="19165" xr:uid="{3312B338-5D7F-4536-A06C-9F85C02A2DD6}"/>
    <cellStyle name="Normal GHG Numbers (0.00) 3 3 3 2 4" xfId="2572" xr:uid="{D0D182A6-FE65-4D30-AB82-A2EF64B2536A}"/>
    <cellStyle name="Normal GHG Numbers (0.00) 3 3 3 2 40" xfId="20132" xr:uid="{7107B960-CD48-4A3A-A574-DD6E3A870390}"/>
    <cellStyle name="Normal GHG Numbers (0.00) 3 3 3 2 41" xfId="19748" xr:uid="{28665BDC-3112-470F-8F40-C754C411993A}"/>
    <cellStyle name="Normal GHG Numbers (0.00) 3 3 3 2 42" xfId="19885" xr:uid="{B0A11BC2-1C27-410F-A6D9-18C64CED1EFA}"/>
    <cellStyle name="Normal GHG Numbers (0.00) 3 3 3 2 43" xfId="21528" xr:uid="{0CFB1C9E-6608-4206-B250-48D96A02AECD}"/>
    <cellStyle name="Normal GHG Numbers (0.00) 3 3 3 2 44" xfId="20625" xr:uid="{88CEF910-D1F2-4F5D-B5C2-644C40A27607}"/>
    <cellStyle name="Normal GHG Numbers (0.00) 3 3 3 2 45" xfId="20638" xr:uid="{B613A516-594F-4325-876C-881952671777}"/>
    <cellStyle name="Normal GHG Numbers (0.00) 3 3 3 2 46" xfId="22618" xr:uid="{A4CFF557-D90B-4119-82AE-09BC5C972147}"/>
    <cellStyle name="Normal GHG Numbers (0.00) 3 3 3 2 47" xfId="23072" xr:uid="{22BA5A24-3DD7-40A1-823D-189C0F6DFE3C}"/>
    <cellStyle name="Normal GHG Numbers (0.00) 3 3 3 2 48" xfId="21350" xr:uid="{29A41C10-0F45-4D95-A38F-7C0C76821F4E}"/>
    <cellStyle name="Normal GHG Numbers (0.00) 3 3 3 2 49" xfId="23932" xr:uid="{804E5044-D3F2-4ECA-9895-B2ADD118A696}"/>
    <cellStyle name="Normal GHG Numbers (0.00) 3 3 3 2 5" xfId="2776" xr:uid="{11F467DC-0114-41DD-B376-CE567DDE76DB}"/>
    <cellStyle name="Normal GHG Numbers (0.00) 3 3 3 2 50" xfId="24840" xr:uid="{013E9463-436D-4B36-B35A-4402C43DFE97}"/>
    <cellStyle name="Normal GHG Numbers (0.00) 3 3 3 2 51" xfId="24240" xr:uid="{C3A28749-07EF-4AE7-BF51-9DAA7952C0B2}"/>
    <cellStyle name="Normal GHG Numbers (0.00) 3 3 3 2 52" xfId="25756" xr:uid="{DDECA160-BD91-47CB-BF0E-475BC101D594}"/>
    <cellStyle name="Normal GHG Numbers (0.00) 3 3 3 2 53" xfId="24133" xr:uid="{D253A00F-DC29-4519-B514-8E6E942DD504}"/>
    <cellStyle name="Normal GHG Numbers (0.00) 3 3 3 2 54" xfId="26686" xr:uid="{6295A17A-8ADF-49A9-8A41-458081DF63F0}"/>
    <cellStyle name="Normal GHG Numbers (0.00) 3 3 3 2 55" xfId="27044" xr:uid="{121EC7E5-34A7-4A1A-94BC-8AC98C60FB1F}"/>
    <cellStyle name="Normal GHG Numbers (0.00) 3 3 3 2 56" xfId="27463" xr:uid="{7FCDD9F2-F48D-4343-91FA-D35F8EDB76C2}"/>
    <cellStyle name="Normal GHG Numbers (0.00) 3 3 3 2 57" xfId="26773" xr:uid="{76CEF3AA-A1FA-45DB-8A8B-F729433B4E5C}"/>
    <cellStyle name="Normal GHG Numbers (0.00) 3 3 3 2 58" xfId="28590" xr:uid="{EABD4064-1B88-4AB7-9B4E-049D1ACA39A4}"/>
    <cellStyle name="Normal GHG Numbers (0.00) 3 3 3 2 59" xfId="29057" xr:uid="{AABE6C60-0F9A-4A3A-926D-B1986F54298E}"/>
    <cellStyle name="Normal GHG Numbers (0.00) 3 3 3 2 6" xfId="3663" xr:uid="{6F05EC90-4F50-4D03-BF22-37CB9E4F0580}"/>
    <cellStyle name="Normal GHG Numbers (0.00) 3 3 3 2 60" xfId="28118" xr:uid="{BFCB95B5-ED20-4B9A-84C3-088A8D3E784E}"/>
    <cellStyle name="Normal GHG Numbers (0.00) 3 3 3 2 61" xfId="29846" xr:uid="{DC90FF82-982D-4CA3-9F79-BB30A9F04DA3}"/>
    <cellStyle name="Normal GHG Numbers (0.00) 3 3 3 2 62" xfId="30252" xr:uid="{A1790C84-CF39-40FC-9301-F94DEB8D7D3B}"/>
    <cellStyle name="Normal GHG Numbers (0.00) 3 3 3 2 63" xfId="30669" xr:uid="{0D693302-DD23-4C9E-A399-4F1F61AA2268}"/>
    <cellStyle name="Normal GHG Numbers (0.00) 3 3 3 2 64" xfId="28041" xr:uid="{DF17DC19-D7DE-482B-979C-551E55E8BF2C}"/>
    <cellStyle name="Normal GHG Numbers (0.00) 3 3 3 2 65" xfId="31285" xr:uid="{AE39CE41-256A-4AE3-A9D7-D9082B4F6521}"/>
    <cellStyle name="Normal GHG Numbers (0.00) 3 3 3 2 7" xfId="4068" xr:uid="{804F99D8-1B70-40CB-9E2C-4E3FAA1252FD}"/>
    <cellStyle name="Normal GHG Numbers (0.00) 3 3 3 2 8" xfId="4505" xr:uid="{E21BD81E-E8C3-4273-8B6A-774F5B46DEA9}"/>
    <cellStyle name="Normal GHG Numbers (0.00) 3 3 3 2 9" xfId="3674" xr:uid="{19551021-4193-4A75-8851-176D8D39AC2B}"/>
    <cellStyle name="Normal GHG Numbers (0.00) 3 3 3 20" xfId="9956" xr:uid="{B3E588C2-190A-4A9C-9D59-B17987F78899}"/>
    <cellStyle name="Normal GHG Numbers (0.00) 3 3 3 21" xfId="10383" xr:uid="{5D391930-41BA-43EC-947D-968DF51F05B6}"/>
    <cellStyle name="Normal GHG Numbers (0.00) 3 3 3 22" xfId="10866" xr:uid="{90EC0988-E7DD-48A5-AABD-4BA77DEFBE61}"/>
    <cellStyle name="Normal GHG Numbers (0.00) 3 3 3 23" xfId="11245" xr:uid="{FEC1306F-33E5-49FE-9D0C-4F5A675FF97A}"/>
    <cellStyle name="Normal GHG Numbers (0.00) 3 3 3 24" xfId="11888" xr:uid="{059FE13A-18E9-40FE-B131-84AB07C04546}"/>
    <cellStyle name="Normal GHG Numbers (0.00) 3 3 3 25" xfId="12361" xr:uid="{06BEC63E-1576-4438-B94C-742FE948A278}"/>
    <cellStyle name="Normal GHG Numbers (0.00) 3 3 3 26" xfId="12795" xr:uid="{13CB2558-6886-4930-9E00-BAC1DE8BB691}"/>
    <cellStyle name="Normal GHG Numbers (0.00) 3 3 3 27" xfId="13232" xr:uid="{AB0F84C8-E181-497B-B673-39A9C49B8C4F}"/>
    <cellStyle name="Normal GHG Numbers (0.00) 3 3 3 28" xfId="13671" xr:uid="{82FFBF27-9667-4C46-9FB8-A58F2482C0B7}"/>
    <cellStyle name="Normal GHG Numbers (0.00) 3 3 3 29" xfId="12743" xr:uid="{5DC82969-7C92-4033-B183-B29EBCB7E4CF}"/>
    <cellStyle name="Normal GHG Numbers (0.00) 3 3 3 3" xfId="1018" xr:uid="{6AD1C006-0F25-4111-B1E4-99210F7FBC32}"/>
    <cellStyle name="Normal GHG Numbers (0.00) 3 3 3 30" xfId="14596" xr:uid="{F722FF49-5CB9-4040-B02D-7516F6ABF1EE}"/>
    <cellStyle name="Normal GHG Numbers (0.00) 3 3 3 31" xfId="14951" xr:uid="{8CDFE2F4-688F-4D51-93C6-1CD8515A707E}"/>
    <cellStyle name="Normal GHG Numbers (0.00) 3 3 3 32" xfId="15273" xr:uid="{2DFD5069-5028-4E95-8829-A65C22A5B5C2}"/>
    <cellStyle name="Normal GHG Numbers (0.00) 3 3 3 33" xfId="15830" xr:uid="{A99E7509-9524-452C-9D15-8975817011ED}"/>
    <cellStyle name="Normal GHG Numbers (0.00) 3 3 3 34" xfId="16580" xr:uid="{C1A09DBA-C72B-42E3-857B-C04830001118}"/>
    <cellStyle name="Normal GHG Numbers (0.00) 3 3 3 35" xfId="17069" xr:uid="{EBFC1233-010A-413D-8A76-B9A27149964D}"/>
    <cellStyle name="Normal GHG Numbers (0.00) 3 3 3 36" xfId="17516" xr:uid="{6A71D104-7B8A-43EE-B67B-FE5D52DAF5DC}"/>
    <cellStyle name="Normal GHG Numbers (0.00) 3 3 3 37" xfId="16225" xr:uid="{5629DD1F-B5AD-49DE-AF22-F41AE2B9D68D}"/>
    <cellStyle name="Normal GHG Numbers (0.00) 3 3 3 38" xfId="18398" xr:uid="{2FFDC98D-5F35-4F26-925E-36293D74DA7D}"/>
    <cellStyle name="Normal GHG Numbers (0.00) 3 3 3 39" xfId="19038" xr:uid="{FB9B28EE-96BC-4CFA-BC64-1BF289BE5D80}"/>
    <cellStyle name="Normal GHG Numbers (0.00) 3 3 3 4" xfId="1608" xr:uid="{6FBE3F09-D969-4BFF-AAB0-B1B533C20219}"/>
    <cellStyle name="Normal GHG Numbers (0.00) 3 3 3 40" xfId="18147" xr:uid="{51970793-9BB9-4DB3-A229-70641612783C}"/>
    <cellStyle name="Normal GHG Numbers (0.00) 3 3 3 41" xfId="19917" xr:uid="{14E107F1-8ABA-422A-ABAA-7FD85BF66FB4}"/>
    <cellStyle name="Normal GHG Numbers (0.00) 3 3 3 42" xfId="20422" xr:uid="{C988E340-01FF-484E-98D6-C3CFA89D18DB}"/>
    <cellStyle name="Normal GHG Numbers (0.00) 3 3 3 43" xfId="20874" xr:uid="{D1CA162A-936A-4F8B-A2EA-6497FA562018}"/>
    <cellStyle name="Normal GHG Numbers (0.00) 3 3 3 44" xfId="21326" xr:uid="{91A8BF47-11CE-4A09-B40D-F39A7E2B6C8F}"/>
    <cellStyle name="Normal GHG Numbers (0.00) 3 3 3 45" xfId="21807" xr:uid="{E1B27FDF-18F0-480B-8ACB-E358D58F1E1D}"/>
    <cellStyle name="Normal GHG Numbers (0.00) 3 3 3 46" xfId="22242" xr:uid="{649F2EF0-658A-4E71-B7BD-542624691B83}"/>
    <cellStyle name="Normal GHG Numbers (0.00) 3 3 3 47" xfId="22671" xr:uid="{DE2E6EAA-4C4B-4B80-8B79-2FA5B0EEC28F}"/>
    <cellStyle name="Normal GHG Numbers (0.00) 3 3 3 48" xfId="23315" xr:uid="{2890CEB4-F35B-4B31-AB04-6926B9A7767B}"/>
    <cellStyle name="Normal GHG Numbers (0.00) 3 3 3 49" xfId="23583" xr:uid="{8AD8F9CC-22F1-4B7F-9EE9-48E3D53A424B}"/>
    <cellStyle name="Normal GHG Numbers (0.00) 3 3 3 5" xfId="2357" xr:uid="{9A4CC090-9B1F-4659-88EF-7A3544D825FA}"/>
    <cellStyle name="Normal GHG Numbers (0.00) 3 3 3 50" xfId="23726" xr:uid="{196B281E-AD9E-42CC-B6F5-A9CBED2CA981}"/>
    <cellStyle name="Normal GHG Numbers (0.00) 3 3 3 51" xfId="24625" xr:uid="{7F48F780-DDCF-4E68-A964-431DB9D2FB5C}"/>
    <cellStyle name="Normal GHG Numbers (0.00) 3 3 3 52" xfId="25130" xr:uid="{B3A0304F-0E85-4DF8-819F-6EED1332D615}"/>
    <cellStyle name="Normal GHG Numbers (0.00) 3 3 3 53" xfId="25543" xr:uid="{2B6A0032-E3D3-42BD-9B09-35963884C2A4}"/>
    <cellStyle name="Normal GHG Numbers (0.00) 3 3 3 54" xfId="25975" xr:uid="{B77F4018-B205-4C4D-999A-D055AD48B73F}"/>
    <cellStyle name="Normal GHG Numbers (0.00) 3 3 3 55" xfId="26428" xr:uid="{51180DEA-1F69-4248-A317-70508AF516AD}"/>
    <cellStyle name="Normal GHG Numbers (0.00) 3 3 3 56" xfId="26833" xr:uid="{0969D236-21CA-484A-AE05-9DFDE8B110A0}"/>
    <cellStyle name="Normal GHG Numbers (0.00) 3 3 3 57" xfId="27252" xr:uid="{9362D63F-056A-4A7D-AC62-E82F9C35D907}"/>
    <cellStyle name="Normal GHG Numbers (0.00) 3 3 3 58" xfId="27826" xr:uid="{249E0E1A-DD03-4B7F-B8E1-D48A33A7222D}"/>
    <cellStyle name="Normal GHG Numbers (0.00) 3 3 3 59" xfId="28375" xr:uid="{D92FA13E-5A59-4563-BF71-AB5B36B0009C}"/>
    <cellStyle name="Normal GHG Numbers (0.00) 3 3 3 6" xfId="2837" xr:uid="{2F36D07A-971C-4C5B-838A-E96DE45BC7A9}"/>
    <cellStyle name="Normal GHG Numbers (0.00) 3 3 3 60" xfId="28843" xr:uid="{7FEF1C2F-DFCC-4CD0-8919-61A4E2C2DE4E}"/>
    <cellStyle name="Normal GHG Numbers (0.00) 3 3 3 61" xfId="29283" xr:uid="{41BCD29D-71F6-4323-B433-DDAC651A0F29}"/>
    <cellStyle name="Normal GHG Numbers (0.00) 3 3 3 62" xfId="29633" xr:uid="{68294E25-BFA9-4397-B1C7-A8910B92505D}"/>
    <cellStyle name="Normal GHG Numbers (0.00) 3 3 3 63" xfId="30041" xr:uid="{CEF4FD83-0213-484F-BD80-4AF500ADE784}"/>
    <cellStyle name="Normal GHG Numbers (0.00) 3 3 3 64" xfId="30455" xr:uid="{0A343380-590B-4C0B-91FA-7C72A8864E83}"/>
    <cellStyle name="Normal GHG Numbers (0.00) 3 3 3 65" xfId="30851" xr:uid="{049132F2-E28D-45CC-AEA7-7835BCE36F6D}"/>
    <cellStyle name="Normal GHG Numbers (0.00) 3 3 3 66" xfId="31079" xr:uid="{AB300F7D-306A-4CFA-A45C-963F37709086}"/>
    <cellStyle name="Normal GHG Numbers (0.00) 3 3 3 7" xfId="3525" xr:uid="{CFDB7A55-DF0E-48CF-995F-44290CFF73C0}"/>
    <cellStyle name="Normal GHG Numbers (0.00) 3 3 3 8" xfId="3853" xr:uid="{D66E6D56-6B92-4E46-8243-F063778EEAEF}"/>
    <cellStyle name="Normal GHG Numbers (0.00) 3 3 3 9" xfId="4291" xr:uid="{89C0DFFF-97F3-437C-91EF-6E7ABB9B5E5D}"/>
    <cellStyle name="Normal GHG Numbers (0.00) 3 3 30" xfId="11438" xr:uid="{C9CE1672-DBDB-4B45-A680-57CCC0CC788D}"/>
    <cellStyle name="Normal GHG Numbers (0.00) 3 3 31" xfId="13786" xr:uid="{64E74AAE-98EB-42C4-B464-9D85D83D5F83}"/>
    <cellStyle name="Normal GHG Numbers (0.00) 3 3 32" xfId="14836" xr:uid="{18781C1A-6060-4994-A844-838B3B8AB27D}"/>
    <cellStyle name="Normal GHG Numbers (0.00) 3 3 33" xfId="13679" xr:uid="{91FAA551-131B-4A32-B1EC-D9D13DEC5F13}"/>
    <cellStyle name="Normal GHG Numbers (0.00) 3 3 34" xfId="15477" xr:uid="{3F4C05E1-57A9-4985-975C-17CA457D0185}"/>
    <cellStyle name="Normal GHG Numbers (0.00) 3 3 35" xfId="15928" xr:uid="{C227C2EB-0B7B-4242-A901-A6C1F2E93EF2}"/>
    <cellStyle name="Normal GHG Numbers (0.00) 3 3 36" xfId="16409" xr:uid="{6ED28F7C-3650-4B31-97C0-F8955085E120}"/>
    <cellStyle name="Normal GHG Numbers (0.00) 3 3 37" xfId="17253" xr:uid="{3CE9F2E4-585D-4E68-B234-FA8F22024027}"/>
    <cellStyle name="Normal GHG Numbers (0.00) 3 3 38" xfId="17697" xr:uid="{63EF37DF-5650-43ED-92D7-7F1F975D5DE8}"/>
    <cellStyle name="Normal GHG Numbers (0.00) 3 3 39" xfId="17888" xr:uid="{2ECFB02A-6D8D-43D3-8A0B-1BE0866F1766}"/>
    <cellStyle name="Normal GHG Numbers (0.00) 3 3 4" xfId="668" xr:uid="{055559F1-261F-4C0F-B8C0-1D664D54D6DB}"/>
    <cellStyle name="Normal GHG Numbers (0.00) 3 3 4 10" xfId="5043" xr:uid="{F376EAEA-0C84-4FF7-8A18-95677B4AEC63}"/>
    <cellStyle name="Normal GHG Numbers (0.00) 3 3 4 11" xfId="5316" xr:uid="{D751A61D-D829-4319-9BD0-07649313DF1D}"/>
    <cellStyle name="Normal GHG Numbers (0.00) 3 3 4 12" xfId="5801" xr:uid="{578B8542-D8BB-4EB3-B945-54E358F50A7E}"/>
    <cellStyle name="Normal GHG Numbers (0.00) 3 3 4 13" xfId="5746" xr:uid="{4EB4F5C3-2BFA-443D-BC8E-78B1E8AAFBA0}"/>
    <cellStyle name="Normal GHG Numbers (0.00) 3 3 4 14" xfId="6435" xr:uid="{552C7640-699C-4128-83CB-E4562B27FC69}"/>
    <cellStyle name="Normal GHG Numbers (0.00) 3 3 4 15" xfId="7388" xr:uid="{A8895490-E276-4345-A377-D7531F6B377E}"/>
    <cellStyle name="Normal GHG Numbers (0.00) 3 3 4 16" xfId="7915" xr:uid="{D88BA288-0D8A-4D44-9AB8-AE234CC1575D}"/>
    <cellStyle name="Normal GHG Numbers (0.00) 3 3 4 17" xfId="8390" xr:uid="{34B15CD7-5BC3-4FB9-A083-CD529ADD75E9}"/>
    <cellStyle name="Normal GHG Numbers (0.00) 3 3 4 18" xfId="8329" xr:uid="{CB955E31-491E-452A-974F-D2800AFD215B}"/>
    <cellStyle name="Normal GHG Numbers (0.00) 3 3 4 19" xfId="9602" xr:uid="{3C9D6E23-F68F-4542-B1FA-EF5CD4D4EBE1}"/>
    <cellStyle name="Normal GHG Numbers (0.00) 3 3 4 2" xfId="883" xr:uid="{89B57BBB-8089-47BB-875F-659F313685F9}"/>
    <cellStyle name="Normal GHG Numbers (0.00) 3 3 4 2 10" xfId="5531" xr:uid="{DEC76072-4302-43B7-9E4A-CA5D7DB1C58B}"/>
    <cellStyle name="Normal GHG Numbers (0.00) 3 3 4 2 11" xfId="6025" xr:uid="{490A8BE4-2E7E-4645-ACC4-6E6490F8BEA5}"/>
    <cellStyle name="Normal GHG Numbers (0.00) 3 3 4 2 12" xfId="6384" xr:uid="{3C28A601-6C72-47ED-B0FE-1E12D5A368EE}"/>
    <cellStyle name="Normal GHG Numbers (0.00) 3 3 4 2 13" xfId="6722" xr:uid="{5BB62BE0-A894-40E5-814B-4F9BD3D769D2}"/>
    <cellStyle name="Normal GHG Numbers (0.00) 3 3 4 2 14" xfId="7603" xr:uid="{81D243F4-26E2-473F-8DB9-98B35A87B844}"/>
    <cellStyle name="Normal GHG Numbers (0.00) 3 3 4 2 15" xfId="8067" xr:uid="{D7140230-1B86-42EA-8DD4-10290736740B}"/>
    <cellStyle name="Normal GHG Numbers (0.00) 3 3 4 2 16" xfId="8676" xr:uid="{08B94F5F-7535-465C-B51A-CDDDFCD75344}"/>
    <cellStyle name="Normal GHG Numbers (0.00) 3 3 4 2 17" xfId="8935" xr:uid="{A950B442-10AF-4459-A01C-AB8AF4476B6C}"/>
    <cellStyle name="Normal GHG Numbers (0.00) 3 3 4 2 18" xfId="9817" xr:uid="{4561FA31-5B00-4D4C-B8F4-F6DE060003CA}"/>
    <cellStyle name="Normal GHG Numbers (0.00) 3 3 4 2 19" xfId="10286" xr:uid="{7FDB9E7E-4348-4E32-AFE0-E52F719FD90A}"/>
    <cellStyle name="Normal GHG Numbers (0.00) 3 3 4 2 2" xfId="1357" xr:uid="{CD853A30-08BF-476A-A06B-7CC507ED0304}"/>
    <cellStyle name="Normal GHG Numbers (0.00) 3 3 4 2 20" xfId="10680" xr:uid="{EA2067D0-408B-466D-8915-4DAFAFDA2EDE}"/>
    <cellStyle name="Normal GHG Numbers (0.00) 3 3 4 2 21" xfId="11029" xr:uid="{AD496B2B-6519-4DB8-AC54-3C3CA33C8010}"/>
    <cellStyle name="Normal GHG Numbers (0.00) 3 3 4 2 22" xfId="11339" xr:uid="{7457FABF-7131-4491-8394-C2E30F6782BE}"/>
    <cellStyle name="Normal GHG Numbers (0.00) 3 3 4 2 23" xfId="12236" xr:uid="{2D187912-12BF-4A23-882D-3C12B5D078D6}"/>
    <cellStyle name="Normal GHG Numbers (0.00) 3 3 4 2 24" xfId="12709" xr:uid="{E2040937-C902-4990-B9DB-A7EB19B2F2CF}"/>
    <cellStyle name="Normal GHG Numbers (0.00) 3 3 4 2 25" xfId="13143" xr:uid="{BEFF03DF-15A1-45C8-8FF5-3020CE4A4239}"/>
    <cellStyle name="Normal GHG Numbers (0.00) 3 3 4 2 26" xfId="13580" xr:uid="{476B604E-01BC-479F-A0D5-407C294D2888}"/>
    <cellStyle name="Normal GHG Numbers (0.00) 3 3 4 2 27" xfId="14052" xr:uid="{E38BC23E-EE1C-4414-A657-E9387A23172B}"/>
    <cellStyle name="Normal GHG Numbers (0.00) 3 3 4 2 28" xfId="14499" xr:uid="{8557D5CC-5724-4A39-8E48-78931DEB933E}"/>
    <cellStyle name="Normal GHG Numbers (0.00) 3 3 4 2 29" xfId="14933" xr:uid="{C190B74D-B806-4604-B9FA-C360963C8FCD}"/>
    <cellStyle name="Normal GHG Numbers (0.00) 3 3 4 2 3" xfId="1806" xr:uid="{27AEA2B2-234C-4B73-9725-5A7190BA6595}"/>
    <cellStyle name="Normal GHG Numbers (0.00) 3 3 4 2 30" xfId="15403" xr:uid="{5D540843-73DC-4BCE-9394-EE7FDE38CF5B}"/>
    <cellStyle name="Normal GHG Numbers (0.00) 3 3 4 2 31" xfId="15793" xr:uid="{2C7BB483-6551-4FAD-97CA-4DE07E319EC3}"/>
    <cellStyle name="Normal GHG Numbers (0.00) 3 3 4 2 32" xfId="16015" xr:uid="{735E1E50-9FD2-4BB2-BA6D-C179C4D79D96}"/>
    <cellStyle name="Normal GHG Numbers (0.00) 3 3 4 2 33" xfId="16928" xr:uid="{36F8F148-A72F-4EDC-8154-341B9EB3485C}"/>
    <cellStyle name="Normal GHG Numbers (0.00) 3 3 4 2 34" xfId="17409" xr:uid="{3A6D1877-859E-4E41-A292-A3986A8AF871}"/>
    <cellStyle name="Normal GHG Numbers (0.00) 3 3 4 2 35" xfId="17850" xr:uid="{24B98DD6-A105-41E6-BE24-8FBA60E2F8EA}"/>
    <cellStyle name="Normal GHG Numbers (0.00) 3 3 4 2 36" xfId="18325" xr:uid="{4A37EF6C-3B1A-4555-A382-99A5741123CB}"/>
    <cellStyle name="Normal GHG Numbers (0.00) 3 3 4 2 37" xfId="18746" xr:uid="{F12732F4-9169-4C46-90B4-87AEFFAC657C}"/>
    <cellStyle name="Normal GHG Numbers (0.00) 3 3 4 2 38" xfId="19133" xr:uid="{6DCACAD5-3AC1-45D6-BBEE-26EC2C9FC7B8}"/>
    <cellStyle name="Normal GHG Numbers (0.00) 3 3 4 2 39" xfId="19363" xr:uid="{10618289-7611-4372-81AF-7618D6834391}"/>
    <cellStyle name="Normal GHG Numbers (0.00) 3 3 4 2 4" xfId="2705" xr:uid="{15372994-556A-4246-AE9D-1DA5F4D37499}"/>
    <cellStyle name="Normal GHG Numbers (0.00) 3 3 4 2 40" xfId="20265" xr:uid="{D4B12B07-30A4-4BCA-BADD-21364479B2D5}"/>
    <cellStyle name="Normal GHG Numbers (0.00) 3 3 4 2 41" xfId="20758" xr:uid="{366304CC-D2E6-460C-BA9E-D2CE59D83355}"/>
    <cellStyle name="Normal GHG Numbers (0.00) 3 3 4 2 42" xfId="21217" xr:uid="{00F6EA66-0346-46BB-A4B2-DBCC6A3A3A85}"/>
    <cellStyle name="Normal GHG Numbers (0.00) 3 3 4 2 43" xfId="21709" xr:uid="{1F3BC92B-4C31-4839-9108-B5CEF95710C6}"/>
    <cellStyle name="Normal GHG Numbers (0.00) 3 3 4 2 44" xfId="22148" xr:uid="{622A4DF4-7E9C-4807-85C2-07CDFCB64F6E}"/>
    <cellStyle name="Normal GHG Numbers (0.00) 3 3 4 2 45" xfId="22575" xr:uid="{E28D4E51-F610-4A48-98F0-EA8780E9FA95}"/>
    <cellStyle name="Normal GHG Numbers (0.00) 3 3 4 2 46" xfId="23020" xr:uid="{C92E0449-5E14-49D6-842B-D7F476289E2D}"/>
    <cellStyle name="Normal GHG Numbers (0.00) 3 3 4 2 47" xfId="23422" xr:uid="{B78B7E23-E024-4F87-8525-D9B8D971C520}"/>
    <cellStyle name="Normal GHG Numbers (0.00) 3 3 4 2 48" xfId="23685" xr:uid="{94F4B613-6C40-43A2-9B97-70705A9EDE23}"/>
    <cellStyle name="Normal GHG Numbers (0.00) 3 3 4 2 49" xfId="24065" xr:uid="{4AD5DF17-5D7D-452B-8DF2-77E890A11E58}"/>
    <cellStyle name="Normal GHG Numbers (0.00) 3 3 4 2 5" xfId="3225" xr:uid="{45A08F4B-CE7D-4C0C-A783-8EA6E100522B}"/>
    <cellStyle name="Normal GHG Numbers (0.00) 3 3 4 2 50" xfId="24973" xr:uid="{55145B7E-017A-4A97-9C39-C5C5CE2B46AF}"/>
    <cellStyle name="Normal GHG Numbers (0.00) 3 3 4 2 51" xfId="25461" xr:uid="{65AC3BD4-57CD-4BF4-B959-3920646400F4}"/>
    <cellStyle name="Normal GHG Numbers (0.00) 3 3 4 2 52" xfId="25889" xr:uid="{DD45B45C-3F77-4601-8571-68D7ACB69468}"/>
    <cellStyle name="Normal GHG Numbers (0.00) 3 3 4 2 53" xfId="26327" xr:uid="{715D3EFA-98F3-4132-8A60-739C93A126B0}"/>
    <cellStyle name="Normal GHG Numbers (0.00) 3 3 4 2 54" xfId="26756" xr:uid="{A6C9E2DF-CCB9-4446-9738-2E89D4327941}"/>
    <cellStyle name="Normal GHG Numbers (0.00) 3 3 4 2 55" xfId="27177" xr:uid="{3E19C87D-09FF-439A-9707-B191412E3C0E}"/>
    <cellStyle name="Normal GHG Numbers (0.00) 3 3 4 2 56" xfId="27596" xr:uid="{891FE23D-9F20-409C-8446-8B157D2710CF}"/>
    <cellStyle name="Normal GHG Numbers (0.00) 3 3 4 2 57" xfId="27834" xr:uid="{D589E3A5-7C54-493C-AFDD-37DC66BA3C40}"/>
    <cellStyle name="Normal GHG Numbers (0.00) 3 3 4 2 58" xfId="28723" xr:uid="{30F94EA5-9808-4085-A0DA-64A1E63EB230}"/>
    <cellStyle name="Normal GHG Numbers (0.00) 3 3 4 2 59" xfId="29190" xr:uid="{C0C36A4D-F759-432C-8043-9B21FF1F62C0}"/>
    <cellStyle name="Normal GHG Numbers (0.00) 3 3 4 2 6" xfId="3780" xr:uid="{2D433152-B798-49E6-B482-8B24C6D2CD46}"/>
    <cellStyle name="Normal GHG Numbers (0.00) 3 3 4 2 60" xfId="29572" xr:uid="{B3A45C22-DF70-46BD-85A7-506D7A58CF8F}"/>
    <cellStyle name="Normal GHG Numbers (0.00) 3 3 4 2 61" xfId="29979" xr:uid="{3FBA998E-E4A2-41CF-B150-5E0752413566}"/>
    <cellStyle name="Normal GHG Numbers (0.00) 3 3 4 2 62" xfId="30385" xr:uid="{1651DE2E-CCF4-4158-BCF4-B6E37F545B2F}"/>
    <cellStyle name="Normal GHG Numbers (0.00) 3 3 4 2 63" xfId="30802" xr:uid="{32D765AD-61D3-41CB-96F3-6442458DFD27}"/>
    <cellStyle name="Normal GHG Numbers (0.00) 3 3 4 2 64" xfId="31047" xr:uid="{62E7BB8E-8A76-4C33-971A-61324220070D}"/>
    <cellStyle name="Normal GHG Numbers (0.00) 3 3 4 2 65" xfId="31418" xr:uid="{FFA0792D-E3C6-4EC2-A1F2-0BA7DAE564B5}"/>
    <cellStyle name="Normal GHG Numbers (0.00) 3 3 4 2 7" xfId="4201" xr:uid="{A9FBF443-95DB-4CC3-B65D-536FE9345DD2}"/>
    <cellStyle name="Normal GHG Numbers (0.00) 3 3 4 2 8" xfId="4638" xr:uid="{1D01D2F7-71F1-43C6-81C0-674EE89F02C5}"/>
    <cellStyle name="Normal GHG Numbers (0.00) 3 3 4 2 9" xfId="5084" xr:uid="{A46FA631-FE0F-426B-80BE-7C8FE4B80643}"/>
    <cellStyle name="Normal GHG Numbers (0.00) 3 3 4 20" xfId="10129" xr:uid="{084E69C6-7E01-47E0-81BF-3627A9BFE63F}"/>
    <cellStyle name="Normal GHG Numbers (0.00) 3 3 4 21" xfId="10539" xr:uid="{7870A25C-CBA1-49CF-8FA0-F640843B0819}"/>
    <cellStyle name="Normal GHG Numbers (0.00) 3 3 4 22" xfId="9864" xr:uid="{82B94C7A-4037-47B6-8674-99B8BB39EC1E}"/>
    <cellStyle name="Normal GHG Numbers (0.00) 3 3 4 23" xfId="11094" xr:uid="{63BED86F-D3EC-49EF-AD3A-714EBF3C04C1}"/>
    <cellStyle name="Normal GHG Numbers (0.00) 3 3 4 24" xfId="12021" xr:uid="{6D7394E5-D5FD-4163-9149-D5D9C747264F}"/>
    <cellStyle name="Normal GHG Numbers (0.00) 3 3 4 25" xfId="12494" xr:uid="{0CC04A03-E423-42E4-8173-509317767EC6}"/>
    <cellStyle name="Normal GHG Numbers (0.00) 3 3 4 26" xfId="12928" xr:uid="{E067458E-78C3-4714-B521-19214AB177F3}"/>
    <cellStyle name="Normal GHG Numbers (0.00) 3 3 4 27" xfId="13365" xr:uid="{095142DB-A7ED-40B7-9E69-4E8B2C52B26D}"/>
    <cellStyle name="Normal GHG Numbers (0.00) 3 3 4 28" xfId="11777" xr:uid="{03B0B3E7-3C6C-4E90-9A5D-40E38E6B7E69}"/>
    <cellStyle name="Normal GHG Numbers (0.00) 3 3 4 29" xfId="14256" xr:uid="{93D43DD8-E0D9-4A2D-A7BD-2BC1C9A3B3FC}"/>
    <cellStyle name="Normal GHG Numbers (0.00) 3 3 4 3" xfId="1151" xr:uid="{29441AFF-70DD-4411-B8F5-8B848FD48D34}"/>
    <cellStyle name="Normal GHG Numbers (0.00) 3 3 4 30" xfId="14778" xr:uid="{4E34059C-F7B1-441B-AB1C-D7FE0F0421CB}"/>
    <cellStyle name="Normal GHG Numbers (0.00) 3 3 4 31" xfId="15084" xr:uid="{0DDD49B4-5020-4AE2-97DF-2AD6FE2ED2A9}"/>
    <cellStyle name="Normal GHG Numbers (0.00) 3 3 4 32" xfId="15573" xr:uid="{5BF2E831-2CA3-4264-8338-BAE9AEE180A0}"/>
    <cellStyle name="Normal GHG Numbers (0.00) 3 3 4 33" xfId="15923" xr:uid="{D7195EED-8313-4D56-AC3E-4758B29A1E5A}"/>
    <cellStyle name="Normal GHG Numbers (0.00) 3 3 4 34" xfId="16713" xr:uid="{AD827DF5-050F-4C99-9A6E-F37A95DD64D4}"/>
    <cellStyle name="Normal GHG Numbers (0.00) 3 3 4 35" xfId="17248" xr:uid="{DA5D081A-51C9-4EDB-9E40-553A57613EBA}"/>
    <cellStyle name="Normal GHG Numbers (0.00) 3 3 4 36" xfId="17692" xr:uid="{F75403C4-C4B3-4582-9477-FA9689C73C30}"/>
    <cellStyle name="Normal GHG Numbers (0.00) 3 3 4 37" xfId="18013" xr:uid="{DAB131DB-62D2-47D6-B353-534FC0B96CEA}"/>
    <cellStyle name="Normal GHG Numbers (0.00) 3 3 4 38" xfId="18531" xr:uid="{E333BC98-847A-4B96-939A-E1BFBC3A7E81}"/>
    <cellStyle name="Normal GHG Numbers (0.00) 3 3 4 39" xfId="18169" xr:uid="{0B377C93-D7D6-4909-BB28-9823E1660C1F}"/>
    <cellStyle name="Normal GHG Numbers (0.00) 3 3 4 4" xfId="1632" xr:uid="{523057F4-98A6-406C-BF38-69AEC5F61F71}"/>
    <cellStyle name="Normal GHG Numbers (0.00) 3 3 4 40" xfId="18913" xr:uid="{40AF4597-8376-4FD4-9EDF-25CB1030C2EE}"/>
    <cellStyle name="Normal GHG Numbers (0.00) 3 3 4 41" xfId="20050" xr:uid="{4701C600-E10A-4536-B558-163FCCD665D3}"/>
    <cellStyle name="Normal GHG Numbers (0.00) 3 3 4 42" xfId="20598" xr:uid="{5A2392F5-8E03-4D29-93C2-97533F126FAD}"/>
    <cellStyle name="Normal GHG Numbers (0.00) 3 3 4 43" xfId="21053" xr:uid="{0E3A9640-B8BC-4F89-9873-7E1400D5824D}"/>
    <cellStyle name="Normal GHG Numbers (0.00) 3 3 4 44" xfId="19806" xr:uid="{9F752C6B-BC96-4797-81AD-790BA51C37BB}"/>
    <cellStyle name="Normal GHG Numbers (0.00) 3 3 4 45" xfId="21984" xr:uid="{FEA2FB50-E836-4584-9951-C192AA55A71D}"/>
    <cellStyle name="Normal GHG Numbers (0.00) 3 3 4 46" xfId="22415" xr:uid="{A4DE4035-A1CE-46CD-AD91-1812B3828C84}"/>
    <cellStyle name="Normal GHG Numbers (0.00) 3 3 4 47" xfId="22313" xr:uid="{6836BB3D-8FDB-414C-8D81-594634A967A7}"/>
    <cellStyle name="Normal GHG Numbers (0.00) 3 3 4 48" xfId="22646" xr:uid="{EF05845E-FE9A-401C-9734-A7A08D6B52E0}"/>
    <cellStyle name="Normal GHG Numbers (0.00) 3 3 4 49" xfId="23373" xr:uid="{570E49F0-DEAC-45CB-99E9-8448DB559C01}"/>
    <cellStyle name="Normal GHG Numbers (0.00) 3 3 4 5" xfId="2490" xr:uid="{E710D856-CF65-4107-8943-06DEEBF2810D}"/>
    <cellStyle name="Normal GHG Numbers (0.00) 3 3 4 50" xfId="23859" xr:uid="{22B0064A-B07A-41AB-9DCF-B35475ADD009}"/>
    <cellStyle name="Normal GHG Numbers (0.00) 3 3 4 51" xfId="24758" xr:uid="{94A0D5B3-5EB0-441A-905E-9ECB910C71F1}"/>
    <cellStyle name="Normal GHG Numbers (0.00) 3 3 4 52" xfId="25307" xr:uid="{EBA45CB3-7025-40A5-B5F6-E5B0900556A1}"/>
    <cellStyle name="Normal GHG Numbers (0.00) 3 3 4 53" xfId="25676" xr:uid="{84F4F2C0-DC87-4E44-9691-B69823D5C782}"/>
    <cellStyle name="Normal GHG Numbers (0.00) 3 3 4 54" xfId="25079" xr:uid="{571F8526-82C0-45F0-9C20-CAE60CAD6007}"/>
    <cellStyle name="Normal GHG Numbers (0.00) 3 3 4 55" xfId="26718" xr:uid="{F28009EB-9D3A-4F1B-8DD3-1E551902D836}"/>
    <cellStyle name="Normal GHG Numbers (0.00) 3 3 4 56" xfId="26966" xr:uid="{D5898F1D-8680-45E4-9510-7972F50B7930}"/>
    <cellStyle name="Normal GHG Numbers (0.00) 3 3 4 57" xfId="27385" xr:uid="{45730DD6-473A-4F93-AD1A-BDF12BC73D4D}"/>
    <cellStyle name="Normal GHG Numbers (0.00) 3 3 4 58" xfId="27654" xr:uid="{0C6FBFC7-EFCC-4418-93A4-092079F39C6A}"/>
    <cellStyle name="Normal GHG Numbers (0.00) 3 3 4 59" xfId="28508" xr:uid="{4AA666DC-3FD6-463C-B711-37760AE5597B}"/>
    <cellStyle name="Normal GHG Numbers (0.00) 3 3 4 6" xfId="1870" xr:uid="{50E1F344-9034-4F00-9F4C-645001AA3356}"/>
    <cellStyle name="Normal GHG Numbers (0.00) 3 3 4 60" xfId="28976" xr:uid="{D3A82B15-483A-4D8C-B672-9F4A9302BF8A}"/>
    <cellStyle name="Normal GHG Numbers (0.00) 3 3 4 61" xfId="29429" xr:uid="{C5767346-7DCA-411B-BC4D-E188ACA00772}"/>
    <cellStyle name="Normal GHG Numbers (0.00) 3 3 4 62" xfId="29766" xr:uid="{E91812BF-65B4-4B04-AFB5-9C2C4CB59EDC}"/>
    <cellStyle name="Normal GHG Numbers (0.00) 3 3 4 63" xfId="30174" xr:uid="{554565AB-3796-4758-A95C-2199D82D209A}"/>
    <cellStyle name="Normal GHG Numbers (0.00) 3 3 4 64" xfId="30588" xr:uid="{94A63166-C4FA-4677-A0F8-F4811F17DF76}"/>
    <cellStyle name="Normal GHG Numbers (0.00) 3 3 4 65" xfId="30945" xr:uid="{AC80F4A0-40D3-495D-BABF-FE4BEF0EBA44}"/>
    <cellStyle name="Normal GHG Numbers (0.00) 3 3 4 66" xfId="31212" xr:uid="{374A8A8D-5E8D-475F-9718-6E6BF653556E}"/>
    <cellStyle name="Normal GHG Numbers (0.00) 3 3 4 7" xfId="3390" xr:uid="{41CB899D-975E-4FB8-A742-3CE163EAFFAF}"/>
    <cellStyle name="Normal GHG Numbers (0.00) 3 3 4 8" xfId="3986" xr:uid="{026FB0DD-0FF0-49D5-9154-18495CC399F7}"/>
    <cellStyle name="Normal GHG Numbers (0.00) 3 3 4 9" xfId="4424" xr:uid="{444629B4-F92C-45C2-8932-445643E975FD}"/>
    <cellStyle name="Normal GHG Numbers (0.00) 3 3 40" xfId="16069" xr:uid="{E6E4112D-C07E-423A-BDE2-5AEDA57AA638}"/>
    <cellStyle name="Normal GHG Numbers (0.00) 3 3 41" xfId="17678" xr:uid="{54DED6D8-B255-460A-BB45-04803C484F2B}"/>
    <cellStyle name="Normal GHG Numbers (0.00) 3 3 42" xfId="18263" xr:uid="{7993E989-CE55-47C8-B261-DCE518947190}"/>
    <cellStyle name="Normal GHG Numbers (0.00) 3 3 43" xfId="19744" xr:uid="{7667109C-9413-49DC-9405-69F03C880F79}"/>
    <cellStyle name="Normal GHG Numbers (0.00) 3 3 44" xfId="20603" xr:uid="{61BF1C08-D597-4DAC-84B9-551042292DA9}"/>
    <cellStyle name="Normal GHG Numbers (0.00) 3 3 45" xfId="21058" xr:uid="{1D2E7A22-FBFA-4280-B289-754BF05259BA}"/>
    <cellStyle name="Normal GHG Numbers (0.00) 3 3 46" xfId="20333" xr:uid="{0893CC60-ED2F-470C-9CB8-E8AD05106959}"/>
    <cellStyle name="Normal GHG Numbers (0.00) 3 3 47" xfId="21989" xr:uid="{E933DD4F-6561-4137-911C-000ECE62E8AA}"/>
    <cellStyle name="Normal GHG Numbers (0.00) 3 3 48" xfId="22420" xr:uid="{4A9A6B65-CB92-4A3C-955E-62F0F5E46EE9}"/>
    <cellStyle name="Normal GHG Numbers (0.00) 3 3 49" xfId="22188" xr:uid="{752B84AF-2150-42FE-9C29-F4F41DF423E2}"/>
    <cellStyle name="Normal GHG Numbers (0.00) 3 3 5" xfId="975" xr:uid="{E1D2854C-D28C-4246-B5AE-65EB7923ED1E}"/>
    <cellStyle name="Normal GHG Numbers (0.00) 3 3 50" xfId="21261" xr:uid="{E3F55C80-CC24-4E1F-91A0-A92F4A570FAE}"/>
    <cellStyle name="Normal GHG Numbers (0.00) 3 3 51" xfId="21444" xr:uid="{47156A77-0E7C-4AA9-909C-54C1FDF79EAB}"/>
    <cellStyle name="Normal GHG Numbers (0.00) 3 3 52" xfId="23104" xr:uid="{C027D084-8B28-49FD-9849-8810A4068538}"/>
    <cellStyle name="Normal GHG Numbers (0.00) 3 3 53" xfId="24458" xr:uid="{DBF539A1-77F9-49E7-9851-7FA8DBABE9DB}"/>
    <cellStyle name="Normal GHG Numbers (0.00) 3 3 54" xfId="25312" xr:uid="{B7A23848-EEFF-42FB-A4B9-90D06D0566A1}"/>
    <cellStyle name="Normal GHG Numbers (0.00) 3 3 55" xfId="25053" xr:uid="{74DC1AE0-8745-4D8C-9ECC-B20425905799}"/>
    <cellStyle name="Normal GHG Numbers (0.00) 3 3 56" xfId="24310" xr:uid="{1A938D36-0934-4682-9D54-06120FF8F8C8}"/>
    <cellStyle name="Normal GHG Numbers (0.00) 3 3 57" xfId="26376" xr:uid="{7504046A-85AF-44D2-9426-926EAF327E5A}"/>
    <cellStyle name="Normal GHG Numbers (0.00) 3 3 58" xfId="26645" xr:uid="{FB13AF6F-E0F7-46B1-B2F6-7F20B77DA563}"/>
    <cellStyle name="Normal GHG Numbers (0.00) 3 3 59" xfId="26220" xr:uid="{26D9C074-1786-4B99-B16A-6692F85FB9F5}"/>
    <cellStyle name="Normal GHG Numbers (0.00) 3 3 6" xfId="1550" xr:uid="{212A9F19-F1C5-45E2-B323-9940EB0B52E3}"/>
    <cellStyle name="Normal GHG Numbers (0.00) 3 3 60" xfId="26968" xr:uid="{DF249B90-F39E-4C00-82C7-6FCF436EA80F}"/>
    <cellStyle name="Normal GHG Numbers (0.00) 3 3 61" xfId="28223" xr:uid="{EEE6D38E-2AA8-4DC5-A828-4054C19ED646}"/>
    <cellStyle name="Normal GHG Numbers (0.00) 3 3 62" xfId="28092" xr:uid="{B1456883-2092-4B22-B790-5E0C7516508B}"/>
    <cellStyle name="Normal GHG Numbers (0.00) 3 3 63" xfId="29434" xr:uid="{F20DF4A8-A99F-4249-AC4F-0FDCDDD4BA58}"/>
    <cellStyle name="Normal GHG Numbers (0.00) 3 3 64" xfId="29289" xr:uid="{024A2DCF-0C76-471F-8CC6-A76E4A0A3EDB}"/>
    <cellStyle name="Normal GHG Numbers (0.00) 3 3 65" xfId="29286" xr:uid="{8E571721-3F5C-4AC5-98DD-834DFC37A8DA}"/>
    <cellStyle name="Normal GHG Numbers (0.00) 3 3 66" xfId="29251" xr:uid="{45D40B24-F2BB-484A-BD21-88A2C1D5B06B}"/>
    <cellStyle name="Normal GHG Numbers (0.00) 3 3 67" xfId="31023" xr:uid="{567D5A29-DCE4-4892-BF07-929EDB549E61}"/>
    <cellStyle name="Normal GHG Numbers (0.00) 3 3 68" xfId="30590" xr:uid="{D42C08A7-D974-456F-8EDB-483AC4F3D5EF}"/>
    <cellStyle name="Normal GHG Numbers (0.00) 3 3 7" xfId="2183" xr:uid="{D2BD9787-167C-4723-A75E-F2D0FA9FA842}"/>
    <cellStyle name="Normal GHG Numbers (0.00) 3 3 8" xfId="2185" xr:uid="{52E7D358-1FE3-4E07-B35E-962C3AABC186}"/>
    <cellStyle name="Normal GHG Numbers (0.00) 3 3 9" xfId="3295" xr:uid="{E01398B4-1E30-46DC-834E-57A51A28C6C3}"/>
    <cellStyle name="Normal GHG Numbers (0.00) 3 4" xfId="162" xr:uid="{91D64C57-5648-4472-8C1F-7E6361F79229}"/>
    <cellStyle name="Normal GHG Numbers (0.00) 3 4 10" xfId="16213" xr:uid="{BBD8C411-B65D-4E3A-AD49-F747CB70B9B0}"/>
    <cellStyle name="Normal GHG Numbers (0.00) 3 4 11" xfId="17945" xr:uid="{BF1B1E43-B5C8-4C6D-9AFC-DBB260485E69}"/>
    <cellStyle name="Normal GHG Numbers (0.00) 3 4 12" xfId="19546" xr:uid="{11BDAE13-5FC6-478C-903F-BD3C51726C61}"/>
    <cellStyle name="Normal GHG Numbers (0.00) 3 4 13" xfId="22015" xr:uid="{FDCD2E7E-3D53-4A5F-B035-8628964B0B09}"/>
    <cellStyle name="Normal GHG Numbers (0.00) 3 4 14" xfId="24267" xr:uid="{FBBEA9A8-A9F7-4965-A54A-9B04C5835103}"/>
    <cellStyle name="Normal GHG Numbers (0.00) 3 4 15" xfId="26695" xr:uid="{B36E2B72-E8D7-4F29-8DF6-E7859B99610C}"/>
    <cellStyle name="Normal GHG Numbers (0.00) 3 4 16" xfId="28050" xr:uid="{A40A718B-864E-4BA9-8999-E59044424338}"/>
    <cellStyle name="Normal GHG Numbers (0.00) 3 4 2" xfId="926" xr:uid="{27423DC1-FEFA-4EC5-ABC9-A98BC80DBABA}"/>
    <cellStyle name="Normal GHG Numbers (0.00) 3 4 3" xfId="1989" xr:uid="{1DD3BE6A-5F9B-4D0F-BFA9-D6D34320B29B}"/>
    <cellStyle name="Normal GHG Numbers (0.00) 3 4 4" xfId="2293" xr:uid="{48307AE3-F3D7-4FBC-999F-532C90C226B2}"/>
    <cellStyle name="Normal GHG Numbers (0.00) 3 4 5" xfId="4215" xr:uid="{560D9D14-152B-4862-9A15-2A44303AD163}"/>
    <cellStyle name="Normal GHG Numbers (0.00) 3 4 6" xfId="6897" xr:uid="{11FA9C9A-86A1-4D5E-A62C-48E19794A0AB}"/>
    <cellStyle name="Normal GHG Numbers (0.00) 3 4 7" xfId="8639" xr:uid="{B38C6029-60B4-4541-871E-8BCD2BCDC664}"/>
    <cellStyle name="Normal GHG Numbers (0.00) 3 4 8" xfId="9110" xr:uid="{BE0FE79F-39AF-467C-AA0A-9F4502EBB886}"/>
    <cellStyle name="Normal GHG Numbers (0.00) 3 4 9" xfId="11520" xr:uid="{72EDD845-5684-41F2-BF90-011B38FF2BA1}"/>
    <cellStyle name="Normal GHG Textfiels Bold" xfId="6" xr:uid="{2DD89B51-F83B-4458-B013-93E0FCEF1FFD}"/>
    <cellStyle name="Normal GHG Textfiels Bold 2" xfId="163" xr:uid="{25AB7107-0E4D-4B9B-9D2E-16F8318EF002}"/>
    <cellStyle name="Normal GHG Textfiels Bold 3" xfId="164" xr:uid="{AA483985-C91E-4B20-BFE4-8708BB917FAE}"/>
    <cellStyle name="Normal GHG Textfiels Bold 3 2" xfId="431" xr:uid="{CCE444D3-14B9-44CD-9B51-40D7B1965B60}"/>
    <cellStyle name="Normal GHG Textfiels Bold 3 2 2" xfId="523" xr:uid="{C457EAD8-7BEE-46F3-973D-5CA588F48D16}"/>
    <cellStyle name="Normal GHG Textfiels Bold 3 2 2 10" xfId="4732" xr:uid="{ABE50B87-974F-4C0C-9A09-2B4B9C17CEC9}"/>
    <cellStyle name="Normal GHG Textfiels Bold 3 2 2 11" xfId="5171" xr:uid="{28ACDC29-96A4-4A86-BBE7-2CEDF7D8BBCF}"/>
    <cellStyle name="Normal GHG Textfiels Bold 3 2 2 12" xfId="5599" xr:uid="{3B5FF10C-4037-4D8D-A2CC-8F2643BF5D1A}"/>
    <cellStyle name="Normal GHG Textfiels Bold 3 2 2 13" xfId="6327" xr:uid="{6D394492-64B7-47A3-9B5C-44AD8B19BA06}"/>
    <cellStyle name="Normal GHG Textfiels Bold 3 2 2 14" xfId="6083" xr:uid="{C0A30343-67BF-4585-9CAD-0F34ED380BBD}"/>
    <cellStyle name="Normal GHG Textfiels Bold 3 2 2 15" xfId="7243" xr:uid="{63BB2693-2CE0-4C78-9DCB-A0DDA6AA6C0F}"/>
    <cellStyle name="Normal GHG Textfiels Bold 3 2 2 16" xfId="7729" xr:uid="{807D18AC-F1C9-4ADF-BCC5-9832339B8D08}"/>
    <cellStyle name="Normal GHG Textfiels Bold 3 2 2 17" xfId="7887" xr:uid="{347B6CCF-A2BB-476D-8D41-2286206843E6}"/>
    <cellStyle name="Normal GHG Textfiels Bold 3 2 2 18" xfId="6886" xr:uid="{D174F1F0-F2ED-40F3-882F-988E47A96D4D}"/>
    <cellStyle name="Normal GHG Textfiels Bold 3 2 2 19" xfId="9457" xr:uid="{E3917D84-8070-436D-A44B-35C17B715FE2}"/>
    <cellStyle name="Normal GHG Textfiels Bold 3 2 2 2" xfId="738" xr:uid="{37308279-2DB3-48FA-9C2B-B0A1F708CFB6}"/>
    <cellStyle name="Normal GHG Textfiels Bold 3 2 2 2 10" xfId="5386" xr:uid="{11554E89-20ED-47F2-BE2C-36EC27B1C562}"/>
    <cellStyle name="Normal GHG Textfiels Bold 3 2 2 2 11" xfId="5595" xr:uid="{72E62CA9-87DE-43CF-88E7-C8C9FA16182D}"/>
    <cellStyle name="Normal GHG Textfiels Bold 3 2 2 2 12" xfId="6290" xr:uid="{D8321959-923D-44CB-8822-02FD6E023629}"/>
    <cellStyle name="Normal GHG Textfiels Bold 3 2 2 2 13" xfId="6431" xr:uid="{9A0DBDC2-847E-40BB-B338-76BD58B72292}"/>
    <cellStyle name="Normal GHG Textfiels Bold 3 2 2 2 14" xfId="7458" xr:uid="{4C96500C-B932-4B5B-A820-4C7BBE87DF20}"/>
    <cellStyle name="Normal GHG Textfiels Bold 3 2 2 2 15" xfId="6989" xr:uid="{4FC149EC-AF09-488E-9B91-36BEF8D4976A}"/>
    <cellStyle name="Normal GHG Textfiels Bold 3 2 2 2 16" xfId="8607" xr:uid="{C5A1D392-F973-41E3-82A4-27A38F502498}"/>
    <cellStyle name="Normal GHG Textfiels Bold 3 2 2 2 17" xfId="8828" xr:uid="{13364952-6E31-443F-B676-4143593F8AA0}"/>
    <cellStyle name="Normal GHG Textfiels Bold 3 2 2 2 18" xfId="9672" xr:uid="{6C037E81-15D5-4CEB-B830-27F69D58D6FC}"/>
    <cellStyle name="Normal GHG Textfiels Bold 3 2 2 2 19" xfId="9051" xr:uid="{55459CB4-E401-485C-A574-72F459DC03AC}"/>
    <cellStyle name="Normal GHG Textfiels Bold 3 2 2 2 2" xfId="1212" xr:uid="{09637219-51E4-4F49-83E9-9AC94A78D8F5}"/>
    <cellStyle name="Normal GHG Textfiels Bold 3 2 2 2 20" xfId="9962" xr:uid="{1683C6E9-F6FE-4A7B-8153-3D1967689348}"/>
    <cellStyle name="Normal GHG Textfiels Bold 3 2 2 2 21" xfId="10941" xr:uid="{408483B8-A005-4FD0-9D2D-996D280107FF}"/>
    <cellStyle name="Normal GHG Textfiels Bold 3 2 2 2 22" xfId="10923" xr:uid="{B7C3CE98-9087-4BB9-A143-E9625FAB9689}"/>
    <cellStyle name="Normal GHG Textfiels Bold 3 2 2 2 23" xfId="12091" xr:uid="{9599E267-661D-4C82-9F9E-E35CF6C3A209}"/>
    <cellStyle name="Normal GHG Textfiels Bold 3 2 2 2 24" xfId="12564" xr:uid="{0BCDA279-5CAE-45BE-A0A9-8A328F9EF66F}"/>
    <cellStyle name="Normal GHG Textfiels Bold 3 2 2 2 25" xfId="12998" xr:uid="{5D9361EC-A22E-4DEE-9677-E7080F9175F8}"/>
    <cellStyle name="Normal GHG Textfiels Bold 3 2 2 2 26" xfId="13435" xr:uid="{FC9DF909-14B4-48F2-8B73-D4714EC0594C}"/>
    <cellStyle name="Normal GHG Textfiels Bold 3 2 2 2 27" xfId="13959" xr:uid="{52F77203-3B8A-44AC-A626-170C113B8486}"/>
    <cellStyle name="Normal GHG Textfiels Bold 3 2 2 2 28" xfId="13870" xr:uid="{4EE13042-BDA8-4680-9982-B7D92643F937}"/>
    <cellStyle name="Normal GHG Textfiels Bold 3 2 2 2 29" xfId="13983" xr:uid="{B5D4D679-DD7F-44E0-AA8C-777548AF1BB1}"/>
    <cellStyle name="Normal GHG Textfiels Bold 3 2 2 2 3" xfId="1488" xr:uid="{18E393D6-2662-4D65-927D-2DC3A1CF65DF}"/>
    <cellStyle name="Normal GHG Textfiels Bold 3 2 2 2 30" xfId="14516" xr:uid="{DF86A706-62DE-49D5-9D37-7CFB348399AF}"/>
    <cellStyle name="Normal GHG Textfiels Bold 3 2 2 2 31" xfId="14418" xr:uid="{6396F668-8B01-4415-8701-34E8E0E63E84}"/>
    <cellStyle name="Normal GHG Textfiels Bold 3 2 2 2 32" xfId="15054" xr:uid="{84CFDFA6-58B5-4648-B61E-1E14A1EC615F}"/>
    <cellStyle name="Normal GHG Textfiels Bold 3 2 2 2 33" xfId="16783" xr:uid="{6E54D36D-A8B6-4ED4-ACE5-09577EA29630}"/>
    <cellStyle name="Normal GHG Textfiels Bold 3 2 2 2 34" xfId="16310" xr:uid="{95B950AA-D7A7-4B07-AEB2-71E957929D80}"/>
    <cellStyle name="Normal GHG Textfiels Bold 3 2 2 2 35" xfId="16209" xr:uid="{836A6E95-9B5C-412A-9CA8-6CC70492E5BF}"/>
    <cellStyle name="Normal GHG Textfiels Bold 3 2 2 2 36" xfId="18042" xr:uid="{19323BC2-CFA0-4F07-983D-8156D9427847}"/>
    <cellStyle name="Normal GHG Textfiels Bold 3 2 2 2 37" xfId="18601" xr:uid="{94802822-4DAD-4D15-970B-BFBBD827A344}"/>
    <cellStyle name="Normal GHG Textfiels Bold 3 2 2 2 38" xfId="18892" xr:uid="{74AF256B-A03F-4FD1-B6FE-A299BEE9E236}"/>
    <cellStyle name="Normal GHG Textfiels Bold 3 2 2 2 39" xfId="19268" xr:uid="{214D5914-2CF5-47C4-A93D-41EE5A88CCC8}"/>
    <cellStyle name="Normal GHG Textfiels Bold 3 2 2 2 4" xfId="2560" xr:uid="{7FE84F4C-416C-4913-B0AC-2D5FBC23FD59}"/>
    <cellStyle name="Normal GHG Textfiels Bold 3 2 2 2 40" xfId="20120" xr:uid="{2E4CB904-3D31-4642-A3E0-AD059647FC66}"/>
    <cellStyle name="Normal GHG Textfiels Bold 3 2 2 2 41" xfId="19640" xr:uid="{90E97FD5-A021-40AB-B375-79954C568CC6}"/>
    <cellStyle name="Normal GHG Textfiels Bold 3 2 2 2 42" xfId="19476" xr:uid="{8C066024-D59C-42D2-9EB7-DE84E6012D2C}"/>
    <cellStyle name="Normal GHG Textfiels Bold 3 2 2 2 43" xfId="21500" xr:uid="{957D6C46-51D0-4057-9458-7D68AE3D948C}"/>
    <cellStyle name="Normal GHG Textfiels Bold 3 2 2 2 44" xfId="21318" xr:uid="{9EBBB4AA-8785-44E5-ABF7-FE1DC67860D6}"/>
    <cellStyle name="Normal GHG Textfiels Bold 3 2 2 2 45" xfId="22051" xr:uid="{D009CC3C-5AEA-48D9-BF1D-1F8697BC4A55}"/>
    <cellStyle name="Normal GHG Textfiels Bold 3 2 2 2 46" xfId="22932" xr:uid="{0BEF93A3-57D5-4128-AAB5-20A49557A4B0}"/>
    <cellStyle name="Normal GHG Textfiels Bold 3 2 2 2 47" xfId="23168" xr:uid="{EC79097A-C3EF-4266-9A7A-A2C5D59A308F}"/>
    <cellStyle name="Normal GHG Textfiels Bold 3 2 2 2 48" xfId="23502" xr:uid="{265C0E8E-2D9D-4218-AF12-3A0E359A8709}"/>
    <cellStyle name="Normal GHG Textfiels Bold 3 2 2 2 49" xfId="23920" xr:uid="{29E1FB4B-45FE-49FA-9479-D14BE5F500A0}"/>
    <cellStyle name="Normal GHG Textfiels Bold 3 2 2 2 5" xfId="3128" xr:uid="{25C7E3F9-811C-4CAC-91E6-2F179682001F}"/>
    <cellStyle name="Normal GHG Textfiels Bold 3 2 2 2 50" xfId="24828" xr:uid="{9DE426D3-0E4B-49C4-8E74-0000AB9AE72B}"/>
    <cellStyle name="Normal GHG Textfiels Bold 3 2 2 2 51" xfId="24495" xr:uid="{D6D0291F-EFD2-4798-8BDC-B25616EFC061}"/>
    <cellStyle name="Normal GHG Textfiels Bold 3 2 2 2 52" xfId="25744" xr:uid="{3AE48EA0-C5D0-4DFA-BB25-EBD50BF06A68}"/>
    <cellStyle name="Normal GHG Textfiels Bold 3 2 2 2 53" xfId="26238" xr:uid="{16572C9D-2844-443A-91F2-CC9F5451968C}"/>
    <cellStyle name="Normal GHG Textfiels Bold 3 2 2 2 54" xfId="25200" xr:uid="{96B8B8AD-895E-4F43-A08C-6B37E9A4B281}"/>
    <cellStyle name="Normal GHG Textfiels Bold 3 2 2 2 55" xfId="27032" xr:uid="{16FEEF36-4864-4376-ABBB-90844DC79BEB}"/>
    <cellStyle name="Normal GHG Textfiels Bold 3 2 2 2 56" xfId="27451" xr:uid="{4807EDAE-DC39-42A6-ABB1-8C45A9877867}"/>
    <cellStyle name="Normal GHG Textfiels Bold 3 2 2 2 57" xfId="26658" xr:uid="{E2FBEE6F-BC1D-4D55-B26F-0878CFF82166}"/>
    <cellStyle name="Normal GHG Textfiels Bold 3 2 2 2 58" xfId="28578" xr:uid="{6993BE13-80C9-499F-B246-B547450AFFEC}"/>
    <cellStyle name="Normal GHG Textfiels Bold 3 2 2 2 59" xfId="29045" xr:uid="{82D8E78D-C880-447E-8144-7AE93ED095AD}"/>
    <cellStyle name="Normal GHG Textfiels Bold 3 2 2 2 6" xfId="3700" xr:uid="{B1C7ACAB-5D42-4F24-A117-C23B9877AB55}"/>
    <cellStyle name="Normal GHG Textfiels Bold 3 2 2 2 60" xfId="28281" xr:uid="{5256464E-38AE-403E-99A2-54228D98B07D}"/>
    <cellStyle name="Normal GHG Textfiels Bold 3 2 2 2 61" xfId="29834" xr:uid="{50D67928-5D0C-4F53-89DE-F664059E2A9E}"/>
    <cellStyle name="Normal GHG Textfiels Bold 3 2 2 2 62" xfId="30240" xr:uid="{F857524F-D75C-4B5B-96EA-3F540030E172}"/>
    <cellStyle name="Normal GHG Textfiels Bold 3 2 2 2 63" xfId="30657" xr:uid="{AF660534-9EE1-4426-B022-CD3D9C4C5ADD}"/>
    <cellStyle name="Normal GHG Textfiels Bold 3 2 2 2 64" xfId="29282" xr:uid="{FEEA45FE-220E-4234-90BF-0E756718A5AD}"/>
    <cellStyle name="Normal GHG Textfiels Bold 3 2 2 2 65" xfId="31273" xr:uid="{6E65C2CA-DCE1-4F16-AF41-202A4D4E7FB6}"/>
    <cellStyle name="Normal GHG Textfiels Bold 3 2 2 2 7" xfId="4056" xr:uid="{9310F852-3FAC-4506-9F5C-86E0A24191C0}"/>
    <cellStyle name="Normal GHG Textfiels Bold 3 2 2 2 8" xfId="4493" xr:uid="{55237FF4-543E-4AD9-9D78-69F434E384BC}"/>
    <cellStyle name="Normal GHG Textfiels Bold 3 2 2 2 9" xfId="3797" xr:uid="{9BABD3B4-70A0-46E8-9F7E-1151BB0C9941}"/>
    <cellStyle name="Normal GHG Textfiels Bold 3 2 2 20" xfId="9943" xr:uid="{BE789433-000B-42B3-8794-6CF3E8EB2045}"/>
    <cellStyle name="Normal GHG Textfiels Bold 3 2 2 21" xfId="10373" xr:uid="{7E585529-45C6-4CEF-B4E4-790AFEA4A91C}"/>
    <cellStyle name="Normal GHG Textfiels Bold 3 2 2 22" xfId="10548" xr:uid="{1811FF40-CE71-4E9A-A597-67EFE71A66C5}"/>
    <cellStyle name="Normal GHG Textfiels Bold 3 2 2 23" xfId="10886" xr:uid="{9DEEB656-D66B-4BCD-85B9-D5DD846C78F5}"/>
    <cellStyle name="Normal GHG Textfiels Bold 3 2 2 24" xfId="11876" xr:uid="{8AB3B33F-16BC-4F14-9BC3-545D2503C54F}"/>
    <cellStyle name="Normal GHG Textfiels Bold 3 2 2 25" xfId="12349" xr:uid="{059CD625-FC6F-4884-92C4-688E78C08DD5}"/>
    <cellStyle name="Normal GHG Textfiels Bold 3 2 2 26" xfId="12783" xr:uid="{BB949AF1-038C-42D2-A5D7-F6FE8965B181}"/>
    <cellStyle name="Normal GHG Textfiels Bold 3 2 2 27" xfId="13220" xr:uid="{C5C52320-D364-44CA-9DF2-7236FFFC4C31}"/>
    <cellStyle name="Normal GHG Textfiels Bold 3 2 2 28" xfId="13988" xr:uid="{7410812F-1621-4919-918D-A9CE769CC9FF}"/>
    <cellStyle name="Normal GHG Textfiels Bold 3 2 2 29" xfId="14407" xr:uid="{1825A57E-1811-48F2-B5F9-24F118CA5617}"/>
    <cellStyle name="Normal GHG Textfiels Bold 3 2 2 3" xfId="1006" xr:uid="{7157666A-5E53-494E-9906-D10D902FA5A8}"/>
    <cellStyle name="Normal GHG Textfiels Bold 3 2 2 30" xfId="13860" xr:uid="{B6CF9C2C-EE8C-4F2C-B585-770087BC2360}"/>
    <cellStyle name="Normal GHG Textfiels Bold 3 2 2 31" xfId="15143" xr:uid="{55600C2B-64C5-47A8-A87F-64C2BA3F4950}"/>
    <cellStyle name="Normal GHG Textfiels Bold 3 2 2 32" xfId="15337" xr:uid="{C680F2F7-29B8-47FF-A4D9-818BC0279C86}"/>
    <cellStyle name="Normal GHG Textfiels Bold 3 2 2 33" xfId="15823" xr:uid="{282099CA-5012-4069-8216-82B598C4CC12}"/>
    <cellStyle name="Normal GHG Textfiels Bold 3 2 2 34" xfId="16568" xr:uid="{E1CE7547-E803-4B65-B839-577A941BB895}"/>
    <cellStyle name="Normal GHG Textfiels Bold 3 2 2 35" xfId="17057" xr:uid="{EBAEEF61-101C-4128-99F4-3E82BDD892E6}"/>
    <cellStyle name="Normal GHG Textfiels Bold 3 2 2 36" xfId="17503" xr:uid="{1729F9E7-D7D3-46A4-AF2F-540CF0154096}"/>
    <cellStyle name="Normal GHG Textfiels Bold 3 2 2 37" xfId="17753" xr:uid="{7F0C1F8F-C797-4628-9057-3AF8C3D553D3}"/>
    <cellStyle name="Normal GHG Textfiels Bold 3 2 2 38" xfId="18386" xr:uid="{B32D7609-00E8-41EF-96F1-A71FE4AA5D60}"/>
    <cellStyle name="Normal GHG Textfiels Bold 3 2 2 39" xfId="17593" xr:uid="{39A78845-00FA-4108-9E2F-C823CADD1336}"/>
    <cellStyle name="Normal GHG Textfiels Bold 3 2 2 4" xfId="1656" xr:uid="{90BC7461-D289-4DE7-AFFB-A0F25AC6338D}"/>
    <cellStyle name="Normal GHG Textfiels Bold 3 2 2 40" xfId="18958" xr:uid="{924887F1-2489-4221-A966-29016C2B78D0}"/>
    <cellStyle name="Normal GHG Textfiels Bold 3 2 2 41" xfId="19905" xr:uid="{881129CC-3DB9-462C-ABC4-59A98E320560}"/>
    <cellStyle name="Normal GHG Textfiels Bold 3 2 2 42" xfId="20409" xr:uid="{CAC2BA04-256E-4C42-9DDE-B0FEF070E1EA}"/>
    <cellStyle name="Normal GHG Textfiels Bold 3 2 2 43" xfId="20862" xr:uid="{F577B968-0FA0-46FE-91BA-2A749AC41FFB}"/>
    <cellStyle name="Normal GHG Textfiels Bold 3 2 2 44" xfId="21121" xr:uid="{137B316F-0393-4D13-A45F-ECB20B87C500}"/>
    <cellStyle name="Normal GHG Textfiels Bold 3 2 2 45" xfId="21794" xr:uid="{FB6661F2-C136-401F-B51B-B9B29B3406FB}"/>
    <cellStyle name="Normal GHG Textfiels Bold 3 2 2 46" xfId="22231" xr:uid="{E2955E30-EA70-4BCD-A51C-ACA188043C4B}"/>
    <cellStyle name="Normal GHG Textfiels Bold 3 2 2 47" xfId="22960" xr:uid="{71D4B163-EC81-4694-A331-13173DE2066C}"/>
    <cellStyle name="Normal GHG Textfiels Bold 3 2 2 48" xfId="22816" xr:uid="{19D9B363-AB9D-4AF4-B93A-690C3250ECF5}"/>
    <cellStyle name="Normal GHG Textfiels Bold 3 2 2 49" xfId="22635" xr:uid="{97DA17E3-3790-468D-A5FC-73AABFA65E19}"/>
    <cellStyle name="Normal GHG Textfiels Bold 3 2 2 5" xfId="2345" xr:uid="{6549A92C-AF37-4907-A9EB-7214C458EB77}"/>
    <cellStyle name="Normal GHG Textfiels Bold 3 2 2 50" xfId="23714" xr:uid="{9DC372A2-A146-4879-9830-6EE5ECF69B8A}"/>
    <cellStyle name="Normal GHG Textfiels Bold 3 2 2 51" xfId="24613" xr:uid="{4A40B13C-D2F7-4FA0-ACC2-8813E3A480B2}"/>
    <cellStyle name="Normal GHG Textfiels Bold 3 2 2 52" xfId="25117" xr:uid="{597E1F08-C840-4A22-BCAA-5571A039AA45}"/>
    <cellStyle name="Normal GHG Textfiels Bold 3 2 2 53" xfId="25531" xr:uid="{AC466C87-82EB-45B2-AB9D-C11DA5603F32}"/>
    <cellStyle name="Normal GHG Textfiels Bold 3 2 2 54" xfId="26267" xr:uid="{6E0FA259-CFF0-4CC6-8F1C-B829F7240374}"/>
    <cellStyle name="Normal GHG Textfiels Bold 3 2 2 55" xfId="24514" xr:uid="{0370C07F-355E-4342-952C-D77CD7295B86}"/>
    <cellStyle name="Normal GHG Textfiels Bold 3 2 2 56" xfId="26821" xr:uid="{50189AC6-074C-4D92-9925-1636FC219A19}"/>
    <cellStyle name="Normal GHG Textfiels Bold 3 2 2 57" xfId="27240" xr:uid="{D7374A7F-2F17-4851-A797-C794057DB435}"/>
    <cellStyle name="Normal GHG Textfiels Bold 3 2 2 58" xfId="27650" xr:uid="{CDEB0797-D5C3-418A-AABE-BCDE3E2A6C9F}"/>
    <cellStyle name="Normal GHG Textfiels Bold 3 2 2 59" xfId="28363" xr:uid="{2583E57D-3F7D-4E46-9F00-4E2DABC4073C}"/>
    <cellStyle name="Normal GHG Textfiels Bold 3 2 2 6" xfId="3159" xr:uid="{94D9E0A7-3A63-451D-B8B3-B51A23E0444F}"/>
    <cellStyle name="Normal GHG Textfiels Bold 3 2 2 60" xfId="28831" xr:uid="{3B4B6D6B-5952-4258-BCED-3EDBB73FA558}"/>
    <cellStyle name="Normal GHG Textfiels Bold 3 2 2 61" xfId="29272" xr:uid="{8EE2A137-62CA-44A6-B87C-09086BC07EB0}"/>
    <cellStyle name="Normal GHG Textfiels Bold 3 2 2 62" xfId="29621" xr:uid="{255CC590-3769-46EA-9722-4687846288F3}"/>
    <cellStyle name="Normal GHG Textfiels Bold 3 2 2 63" xfId="30029" xr:uid="{4D48EF35-6FFC-4AC8-A632-E485D2B707EB}"/>
    <cellStyle name="Normal GHG Textfiels Bold 3 2 2 64" xfId="30443" xr:uid="{E51EEA6B-89BA-422D-8376-9171F7A55059}"/>
    <cellStyle name="Normal GHG Textfiels Bold 3 2 2 65" xfId="30954" xr:uid="{B192BFF5-7AB5-45FE-BF11-07CE035DA3A0}"/>
    <cellStyle name="Normal GHG Textfiels Bold 3 2 2 66" xfId="31067" xr:uid="{2A3A6F99-4DBF-44E8-819B-26D925E9EAD6}"/>
    <cellStyle name="Normal GHG Textfiels Bold 3 2 2 7" xfId="3617" xr:uid="{5CE8F2AB-7E03-4D3F-A838-3A8962EAD3FA}"/>
    <cellStyle name="Normal GHG Textfiels Bold 3 2 2 8" xfId="3841" xr:uid="{C50A8DDF-6629-41BE-B790-4BD9619D4E4C}"/>
    <cellStyle name="Normal GHG Textfiels Bold 3 2 2 9" xfId="4279" xr:uid="{506594E5-3E5A-4AFC-98F5-4010647F3F49}"/>
    <cellStyle name="Normal GHG Textfiels Bold 3 2 3" xfId="721" xr:uid="{0A4C4BA1-056E-4D88-8A5A-0805ED0C8C4E}"/>
    <cellStyle name="Normal GHG Textfiels Bold 3 2 3 10" xfId="5369" xr:uid="{D361B702-3061-4CE2-9308-C5A1F4CCAB0C}"/>
    <cellStyle name="Normal GHG Textfiels Bold 3 2 3 11" xfId="4761" xr:uid="{2603E0BF-410D-4781-9FF0-533734C7C189}"/>
    <cellStyle name="Normal GHG Textfiels Bold 3 2 3 12" xfId="6331" xr:uid="{3FF2CC27-B877-42CE-B66D-BDB96F719E94}"/>
    <cellStyle name="Normal GHG Textfiels Bold 3 2 3 13" xfId="6434" xr:uid="{7804CDEC-2903-420C-A9F6-DC5408588A4B}"/>
    <cellStyle name="Normal GHG Textfiels Bold 3 2 3 14" xfId="7441" xr:uid="{B8C3A2DB-8BE6-4B8C-9AEE-CD19F63BCA7D}"/>
    <cellStyle name="Normal GHG Textfiels Bold 3 2 3 15" xfId="7843" xr:uid="{676364B9-61A7-4A86-93EB-18C6E7BE0B75}"/>
    <cellStyle name="Normal GHG Textfiels Bold 3 2 3 16" xfId="8655" xr:uid="{738153D7-CE10-431D-B7A2-AF46560092AE}"/>
    <cellStyle name="Normal GHG Textfiels Bold 3 2 3 17" xfId="7907" xr:uid="{B67BAF60-76D0-422F-A68C-BF85CDEEEA39}"/>
    <cellStyle name="Normal GHG Textfiels Bold 3 2 3 18" xfId="9655" xr:uid="{03B6E89B-4719-431B-A24C-974C75DD966B}"/>
    <cellStyle name="Normal GHG Textfiels Bold 3 2 3 19" xfId="10055" xr:uid="{26ED5B39-07F0-42BB-92A6-F9B218EE8993}"/>
    <cellStyle name="Normal GHG Textfiels Bold 3 2 3 2" xfId="1195" xr:uid="{E8FB07B4-ED53-4FAF-945D-3A8C36CBC600}"/>
    <cellStyle name="Normal GHG Textfiels Bold 3 2 3 20" xfId="10475" xr:uid="{75D7EC86-55BD-4993-B084-28D661D5E1EB}"/>
    <cellStyle name="Normal GHG Textfiels Bold 3 2 3 21" xfId="10735" xr:uid="{B7204C53-5086-4827-B8D0-13423BBCF80C}"/>
    <cellStyle name="Normal GHG Textfiels Bold 3 2 3 22" xfId="11175" xr:uid="{41CEABA5-CCC4-47FF-A9BB-B32C08841A1D}"/>
    <cellStyle name="Normal GHG Textfiels Bold 3 2 3 23" xfId="12074" xr:uid="{A274F3D8-2338-4410-9F0A-4DEFE543B463}"/>
    <cellStyle name="Normal GHG Textfiels Bold 3 2 3 24" xfId="12547" xr:uid="{B06584C9-F5D6-449F-99BB-65DD475F558E}"/>
    <cellStyle name="Normal GHG Textfiels Bold 3 2 3 25" xfId="12981" xr:uid="{DAD085D2-DACF-45CB-8A9D-A994F7F88C63}"/>
    <cellStyle name="Normal GHG Textfiels Bold 3 2 3 26" xfId="13418" xr:uid="{475B36BA-9DC5-4FD0-8D64-7F24C6C74C5B}"/>
    <cellStyle name="Normal GHG Textfiels Bold 3 2 3 27" xfId="13986" xr:uid="{A99B1E3A-DF0B-4215-BA70-2396F0B7B046}"/>
    <cellStyle name="Normal GHG Textfiels Bold 3 2 3 28" xfId="13760" xr:uid="{F1E5B876-56E3-4AC8-A4C6-6286A4B4583C}"/>
    <cellStyle name="Normal GHG Textfiels Bold 3 2 3 29" xfId="14709" xr:uid="{C499ECA5-C59B-49D6-80E5-54485F2A88F9}"/>
    <cellStyle name="Normal GHG Textfiels Bold 3 2 3 3" xfId="1444" xr:uid="{3ED4C10F-3AA7-48D0-AD6E-2B8133C3AAA1}"/>
    <cellStyle name="Normal GHG Textfiels Bold 3 2 3 30" xfId="14609" xr:uid="{C16387D9-1F97-4BC4-A4B4-E24A93F2D5F7}"/>
    <cellStyle name="Normal GHG Textfiels Bold 3 2 3 31" xfId="15419" xr:uid="{D4045659-C483-4144-A8AC-B78C4E6EC170}"/>
    <cellStyle name="Normal GHG Textfiels Bold 3 2 3 32" xfId="15885" xr:uid="{BF11F9B2-5C1A-4D12-B9D2-36C47E82F818}"/>
    <cellStyle name="Normal GHG Textfiels Bold 3 2 3 33" xfId="16766" xr:uid="{69369BC6-9D3F-4533-B99F-866D0A4EECC2}"/>
    <cellStyle name="Normal GHG Textfiels Bold 3 2 3 34" xfId="17173" xr:uid="{FB2CFB16-172A-48BA-90C8-0D4B86CEAFF6}"/>
    <cellStyle name="Normal GHG Textfiels Bold 3 2 3 35" xfId="17618" xr:uid="{BA0CDE04-2881-4875-9EF3-BBB70C07A9C5}"/>
    <cellStyle name="Normal GHG Textfiels Bold 3 2 3 36" xfId="17740" xr:uid="{23EECDDC-4B7B-4E95-BA41-1276CCF81082}"/>
    <cellStyle name="Normal GHG Textfiels Bold 3 2 3 37" xfId="18584" xr:uid="{41D49EBE-0890-4F9D-8D27-31D6A8DCD18B}"/>
    <cellStyle name="Normal GHG Textfiels Bold 3 2 3 38" xfId="17877" xr:uid="{B4DD9850-7D31-4F45-B9C3-651695885DF0}"/>
    <cellStyle name="Normal GHG Textfiels Bold 3 2 3 39" xfId="19271" xr:uid="{49D52864-8CB2-453B-8419-2EC76E51D7E4}"/>
    <cellStyle name="Normal GHG Textfiels Bold 3 2 3 4" xfId="2543" xr:uid="{40E7988D-81EC-4A59-935C-0DC1E8B70C3E}"/>
    <cellStyle name="Normal GHG Textfiels Bold 3 2 3 40" xfId="20103" xr:uid="{516740DC-5FF6-4B32-8271-F32B207E78C5}"/>
    <cellStyle name="Normal GHG Textfiels Bold 3 2 3 41" xfId="20525" xr:uid="{4CA31B59-01A5-4838-B261-30884E262E6D}"/>
    <cellStyle name="Normal GHG Textfiels Bold 3 2 3 42" xfId="20978" xr:uid="{99488709-5D3C-4E5A-929D-30993F4E8FA7}"/>
    <cellStyle name="Normal GHG Textfiels Bold 3 2 3 43" xfId="20792" xr:uid="{B3F3A66D-3C97-480A-B9FB-133CB0DDC534}"/>
    <cellStyle name="Normal GHG Textfiels Bold 3 2 3 44" xfId="21909" xr:uid="{EF337C8A-9705-4F6B-B37E-2BDB25F5E7C0}"/>
    <cellStyle name="Normal GHG Textfiels Bold 3 2 3 45" xfId="22343" xr:uid="{A5E41528-0338-4EC6-8EDA-580E8F4A380D}"/>
    <cellStyle name="Normal GHG Textfiels Bold 3 2 3 46" xfId="22958" xr:uid="{F93944AB-9513-4370-8539-21409C70625D}"/>
    <cellStyle name="Normal GHG Textfiels Bold 3 2 3 47" xfId="21829" xr:uid="{114B789B-26B6-46C7-B67C-B4A445296A80}"/>
    <cellStyle name="Normal GHG Textfiels Bold 3 2 3 48" xfId="23567" xr:uid="{828A7FC7-44B8-4B69-86BE-A6B86337D212}"/>
    <cellStyle name="Normal GHG Textfiels Bold 3 2 3 49" xfId="23903" xr:uid="{02BE580C-5D92-450D-863F-01737C4D67F0}"/>
    <cellStyle name="Normal GHG Textfiels Bold 3 2 3 5" xfId="3157" xr:uid="{EBF0501C-D94C-4FB3-8833-2CE66EC64FA4}"/>
    <cellStyle name="Normal GHG Textfiels Bold 3 2 3 50" xfId="24811" xr:uid="{91C41B26-1805-42D7-A2A8-3A1E091555E5}"/>
    <cellStyle name="Normal GHG Textfiels Bold 3 2 3 51" xfId="25234" xr:uid="{1282A8FF-CB2B-4D54-B0B4-C5DCE7C92379}"/>
    <cellStyle name="Normal GHG Textfiels Bold 3 2 3 52" xfId="25727" xr:uid="{A189EF05-D3DF-4F53-8349-A98C415B29F6}"/>
    <cellStyle name="Normal GHG Textfiels Bold 3 2 3 53" xfId="26265" xr:uid="{501F8995-4A71-4369-927B-99DDA06537F1}"/>
    <cellStyle name="Normal GHG Textfiels Bold 3 2 3 54" xfId="26502" xr:uid="{09A380D5-675F-4632-88C3-87CFA75359F4}"/>
    <cellStyle name="Normal GHG Textfiels Bold 3 2 3 55" xfId="27015" xr:uid="{6CD067EB-8AC8-4183-8CAC-BC38470BB9B8}"/>
    <cellStyle name="Normal GHG Textfiels Bold 3 2 3 56" xfId="27434" xr:uid="{6811966D-BE30-4CD7-8C1F-29FE5502E5E6}"/>
    <cellStyle name="Normal GHG Textfiels Bold 3 2 3 57" xfId="27778" xr:uid="{4EE40EB7-C64D-4039-A089-0D2853EC521A}"/>
    <cellStyle name="Normal GHG Textfiels Bold 3 2 3 58" xfId="28561" xr:uid="{AFCFBE0D-D5EC-4651-9946-14F503F18263}"/>
    <cellStyle name="Normal GHG Textfiels Bold 3 2 3 59" xfId="29028" xr:uid="{81345343-6B6B-44A4-A272-D84C9C4ED971}"/>
    <cellStyle name="Normal GHG Textfiels Bold 3 2 3 6" xfId="3757" xr:uid="{1800C2D2-3FEB-43EB-92AE-E58CB91D3859}"/>
    <cellStyle name="Normal GHG Textfiels Bold 3 2 3 60" xfId="29373" xr:uid="{A3818610-8355-4119-A976-D0D182317FA2}"/>
    <cellStyle name="Normal GHG Textfiels Bold 3 2 3 61" xfId="29817" xr:uid="{301A2D59-4CCA-4A65-ACE1-F66D67E57FD2}"/>
    <cellStyle name="Normal GHG Textfiels Bold 3 2 3 62" xfId="30223" xr:uid="{CE55E4E7-58FD-4180-BB52-DA65F5BC8CEE}"/>
    <cellStyle name="Normal GHG Textfiels Bold 3 2 3 63" xfId="30640" xr:uid="{A9ADC136-FB4E-420E-B6CC-327EA0038C32}"/>
    <cellStyle name="Normal GHG Textfiels Bold 3 2 3 64" xfId="30855" xr:uid="{F1FFA10F-A6D8-4CB4-8AFF-38AD869A8F7D}"/>
    <cellStyle name="Normal GHG Textfiels Bold 3 2 3 65" xfId="31256" xr:uid="{2087BA54-631C-4D33-B909-BAB0D471B439}"/>
    <cellStyle name="Normal GHG Textfiels Bold 3 2 3 7" xfId="4039" xr:uid="{157AE88C-83D7-4F17-A882-670A24438483}"/>
    <cellStyle name="Normal GHG Textfiels Bold 3 2 3 8" xfId="4476" xr:uid="{B3152477-7F3E-4E0F-94AF-AB0B6B6AB3C1}"/>
    <cellStyle name="Normal GHG Textfiels Bold 3 2 3 9" xfId="3459" xr:uid="{4BF3BFC8-77AE-4F49-A010-E359DFA1686E}"/>
    <cellStyle name="Normal GHG Textfiels Bold 3 3" xfId="361" xr:uid="{91C66861-FF90-4713-A7F5-1D1D2FB566C4}"/>
    <cellStyle name="Normal GHG Textfiels Bold 3 3 10" xfId="3374" xr:uid="{844FEA9B-B643-4F8F-AAB9-70AA689933E3}"/>
    <cellStyle name="Normal GHG Textfiels Bold 3 3 11" xfId="2302" xr:uid="{46EE0BD4-E558-4151-B6CC-617CBFFB57F0}"/>
    <cellStyle name="Normal GHG Textfiels Bold 3 3 12" xfId="3530" xr:uid="{38E48203-93F0-4547-8774-0AEB5ED14C6F}"/>
    <cellStyle name="Normal GHG Textfiels Bold 3 3 13" xfId="4667" xr:uid="{9778A9B9-91FB-4EA5-A8D5-4B04A188A132}"/>
    <cellStyle name="Normal GHG Textfiels Bold 3 3 14" xfId="5939" xr:uid="{04F2EBA1-7015-464F-BEC0-0DF66C877A37}"/>
    <cellStyle name="Normal GHG Textfiels Bold 3 3 15" xfId="6214" xr:uid="{EF1EF9E3-6CA7-480F-8096-0A500CE57EB6}"/>
    <cellStyle name="Normal GHG Textfiels Bold 3 3 16" xfId="6631" xr:uid="{2401E254-D518-4E09-A8F8-0C8E4E3079AD}"/>
    <cellStyle name="Normal GHG Textfiels Bold 3 3 17" xfId="7088" xr:uid="{105B5EC9-E498-4934-A25F-E2C90BD2F786}"/>
    <cellStyle name="Normal GHG Textfiels Bold 3 3 18" xfId="7714" xr:uid="{DDF0477D-18E9-4F72-97BC-69D8F7DD3F4E}"/>
    <cellStyle name="Normal GHG Textfiels Bold 3 3 19" xfId="7129" xr:uid="{7D9CB471-3E90-4FD1-A9C8-CAC09C195FC7}"/>
    <cellStyle name="Normal GHG Textfiels Bold 3 3 2" xfId="639" xr:uid="{C307F9BD-590E-4E43-91B4-B33B9854A555}"/>
    <cellStyle name="Normal GHG Textfiels Bold 3 3 2 10" xfId="3673" xr:uid="{482AFEBC-C137-4FA6-8D2B-BA1249B58CF3}"/>
    <cellStyle name="Normal GHG Textfiels Bold 3 3 2 11" xfId="5287" xr:uid="{0035A876-9D2E-461E-AFB0-FCA3623E98DE}"/>
    <cellStyle name="Normal GHG Textfiels Bold 3 3 2 12" xfId="4962" xr:uid="{CBD7AEE8-4334-46E2-AA44-1FE4D8C3119E}"/>
    <cellStyle name="Normal GHG Textfiels Bold 3 3 2 13" xfId="6300" xr:uid="{5E448725-1FCD-40FC-8E1D-9A18996F9434}"/>
    <cellStyle name="Normal GHG Textfiels Bold 3 3 2 14" xfId="6600" xr:uid="{8C4C6888-6508-4A97-B378-45AD4A489822}"/>
    <cellStyle name="Normal GHG Textfiels Bold 3 3 2 15" xfId="7359" xr:uid="{0A2821B7-D82E-4785-8487-DF0AA4BB4851}"/>
    <cellStyle name="Normal GHG Textfiels Bold 3 3 2 16" xfId="7830" xr:uid="{7C35937D-DB7A-4639-A23A-95AAC62B5BAD}"/>
    <cellStyle name="Normal GHG Textfiels Bold 3 3 2 17" xfId="8094" xr:uid="{C2A53A22-5A68-4CAD-AC63-01BF8895991E}"/>
    <cellStyle name="Normal GHG Textfiels Bold 3 3 2 18" xfId="8205" xr:uid="{9051B4FD-F390-4270-8AE9-03B2D21D0136}"/>
    <cellStyle name="Normal GHG Textfiels Bold 3 3 2 19" xfId="9573" xr:uid="{3AC546EA-2212-4816-A920-EF2B6CBF2A53}"/>
    <cellStyle name="Normal GHG Textfiels Bold 3 3 2 2" xfId="854" xr:uid="{A1C2C46A-A612-4EEB-9118-4FEB4C143496}"/>
    <cellStyle name="Normal GHG Textfiels Bold 3 3 2 2 10" xfId="5502" xr:uid="{2E6D4F22-F7A9-4751-88D2-C034A12191E6}"/>
    <cellStyle name="Normal GHG Textfiels Bold 3 3 2 2 11" xfId="5674" xr:uid="{70497A55-DEEC-436B-9ABC-6DAA034A8D7E}"/>
    <cellStyle name="Normal GHG Textfiels Bold 3 3 2 2 12" xfId="6049" xr:uid="{C0080975-B688-48A6-94C4-4F2D143D17F5}"/>
    <cellStyle name="Normal GHG Textfiels Bold 3 3 2 2 13" xfId="6050" xr:uid="{77D3C6DC-C0BA-4996-82B5-DF6E615F6BC8}"/>
    <cellStyle name="Normal GHG Textfiels Bold 3 3 2 2 14" xfId="7574" xr:uid="{7DEECB09-3A5E-4F3F-975B-5DC45625CE39}"/>
    <cellStyle name="Normal GHG Textfiels Bold 3 3 2 2 15" xfId="6882" xr:uid="{DCB1026D-C52F-4546-A143-CCCDACE22A3F}"/>
    <cellStyle name="Normal GHG Textfiels Bold 3 3 2 2 16" xfId="6838" xr:uid="{C6AAB7B7-A123-4217-B808-E7A1DF9F50EB}"/>
    <cellStyle name="Normal GHG Textfiels Bold 3 3 2 2 17" xfId="8879" xr:uid="{D66F65D0-6289-4A45-AF02-E6686F23CACC}"/>
    <cellStyle name="Normal GHG Textfiels Bold 3 3 2 2 18" xfId="9788" xr:uid="{61F13CB1-07D3-4AE0-B74A-75AB25E971F8}"/>
    <cellStyle name="Normal GHG Textfiels Bold 3 3 2 2 19" xfId="9095" xr:uid="{9D315787-A180-41E2-9E82-86CB333A7101}"/>
    <cellStyle name="Normal GHG Textfiels Bold 3 3 2 2 2" xfId="1328" xr:uid="{FA0C29CF-1510-4F13-9583-8510F235F883}"/>
    <cellStyle name="Normal GHG Textfiels Bold 3 3 2 2 20" xfId="10240" xr:uid="{5FA4EDA9-AEE4-4064-BF4D-5B3D1C40E7AB}"/>
    <cellStyle name="Normal GHG Textfiels Bold 3 3 2 2 21" xfId="9052" xr:uid="{30128992-9C2C-47B0-A03B-7634C969439E}"/>
    <cellStyle name="Normal GHG Textfiels Bold 3 3 2 2 22" xfId="11079" xr:uid="{E78AC662-A2B4-4DED-965C-BBFB0DAD1FB8}"/>
    <cellStyle name="Normal GHG Textfiels Bold 3 3 2 2 23" xfId="12207" xr:uid="{17244D15-DF53-4266-B770-6C0F11E62FEF}"/>
    <cellStyle name="Normal GHG Textfiels Bold 3 3 2 2 24" xfId="12680" xr:uid="{4D966220-1903-4EE1-A8B5-4BC5932AFB34}"/>
    <cellStyle name="Normal GHG Textfiels Bold 3 3 2 2 25" xfId="13114" xr:uid="{5EBD4B78-38C5-43CD-AEE5-98055595DF19}"/>
    <cellStyle name="Normal GHG Textfiels Bold 3 3 2 2 26" xfId="13551" xr:uid="{10103CB4-4311-4948-8283-7AD5A78E38CC}"/>
    <cellStyle name="Normal GHG Textfiels Bold 3 3 2 2 27" xfId="12744" xr:uid="{281D9687-7776-4CEA-B1C3-BDCC78529881}"/>
    <cellStyle name="Normal GHG Textfiels Bold 3 3 2 2 28" xfId="14470" xr:uid="{7A8ABAE0-5521-478C-87E9-11F1AB5E01AB}"/>
    <cellStyle name="Normal GHG Textfiels Bold 3 3 2 2 29" xfId="13623" xr:uid="{F37147D1-5C08-4CBF-BE5D-C2829B3BFE62}"/>
    <cellStyle name="Normal GHG Textfiels Bold 3 3 2 2 3" xfId="1777" xr:uid="{2E3B55E3-B438-4C1C-80BE-C1BA3D043A4B}"/>
    <cellStyle name="Normal GHG Textfiels Bold 3 3 2 2 30" xfId="14070" xr:uid="{928C9D9A-A7A3-4E48-AEC4-CFC6FA8651DD}"/>
    <cellStyle name="Normal GHG Textfiels Bold 3 3 2 2 31" xfId="15616" xr:uid="{05731AB6-7DF8-4014-BAF6-CC9F78E2ADA3}"/>
    <cellStyle name="Normal GHG Textfiels Bold 3 3 2 2 32" xfId="15487" xr:uid="{91E26BDA-3A2C-4381-ABCC-577EB877C6EF}"/>
    <cellStyle name="Normal GHG Textfiels Bold 3 3 2 2 33" xfId="16899" xr:uid="{635342E6-7B57-4872-B4D2-E4BC99D04842}"/>
    <cellStyle name="Normal GHG Textfiels Bold 3 3 2 2 34" xfId="16198" xr:uid="{EED390B7-6738-4F19-A38F-1617A7D22F21}"/>
    <cellStyle name="Normal GHG Textfiels Bold 3 3 2 2 35" xfId="17361" xr:uid="{247857EF-95BA-44EC-AD47-70AECE78448E}"/>
    <cellStyle name="Normal GHG Textfiels Bold 3 3 2 2 36" xfId="17670" xr:uid="{9DA6E6DF-077A-40F8-9FEC-C13598C0767A}"/>
    <cellStyle name="Normal GHG Textfiels Bold 3 3 2 2 37" xfId="18717" xr:uid="{16B17128-3E24-4703-8D82-0EA4F03FF36E}"/>
    <cellStyle name="Normal GHG Textfiels Bold 3 3 2 2 38" xfId="19059" xr:uid="{AC28D585-6E78-4BE8-9EFA-6EE9DF71778D}"/>
    <cellStyle name="Normal GHG Textfiels Bold 3 3 2 2 39" xfId="18203" xr:uid="{3113C6F5-6F7B-4F27-AB90-6EF763A296D2}"/>
    <cellStyle name="Normal GHG Textfiels Bold 3 3 2 2 4" xfId="2676" xr:uid="{E2144F38-785E-42D3-A58C-3CD5A0FB22E6}"/>
    <cellStyle name="Normal GHG Textfiels Bold 3 3 2 2 40" xfId="20236" xr:uid="{A8BD4169-7F2B-40AA-9B2A-2F1772705A9D}"/>
    <cellStyle name="Normal GHG Textfiels Bold 3 3 2 2 41" xfId="19530" xr:uid="{CA570EB3-E188-4287-9FF5-2301E51B2229}"/>
    <cellStyle name="Normal GHG Textfiels Bold 3 3 2 2 42" xfId="19477" xr:uid="{1BF2274F-160A-4E69-B79F-982F681ED05B}"/>
    <cellStyle name="Normal GHG Textfiels Bold 3 3 2 2 43" xfId="21310" xr:uid="{951C1681-CA05-48CE-A4F1-883A5E857FBE}"/>
    <cellStyle name="Normal GHG Textfiels Bold 3 3 2 2 44" xfId="21574" xr:uid="{1670DC20-B744-419D-8240-9FCCC6CDBF77}"/>
    <cellStyle name="Normal GHG Textfiels Bold 3 3 2 2 45" xfId="22037" xr:uid="{145090B6-B2C9-41A7-81BA-0760A9DC433F}"/>
    <cellStyle name="Normal GHG Textfiels Bold 3 3 2 2 46" xfId="21200" xr:uid="{DFB8A40E-44EE-427D-8F89-E8D38B3031E0}"/>
    <cellStyle name="Normal GHG Textfiels Bold 3 3 2 2 47" xfId="23336" xr:uid="{25D108F2-7DCB-491A-BB91-6ABF38CBA307}"/>
    <cellStyle name="Normal GHG Textfiels Bold 3 3 2 2 48" xfId="23444" xr:uid="{6012DC24-36CD-4978-B843-C2C9C6396E3A}"/>
    <cellStyle name="Normal GHG Textfiels Bold 3 3 2 2 49" xfId="24036" xr:uid="{113FDA98-EA22-41E5-A60E-C9E4CF4CDA1B}"/>
    <cellStyle name="Normal GHG Textfiels Bold 3 3 2 2 5" xfId="2201" xr:uid="{96CCE1C5-49B1-403D-8FB6-B7415874D7A8}"/>
    <cellStyle name="Normal GHG Textfiels Bold 3 3 2 2 50" xfId="24944" xr:uid="{BCD67ABB-EF7B-4B52-B0F4-7A730F9C912E}"/>
    <cellStyle name="Normal GHG Textfiels Bold 3 3 2 2 51" xfId="24299" xr:uid="{E69E7E7C-C60B-412A-BC56-98EB66191FD4}"/>
    <cellStyle name="Normal GHG Textfiels Bold 3 3 2 2 52" xfId="25860" xr:uid="{AA5FAAD7-82BE-4ED3-A720-BBCFF9F422A2}"/>
    <cellStyle name="Normal GHG Textfiels Bold 3 3 2 2 53" xfId="25931" xr:uid="{5608AC9F-1BCF-47D5-8DF4-EE1A10D8F4D0}"/>
    <cellStyle name="Normal GHG Textfiels Bold 3 3 2 2 54" xfId="26419" xr:uid="{FA3A3479-2FB5-4143-819B-EB3B2739B975}"/>
    <cellStyle name="Normal GHG Textfiels Bold 3 3 2 2 55" xfId="27148" xr:uid="{84B1DA24-FE88-411E-8725-93D09D9F748A}"/>
    <cellStyle name="Normal GHG Textfiels Bold 3 3 2 2 56" xfId="27567" xr:uid="{42ACEAA7-849C-409B-A18A-331B6223A7EC}"/>
    <cellStyle name="Normal GHG Textfiels Bold 3 3 2 2 57" xfId="26119" xr:uid="{F920B12E-362A-4799-9764-7FDCF7F053CC}"/>
    <cellStyle name="Normal GHG Textfiels Bold 3 3 2 2 58" xfId="28694" xr:uid="{4D481D48-318E-437A-8139-F2BA85123D30}"/>
    <cellStyle name="Normal GHG Textfiels Bold 3 3 2 2 59" xfId="29161" xr:uid="{1CDE5E0E-3DD5-4323-8777-8BACF0B446E1}"/>
    <cellStyle name="Normal GHG Textfiels Bold 3 3 2 2 6" xfId="3581" xr:uid="{EC89D295-0199-46BA-8376-40842E2221AD}"/>
    <cellStyle name="Normal GHG Textfiels Bold 3 3 2 2 60" xfId="28978" xr:uid="{4ED73457-A113-448E-82D0-1501861FE297}"/>
    <cellStyle name="Normal GHG Textfiels Bold 3 3 2 2 61" xfId="29950" xr:uid="{EAFC2CBB-AFD5-486F-B46D-9B835FBA8EA5}"/>
    <cellStyle name="Normal GHG Textfiels Bold 3 3 2 2 62" xfId="30356" xr:uid="{F85C9234-5CFA-417B-B3B3-41851030FD0A}"/>
    <cellStyle name="Normal GHG Textfiels Bold 3 3 2 2 63" xfId="30773" xr:uid="{D5619872-B919-4645-A4D4-317EC2A23191}"/>
    <cellStyle name="Normal GHG Textfiels Bold 3 3 2 2 64" xfId="29992" xr:uid="{78DFD8E7-9208-4996-96B9-D8E53CD6B5F4}"/>
    <cellStyle name="Normal GHG Textfiels Bold 3 3 2 2 65" xfId="31389" xr:uid="{1A83DBED-6694-4201-BEF4-7343BB0FBF20}"/>
    <cellStyle name="Normal GHG Textfiels Bold 3 3 2 2 7" xfId="4172" xr:uid="{A3D433EC-67C4-4619-8612-CB6FFC1EDEC5}"/>
    <cellStyle name="Normal GHG Textfiels Bold 3 3 2 2 8" xfId="4609" xr:uid="{A9F9E7DC-FE00-41EC-BEC8-53B5825404E7}"/>
    <cellStyle name="Normal GHG Textfiels Bold 3 3 2 2 9" xfId="2235" xr:uid="{B2A48402-9069-4388-8CD7-EB78543F0DAC}"/>
    <cellStyle name="Normal GHG Textfiels Bold 3 3 2 20" xfId="10042" xr:uid="{15A559BA-6727-41F8-9086-F07A5A6929BE}"/>
    <cellStyle name="Normal GHG Textfiels Bold 3 3 2 21" xfId="10462" xr:uid="{41296098-1938-4DB5-A893-E1989704F8EF}"/>
    <cellStyle name="Normal GHG Textfiels Bold 3 3 2 22" xfId="10212" xr:uid="{6486A887-654B-471F-988C-1162F4878D0B}"/>
    <cellStyle name="Normal GHG Textfiels Bold 3 3 2 23" xfId="9391" xr:uid="{437C0B15-F981-4A38-84F9-4F327B264A00}"/>
    <cellStyle name="Normal GHG Textfiels Bold 3 3 2 24" xfId="11992" xr:uid="{52D52D29-3EB1-40CA-A04E-F911CEC20AE5}"/>
    <cellStyle name="Normal GHG Textfiels Bold 3 3 2 25" xfId="12465" xr:uid="{F277D778-4186-4AEA-9EEA-E74365848A88}"/>
    <cellStyle name="Normal GHG Textfiels Bold 3 3 2 26" xfId="12899" xr:uid="{E39A739D-9F65-4DDF-A37F-36FF256BD4D6}"/>
    <cellStyle name="Normal GHG Textfiels Bold 3 3 2 27" xfId="13336" xr:uid="{3059BB3C-2D72-46FE-BC30-11D3AA830D42}"/>
    <cellStyle name="Normal GHG Textfiels Bold 3 3 2 28" xfId="11499" xr:uid="{AE03367D-D48C-430C-AFF1-8A5F5D9FE124}"/>
    <cellStyle name="Normal GHG Textfiels Bold 3 3 2 29" xfId="14021" xr:uid="{2C9AEBC7-FFB3-4424-8FC8-5CDBA3DFAD43}"/>
    <cellStyle name="Normal GHG Textfiels Bold 3 3 2 3" xfId="1122" xr:uid="{8E7B8A2E-BF4F-4DCA-89FB-E50839AAA408}"/>
    <cellStyle name="Normal GHG Textfiels Bold 3 3 2 30" xfId="14653" xr:uid="{D3576D4C-A274-4172-994C-248847081198}"/>
    <cellStyle name="Normal GHG Textfiels Bold 3 3 2 31" xfId="14631" xr:uid="{43373FAF-F164-45A8-8818-CCBDBC573E74}"/>
    <cellStyle name="Normal GHG Textfiels Bold 3 3 2 32" xfId="14276" xr:uid="{DFA304C2-4CE1-4990-BC12-45DCB95A9CEA}"/>
    <cellStyle name="Normal GHG Textfiels Bold 3 3 2 33" xfId="15875" xr:uid="{CEEF6A66-761E-47DA-9519-9CED75EB68DB}"/>
    <cellStyle name="Normal GHG Textfiels Bold 3 3 2 34" xfId="16684" xr:uid="{6C1DF2D0-ECFF-4647-809E-EA1AEDBC8064}"/>
    <cellStyle name="Normal GHG Textfiels Bold 3 3 2 35" xfId="17160" xr:uid="{70381436-CD71-406B-B64B-305897C825A6}"/>
    <cellStyle name="Normal GHG Textfiels Bold 3 3 2 36" xfId="17605" xr:uid="{04D0CB96-5F9E-4CD0-99FF-B9124545F638}"/>
    <cellStyle name="Normal GHG Textfiels Bold 3 3 2 37" xfId="17425" xr:uid="{9DCCDE93-231B-4179-BED8-D096AEFFEB36}"/>
    <cellStyle name="Normal GHG Textfiels Bold 3 3 2 38" xfId="18502" xr:uid="{D8025EB3-ED16-441D-8014-A755CD1D64D6}"/>
    <cellStyle name="Normal GHG Textfiels Bold 3 3 2 39" xfId="17232" xr:uid="{A36BF56F-BEF1-4D91-A492-4B1950EF413B}"/>
    <cellStyle name="Normal GHG Textfiels Bold 3 3 2 4" xfId="1601" xr:uid="{0E6F5A41-3E65-4EC8-9E4C-499CDF7C27A9}"/>
    <cellStyle name="Normal GHG Textfiels Bold 3 3 2 40" xfId="19295" xr:uid="{2D22F826-A619-4A11-A5E8-3A16E1710D6C}"/>
    <cellStyle name="Normal GHG Textfiels Bold 3 3 2 41" xfId="20021" xr:uid="{E141317A-09AB-4960-9FAD-636CDC80CCCB}"/>
    <cellStyle name="Normal GHG Textfiels Bold 3 3 2 42" xfId="20512" xr:uid="{2CDE0D26-0158-4456-8833-AE153C8CEE38}"/>
    <cellStyle name="Normal GHG Textfiels Bold 3 3 2 43" xfId="20965" xr:uid="{82A14657-46EF-4395-84F8-88EF9007DF3C}"/>
    <cellStyle name="Normal GHG Textfiels Bold 3 3 2 44" xfId="19787" xr:uid="{13DF366E-969C-4D60-9B48-B9FFA728D454}"/>
    <cellStyle name="Normal GHG Textfiels Bold 3 3 2 45" xfId="21896" xr:uid="{3C8AC93A-AA86-48E2-8B42-0B879ABCC79D}"/>
    <cellStyle name="Normal GHG Textfiels Bold 3 3 2 46" xfId="22332" xr:uid="{DB8C8A43-0DCB-4F6E-93FF-8914B234DBCA}"/>
    <cellStyle name="Normal GHG Textfiels Bold 3 3 2 47" xfId="21809" xr:uid="{3C6F19BD-F614-46BF-AAE8-236141EAE1E2}"/>
    <cellStyle name="Normal GHG Textfiels Bold 3 3 2 48" xfId="20971" xr:uid="{B7F035C1-3CB8-425B-9AA5-E84B0C25A6A3}"/>
    <cellStyle name="Normal GHG Textfiels Bold 3 3 2 49" xfId="23605" xr:uid="{E843AE57-BDDF-4CAA-BF25-D7B523BC2550}"/>
    <cellStyle name="Normal GHG Textfiels Bold 3 3 2 5" xfId="2461" xr:uid="{38E1CFBA-4645-4606-9A42-79AD71776628}"/>
    <cellStyle name="Normal GHG Textfiels Bold 3 3 2 50" xfId="23830" xr:uid="{316F4B0A-4A9D-4A96-981F-C38F1753F9EE}"/>
    <cellStyle name="Normal GHG Textfiels Bold 3 3 2 51" xfId="24729" xr:uid="{90DB011B-AC70-4DB3-A20E-0BFB90F808BD}"/>
    <cellStyle name="Normal GHG Textfiels Bold 3 3 2 52" xfId="25221" xr:uid="{D753D78C-475E-4549-836A-42154F787500}"/>
    <cellStyle name="Normal GHG Textfiels Bold 3 3 2 53" xfId="25647" xr:uid="{20739037-35DE-4AD5-815C-4B6B7B29B10A}"/>
    <cellStyle name="Normal GHG Textfiels Bold 3 3 2 54" xfId="24554" xr:uid="{1C4B96BD-D634-42A9-BDF5-AC24219BCFA5}"/>
    <cellStyle name="Normal GHG Textfiels Bold 3 3 2 55" xfId="25090" xr:uid="{16AA88CA-3A4A-4376-8110-ADC71C9F0838}"/>
    <cellStyle name="Normal GHG Textfiels Bold 3 3 2 56" xfId="26937" xr:uid="{AAEF7151-C8F0-484E-A8C2-180570818A0D}"/>
    <cellStyle name="Normal GHG Textfiels Bold 3 3 2 57" xfId="27356" xr:uid="{5B73D245-45FE-4BB4-8920-A5E0068A5E4F}"/>
    <cellStyle name="Normal GHG Textfiels Bold 3 3 2 58" xfId="25996" xr:uid="{941A9489-3F7B-49CB-9EEB-A335E18F762C}"/>
    <cellStyle name="Normal GHG Textfiels Bold 3 3 2 59" xfId="28479" xr:uid="{90BDFEA3-F57B-4F4B-8ED3-6AFE54F18A1B}"/>
    <cellStyle name="Normal GHG Textfiels Bold 3 3 2 6" xfId="2009" xr:uid="{9803E067-CC9D-4973-8205-D8EEA0128236}"/>
    <cellStyle name="Normal GHG Textfiels Bold 3 3 2 60" xfId="28947" xr:uid="{4F49E2F0-2C51-45E8-A525-F1D72E09D755}"/>
    <cellStyle name="Normal GHG Textfiels Bold 3 3 2 61" xfId="29362" xr:uid="{6BA22C98-49CF-449A-ADCE-950C0924456C}"/>
    <cellStyle name="Normal GHG Textfiels Bold 3 3 2 62" xfId="29737" xr:uid="{821A1465-B6DA-4628-907E-14BD2843EE01}"/>
    <cellStyle name="Normal GHG Textfiels Bold 3 3 2 63" xfId="30145" xr:uid="{F0F113EC-7510-4C70-8460-39C67468214D}"/>
    <cellStyle name="Normal GHG Textfiels Bold 3 3 2 64" xfId="30559" xr:uid="{2FC8DF91-A4DD-4F32-95EF-12E3BE85AF51}"/>
    <cellStyle name="Normal GHG Textfiels Bold 3 3 2 65" xfId="30399" xr:uid="{9BE4C369-8E20-400B-AD30-E4C34DAD0E84}"/>
    <cellStyle name="Normal GHG Textfiels Bold 3 3 2 66" xfId="31183" xr:uid="{7025DB81-2AFD-490B-886D-FD7F44BBDB9D}"/>
    <cellStyle name="Normal GHG Textfiels Bold 3 3 2 7" xfId="2954" xr:uid="{B5090E8D-9380-4863-98F0-826BE2531803}"/>
    <cellStyle name="Normal GHG Textfiels Bold 3 3 2 8" xfId="3957" xr:uid="{EDB2CAFF-06EA-4F1C-B3FC-E556414C8627}"/>
    <cellStyle name="Normal GHG Textfiels Bold 3 3 2 9" xfId="4395" xr:uid="{11A7A1D7-EF14-4BF4-A572-60098EA27350}"/>
    <cellStyle name="Normal GHG Textfiels Bold 3 3 20" xfId="8202" xr:uid="{E2347955-C75A-4A0E-9487-18F1DCF2EA1D}"/>
    <cellStyle name="Normal GHG Textfiels Bold 3 3 21" xfId="9302" xr:uid="{4E4CC688-BE7F-48E3-B1FB-959EF2A43122}"/>
    <cellStyle name="Normal GHG Textfiels Bold 3 3 22" xfId="9928" xr:uid="{83A52038-B085-4C3D-B19C-BFC29157AF0E}"/>
    <cellStyle name="Normal GHG Textfiels Bold 3 3 23" xfId="10359" xr:uid="{006EF6AC-20CA-4A26-9DD0-430081EE8500}"/>
    <cellStyle name="Normal GHG Textfiels Bold 3 3 24" xfId="10756" xr:uid="{31F3D5D6-891B-41AB-A6B6-B121D8A91E4B}"/>
    <cellStyle name="Normal GHG Textfiels Bold 3 3 25" xfId="9019" xr:uid="{9E3BDEBC-0CD0-4D0C-939F-ECCBD8EDABFF}"/>
    <cellStyle name="Normal GHG Textfiels Bold 3 3 26" xfId="11715" xr:uid="{4A3B624E-CFE6-404A-93DB-9F54054D4596}"/>
    <cellStyle name="Normal GHG Textfiels Bold 3 3 27" xfId="11455" xr:uid="{1DBB31B7-9B80-4EEC-9822-FCA20B4C3C50}"/>
    <cellStyle name="Normal GHG Textfiels Bold 3 3 28" xfId="11684" xr:uid="{F3086AA6-348E-43F6-9327-DF813BAA9918}"/>
    <cellStyle name="Normal GHG Textfiels Bold 3 3 29" xfId="11814" xr:uid="{F87FE7E4-1694-499D-809A-69EB052F6D62}"/>
    <cellStyle name="Normal GHG Textfiels Bold 3 3 3" xfId="582" xr:uid="{559FC0EA-FAEF-482D-AB80-D6AD29235857}"/>
    <cellStyle name="Normal GHG Textfiels Bold 3 3 3 10" xfId="3567" xr:uid="{7E7B5C89-916E-45D2-81D3-0B43647F7A27}"/>
    <cellStyle name="Normal GHG Textfiels Bold 3 3 3 11" xfId="5230" xr:uid="{01EB0A50-F247-4852-9147-CCCCD6775C70}"/>
    <cellStyle name="Normal GHG Textfiels Bold 3 3 3 12" xfId="4805" xr:uid="{833A7B34-2A3D-40CA-95BA-841605DBC005}"/>
    <cellStyle name="Normal GHG Textfiels Bold 3 3 3 13" xfId="5854" xr:uid="{10013AA9-BCBC-41C3-BBAA-66D434A2F52D}"/>
    <cellStyle name="Normal GHG Textfiels Bold 3 3 3 14" xfId="6149" xr:uid="{C2A6BA3B-43AF-405F-BF97-A8C27803F01A}"/>
    <cellStyle name="Normal GHG Textfiels Bold 3 3 3 15" xfId="7302" xr:uid="{DD0AD6FA-3246-423B-9F6F-5D764B22367F}"/>
    <cellStyle name="Normal GHG Textfiels Bold 3 3 3 16" xfId="7991" xr:uid="{C99BA596-4585-4DBB-BF91-11CF74A863C1}"/>
    <cellStyle name="Normal GHG Textfiels Bold 3 3 3 17" xfId="6930" xr:uid="{D198B56A-36B0-44E4-95A5-5FD17C03676D}"/>
    <cellStyle name="Normal GHG Textfiels Bold 3 3 3 18" xfId="6821" xr:uid="{4D3F2860-912C-4D38-99F6-75D7D3960B20}"/>
    <cellStyle name="Normal GHG Textfiels Bold 3 3 3 19" xfId="9516" xr:uid="{56609D00-F319-4769-9D1A-BB4D92B4990A}"/>
    <cellStyle name="Normal GHG Textfiels Bold 3 3 3 2" xfId="797" xr:uid="{6BCD951F-2CC8-467B-9F63-BB8F51472C28}"/>
    <cellStyle name="Normal GHG Textfiels Bold 3 3 3 2 10" xfId="5445" xr:uid="{413AA9E8-D5E7-48CB-9D57-309E290B1AF6}"/>
    <cellStyle name="Normal GHG Textfiels Bold 3 3 3 2 11" xfId="5833" xr:uid="{45C43618-F86F-463F-B6C0-D8424C335B33}"/>
    <cellStyle name="Normal GHG Textfiels Bold 3 3 3 2 12" xfId="5786" xr:uid="{8C10CF7F-F9AD-4671-B414-50D5133D7DB0}"/>
    <cellStyle name="Normal GHG Textfiels Bold 3 3 3 2 13" xfId="2809" xr:uid="{44CE3244-45A7-4B6E-BCB5-E4A4F3464509}"/>
    <cellStyle name="Normal GHG Textfiels Bold 3 3 3 2 14" xfId="7517" xr:uid="{BB5DDB42-BB01-4EC6-8075-75C5DAA1CDB8}"/>
    <cellStyle name="Normal GHG Textfiels Bold 3 3 3 2 15" xfId="8015" xr:uid="{16CCFAD6-F283-4698-BEEB-A8183071EFF9}"/>
    <cellStyle name="Normal GHG Textfiels Bold 3 3 3 2 16" xfId="8631" xr:uid="{A20E7A1D-C64A-49F6-BC57-757316E975CA}"/>
    <cellStyle name="Normal GHG Textfiels Bold 3 3 3 2 17" xfId="8744" xr:uid="{3AF18069-5729-47B8-A1D3-BA1E656868AE}"/>
    <cellStyle name="Normal GHG Textfiels Bold 3 3 3 2 18" xfId="9731" xr:uid="{53869048-C92D-4741-8000-A4F8B4BCE248}"/>
    <cellStyle name="Normal GHG Textfiels Bold 3 3 3 2 19" xfId="10233" xr:uid="{96978808-2CC5-4216-BB81-E5C8CE2F0ACA}"/>
    <cellStyle name="Normal GHG Textfiels Bold 3 3 3 2 2" xfId="1271" xr:uid="{782BD29A-55B5-4065-ABA4-CF6C6D215E7A}"/>
    <cellStyle name="Normal GHG Textfiels Bold 3 3 3 2 20" xfId="10630" xr:uid="{F44FE9CC-FE55-4FD2-A96D-C6F1A230AC24}"/>
    <cellStyle name="Normal GHG Textfiels Bold 3 3 3 2 21" xfId="9863" xr:uid="{6FD40A40-9BEC-4DAF-B9FC-B1372BE7052F}"/>
    <cellStyle name="Normal GHG Textfiels Bold 3 3 3 2 22" xfId="11207" xr:uid="{1E3A9A72-B4F9-49C6-891E-26C0FFC75AD1}"/>
    <cellStyle name="Normal GHG Textfiels Bold 3 3 3 2 23" xfId="12150" xr:uid="{3973B6E8-D8BE-460B-888A-9A58378B1417}"/>
    <cellStyle name="Normal GHG Textfiels Bold 3 3 3 2 24" xfId="12623" xr:uid="{8C942567-9CE0-4CBE-8E1A-A175E80964A0}"/>
    <cellStyle name="Normal GHG Textfiels Bold 3 3 3 2 25" xfId="13057" xr:uid="{E07B130A-3565-4A88-BE34-132E0C0106A6}"/>
    <cellStyle name="Normal GHG Textfiels Bold 3 3 3 2 26" xfId="13494" xr:uid="{40BB96D3-D00E-4503-8D37-C881B3BF23F0}"/>
    <cellStyle name="Normal GHG Textfiels Bold 3 3 3 2 27" xfId="13190" xr:uid="{6869AB2D-5A43-4B99-BB6F-A3F16FDDED07}"/>
    <cellStyle name="Normal GHG Textfiels Bold 3 3 3 2 28" xfId="12292" xr:uid="{1C0CC654-287C-403A-AE5E-0EB44EF0CE6A}"/>
    <cellStyle name="Normal GHG Textfiels Bold 3 3 3 2 29" xfId="14881" xr:uid="{54883288-369C-4160-BBA8-A1458C2ABA66}"/>
    <cellStyle name="Normal GHG Textfiels Bold 3 3 3 2 3" xfId="1607" xr:uid="{16D13541-ACB6-45E4-B49D-3B8F4F2E76BF}"/>
    <cellStyle name="Normal GHG Textfiels Bold 3 3 3 2 30" xfId="14074" xr:uid="{FC8820A3-7EAC-4672-8551-0F799A2C8787}"/>
    <cellStyle name="Normal GHG Textfiels Bold 3 3 3 2 31" xfId="14980" xr:uid="{FD897EA1-47DB-4329-A64B-326CBA673DEE}"/>
    <cellStyle name="Normal GHG Textfiels Bold 3 3 3 2 32" xfId="15979" xr:uid="{17BE1F00-7E59-4FEB-B986-244930695ECC}"/>
    <cellStyle name="Normal GHG Textfiels Bold 3 3 3 2 33" xfId="16842" xr:uid="{D239A6D6-37E5-4764-BC99-C0860A6A9AA7}"/>
    <cellStyle name="Normal GHG Textfiels Bold 3 3 3 2 34" xfId="17354" xr:uid="{F1B056DC-433C-4999-A49E-B434EC0459ED}"/>
    <cellStyle name="Normal GHG Textfiels Bold 3 3 3 2 35" xfId="17796" xr:uid="{35AC8E4A-FFDE-4B6A-8185-162000B706EE}"/>
    <cellStyle name="Normal GHG Textfiels Bold 3 3 3 2 36" xfId="17745" xr:uid="{34E510B6-85E8-4D5E-8D1E-53B1C19B0B31}"/>
    <cellStyle name="Normal GHG Textfiels Bold 3 3 3 2 37" xfId="18660" xr:uid="{5782AEA4-A229-4FB1-8A15-08CB7B7707AB}"/>
    <cellStyle name="Normal GHG Textfiels Bold 3 3 3 2 38" xfId="18837" xr:uid="{2B207BB4-77EA-44FC-8BD9-ADA48F00E5F9}"/>
    <cellStyle name="Normal GHG Textfiels Bold 3 3 3 2 39" xfId="18816" xr:uid="{6C637283-C9C6-499F-8267-B48FA94CD1F3}"/>
    <cellStyle name="Normal GHG Textfiels Bold 3 3 3 2 4" xfId="2619" xr:uid="{C2752E41-8FF8-495C-8BB9-E5BB3457C684}"/>
    <cellStyle name="Normal GHG Textfiels Bold 3 3 3 2 40" xfId="20179" xr:uid="{C2062086-F833-438B-9F4B-689A7545B358}"/>
    <cellStyle name="Normal GHG Textfiels Bold 3 3 3 2 41" xfId="20705" xr:uid="{C7BF6852-39D2-4DB0-BA4C-8D508B2C32ED}"/>
    <cellStyle name="Normal GHG Textfiels Bold 3 3 3 2 42" xfId="21162" xr:uid="{2462988D-D993-41F8-B939-53C1CEB410D1}"/>
    <cellStyle name="Normal GHG Textfiels Bold 3 3 3 2 43" xfId="21525" xr:uid="{B159E45B-6BDF-481F-8356-B1C14C4E4CD9}"/>
    <cellStyle name="Normal GHG Textfiels Bold 3 3 3 2 44" xfId="22093" xr:uid="{E8F0E455-1453-4961-88AC-B1734AFF0E62}"/>
    <cellStyle name="Normal GHG Textfiels Bold 3 3 3 2 45" xfId="22521" xr:uid="{0BA35B54-4F42-4B37-81F9-D4F7FAC90DF1}"/>
    <cellStyle name="Normal GHG Textfiels Bold 3 3 3 2 46" xfId="21858" xr:uid="{4E81E4A7-2F04-4729-AA79-C3AEA10C6B17}"/>
    <cellStyle name="Normal GHG Textfiels Bold 3 3 3 2 47" xfId="23112" xr:uid="{FD9386FE-4C99-415B-ACE2-1EE1D15A7F04}"/>
    <cellStyle name="Normal GHG Textfiels Bold 3 3 3 2 48" xfId="23346" xr:uid="{7ADEF047-16AF-4CE5-B190-31159FB1C708}"/>
    <cellStyle name="Normal GHG Textfiels Bold 3 3 3 2 49" xfId="23979" xr:uid="{D3E286B5-8497-4E35-8106-C966B29A9540}"/>
    <cellStyle name="Normal GHG Textfiels Bold 3 3 3 2 5" xfId="2128" xr:uid="{55B92A97-010B-4564-8041-6A1EE7C61007}"/>
    <cellStyle name="Normal GHG Textfiels Bold 3 3 3 2 50" xfId="24887" xr:uid="{A405B00D-E05C-4F6B-B70C-E9A270FA791D}"/>
    <cellStyle name="Normal GHG Textfiels Bold 3 3 3 2 51" xfId="25408" xr:uid="{21667510-ECBA-45EF-8E35-76427FF60984}"/>
    <cellStyle name="Normal GHG Textfiels Bold 3 3 3 2 52" xfId="25803" xr:uid="{4B93958A-9E89-4AFC-B10F-D5D2787391E1}"/>
    <cellStyle name="Normal GHG Textfiels Bold 3 3 3 2 53" xfId="24289" xr:uid="{6194E599-8764-4EA4-9ACE-534A393E074A}"/>
    <cellStyle name="Normal GHG Textfiels Bold 3 3 3 2 54" xfId="25481" xr:uid="{6B6AF3D1-6676-43BE-AA18-96DB98951E6A}"/>
    <cellStyle name="Normal GHG Textfiels Bold 3 3 3 2 55" xfId="27091" xr:uid="{025CF896-52E4-4E87-90D4-31A493255224}"/>
    <cellStyle name="Normal GHG Textfiels Bold 3 3 3 2 56" xfId="27510" xr:uid="{AD79C443-CB46-4C81-A0D5-0AEA067EF632}"/>
    <cellStyle name="Normal GHG Textfiels Bold 3 3 3 2 57" xfId="26560" xr:uid="{D5C69353-6F10-4210-8CA8-200F8EA40956}"/>
    <cellStyle name="Normal GHG Textfiels Bold 3 3 3 2 58" xfId="28637" xr:uid="{F03B103C-E49C-41C9-8204-4472522B6F7A}"/>
    <cellStyle name="Normal GHG Textfiels Bold 3 3 3 2 59" xfId="29104" xr:uid="{CF703EB6-1468-4FC9-BCBF-1F2F1C623E4F}"/>
    <cellStyle name="Normal GHG Textfiels Bold 3 3 3 2 6" xfId="3732" xr:uid="{B24CDB9C-9C73-4A1C-8948-7A1E59E97DE7}"/>
    <cellStyle name="Normal GHG Textfiels Bold 3 3 3 2 60" xfId="29523" xr:uid="{270DF34A-9CA2-49BD-85A4-7E330269A5C2}"/>
    <cellStyle name="Normal GHG Textfiels Bold 3 3 3 2 61" xfId="29893" xr:uid="{09787521-42D1-460B-9453-55FF38AA419A}"/>
    <cellStyle name="Normal GHG Textfiels Bold 3 3 3 2 62" xfId="30299" xr:uid="{C708EAB9-A442-4639-BD48-8AC057F034E5}"/>
    <cellStyle name="Normal GHG Textfiels Bold 3 3 3 2 63" xfId="30716" xr:uid="{EB00EBA1-47D6-4791-8F46-6A483D35DCB3}"/>
    <cellStyle name="Normal GHG Textfiels Bold 3 3 3 2 64" xfId="29338" xr:uid="{4E2CC524-9949-4478-99B2-296E01B7D596}"/>
    <cellStyle name="Normal GHG Textfiels Bold 3 3 3 2 65" xfId="31332" xr:uid="{E72F775F-8746-4229-A22C-149AC9CEFB7F}"/>
    <cellStyle name="Normal GHG Textfiels Bold 3 3 3 2 7" xfId="4115" xr:uid="{CEB2ED83-A5A4-4003-ADDF-7478CA7366FB}"/>
    <cellStyle name="Normal GHG Textfiels Bold 3 3 3 2 8" xfId="4552" xr:uid="{B48234ED-F9C9-4DF6-94A5-1AF66FCBC100}"/>
    <cellStyle name="Normal GHG Textfiels Bold 3 3 3 2 9" xfId="2991" xr:uid="{E4F1BBBB-4D9A-4759-BD14-88C5A3D121A2}"/>
    <cellStyle name="Normal GHG Textfiels Bold 3 3 3 20" xfId="10207" xr:uid="{4552F81C-620E-4CAD-80AC-80E16DA78E62}"/>
    <cellStyle name="Normal GHG Textfiels Bold 3 3 3 21" xfId="10611" xr:uid="{75D48EC5-A801-4DF0-BB12-7963BF29B8CE}"/>
    <cellStyle name="Normal GHG Textfiels Bold 3 3 3 22" xfId="10218" xr:uid="{8810DAE8-B4CC-4178-9EDB-0F206801A001}"/>
    <cellStyle name="Normal GHG Textfiels Bold 3 3 3 23" xfId="10971" xr:uid="{BE545BC4-DDB7-46AB-A227-0D8931C6FB70}"/>
    <cellStyle name="Normal GHG Textfiels Bold 3 3 3 24" xfId="11935" xr:uid="{12EB8C00-0FBE-4A04-9A47-E17C6FA0B081}"/>
    <cellStyle name="Normal GHG Textfiels Bold 3 3 3 25" xfId="12408" xr:uid="{C75978C2-9D78-4AD5-9B89-D5E623B5D3E6}"/>
    <cellStyle name="Normal GHG Textfiels Bold 3 3 3 26" xfId="12842" xr:uid="{45928E31-BB14-44E9-9F79-95A754E61557}"/>
    <cellStyle name="Normal GHG Textfiels Bold 3 3 3 27" xfId="13279" xr:uid="{340ED9D7-DF9F-4C53-8791-47C3958F5FC9}"/>
    <cellStyle name="Normal GHG Textfiels Bold 3 3 3 28" xfId="11600" xr:uid="{060A57B6-AADE-457C-8A8C-B6A5FE601046}"/>
    <cellStyle name="Normal GHG Textfiels Bold 3 3 3 29" xfId="14324" xr:uid="{16EFFED1-758F-440C-A731-D3645A7756E3}"/>
    <cellStyle name="Normal GHG Textfiels Bold 3 3 3 3" xfId="1065" xr:uid="{2C5D020D-322A-4B4A-9790-105CBD96CB7F}"/>
    <cellStyle name="Normal GHG Textfiels Bold 3 3 3 30" xfId="13794" xr:uid="{3C919E9A-01A4-4915-845C-A6FB1C20BED8}"/>
    <cellStyle name="Normal GHG Textfiels Bold 3 3 3 31" xfId="14893" xr:uid="{889A16FA-8583-4CC6-A9F2-1384C45C4920}"/>
    <cellStyle name="Normal GHG Textfiels Bold 3 3 3 32" xfId="15256" xr:uid="{E589C187-D211-408E-8628-7839EB5576BB}"/>
    <cellStyle name="Normal GHG Textfiels Bold 3 3 3 33" xfId="15970" xr:uid="{24E3D3DA-2858-4F4A-92F5-D509B50162DA}"/>
    <cellStyle name="Normal GHG Textfiels Bold 3 3 3 34" xfId="16627" xr:uid="{2897936E-609E-44FB-837A-29BCD4CBDF66}"/>
    <cellStyle name="Normal GHG Textfiels Bold 3 3 3 35" xfId="17328" xr:uid="{FEFE5B6A-CBF4-4201-A081-B316C3B49E27}"/>
    <cellStyle name="Normal GHG Textfiels Bold 3 3 3 36" xfId="17771" xr:uid="{69CD6F44-85B4-4B52-9DCD-0E99679382B5}"/>
    <cellStyle name="Normal GHG Textfiels Bold 3 3 3 37" xfId="16995" xr:uid="{27EC4B7A-50F1-47CF-A80E-EAEB9DEAA663}"/>
    <cellStyle name="Normal GHG Textfiels Bold 3 3 3 38" xfId="18445" xr:uid="{A2B95775-A6F5-4F89-8A83-C5BFC0B2E328}"/>
    <cellStyle name="Normal GHG Textfiels Bold 3 3 3 39" xfId="18180" xr:uid="{5991AE14-49B6-421C-B24F-5DE7C5A7A17A}"/>
    <cellStyle name="Normal GHG Textfiels Bold 3 3 3 4" xfId="1704" xr:uid="{DFE9466B-E858-4C38-9013-3DC7167C17B1}"/>
    <cellStyle name="Normal GHG Textfiels Bold 3 3 3 40" xfId="19323" xr:uid="{1117F12B-F6F2-4095-9CB0-7DB515E4B273}"/>
    <cellStyle name="Normal GHG Textfiels Bold 3 3 3 41" xfId="19964" xr:uid="{9650F8D9-A277-4D53-A1FE-A949434CED07}"/>
    <cellStyle name="Normal GHG Textfiels Bold 3 3 3 42" xfId="20679" xr:uid="{29CE3218-E3B6-4E6E-B3B2-5A1CE7ABE298}"/>
    <cellStyle name="Normal GHG Textfiels Bold 3 3 3 43" xfId="21135" xr:uid="{2251F0C0-B905-498D-8C44-50DDC60EE07F}"/>
    <cellStyle name="Normal GHG Textfiels Bold 3 3 3 44" xfId="19819" xr:uid="{3132F3F4-65AC-41D8-BB62-0B66A95A7860}"/>
    <cellStyle name="Normal GHG Textfiels Bold 3 3 3 45" xfId="22067" xr:uid="{6E28EE4A-4C2D-414E-AF6B-0CB67DC915CD}"/>
    <cellStyle name="Normal GHG Textfiels Bold 3 3 3 46" xfId="22495" xr:uid="{8A11E189-56B9-4B6D-8C04-A366514148E2}"/>
    <cellStyle name="Normal GHG Textfiels Bold 3 3 3 47" xfId="22449" xr:uid="{83E09370-10B0-4DF1-A33C-3C8683A49C41}"/>
    <cellStyle name="Normal GHG Textfiels Bold 3 3 3 48" xfId="22895" xr:uid="{9FCB2D47-AF1F-46DD-A46D-1D8B7392A3AC}"/>
    <cellStyle name="Normal GHG Textfiels Bold 3 3 3 49" xfId="23584" xr:uid="{CB7DB047-F1B9-4EEB-BC97-4E2B1A27C4B2}"/>
    <cellStyle name="Normal GHG Textfiels Bold 3 3 3 5" xfId="2404" xr:uid="{7128F7AC-E240-4F0C-92D5-46C70A14EC5F}"/>
    <cellStyle name="Normal GHG Textfiels Bold 3 3 3 50" xfId="23773" xr:uid="{C210AFD0-DCC8-486C-9B42-C0603BA17CD5}"/>
    <cellStyle name="Normal GHG Textfiels Bold 3 3 3 51" xfId="24672" xr:uid="{73931F27-2022-41AF-AC0B-7C7432431C0A}"/>
    <cellStyle name="Normal GHG Textfiels Bold 3 3 3 52" xfId="25382" xr:uid="{60E4AF9D-B861-48E4-A4B4-FA66F0F8F5BA}"/>
    <cellStyle name="Normal GHG Textfiels Bold 3 3 3 53" xfId="25590" xr:uid="{6932008E-1180-4131-AF25-C229FADE8310}"/>
    <cellStyle name="Normal GHG Textfiels Bold 3 3 3 54" xfId="25421" xr:uid="{8DD63F98-6336-440E-8375-5B9B5195CAC3}"/>
    <cellStyle name="Normal GHG Textfiels Bold 3 3 3 55" xfId="26115" xr:uid="{3BA1BDDA-FDBE-4E00-A24C-5C73662F84A5}"/>
    <cellStyle name="Normal GHG Textfiels Bold 3 3 3 56" xfId="26880" xr:uid="{80B92ED8-9747-427A-B972-783756D25C69}"/>
    <cellStyle name="Normal GHG Textfiels Bold 3 3 3 57" xfId="27299" xr:uid="{91D7A2BF-21D8-407C-9FB0-A97D478BBB41}"/>
    <cellStyle name="Normal GHG Textfiels Bold 3 3 3 58" xfId="27196" xr:uid="{661B4D17-4D93-4296-9A53-155C98009FDF}"/>
    <cellStyle name="Normal GHG Textfiels Bold 3 3 3 59" xfId="28422" xr:uid="{18EE7FC1-C131-4C91-92FC-56AD39B947EA}"/>
    <cellStyle name="Normal GHG Textfiels Bold 3 3 3 6" xfId="1914" xr:uid="{7621EC4C-658A-4897-B11B-D1D4CCF8AF91}"/>
    <cellStyle name="Normal GHG Textfiels Bold 3 3 3 60" xfId="28890" xr:uid="{A84F82C8-EC28-4B47-A365-C0A407087555}"/>
    <cellStyle name="Normal GHG Textfiels Bold 3 3 3 61" xfId="29504" xr:uid="{4714BDEC-FF06-4A25-A542-3BFC69C531A0}"/>
    <cellStyle name="Normal GHG Textfiels Bold 3 3 3 62" xfId="29680" xr:uid="{7FAFBE15-82D5-45C5-BD0A-B637B6DEFC31}"/>
    <cellStyle name="Normal GHG Textfiels Bold 3 3 3 63" xfId="30088" xr:uid="{701CA3B1-36B9-4018-B702-BFE7C84209DF}"/>
    <cellStyle name="Normal GHG Textfiels Bold 3 3 3 64" xfId="30502" xr:uid="{194ACEDA-ECA8-4696-9700-176269515DB4}"/>
    <cellStyle name="Normal GHG Textfiels Bold 3 3 3 65" xfId="30964" xr:uid="{06750962-9590-40DF-94C2-677F0C60389D}"/>
    <cellStyle name="Normal GHG Textfiels Bold 3 3 3 66" xfId="31126" xr:uid="{E3AB9262-EFF2-49BA-A13E-87EF2172DDC9}"/>
    <cellStyle name="Normal GHG Textfiels Bold 3 3 3 7" xfId="3348" xr:uid="{3D43659E-BE43-4CA0-9568-7586E1D76623}"/>
    <cellStyle name="Normal GHG Textfiels Bold 3 3 3 8" xfId="3900" xr:uid="{B7DB7D0A-3E30-4053-95CB-0AEF4A6756C0}"/>
    <cellStyle name="Normal GHG Textfiels Bold 3 3 3 9" xfId="4338" xr:uid="{47AE69C9-5BB2-4B01-9BC0-49A493217CBB}"/>
    <cellStyle name="Normal GHG Textfiels Bold 3 3 30" xfId="13887" xr:uid="{05DB1686-FAFB-4BD1-8321-7DCC49523286}"/>
    <cellStyle name="Normal GHG Textfiels Bold 3 3 31" xfId="13943" xr:uid="{CE641704-2959-4F5E-AA91-7418BC5F4039}"/>
    <cellStyle name="Normal GHG Textfiels Bold 3 3 32" xfId="14634" xr:uid="{4C4975DD-5116-4B15-B9D6-B79CEB338C16}"/>
    <cellStyle name="Normal GHG Textfiels Bold 3 3 33" xfId="14382" xr:uid="{070F852B-F1E9-4734-8BA5-60533551FABB}"/>
    <cellStyle name="Normal GHG Textfiels Bold 3 3 34" xfId="15761" xr:uid="{E8A61C17-BE8A-4988-BB21-5D13F6E8E3D8}"/>
    <cellStyle name="Normal GHG Textfiels Bold 3 3 35" xfId="15816" xr:uid="{86C63BCA-B743-4DFD-91C7-812565C05022}"/>
    <cellStyle name="Normal GHG Textfiels Bold 3 3 36" xfId="16410" xr:uid="{504F3389-826C-4AA0-A3FE-C04163359798}"/>
    <cellStyle name="Normal GHG Textfiels Bold 3 3 37" xfId="17042" xr:uid="{97F29C35-8B50-4572-BFD8-1BCB078B5C1D}"/>
    <cellStyle name="Normal GHG Textfiels Bold 3 3 38" xfId="17490" xr:uid="{DF583A33-93E8-441F-9FC3-2B283C667FBE}"/>
    <cellStyle name="Normal GHG Textfiels Bold 3 3 39" xfId="17869" xr:uid="{9A3160DC-237B-4AED-865D-2C6C3A3C4B1B}"/>
    <cellStyle name="Normal GHG Textfiels Bold 3 3 4" xfId="557" xr:uid="{BD53A55F-6ECD-4693-9D6E-18E7F558E0CD}"/>
    <cellStyle name="Normal GHG Textfiels Bold 3 3 4 10" xfId="4226" xr:uid="{A9A56395-00DD-4C8C-AC97-66BAA7EBFE23}"/>
    <cellStyle name="Normal GHG Textfiels Bold 3 3 4 11" xfId="5205" xr:uid="{FF4ED5EB-0405-4F04-85A5-F84582ED3861}"/>
    <cellStyle name="Normal GHG Textfiels Bold 3 3 4 12" xfId="3462" xr:uid="{2BC213DE-73D0-44FF-A437-544AC70EBB87}"/>
    <cellStyle name="Normal GHG Textfiels Bold 3 3 4 13" xfId="5577" xr:uid="{F5CAD5DA-3BE8-4515-AB24-41E3733EA9DD}"/>
    <cellStyle name="Normal GHG Textfiels Bold 3 3 4 14" xfId="6203" xr:uid="{282EC8CB-959B-4F5D-904F-E2904E7F2450}"/>
    <cellStyle name="Normal GHG Textfiels Bold 3 3 4 15" xfId="7277" xr:uid="{5C014052-0A06-4F29-9275-BD1AB41FFAC0}"/>
    <cellStyle name="Normal GHG Textfiels Bold 3 3 4 16" xfId="7877" xr:uid="{F5755951-8587-4D59-BA00-F07CED0957B5}"/>
    <cellStyle name="Normal GHG Textfiels Bold 3 3 4 17" xfId="6846" xr:uid="{CBFA70E9-2B40-4425-829C-7E3E51196809}"/>
    <cellStyle name="Normal GHG Textfiels Bold 3 3 4 18" xfId="8411" xr:uid="{8ACBA018-4BB4-419E-8289-11754E40ADA9}"/>
    <cellStyle name="Normal GHG Textfiels Bold 3 3 4 19" xfId="9491" xr:uid="{529B3E27-E68A-4C05-8B0F-621CD708CFBA}"/>
    <cellStyle name="Normal GHG Textfiels Bold 3 3 4 2" xfId="772" xr:uid="{5C9900FA-D329-40DD-9F1B-83CEA8F9CAE6}"/>
    <cellStyle name="Normal GHG Textfiels Bold 3 3 4 2 10" xfId="5420" xr:uid="{042D9D01-7A43-4D33-89CB-C58D12AAD797}"/>
    <cellStyle name="Normal GHG Textfiels Bold 3 3 4 2 11" xfId="5640" xr:uid="{F8AAF590-78A1-42F6-A8A7-23F4E93B379B}"/>
    <cellStyle name="Normal GHG Textfiels Bold 3 3 4 2 12" xfId="5789" xr:uid="{0AD4AC21-1B48-4838-B992-ED98D81C5F1E}"/>
    <cellStyle name="Normal GHG Textfiels Bold 3 3 4 2 13" xfId="6531" xr:uid="{21F4E7E2-D344-41B7-8C2C-849D3E47B72C}"/>
    <cellStyle name="Normal GHG Textfiels Bold 3 3 4 2 14" xfId="7492" xr:uid="{F5DD235D-D4F8-4212-BFB8-5E302CD3A846}"/>
    <cellStyle name="Normal GHG Textfiels Bold 3 3 4 2 15" xfId="7035" xr:uid="{24031E72-C83E-4228-B434-78B2C5CF27BF}"/>
    <cellStyle name="Normal GHG Textfiels Bold 3 3 4 2 16" xfId="7085" xr:uid="{10678C1F-5A9B-4FB0-B36B-9B3372E062BB}"/>
    <cellStyle name="Normal GHG Textfiels Bold 3 3 4 2 17" xfId="8442" xr:uid="{4900C11F-D4A8-4424-8A96-80B45447FCB8}"/>
    <cellStyle name="Normal GHG Textfiels Bold 3 3 4 2 18" xfId="9706" xr:uid="{8F27401C-36C7-431D-A930-D637AD235EA4}"/>
    <cellStyle name="Normal GHG Textfiels Bold 3 3 4 2 19" xfId="9248" xr:uid="{68E7A297-F46F-4659-AAC0-6B4D60FFCE72}"/>
    <cellStyle name="Normal GHG Textfiels Bold 3 3 4 2 2" xfId="1246" xr:uid="{BD533F69-1BD2-40E9-9C2F-7963BB28E793}"/>
    <cellStyle name="Normal GHG Textfiels Bold 3 3 4 2 20" xfId="10143" xr:uid="{9CCD1AEE-35E9-4CCC-85C9-6CF1516F83DD}"/>
    <cellStyle name="Normal GHG Textfiels Bold 3 3 4 2 21" xfId="9121" xr:uid="{1F2A53BD-8181-42E4-9C30-0AE50630D012}"/>
    <cellStyle name="Normal GHG Textfiels Bold 3 3 4 2 22" xfId="10301" xr:uid="{B4EC2AFC-C707-49DA-8E1B-BE7828E8DEA4}"/>
    <cellStyle name="Normal GHG Textfiels Bold 3 3 4 2 23" xfId="12125" xr:uid="{33F30450-6CE2-41F4-9043-27ECD816AE61}"/>
    <cellStyle name="Normal GHG Textfiels Bold 3 3 4 2 24" xfId="12598" xr:uid="{9CCA005A-3EDA-4BB1-B666-26C164FB777E}"/>
    <cellStyle name="Normal GHG Textfiels Bold 3 3 4 2 25" xfId="13032" xr:uid="{45FEF4D2-6C38-4D95-AB2D-76C061283F6C}"/>
    <cellStyle name="Normal GHG Textfiels Bold 3 3 4 2 26" xfId="13469" xr:uid="{5831B6DC-4362-4457-870A-03C9E4EB83D8}"/>
    <cellStyle name="Normal GHG Textfiels Bold 3 3 4 2 27" xfId="11826" xr:uid="{E6A0E0B6-3B4B-4B53-86DD-D96151F794B0}"/>
    <cellStyle name="Normal GHG Textfiels Bold 3 3 4 2 28" xfId="13647" xr:uid="{B76A9396-0613-45C4-B83A-EFBE2BEC4155}"/>
    <cellStyle name="Normal GHG Textfiels Bold 3 3 4 2 29" xfId="14174" xr:uid="{844C5E3A-7E73-4494-A8C5-958CBB5271FA}"/>
    <cellStyle name="Normal GHG Textfiels Bold 3 3 4 2 3" xfId="1484" xr:uid="{F6D72E4E-6B78-462C-8E92-884DC15EA14E}"/>
    <cellStyle name="Normal GHG Textfiels Bold 3 3 4 2 30" xfId="15267" xr:uid="{292FCE36-5D89-4D66-BE38-F6CE813C0038}"/>
    <cellStyle name="Normal GHG Textfiels Bold 3 3 4 2 31" xfId="14330" xr:uid="{CCC25FD4-99C0-4450-9CE2-2FC38BAEF60E}"/>
    <cellStyle name="Normal GHG Textfiels Bold 3 3 4 2 32" xfId="15703" xr:uid="{5C3E5394-9E8D-4E45-A843-8F0F37160495}"/>
    <cellStyle name="Normal GHG Textfiels Bold 3 3 4 2 33" xfId="16817" xr:uid="{E3F47200-7A69-449B-B5F8-03EFFDF91942}"/>
    <cellStyle name="Normal GHG Textfiels Bold 3 3 4 2 34" xfId="16358" xr:uid="{ADE10F08-AAEC-4016-8268-C54D11C6C6B2}"/>
    <cellStyle name="Normal GHG Textfiels Bold 3 3 4 2 35" xfId="17263" xr:uid="{B9D2DEE8-8633-451B-A4BA-AE31F6776B02}"/>
    <cellStyle name="Normal GHG Textfiels Bold 3 3 4 2 36" xfId="17426" xr:uid="{560CA2CB-36C3-4811-B1C4-956FDE354A97}"/>
    <cellStyle name="Normal GHG Textfiels Bold 3 3 4 2 37" xfId="18635" xr:uid="{35D2B5A8-6FA8-45AA-892A-6879F6AE91F0}"/>
    <cellStyle name="Normal GHG Textfiels Bold 3 3 4 2 38" xfId="17574" xr:uid="{84DA131A-45AF-4C4C-B165-B9879279D0A8}"/>
    <cellStyle name="Normal GHG Textfiels Bold 3 3 4 2 39" xfId="19033" xr:uid="{0C79902B-5E24-4E08-97D3-95E64148CDEA}"/>
    <cellStyle name="Normal GHG Textfiels Bold 3 3 4 2 4" xfId="2594" xr:uid="{2F9FDB51-ACEB-4F46-B7F1-3C96E96E1F03}"/>
    <cellStyle name="Normal GHG Textfiels Bold 3 3 4 2 40" xfId="20154" xr:uid="{BA1FCDAB-3D80-4202-9935-37D8AB82044E}"/>
    <cellStyle name="Normal GHG Textfiels Bold 3 3 4 2 41" xfId="19691" xr:uid="{8138922D-40BF-4293-8266-C71C210F1889}"/>
    <cellStyle name="Normal GHG Textfiels Bold 3 3 4 2 42" xfId="20593" xr:uid="{4948A320-D3E4-467D-8D36-7A2AD3CFA48A}"/>
    <cellStyle name="Normal GHG Textfiels Bold 3 3 4 2 43" xfId="21311" xr:uid="{AD92011E-A57E-42B8-A299-DDD911F0A3A4}"/>
    <cellStyle name="Normal GHG Textfiels Bold 3 3 4 2 44" xfId="20789" xr:uid="{B3E89ADB-19C1-45F1-9100-969313A3D4D4}"/>
    <cellStyle name="Normal GHG Textfiels Bold 3 3 4 2 45" xfId="22074" xr:uid="{46350DF3-E5CF-4FE7-B72E-2060ED85F76B}"/>
    <cellStyle name="Normal GHG Textfiels Bold 3 3 4 2 46" xfId="21051" xr:uid="{B492176C-0984-4EA0-960D-0215510434CC}"/>
    <cellStyle name="Normal GHG Textfiels Bold 3 3 4 2 47" xfId="22865" xr:uid="{687CF197-888D-4B6C-827C-8FF23E8572F4}"/>
    <cellStyle name="Normal GHG Textfiels Bold 3 3 4 2 48" xfId="23243" xr:uid="{D11DF944-9151-4728-B152-77F583A65CBB}"/>
    <cellStyle name="Normal GHG Textfiels Bold 3 3 4 2 49" xfId="23954" xr:uid="{E41B225D-3B33-4F17-9991-C9066316BCB8}"/>
    <cellStyle name="Normal GHG Textfiels Bold 3 3 4 2 5" xfId="2329" xr:uid="{084A679B-610D-4F1E-A015-3861EB092461}"/>
    <cellStyle name="Normal GHG Textfiels Bold 3 3 4 2 50" xfId="24862" xr:uid="{34D432F2-B66A-43AF-AF50-EEEED0E3ADB4}"/>
    <cellStyle name="Normal GHG Textfiels Bold 3 3 4 2 51" xfId="24402" xr:uid="{66882E86-00A7-45D1-B92F-0A5DC7AB4C81}"/>
    <cellStyle name="Normal GHG Textfiels Bold 3 3 4 2 52" xfId="25778" xr:uid="{519729C3-8FE3-43B4-9243-BD51A9677361}"/>
    <cellStyle name="Normal GHG Textfiels Bold 3 3 4 2 53" xfId="24460" xr:uid="{51DFFBFE-2966-47FA-B3DE-C8E39273C898}"/>
    <cellStyle name="Normal GHG Textfiels Bold 3 3 4 2 54" xfId="25044" xr:uid="{B4758372-C601-4FA5-84A7-A3457B4DE82F}"/>
    <cellStyle name="Normal GHG Textfiels Bold 3 3 4 2 55" xfId="27066" xr:uid="{D5F68CC0-873D-4F95-8B0B-36335D4794C1}"/>
    <cellStyle name="Normal GHG Textfiels Bold 3 3 4 2 56" xfId="27485" xr:uid="{7FA92D81-F768-40AB-9587-7B60A6F9AA60}"/>
    <cellStyle name="Normal GHG Textfiels Bold 3 3 4 2 57" xfId="26010" xr:uid="{341910FC-0F69-4745-9C3B-8A2A198696F9}"/>
    <cellStyle name="Normal GHG Textfiels Bold 3 3 4 2 58" xfId="28612" xr:uid="{28F7E32C-0814-47CD-87F6-8B4F569D8206}"/>
    <cellStyle name="Normal GHG Textfiels Bold 3 3 4 2 59" xfId="29079" xr:uid="{1B7534AB-8792-48D5-B200-0C5110536422}"/>
    <cellStyle name="Normal GHG Textfiels Bold 3 3 4 2 6" xfId="3556" xr:uid="{A1271D60-82BA-4BBD-BBC4-FF7CBFFAC478}"/>
    <cellStyle name="Normal GHG Textfiels Bold 3 3 4 2 60" xfId="28787" xr:uid="{A6C5B272-5944-4FB6-99C5-142CD3553347}"/>
    <cellStyle name="Normal GHG Textfiels Bold 3 3 4 2 61" xfId="29868" xr:uid="{B3CA35B4-F8C8-4EFF-9CC5-380F51D8A92E}"/>
    <cellStyle name="Normal GHG Textfiels Bold 3 3 4 2 62" xfId="30274" xr:uid="{D3CDE637-BA75-422E-99EA-CDE76CE2A4AF}"/>
    <cellStyle name="Normal GHG Textfiels Bold 3 3 4 2 63" xfId="30691" xr:uid="{CC8E7FD0-F8A7-4D4E-A1B5-C8CE86A461AB}"/>
    <cellStyle name="Normal GHG Textfiels Bold 3 3 4 2 64" xfId="29379" xr:uid="{5187B897-8776-4F37-A93D-C178ADA6FBBA}"/>
    <cellStyle name="Normal GHG Textfiels Bold 3 3 4 2 65" xfId="31307" xr:uid="{1936D9C6-ECE6-490C-A06F-B4DCADDE0A6E}"/>
    <cellStyle name="Normal GHG Textfiels Bold 3 3 4 2 7" xfId="4090" xr:uid="{CEA03A88-8F0E-4D19-A5FB-6E3C472EAD42}"/>
    <cellStyle name="Normal GHG Textfiels Bold 3 3 4 2 8" xfId="4527" xr:uid="{ECD103A5-4BFD-4384-8DEB-63A6A88A9821}"/>
    <cellStyle name="Normal GHG Textfiels Bold 3 3 4 2 9" xfId="4018" xr:uid="{699E1AF3-E52C-4907-A531-BA50DE23ECAD}"/>
    <cellStyle name="Normal GHG Textfiels Bold 3 3 4 20" xfId="10091" xr:uid="{86298A28-5564-415E-90CE-630126EAE3EA}"/>
    <cellStyle name="Normal GHG Textfiels Bold 3 3 4 21" xfId="10506" xr:uid="{C3255154-36EB-4BD8-9A23-4413EC51C670}"/>
    <cellStyle name="Normal GHG Textfiels Bold 3 3 4 22" xfId="10215" xr:uid="{D521C68B-A02B-4EAE-A764-0A4257F0CDD8}"/>
    <cellStyle name="Normal GHG Textfiels Bold 3 3 4 23" xfId="10706" xr:uid="{8D414751-018B-4400-B4DE-16C7FDDDA5FA}"/>
    <cellStyle name="Normal GHG Textfiels Bold 3 3 4 24" xfId="11910" xr:uid="{3D1EB38D-85FF-4A58-A29B-467F1D85FFCC}"/>
    <cellStyle name="Normal GHG Textfiels Bold 3 3 4 25" xfId="12383" xr:uid="{66D2F139-B3FA-4103-BF3E-F2C680E403E4}"/>
    <cellStyle name="Normal GHG Textfiels Bold 3 3 4 26" xfId="12817" xr:uid="{834A4A62-25BC-4AFD-8BB8-44F69EB0CA8F}"/>
    <cellStyle name="Normal GHG Textfiels Bold 3 3 4 27" xfId="13254" xr:uid="{67A0ECB8-8266-44C3-850A-1326EBB70ED8}"/>
    <cellStyle name="Normal GHG Textfiels Bold 3 3 4 28" xfId="13730" xr:uid="{F9D25D1F-955F-4A0B-8F67-96D3E76F6192}"/>
    <cellStyle name="Normal GHG Textfiels Bold 3 3 4 29" xfId="11582" xr:uid="{1FE6C01B-2AF7-4E6C-95E9-A5B56E4BEF17}"/>
    <cellStyle name="Normal GHG Textfiels Bold 3 3 4 3" xfId="1040" xr:uid="{3AC89F5E-5129-47ED-A881-519EDA8A387F}"/>
    <cellStyle name="Normal GHG Textfiels Bold 3 3 4 30" xfId="14587" xr:uid="{412C96C6-0413-4452-8975-F599A6ABF841}"/>
    <cellStyle name="Normal GHG Textfiels Bold 3 3 4 31" xfId="15190" xr:uid="{F8CA6B73-15FC-4BBF-900B-C06C4E20981B}"/>
    <cellStyle name="Normal GHG Textfiels Bold 3 3 4 32" xfId="15738" xr:uid="{9E26BA52-956C-4122-A4F3-477C6878F8B5}"/>
    <cellStyle name="Normal GHG Textfiels Bold 3 3 4 33" xfId="15903" xr:uid="{010B2BAA-83CD-4E6C-A9C4-8BB4A5A0209B}"/>
    <cellStyle name="Normal GHG Textfiels Bold 3 3 4 34" xfId="16602" xr:uid="{1003ACA6-B136-4F61-9BB1-B453D08A5C90}"/>
    <cellStyle name="Normal GHG Textfiels Bold 3 3 4 35" xfId="17209" xr:uid="{47C673C3-4FB9-49D8-AC04-F6DB935BDC62}"/>
    <cellStyle name="Normal GHG Textfiels Bold 3 3 4 36" xfId="17655" xr:uid="{767845D2-FDFE-4C53-90A1-609D755A28E6}"/>
    <cellStyle name="Normal GHG Textfiels Bold 3 3 4 37" xfId="17630" xr:uid="{5484BBB6-50D1-4BD6-A1C1-836B5EC46602}"/>
    <cellStyle name="Normal GHG Textfiels Bold 3 3 4 38" xfId="18420" xr:uid="{AE4A4638-6DE2-493C-B0E5-D2CAFBF08B2D}"/>
    <cellStyle name="Normal GHG Textfiels Bold 3 3 4 39" xfId="18810" xr:uid="{4E068FDB-0950-4E70-BBC7-B39423A4CC66}"/>
    <cellStyle name="Normal GHG Textfiels Bold 3 3 4 4" xfId="1651" xr:uid="{A652D4B4-5676-4495-816F-6101B1758F52}"/>
    <cellStyle name="Normal GHG Textfiels Bold 3 3 4 40" xfId="18887" xr:uid="{5D938DA4-946A-4A98-9383-3A33E1E27895}"/>
    <cellStyle name="Normal GHG Textfiels Bold 3 3 4 41" xfId="19939" xr:uid="{91E5EDDB-D8D1-4CF7-BCB2-F1E5D319B972}"/>
    <cellStyle name="Normal GHG Textfiels Bold 3 3 4 42" xfId="20562" xr:uid="{A8B7B8CF-0EE4-40D8-8382-B38DCECF0141}"/>
    <cellStyle name="Normal GHG Textfiels Bold 3 3 4 43" xfId="21015" xr:uid="{32F6930A-7640-4C95-9597-C60D64682328}"/>
    <cellStyle name="Normal GHG Textfiels Bold 3 3 4 44" xfId="21448" xr:uid="{72340A48-1D61-4B6B-92F2-E1EF3B86454D}"/>
    <cellStyle name="Normal GHG Textfiels Bold 3 3 4 45" xfId="21946" xr:uid="{DFD69D3E-DC9E-48B9-A9E7-599068002AD8}"/>
    <cellStyle name="Normal GHG Textfiels Bold 3 3 4 46" xfId="22378" xr:uid="{B62AA232-A5D7-415C-9EA4-BDC4EB2D32E1}"/>
    <cellStyle name="Normal GHG Textfiels Bold 3 3 4 47" xfId="22726" xr:uid="{E9B4292E-8E8E-4AD6-9769-41551C29B20A}"/>
    <cellStyle name="Normal GHG Textfiels Bold 3 3 4 48" xfId="23083" xr:uid="{96AA6761-6A4E-470F-9548-1E9610D8F785}"/>
    <cellStyle name="Normal GHG Textfiels Bold 3 3 4 49" xfId="23387" xr:uid="{5C5CA642-04B8-46A3-992F-CC2D203A6BB3}"/>
    <cellStyle name="Normal GHG Textfiels Bold 3 3 4 5" xfId="2379" xr:uid="{0D9807F2-C02E-47A9-9E64-7BB672920A14}"/>
    <cellStyle name="Normal GHG Textfiels Bold 3 3 4 50" xfId="23748" xr:uid="{75466C5C-B345-4535-A422-4BD41C06FA69}"/>
    <cellStyle name="Normal GHG Textfiels Bold 3 3 4 51" xfId="24647" xr:uid="{DE944321-6A59-46D3-9B38-A75CECE2ACE8}"/>
    <cellStyle name="Normal GHG Textfiels Bold 3 3 4 52" xfId="25270" xr:uid="{5CB03D27-EBEA-42BC-863D-6D8425700667}"/>
    <cellStyle name="Normal GHG Textfiels Bold 3 3 4 53" xfId="25565" xr:uid="{079CDF33-D539-419B-8164-56ADFD650DFD}"/>
    <cellStyle name="Normal GHG Textfiels Bold 3 3 4 54" xfId="26030" xr:uid="{E0A9EC71-7099-40A9-B939-D921D8BEECFA}"/>
    <cellStyle name="Normal GHG Textfiels Bold 3 3 4 55" xfId="25132" xr:uid="{B08FF910-EF79-44BF-8890-5D45DFDACB1E}"/>
    <cellStyle name="Normal GHG Textfiels Bold 3 3 4 56" xfId="26855" xr:uid="{E1EBDE68-8724-4EB8-B7DB-C07FE90593A6}"/>
    <cellStyle name="Normal GHG Textfiels Bold 3 3 4 57" xfId="27274" xr:uid="{9DD8EB72-D52E-445E-9177-C13A037B4005}"/>
    <cellStyle name="Normal GHG Textfiels Bold 3 3 4 58" xfId="26786" xr:uid="{B75C840A-78C1-45B1-88E2-988BA266093C}"/>
    <cellStyle name="Normal GHG Textfiels Bold 3 3 4 59" xfId="28397" xr:uid="{EE13313E-DD0D-422E-97DB-483DA1FA35A3}"/>
    <cellStyle name="Normal GHG Textfiels Bold 3 3 4 6" xfId="2895" xr:uid="{15004994-11C4-4E34-A8E0-1BF26E249C5A}"/>
    <cellStyle name="Normal GHG Textfiels Bold 3 3 4 60" xfId="28865" xr:uid="{ACC554D1-3EC8-4B06-A69A-B202A50C81FE}"/>
    <cellStyle name="Normal GHG Textfiels Bold 3 3 4 61" xfId="29400" xr:uid="{61F7522C-4157-4916-B5EF-9CF2D68C0EE8}"/>
    <cellStyle name="Normal GHG Textfiels Bold 3 3 4 62" xfId="29655" xr:uid="{E02AC034-CD80-4FE0-85B8-13FBC3E4D812}"/>
    <cellStyle name="Normal GHG Textfiels Bold 3 3 4 63" xfId="30063" xr:uid="{5B2B7893-D7B9-415E-ACE3-EE29B6E5DF7F}"/>
    <cellStyle name="Normal GHG Textfiels Bold 3 3 4 64" xfId="30477" xr:uid="{93FD1E58-BD00-4D26-85D2-D54D38CE9AE4}"/>
    <cellStyle name="Normal GHG Textfiels Bold 3 3 4 65" xfId="30832" xr:uid="{60754043-993C-44B7-89D2-CEB61CE9B1D4}"/>
    <cellStyle name="Normal GHG Textfiels Bold 3 3 4 66" xfId="31101" xr:uid="{EB37A0DC-70A6-4355-B19B-C80583014258}"/>
    <cellStyle name="Normal GHG Textfiels Bold 3 3 4 7" xfId="3528" xr:uid="{E70AD496-E792-436B-B03E-28962E0F3B34}"/>
    <cellStyle name="Normal GHG Textfiels Bold 3 3 4 8" xfId="3875" xr:uid="{417DCEE0-E7D6-4A1D-A1D4-983E16FDB7F4}"/>
    <cellStyle name="Normal GHG Textfiels Bold 3 3 4 9" xfId="4313" xr:uid="{1BFC422F-E70C-4A3E-B419-188C47CC2E7B}"/>
    <cellStyle name="Normal GHG Textfiels Bold 3 3 40" xfId="18231" xr:uid="{1E67F405-9CFD-41EF-8EE0-36254A7D6253}"/>
    <cellStyle name="Normal GHG Textfiels Bold 3 3 41" xfId="17497" xr:uid="{104F7FB5-3D04-4466-8AC1-FB7FFC2406C3}"/>
    <cellStyle name="Normal GHG Textfiels Bold 3 3 42" xfId="19290" xr:uid="{0F27EA55-54B0-4AE5-9BA3-290C35471D88}"/>
    <cellStyle name="Normal GHG Textfiels Bold 3 3 43" xfId="19745" xr:uid="{5AFF83A5-4F06-4BF1-BA20-1230495963B8}"/>
    <cellStyle name="Normal GHG Textfiels Bold 3 3 44" xfId="20394" xr:uid="{EF2E805E-8622-46CA-9250-DC69EC7A16F0}"/>
    <cellStyle name="Normal GHG Textfiels Bold 3 3 45" xfId="20847" xr:uid="{E623A27E-46FD-465F-9147-238A215CEE20}"/>
    <cellStyle name="Normal GHG Textfiels Bold 3 3 46" xfId="20932" xr:uid="{D0DAA2A4-2E0B-491A-8111-0497F4951CB2}"/>
    <cellStyle name="Normal GHG Textfiels Bold 3 3 47" xfId="21780" xr:uid="{FF4ABB41-1DF4-490D-BEB1-3E9F17034FCF}"/>
    <cellStyle name="Normal GHG Textfiels Bold 3 3 48" xfId="22217" xr:uid="{6A5A2966-5C73-4BCC-9542-2A0C31002E5F}"/>
    <cellStyle name="Normal GHG Textfiels Bold 3 3 49" xfId="22867" xr:uid="{AA24952C-8F6A-4479-A379-37ED7B20F2CD}"/>
    <cellStyle name="Normal GHG Textfiels Bold 3 3 5" xfId="976" xr:uid="{4423D474-DCD4-4E3B-9E89-E42108F7AAFC}"/>
    <cellStyle name="Normal GHG Textfiels Bold 3 3 50" xfId="21666" xr:uid="{9D0C3E03-81C6-4A9B-B26A-4AC37B35F340}"/>
    <cellStyle name="Normal GHG Textfiels Bold 3 3 51" xfId="23594" xr:uid="{A6837196-8837-42D6-BBD4-C012297A60C0}"/>
    <cellStyle name="Normal GHG Textfiels Bold 3 3 52" xfId="23451" xr:uid="{A1D4933E-59E1-4E04-89CA-F8613B4775E9}"/>
    <cellStyle name="Normal GHG Textfiels Bold 3 3 53" xfId="24459" xr:uid="{8FF9BF5F-17F8-442F-B671-A0A74A51A243}"/>
    <cellStyle name="Normal GHG Textfiels Bold 3 3 54" xfId="25104" xr:uid="{8210324E-5960-4D9F-B433-69E75F1AC206}"/>
    <cellStyle name="Normal GHG Textfiels Bold 3 3 55" xfId="24259" xr:uid="{FD428DDE-3FA5-49B8-962F-E321E6DFFC10}"/>
    <cellStyle name="Normal GHG Textfiels Bold 3 3 56" xfId="26173" xr:uid="{71A3A699-A70D-4D44-9059-F0E142274FE3}"/>
    <cellStyle name="Normal GHG Textfiels Bold 3 3 57" xfId="26298" xr:uid="{B3455977-AD2C-4E7A-ACCD-B0D07AB91E41}"/>
    <cellStyle name="Normal GHG Textfiels Bold 3 3 58" xfId="26275" xr:uid="{E6A0AADB-F2B3-46B6-9DA6-2500E4C36392}"/>
    <cellStyle name="Normal GHG Textfiels Bold 3 3 59" xfId="26432" xr:uid="{5A82F758-2D4D-4A2B-9C51-6DC69B871BBB}"/>
    <cellStyle name="Normal GHG Textfiels Bold 3 3 6" xfId="1498" xr:uid="{C24AA3F4-B88A-422E-B601-1B6806E161C3}"/>
    <cellStyle name="Normal GHG Textfiels Bold 3 3 60" xfId="27187" xr:uid="{E13FD23B-41E4-4129-AD0A-277820D32DD4}"/>
    <cellStyle name="Normal GHG Textfiels Bold 3 3 61" xfId="28224" xr:uid="{923B9DC9-41D0-4425-81A0-24A374E038EC}"/>
    <cellStyle name="Normal GHG Textfiels Bold 3 3 62" xfId="27989" xr:uid="{808100AF-5F27-4DCE-BE4B-610376892CB7}"/>
    <cellStyle name="Normal GHG Textfiels Bold 3 3 63" xfId="29258" xr:uid="{5439C9C3-16BE-4FA0-8763-004ABE6872C1}"/>
    <cellStyle name="Normal GHG Textfiels Bold 3 3 64" xfId="28103" xr:uid="{B6909875-2135-4FF8-9D83-767467C14FEE}"/>
    <cellStyle name="Normal GHG Textfiels Bold 3 3 65" xfId="29397" xr:uid="{F4B9FE4A-012B-40F3-BAFD-8FCD4D16605B}"/>
    <cellStyle name="Normal GHG Textfiels Bold 3 3 66" xfId="29584" xr:uid="{386892CF-BDAC-4D7F-86DB-384321F6BA26}"/>
    <cellStyle name="Normal GHG Textfiels Bold 3 3 67" xfId="30908" xr:uid="{40C33F2D-7EC7-4959-A690-A0A82C67F736}"/>
    <cellStyle name="Normal GHG Textfiels Bold 3 3 68" xfId="29512" xr:uid="{0754DC5C-4B70-4720-8F0E-3E5B63AD7A08}"/>
    <cellStyle name="Normal GHG Textfiels Bold 3 3 7" xfId="2184" xr:uid="{7EF3D6B8-9254-467B-B687-BD65975DCA3F}"/>
    <cellStyle name="Normal GHG Textfiels Bold 3 3 8" xfId="3055" xr:uid="{AAEDF209-D71A-4FF6-970D-E65350244605}"/>
    <cellStyle name="Normal GHG Textfiels Bold 3 3 9" xfId="1956" xr:uid="{6B38FFA0-7BE7-4CCD-B580-9E83D39D515D}"/>
    <cellStyle name="Normal GHG whole table" xfId="14" xr:uid="{82141728-672B-4828-B548-4FCDF5C4AB8B}"/>
    <cellStyle name="Normal GHG whole table 2" xfId="432" xr:uid="{8E79ABDF-C63C-4919-A33D-ADE298937789}"/>
    <cellStyle name="Normal GHG whole table 2 2" xfId="578" xr:uid="{75277C09-9F22-4119-A22B-15A12883B7B3}"/>
    <cellStyle name="Normal GHG whole table 2 2 10" xfId="4969" xr:uid="{B9F13F7A-4C6E-498C-978F-9130C3272833}"/>
    <cellStyle name="Normal GHG whole table 2 2 11" xfId="5226" xr:uid="{E19E732F-2001-4C82-A83D-CC6F8EDCFB1E}"/>
    <cellStyle name="Normal GHG whole table 2 2 12" xfId="5946" xr:uid="{9D1FC08F-8841-4F2F-ACB7-A1B204861517}"/>
    <cellStyle name="Normal GHG whole table 2 2 13" xfId="4831" xr:uid="{FF358902-41C3-4158-8B10-C6A3D0957A0E}"/>
    <cellStyle name="Normal GHG whole table 2 2 14" xfId="6700" xr:uid="{5EEC682A-91BD-4D59-AAA7-85285DF90DEC}"/>
    <cellStyle name="Normal GHG whole table 2 2 15" xfId="7298" xr:uid="{A7116B97-B4C3-4831-8B69-09E7B0849865}"/>
    <cellStyle name="Normal GHG whole table 2 2 16" xfId="8040" xr:uid="{4FED5240-05CA-4660-8297-E4591F2F5C5C}"/>
    <cellStyle name="Normal GHG whole table 2 2 17" xfId="8478" xr:uid="{9EF19614-18D4-44E3-94C6-9D24A0C8F84E}"/>
    <cellStyle name="Normal GHG whole table 2 2 18" xfId="8913" xr:uid="{1E1AA1E9-038F-44F6-8EDF-081713505C04}"/>
    <cellStyle name="Normal GHG whole table 2 2 19" xfId="9512" xr:uid="{E78B0AEA-21C9-49F4-989A-01A67D63E7A0}"/>
    <cellStyle name="Normal GHG whole table 2 2 2" xfId="793" xr:uid="{52692CF0-C88E-4FFD-9359-306D78E31704}"/>
    <cellStyle name="Normal GHG whole table 2 2 2 10" xfId="5441" xr:uid="{5DB511CE-A80B-47CA-B6D0-A5FF051570C3}"/>
    <cellStyle name="Normal GHG whole table 2 2 2 11" xfId="6002" xr:uid="{169EE55A-1A2E-4118-A701-D9361E2BD768}"/>
    <cellStyle name="Normal GHG whole table 2 2 2 12" xfId="6364" xr:uid="{9FAC75AF-0F1C-41E9-A618-97E495D2935D}"/>
    <cellStyle name="Normal GHG whole table 2 2 2 13" xfId="6704" xr:uid="{B3CE33F0-C7D7-4E8C-8A45-48E9489D85C4}"/>
    <cellStyle name="Normal GHG whole table 2 2 2 14" xfId="7513" xr:uid="{BC9DD721-C778-4D14-945E-FC12FB5F248F}"/>
    <cellStyle name="Normal GHG whole table 2 2 2 15" xfId="8044" xr:uid="{B5EC7F4C-0255-4C68-B44D-197C937EB20C}"/>
    <cellStyle name="Normal GHG whole table 2 2 2 16" xfId="8079" xr:uid="{9955BDCF-E333-4EB5-BBEE-6783F78746C9}"/>
    <cellStyle name="Normal GHG whole table 2 2 2 17" xfId="8917" xr:uid="{A64B085D-DF63-4262-A379-38A97090F8BD}"/>
    <cellStyle name="Normal GHG whole table 2 2 2 18" xfId="9727" xr:uid="{2BBAE3A0-4F3F-4984-AB6C-3612A689F374}"/>
    <cellStyle name="Normal GHG whole table 2 2 2 19" xfId="10263" xr:uid="{47256086-6773-453F-A8F0-425E0B1B4D87}"/>
    <cellStyle name="Normal GHG whole table 2 2 2 2" xfId="1267" xr:uid="{4EFB4BC3-136B-4CEF-B7BD-DFB0B92C60F4}"/>
    <cellStyle name="Normal GHG whole table 2 2 2 20" xfId="10656" xr:uid="{355DAB77-E0FD-46FA-AB4D-317771DE7206}"/>
    <cellStyle name="Normal GHG whole table 2 2 2 21" xfId="11009" xr:uid="{065F5252-F7D3-47B2-9326-4CAB85D0FC1B}"/>
    <cellStyle name="Normal GHG whole table 2 2 2 22" xfId="11321" xr:uid="{79C3D3E5-8A6C-4F8B-B264-E0F155768265}"/>
    <cellStyle name="Normal GHG whole table 2 2 2 23" xfId="12146" xr:uid="{347EC8CC-9E72-4774-B081-3A8A501A5CA1}"/>
    <cellStyle name="Normal GHG whole table 2 2 2 24" xfId="12619" xr:uid="{92D7C3A4-8E4D-4AE9-976C-DF01F48FBEFE}"/>
    <cellStyle name="Normal GHG whole table 2 2 2 25" xfId="13053" xr:uid="{5FFF5ED6-3140-4327-AB1C-E8776BA25479}"/>
    <cellStyle name="Normal GHG whole table 2 2 2 26" xfId="13490" xr:uid="{CCD0E845-AC84-43BA-8551-7643FD2C8814}"/>
    <cellStyle name="Normal GHG whole table 2 2 2 27" xfId="14028" xr:uid="{3B27A6C7-0087-40FC-9CE2-D964C4330267}"/>
    <cellStyle name="Normal GHG whole table 2 2 2 28" xfId="13646" xr:uid="{B841A2E6-C642-4CAD-9150-9A52C27168B5}"/>
    <cellStyle name="Normal GHG whole table 2 2 2 29" xfId="14909" xr:uid="{F8F24A51-1930-43A5-B211-A2EDFDA9AA97}"/>
    <cellStyle name="Normal GHG whole table 2 2 2 3" xfId="1558" xr:uid="{ABCB5B82-E7D0-4E7B-8159-CE0A1F3EF82F}"/>
    <cellStyle name="Normal GHG whole table 2 2 2 30" xfId="15380" xr:uid="{96AA7EAE-9A98-4719-B31F-0DC45278BE95}"/>
    <cellStyle name="Normal GHG whole table 2 2 2 31" xfId="15772" xr:uid="{A9CABB6F-E705-4D8D-9E24-C8918101493F}"/>
    <cellStyle name="Normal GHG whole table 2 2 2 32" xfId="15997" xr:uid="{BCA12297-B0F3-401A-84CF-F0F0CE4247ED}"/>
    <cellStyle name="Normal GHG whole table 2 2 2 33" xfId="16838" xr:uid="{32679CC8-9531-4267-8519-1D7A2D34556A}"/>
    <cellStyle name="Normal GHG whole table 2 2 2 34" xfId="17385" xr:uid="{9761FCC6-4909-4BC3-89A6-BFBBD08812D7}"/>
    <cellStyle name="Normal GHG whole table 2 2 2 35" xfId="17827" xr:uid="{EBA217AD-C3D5-4522-B62F-FE25BE185342}"/>
    <cellStyle name="Normal GHG whole table 2 2 2 36" xfId="18303" xr:uid="{3F89C4FE-05F0-4208-8485-F460223527CB}"/>
    <cellStyle name="Normal GHG whole table 2 2 2 37" xfId="18656" xr:uid="{EC7AF3B0-5961-4CAA-AF43-59CFB54BBF41}"/>
    <cellStyle name="Normal GHG whole table 2 2 2 38" xfId="19114" xr:uid="{AF2DAFD5-95E1-4022-A1A1-FF92582C741D}"/>
    <cellStyle name="Normal GHG whole table 2 2 2 39" xfId="19346" xr:uid="{69059E81-F25A-4DBD-89EE-01C9342C58CE}"/>
    <cellStyle name="Normal GHG whole table 2 2 2 4" xfId="2615" xr:uid="{739D4ADE-0603-4644-80FE-4B49DC638836}"/>
    <cellStyle name="Normal GHG whole table 2 2 2 40" xfId="20175" xr:uid="{5BAACA10-1AB7-4A13-980F-9E41CAFF8126}"/>
    <cellStyle name="Normal GHG whole table 2 2 2 41" xfId="20734" xr:uid="{6D46B27C-9D46-4963-AB49-5550E1FF80FB}"/>
    <cellStyle name="Normal GHG whole table 2 2 2 42" xfId="21193" xr:uid="{A040AF48-A3F4-40FB-98D0-DCB24E63DEE3}"/>
    <cellStyle name="Normal GHG whole table 2 2 2 43" xfId="21685" xr:uid="{45026C80-E78A-47F1-ABA8-69B4A2349BB6}"/>
    <cellStyle name="Normal GHG whole table 2 2 2 44" xfId="22124" xr:uid="{C650B841-EC92-4486-B980-1244772B9588}"/>
    <cellStyle name="Normal GHG whole table 2 2 2 45" xfId="22551" xr:uid="{F3A86257-C84E-401F-8E42-B4EAB229896A}"/>
    <cellStyle name="Normal GHG whole table 2 2 2 46" xfId="22997" xr:uid="{196BF37C-7E1B-43A9-9C32-BDE03826473B}"/>
    <cellStyle name="Normal GHG whole table 2 2 2 47" xfId="23401" xr:uid="{6E844F59-E304-4765-818B-B5515187950E}"/>
    <cellStyle name="Normal GHG whole table 2 2 2 48" xfId="23667" xr:uid="{E90F3898-8C85-41B8-94F4-4285CE49A5C2}"/>
    <cellStyle name="Normal GHG whole table 2 2 2 49" xfId="23975" xr:uid="{1708243E-7166-4ECA-BF52-D25C8E3A642F}"/>
    <cellStyle name="Normal GHG whole table 2 2 2 5" xfId="3201" xr:uid="{338C5B65-ACD4-40D1-B27A-441A3EB2D6EC}"/>
    <cellStyle name="Normal GHG whole table 2 2 2 50" xfId="24883" xr:uid="{978C0C32-4AF8-43DB-B6DF-96CA742E49B6}"/>
    <cellStyle name="Normal GHG whole table 2 2 2 51" xfId="25439" xr:uid="{58332EAE-752F-4E04-A6D9-411B80C93A88}"/>
    <cellStyle name="Normal GHG whole table 2 2 2 52" xfId="25799" xr:uid="{D5810A95-FB28-40E4-A9D6-D20378360CCB}"/>
    <cellStyle name="Normal GHG whole table 2 2 2 53" xfId="26305" xr:uid="{5D7F5BB5-A835-4F07-A034-958742D2BA1F}"/>
    <cellStyle name="Normal GHG whole table 2 2 2 54" xfId="26512" xr:uid="{47D9EA0C-9497-4D7E-8BAF-42681728FB5E}"/>
    <cellStyle name="Normal GHG whole table 2 2 2 55" xfId="27087" xr:uid="{81E73393-C7D3-4A5C-A990-31262F1FDFAE}"/>
    <cellStyle name="Normal GHG whole table 2 2 2 56" xfId="27506" xr:uid="{F48707EA-555A-4FF0-B10F-6DCD05C67E74}"/>
    <cellStyle name="Normal GHG whole table 2 2 2 57" xfId="26387" xr:uid="{0DFBB466-29AA-4B96-8D22-CB1BF701ADA9}"/>
    <cellStyle name="Normal GHG whole table 2 2 2 58" xfId="28633" xr:uid="{67FBEE7B-3B96-4753-AB50-D2830B00DD24}"/>
    <cellStyle name="Normal GHG whole table 2 2 2 59" xfId="29100" xr:uid="{EA791999-AFC2-4508-A715-ABC9F8B1245C}"/>
    <cellStyle name="Normal GHG whole table 2 2 2 6" xfId="3500" xr:uid="{48A5FDB9-E41F-4555-A9EF-2B5E8FD1B6B8}"/>
    <cellStyle name="Normal GHG whole table 2 2 2 60" xfId="29548" xr:uid="{5EB45E9A-90A8-48E8-BF62-CE79C9508457}"/>
    <cellStyle name="Normal GHG whole table 2 2 2 61" xfId="29889" xr:uid="{540E6DAD-A1D4-41D2-8FC5-AE936253C03D}"/>
    <cellStyle name="Normal GHG whole table 2 2 2 62" xfId="30295" xr:uid="{C0B6B6A0-E9C8-49BC-BD14-3E4F79A3604A}"/>
    <cellStyle name="Normal GHG whole table 2 2 2 63" xfId="30712" xr:uid="{A832E82B-DCA6-4292-8188-D506032FF70D}"/>
    <cellStyle name="Normal GHG whole table 2 2 2 64" xfId="29415" xr:uid="{C31B1801-13DE-487C-8571-203F74DD45E0}"/>
    <cellStyle name="Normal GHG whole table 2 2 2 65" xfId="31328" xr:uid="{8DEBE209-509E-4371-97BA-05E9AE8C1C9F}"/>
    <cellStyle name="Normal GHG whole table 2 2 2 7" xfId="4111" xr:uid="{43BC0019-97E2-4D09-9AA9-FC0DF304ED72}"/>
    <cellStyle name="Normal GHG whole table 2 2 2 8" xfId="4548" xr:uid="{BD7A511F-AA05-4A8F-933F-86247A660214}"/>
    <cellStyle name="Normal GHG whole table 2 2 2 9" xfId="2278" xr:uid="{7D3D6506-4181-4A42-B72F-1B97231D6D8D}"/>
    <cellStyle name="Normal GHG whole table 2 2 20" xfId="10259" xr:uid="{17967AE2-151F-4A07-B734-F92E97C9FFD3}"/>
    <cellStyle name="Normal GHG whole table 2 2 21" xfId="10652" xr:uid="{85A02C3B-5079-4D1D-90BA-BB8C6338CF7A}"/>
    <cellStyle name="Normal GHG whole table 2 2 22" xfId="11005" xr:uid="{7137099C-BD6F-4596-A744-F3AF7DA467BE}"/>
    <cellStyle name="Normal GHG whole table 2 2 23" xfId="11317" xr:uid="{4C55AB75-8FAC-4B8D-95A7-EE1A85B1800B}"/>
    <cellStyle name="Normal GHG whole table 2 2 24" xfId="11931" xr:uid="{87C511C2-7A0F-4DBD-BF5E-56DD66EF19E1}"/>
    <cellStyle name="Normal GHG whole table 2 2 25" xfId="12404" xr:uid="{91F506CE-392C-42DE-94E1-A82D561CD373}"/>
    <cellStyle name="Normal GHG whole table 2 2 26" xfId="12838" xr:uid="{D50F2138-D308-41C5-A877-135514F5F036}"/>
    <cellStyle name="Normal GHG whole table 2 2 27" xfId="13275" xr:uid="{326D1C43-00C4-47BF-9D55-B62343AB785E}"/>
    <cellStyle name="Normal GHG whole table 2 2 28" xfId="14024" xr:uid="{226A0175-6A44-41C8-9556-450C3C5ABEDD}"/>
    <cellStyle name="Normal GHG whole table 2 2 29" xfId="14184" xr:uid="{84E6B9BD-0CC9-46F8-AB11-428052CD7CA2}"/>
    <cellStyle name="Normal GHG whole table 2 2 3" xfId="1061" xr:uid="{810A587E-FBD2-45A9-BB04-A279132498F5}"/>
    <cellStyle name="Normal GHG whole table 2 2 30" xfId="14886" xr:uid="{D176D9CB-B2E3-4B0D-ABDD-EDE1AA5D3443}"/>
    <cellStyle name="Normal GHG whole table 2 2 31" xfId="14952" xr:uid="{5D678632-9609-42EA-B3E3-5ABB2209CA67}"/>
    <cellStyle name="Normal GHG whole table 2 2 32" xfId="15768" xr:uid="{371AF998-6626-494E-AF19-63C268D666A6}"/>
    <cellStyle name="Normal GHG whole table 2 2 33" xfId="15993" xr:uid="{438B56B6-C4CC-4F2D-B1C2-03D94D00D2F7}"/>
    <cellStyle name="Normal GHG whole table 2 2 34" xfId="16623" xr:uid="{32F20D10-1DF3-4D7E-80BA-DFED47046448}"/>
    <cellStyle name="Normal GHG whole table 2 2 35" xfId="17381" xr:uid="{F1FFB1FB-F9AC-416F-80BC-8C0E6B6DB64B}"/>
    <cellStyle name="Normal GHG whole table 2 2 36" xfId="17823" xr:uid="{F365208F-CE95-49DA-84ED-19A4C56B9871}"/>
    <cellStyle name="Normal GHG whole table 2 2 37" xfId="18299" xr:uid="{31330260-49CC-4F1B-902F-03B960C2AD92}"/>
    <cellStyle name="Normal GHG whole table 2 2 38" xfId="18441" xr:uid="{96C0F94B-F4E4-4780-AB09-D6A2002DF64B}"/>
    <cellStyle name="Normal GHG whole table 2 2 39" xfId="19110" xr:uid="{35E33912-7232-4A37-A62B-9D89628E8649}"/>
    <cellStyle name="Normal GHG whole table 2 2 4" xfId="1414" xr:uid="{F276557A-E7D4-4563-8572-F4C1ED78F40E}"/>
    <cellStyle name="Normal GHG whole table 2 2 40" xfId="19342" xr:uid="{E2B6A884-D803-4E4C-A0DB-75071C9C53A5}"/>
    <cellStyle name="Normal GHG whole table 2 2 41" xfId="19960" xr:uid="{34B92069-50C9-4A66-8D0B-3038136A2F71}"/>
    <cellStyle name="Normal GHG whole table 2 2 42" xfId="20730" xr:uid="{660A4F79-F90B-40A1-B6CA-F89CF9652D84}"/>
    <cellStyle name="Normal GHG whole table 2 2 43" xfId="21189" xr:uid="{18E43C7A-F2A2-4781-9CD0-9AE926F5B868}"/>
    <cellStyle name="Normal GHG whole table 2 2 44" xfId="21681" xr:uid="{A4AF798F-FF0A-4DC8-8A9B-87935225F31E}"/>
    <cellStyle name="Normal GHG whole table 2 2 45" xfId="22120" xr:uid="{B56A803D-E481-4858-AE6B-4DD9DAA7CF11}"/>
    <cellStyle name="Normal GHG whole table 2 2 46" xfId="22547" xr:uid="{46C07D3C-C7C8-41AF-80C2-CBFFE6F188A8}"/>
    <cellStyle name="Normal GHG whole table 2 2 47" xfId="22993" xr:uid="{16EA50BA-86E0-4328-AF81-1FFEEB9BF3CD}"/>
    <cellStyle name="Normal GHG whole table 2 2 48" xfId="23397" xr:uid="{1E391109-8A06-4BBF-8C5E-D1E79AD65CBC}"/>
    <cellStyle name="Normal GHG whole table 2 2 49" xfId="23663" xr:uid="{996EBC43-C2C4-48C2-81B9-E7A1EB684651}"/>
    <cellStyle name="Normal GHG whole table 2 2 5" xfId="2400" xr:uid="{21DF6FFD-DEFB-4E93-8448-40A3B3563AAA}"/>
    <cellStyle name="Normal GHG whole table 2 2 50" xfId="23769" xr:uid="{3160101E-A629-4328-A5EB-472AD8F0D9F8}"/>
    <cellStyle name="Normal GHG whole table 2 2 51" xfId="24668" xr:uid="{B037D750-733C-406B-9E2E-54D5C322C7E4}"/>
    <cellStyle name="Normal GHG whole table 2 2 52" xfId="25435" xr:uid="{59F61419-5F0C-40E5-A0DC-29AFD2C77DE7}"/>
    <cellStyle name="Normal GHG whole table 2 2 53" xfId="25586" xr:uid="{7A9C8F3F-126D-43F5-99A4-27B966CD8CF3}"/>
    <cellStyle name="Normal GHG whole table 2 2 54" xfId="26301" xr:uid="{BDE267A2-BCE9-445A-9130-B9B6F829ECFA}"/>
    <cellStyle name="Normal GHG whole table 2 2 55" xfId="24203" xr:uid="{2EA9A408-1065-4092-9189-0F0FA0AE93FC}"/>
    <cellStyle name="Normal GHG whole table 2 2 56" xfId="26876" xr:uid="{4D9D11D2-5EE3-4347-9BA9-1C38ECBA974D}"/>
    <cellStyle name="Normal GHG whole table 2 2 57" xfId="27295" xr:uid="{76B315E8-1142-48FB-B395-3003451603BB}"/>
    <cellStyle name="Normal GHG whole table 2 2 58" xfId="26255" xr:uid="{8C29136D-0B55-486B-B8B2-830CC9DFDB59}"/>
    <cellStyle name="Normal GHG whole table 2 2 59" xfId="28418" xr:uid="{CBB7D365-ACC8-4251-B56F-6E881A228B5A}"/>
    <cellStyle name="Normal GHG whole table 2 2 6" xfId="3197" xr:uid="{A17186DB-9706-4AB8-8181-EE1AB8486253}"/>
    <cellStyle name="Normal GHG whole table 2 2 60" xfId="28886" xr:uid="{23AFC96A-FF12-46B4-B3B3-CAD578338D39}"/>
    <cellStyle name="Normal GHG whole table 2 2 61" xfId="29544" xr:uid="{A0298FA8-8BE1-4C98-BB2D-623311934C2B}"/>
    <cellStyle name="Normal GHG whole table 2 2 62" xfId="29676" xr:uid="{E4342A56-DCDB-4B58-8EC4-234E09824FB5}"/>
    <cellStyle name="Normal GHG whole table 2 2 63" xfId="30084" xr:uid="{0C48D1F8-4046-4A1C-BF56-7164AD943D8B}"/>
    <cellStyle name="Normal GHG whole table 2 2 64" xfId="30498" xr:uid="{D9BE4D50-573B-4158-B6BD-A8557770B998}"/>
    <cellStyle name="Normal GHG whole table 2 2 65" xfId="30890" xr:uid="{9B73349D-6586-4DBA-A660-2BB40BAF2D27}"/>
    <cellStyle name="Normal GHG whole table 2 2 66" xfId="31122" xr:uid="{9BDE19EF-DB5E-4EF6-8DE2-58ADB27D1413}"/>
    <cellStyle name="Normal GHG whole table 2 2 7" xfId="2831" xr:uid="{CB450E22-C49E-490D-BE16-85A20D85FC27}"/>
    <cellStyle name="Normal GHG whole table 2 2 8" xfId="3896" xr:uid="{BEA3BEDB-E094-4246-BF95-7B3126713CFB}"/>
    <cellStyle name="Normal GHG whole table 2 2 9" xfId="4334" xr:uid="{E7C10218-5EEC-4A90-A484-01CB79B297A7}"/>
    <cellStyle name="Normal GHG whole table 2 3" xfId="722" xr:uid="{F29FADB3-53AE-4158-BCCE-03B538907EFE}"/>
    <cellStyle name="Normal GHG whole table 2 3 10" xfId="5370" xr:uid="{B77ACDEC-2F4D-4F56-9B7F-3930C55176B4}"/>
    <cellStyle name="Normal GHG whole table 2 3 11" xfId="6004" xr:uid="{94249F0B-AE0C-4D05-A4D9-B7CCF2351EF9}"/>
    <cellStyle name="Normal GHG whole table 2 3 12" xfId="6366" xr:uid="{84211911-4391-42F5-A183-7FBA07385589}"/>
    <cellStyle name="Normal GHG whole table 2 3 13" xfId="6706" xr:uid="{A6E1DA2F-F7EC-4EEF-A90F-61999F23904E}"/>
    <cellStyle name="Normal GHG whole table 2 3 14" xfId="7442" xr:uid="{884C1F42-BDE6-4A91-8FD6-31A38D640563}"/>
    <cellStyle name="Normal GHG whole table 2 3 15" xfId="8046" xr:uid="{A5E8E1CA-997A-4F0B-A34A-F155C5546F8D}"/>
    <cellStyle name="Normal GHG whole table 2 3 16" xfId="6775" xr:uid="{E15F794E-C4D2-41E3-B450-E5970D533F84}"/>
    <cellStyle name="Normal GHG whole table 2 3 17" xfId="8918" xr:uid="{DF95425C-A973-4E71-A555-7D5C7CCBEDC1}"/>
    <cellStyle name="Normal GHG whole table 2 3 18" xfId="9656" xr:uid="{F81FD9A9-9CD3-4200-B988-AD1AB9CF09C2}"/>
    <cellStyle name="Normal GHG whole table 2 3 19" xfId="10265" xr:uid="{8DFC8995-BB14-4550-889E-0142A3C67B08}"/>
    <cellStyle name="Normal GHG whole table 2 3 2" xfId="1196" xr:uid="{43FCB3B1-D00E-49EE-9F24-FFE118150B83}"/>
    <cellStyle name="Normal GHG whole table 2 3 20" xfId="10658" xr:uid="{320F7164-8949-4971-89BF-1A72A88EB44E}"/>
    <cellStyle name="Normal GHG whole table 2 3 21" xfId="11010" xr:uid="{BC9A1350-B3A1-47F1-A318-D5E7F341CC75}"/>
    <cellStyle name="Normal GHG whole table 2 3 22" xfId="11323" xr:uid="{AAF8D79B-4846-4116-A13C-A2608620CF56}"/>
    <cellStyle name="Normal GHG whole table 2 3 23" xfId="12075" xr:uid="{2E46DB1B-7359-47BE-8DCE-A9BC77DFD905}"/>
    <cellStyle name="Normal GHG whole table 2 3 24" xfId="12548" xr:uid="{7CFFCEE5-449B-4545-B3A9-C136C2D7B281}"/>
    <cellStyle name="Normal GHG whole table 2 3 25" xfId="12982" xr:uid="{B3AFBDAF-5CBA-4640-934C-DAD5F06E932D}"/>
    <cellStyle name="Normal GHG whole table 2 3 26" xfId="13419" xr:uid="{A6EDEBA6-253F-477D-8BE4-35FEFF5BF794}"/>
    <cellStyle name="Normal GHG whole table 2 3 27" xfId="14030" xr:uid="{7C8E3506-0F8A-462E-B972-C0B0AA63FB67}"/>
    <cellStyle name="Normal GHG whole table 2 3 28" xfId="12725" xr:uid="{C967897A-D0E7-4562-BA15-68CD54CDA246}"/>
    <cellStyle name="Normal GHG whole table 2 3 29" xfId="14911" xr:uid="{C922E661-05D2-4E31-8360-43435783218D}"/>
    <cellStyle name="Normal GHG whole table 2 3 3" xfId="1545" xr:uid="{831C8539-520B-47E5-9F5F-9EED758D5A3C}"/>
    <cellStyle name="Normal GHG whole table 2 3 30" xfId="15382" xr:uid="{376DD9DB-B59A-4DD5-A204-550BF9E91486}"/>
    <cellStyle name="Normal GHG whole table 2 3 31" xfId="15773" xr:uid="{DD4DB677-7FA8-40F8-9754-95ED0B38CE80}"/>
    <cellStyle name="Normal GHG whole table 2 3 32" xfId="15999" xr:uid="{A6C57D80-A6C3-4B66-8AA7-E61E72BD5276}"/>
    <cellStyle name="Normal GHG whole table 2 3 33" xfId="16767" xr:uid="{25D9FF7F-3B6B-47BD-85A2-CBEF9B96F376}"/>
    <cellStyle name="Normal GHG whole table 2 3 34" xfId="17387" xr:uid="{4202C80B-D0D9-4A00-8189-DB7950577B7A}"/>
    <cellStyle name="Normal GHG whole table 2 3 35" xfId="17828" xr:uid="{A4FA2605-4B18-45CC-B289-8AF960840A5C}"/>
    <cellStyle name="Normal GHG whole table 2 3 36" xfId="18305" xr:uid="{DB03D852-2FA5-48C5-9C9D-6CAC18ACB184}"/>
    <cellStyle name="Normal GHG whole table 2 3 37" xfId="18585" xr:uid="{899E4042-656D-48AF-9E64-21F9251E4BC6}"/>
    <cellStyle name="Normal GHG whole table 2 3 38" xfId="19116" xr:uid="{2D82DABF-0622-4EFE-AC7D-DA0673DC9835}"/>
    <cellStyle name="Normal GHG whole table 2 3 39" xfId="19347" xr:uid="{EA6F65FB-716E-48B0-97B1-3CA4780C7864}"/>
    <cellStyle name="Normal GHG whole table 2 3 4" xfId="2544" xr:uid="{A281DA6F-390B-400E-9105-334947EADF91}"/>
    <cellStyle name="Normal GHG whole table 2 3 40" xfId="20104" xr:uid="{6CB27225-4C43-49F7-9F56-03C541A758C7}"/>
    <cellStyle name="Normal GHG whole table 2 3 41" xfId="20736" xr:uid="{15F94048-6D34-4D70-B5EA-09F620882339}"/>
    <cellStyle name="Normal GHG whole table 2 3 42" xfId="21195" xr:uid="{36CED111-B944-444C-8F6D-12B024DA5DC2}"/>
    <cellStyle name="Normal GHG whole table 2 3 43" xfId="21687" xr:uid="{E2C14115-1F65-4040-99EB-EF5CD0EE8008}"/>
    <cellStyle name="Normal GHG whole table 2 3 44" xfId="22126" xr:uid="{BEFDF162-7684-4119-AB9F-9145CD76B26B}"/>
    <cellStyle name="Normal GHG whole table 2 3 45" xfId="22553" xr:uid="{E26910E4-9EBB-4E7C-A316-75826CA7CD1B}"/>
    <cellStyle name="Normal GHG whole table 2 3 46" xfId="22999" xr:uid="{DA87B479-09D1-4718-B9F2-835CA2B2ED32}"/>
    <cellStyle name="Normal GHG whole table 2 3 47" xfId="23403" xr:uid="{2DC04633-F4D3-46CD-A7F1-84FB4A13E2A4}"/>
    <cellStyle name="Normal GHG whole table 2 3 48" xfId="23668" xr:uid="{0CC29B76-AE4F-46D6-B4E1-42A7CCB13CC0}"/>
    <cellStyle name="Normal GHG whole table 2 3 49" xfId="23904" xr:uid="{EFD26251-2990-4FB8-A8E2-0C45198958E9}"/>
    <cellStyle name="Normal GHG whole table 2 3 5" xfId="3203" xr:uid="{4992175D-AFC6-4DB4-B3F3-2E7329E4107E}"/>
    <cellStyle name="Normal GHG whole table 2 3 50" xfId="24812" xr:uid="{A6AB630B-62E1-4A8E-A9EB-B4C551B872CB}"/>
    <cellStyle name="Normal GHG whole table 2 3 51" xfId="25441" xr:uid="{F2CAA2E1-E424-466F-B35A-9B9FDC64781C}"/>
    <cellStyle name="Normal GHG whole table 2 3 52" xfId="25728" xr:uid="{38007788-4C94-4FE4-BBD9-28E6BBA9EEA9}"/>
    <cellStyle name="Normal GHG whole table 2 3 53" xfId="26307" xr:uid="{33A33A7D-5096-4EEA-9739-B529B4BDAE61}"/>
    <cellStyle name="Normal GHG whole table 2 3 54" xfId="25969" xr:uid="{17ECD264-0404-4FAF-894F-C72482D38D00}"/>
    <cellStyle name="Normal GHG whole table 2 3 55" xfId="27016" xr:uid="{7DA11C9B-B0FC-49C5-8736-4A7702F79513}"/>
    <cellStyle name="Normal GHG whole table 2 3 56" xfId="27435" xr:uid="{74AC260B-A69D-4725-BB2D-97A5931607D5}"/>
    <cellStyle name="Normal GHG whole table 2 3 57" xfId="27658" xr:uid="{DA7215A5-DFFE-4A97-B7D1-9B0D5AB95ADF}"/>
    <cellStyle name="Normal GHG whole table 2 3 58" xfId="28562" xr:uid="{941ED5DD-F6DB-4511-98C1-31981CD9DF59}"/>
    <cellStyle name="Normal GHG whole table 2 3 59" xfId="29029" xr:uid="{DC0794A8-648B-4443-8204-079CA495D7DB}"/>
    <cellStyle name="Normal GHG whole table 2 3 6" xfId="3080" xr:uid="{97841D6C-57F6-4188-BF7D-29ADB8310CC5}"/>
    <cellStyle name="Normal GHG whole table 2 3 60" xfId="29550" xr:uid="{D4DBCE08-2B56-4A37-86A5-67FC176AD9C6}"/>
    <cellStyle name="Normal GHG whole table 2 3 61" xfId="29818" xr:uid="{83E65B6D-46A5-4744-BBCE-D4C264E3A9BF}"/>
    <cellStyle name="Normal GHG whole table 2 3 62" xfId="30224" xr:uid="{2B0D0699-1EB1-4785-A689-0BEF3A6EBE35}"/>
    <cellStyle name="Normal GHG whole table 2 3 63" xfId="30641" xr:uid="{92F710C9-EFE0-4987-9C73-3580D62F4A2C}"/>
    <cellStyle name="Normal GHG whole table 2 3 64" xfId="29271" xr:uid="{6C268185-B106-4DA2-9D61-A408E7702231}"/>
    <cellStyle name="Normal GHG whole table 2 3 65" xfId="31257" xr:uid="{A4C51CC6-D63F-41E9-B0C5-BFE26E9C97C4}"/>
    <cellStyle name="Normal GHG whole table 2 3 7" xfId="4040" xr:uid="{B40F37BE-E268-4115-B3F6-FB1A85F26B3B}"/>
    <cellStyle name="Normal GHG whole table 2 3 8" xfId="4477" xr:uid="{587830F3-2761-43B3-9A38-B0694DBE608E}"/>
    <cellStyle name="Normal GHG whole table 2 3 9" xfId="4228" xr:uid="{7AC47A84-B590-4249-A365-3E3E9BE27847}"/>
    <cellStyle name="Normal GHG whole table 3" xfId="281" xr:uid="{17B6962C-4613-4088-9DDC-6FBD9D96B0E1}"/>
    <cellStyle name="Normal GHG whole table 3 10" xfId="2115" xr:uid="{95F15759-94EB-432C-9A1E-A795FA466AB1}"/>
    <cellStyle name="Normal GHG whole table 3 11" xfId="2959" xr:uid="{E93D4E79-DA29-4222-9192-EE042B60397C}"/>
    <cellStyle name="Normal GHG whole table 3 12" xfId="4212" xr:uid="{5A0641C4-EB9B-4CE0-AB2D-A155CF4986BB}"/>
    <cellStyle name="Normal GHG whole table 3 13" xfId="3799" xr:uid="{EE0D990E-987B-460D-B3FE-674B253404C6}"/>
    <cellStyle name="Normal GHG whole table 3 14" xfId="4740" xr:uid="{0128FDBE-1374-41FB-AFE3-D27D6BD4D045}"/>
    <cellStyle name="Normal GHG whole table 3 15" xfId="5906" xr:uid="{A72F37A5-314D-441D-A299-0CD12576E1EA}"/>
    <cellStyle name="Normal GHG whole table 3 16" xfId="6661" xr:uid="{4B78A2BE-8978-4D17-B8D7-1771FA3FF09C}"/>
    <cellStyle name="Normal GHG whole table 3 17" xfId="7011" xr:uid="{054A91AE-2F63-4591-BCD3-02CB8D9298ED}"/>
    <cellStyle name="Normal GHG whole table 3 18" xfId="6737" xr:uid="{D28672C8-C272-4350-B271-79B6DCFD2F03}"/>
    <cellStyle name="Normal GHG whole table 3 19" xfId="8575" xr:uid="{79D418E1-08C9-4A48-8D66-2EF8063F442B}"/>
    <cellStyle name="Normal GHG whole table 3 2" xfId="618" xr:uid="{B4F45048-F186-450C-AE85-A7E2338A51D0}"/>
    <cellStyle name="Normal GHG whole table 3 2 10" xfId="4892" xr:uid="{80249671-95C5-4F61-B140-218F34CA4DC4}"/>
    <cellStyle name="Normal GHG whole table 3 2 11" xfId="5266" xr:uid="{DF4CA8EC-977D-4760-8001-65336783E970}"/>
    <cellStyle name="Normal GHG whole table 3 2 12" xfId="4719" xr:uid="{20B91F07-C68C-41EA-BF59-27B4D069949B}"/>
    <cellStyle name="Normal GHG whole table 3 2 13" xfId="6272" xr:uid="{40B765BE-FD6A-49E8-8E7D-9873A4456114}"/>
    <cellStyle name="Normal GHG whole table 3 2 14" xfId="6469" xr:uid="{30D15BDA-5415-4BB1-A148-1B1B231012BC}"/>
    <cellStyle name="Normal GHG whole table 3 2 15" xfId="7338" xr:uid="{175D80EB-58EF-4FF4-ADB7-8A999E61B0DB}"/>
    <cellStyle name="Normal GHG whole table 3 2 16" xfId="7788" xr:uid="{36D9C7D7-CCB5-4E2F-869E-5D7DDE51436C}"/>
    <cellStyle name="Normal GHG whole table 3 2 17" xfId="8120" xr:uid="{C4716B2F-1267-41A3-BE2B-D0096EE8E78F}"/>
    <cellStyle name="Normal GHG whole table 3 2 18" xfId="8559" xr:uid="{B23CF06A-F4E7-4AAA-9128-4D7001A59593}"/>
    <cellStyle name="Normal GHG whole table 3 2 19" xfId="9552" xr:uid="{F95E312B-3465-4449-A188-6F8518BC95B4}"/>
    <cellStyle name="Normal GHG whole table 3 2 2" xfId="833" xr:uid="{CC12BFE4-CB35-4375-BEBA-3CE27F3F54DD}"/>
    <cellStyle name="Normal GHG whole table 3 2 2 10" xfId="5481" xr:uid="{59311938-680B-4639-B3B2-83D45270C7A2}"/>
    <cellStyle name="Normal GHG whole table 3 2 2 11" xfId="5650" xr:uid="{33DF09D6-7AF7-4773-87E2-5DBD3BC22F77}"/>
    <cellStyle name="Normal GHG whole table 3 2 2 12" xfId="5592" xr:uid="{C35DEF32-0240-41CA-AE88-47967B406EEF}"/>
    <cellStyle name="Normal GHG whole table 3 2 2 13" xfId="6458" xr:uid="{775A941E-5712-4FE9-B6B0-B18AA40708E2}"/>
    <cellStyle name="Normal GHG whole table 3 2 2 14" xfId="7553" xr:uid="{B50C9909-9D5D-4378-B71E-B7A4F4EFF498}"/>
    <cellStyle name="Normal GHG whole table 3 2 2 15" xfId="8014" xr:uid="{EAB180E2-5F10-47C5-86F1-7E8EE0D4DA79}"/>
    <cellStyle name="Normal GHG whole table 3 2 2 16" xfId="7901" xr:uid="{EBE4CDB1-726E-45D0-95CA-D822C83F0C6B}"/>
    <cellStyle name="Normal GHG whole table 3 2 2 17" xfId="8536" xr:uid="{90192114-784E-4303-B7B1-03C53D772D90}"/>
    <cellStyle name="Normal GHG whole table 3 2 2 18" xfId="9767" xr:uid="{6868D3DA-04D2-4E27-9A82-F0166CF9A585}"/>
    <cellStyle name="Normal GHG whole table 3 2 2 19" xfId="10232" xr:uid="{DB2AEFA3-6FF1-4F65-B3A7-D037CF841368}"/>
    <cellStyle name="Normal GHG whole table 3 2 2 2" xfId="1307" xr:uid="{8E5F7174-47A1-48B6-93EE-41285EEA7448}"/>
    <cellStyle name="Normal GHG whole table 3 2 2 20" xfId="10629" xr:uid="{7F2874F4-B0B0-4296-BDC1-3260C57B00FE}"/>
    <cellStyle name="Normal GHG whole table 3 2 2 21" xfId="10585" xr:uid="{05A0063A-BF49-4AFA-AA28-4F08F9F203FA}"/>
    <cellStyle name="Normal GHG whole table 3 2 2 22" xfId="10312" xr:uid="{A1B7A38F-E405-4785-B370-D2F89F9B0BFA}"/>
    <cellStyle name="Normal GHG whole table 3 2 2 23" xfId="12186" xr:uid="{24DCDADA-E3E0-4179-BE0B-3EE1A61C5578}"/>
    <cellStyle name="Normal GHG whole table 3 2 2 24" xfId="12659" xr:uid="{D5FD03F2-CDEA-4170-8C5E-C5569D074B8D}"/>
    <cellStyle name="Normal GHG whole table 3 2 2 25" xfId="13093" xr:uid="{910A4A3C-9431-48B1-ADC1-B55EFA969F8E}"/>
    <cellStyle name="Normal GHG whole table 3 2 2 26" xfId="13530" xr:uid="{D3A7432C-FF32-4E22-8812-A30EB80723B3}"/>
    <cellStyle name="Normal GHG whole table 3 2 2 27" xfId="11754" xr:uid="{734BFE11-7D86-4A7C-9158-D517B3683367}"/>
    <cellStyle name="Normal GHG whole table 3 2 2 28" xfId="13724" xr:uid="{2DF43A46-54C6-428D-95D0-83F564955E61}"/>
    <cellStyle name="Normal GHG whole table 3 2 2 29" xfId="14880" xr:uid="{3024D1C9-2244-4A45-ADEB-690B51B45EB5}"/>
    <cellStyle name="Normal GHG whole table 3 2 2 3" xfId="1499" xr:uid="{10002B5C-4D68-46B2-B1E7-E58767934CD9}"/>
    <cellStyle name="Normal GHG whole table 3 2 2 30" xfId="15271" xr:uid="{C12883B5-5DFB-48AC-9283-462D6004BED5}"/>
    <cellStyle name="Normal GHG whole table 3 2 2 31" xfId="15569" xr:uid="{E7B2E953-93ED-41EE-B33F-F4BD111C83A3}"/>
    <cellStyle name="Normal GHG whole table 3 2 2 32" xfId="15978" xr:uid="{EBB1A5D3-E051-4331-93E8-A382C0BCA263}"/>
    <cellStyle name="Normal GHG whole table 3 2 2 33" xfId="16878" xr:uid="{D78AA275-7A4D-4343-933D-D79E305858B6}"/>
    <cellStyle name="Normal GHG whole table 3 2 2 34" xfId="17353" xr:uid="{89C31C63-9C1D-4C43-9D40-500B31C3DFB6}"/>
    <cellStyle name="Normal GHG whole table 3 2 2 35" xfId="17795" xr:uid="{3FEAF778-907F-495D-A7CF-B8DD40755A5A}"/>
    <cellStyle name="Normal GHG whole table 3 2 2 36" xfId="17594" xr:uid="{F63927F0-CD2D-4A79-8BD0-5C6C6FC5998E}"/>
    <cellStyle name="Normal GHG whole table 3 2 2 37" xfId="18696" xr:uid="{07F97BD1-043D-4C41-9FDD-AF5E02680C38}"/>
    <cellStyle name="Normal GHG whole table 3 2 2 38" xfId="18143" xr:uid="{03C552D7-DD36-464C-A489-18957B3D3554}"/>
    <cellStyle name="Normal GHG whole table 3 2 2 39" xfId="17722" xr:uid="{A2F8C92C-B6F0-452C-8AC7-DDEE13D47500}"/>
    <cellStyle name="Normal GHG whole table 3 2 2 4" xfId="2655" xr:uid="{1DE245C5-19D8-4C33-A759-669F8890543C}"/>
    <cellStyle name="Normal GHG whole table 3 2 2 40" xfId="20215" xr:uid="{7BC486B7-6FD4-44C8-B88F-011DC621C4DD}"/>
    <cellStyle name="Normal GHG whole table 3 2 2 41" xfId="20704" xr:uid="{48DA11D1-0839-4DC6-AA1D-94EC1267FCB3}"/>
    <cellStyle name="Normal GHG whole table 3 2 2 42" xfId="21161" xr:uid="{3576E69D-0B4F-401B-A3F7-F5A5420AE485}"/>
    <cellStyle name="Normal GHG whole table 3 2 2 43" xfId="21240" xr:uid="{9113E9E2-CABA-4141-804C-A8811A3A6319}"/>
    <cellStyle name="Normal GHG whole table 3 2 2 44" xfId="22092" xr:uid="{4A338D1C-B1BB-42C2-9B82-2F465B3E433B}"/>
    <cellStyle name="Normal GHG whole table 3 2 2 45" xfId="22520" xr:uid="{151D1F70-A5E9-4AC7-B08F-88D51D6ACC39}"/>
    <cellStyle name="Normal GHG whole table 3 2 2 46" xfId="22395" xr:uid="{4EA7A158-4E30-44C8-8CD2-04E8FFE09B29}"/>
    <cellStyle name="Normal GHG whole table 3 2 2 47" xfId="22704" xr:uid="{58C604F6-12D7-49CF-8CCC-5DC167737E84}"/>
    <cellStyle name="Normal GHG whole table 3 2 2 48" xfId="20944" xr:uid="{897408D1-69F7-457F-B360-E22C957F3D68}"/>
    <cellStyle name="Normal GHG whole table 3 2 2 49" xfId="24015" xr:uid="{33F73BFA-71D1-4A68-83E5-AB1360B534A0}"/>
    <cellStyle name="Normal GHG whole table 3 2 2 5" xfId="2020" xr:uid="{809DB58E-8B52-45C2-BF4A-DAAD00A6892E}"/>
    <cellStyle name="Normal GHG whole table 3 2 2 50" xfId="24923" xr:uid="{1D1173C0-69EF-4B7A-9355-D6FE0DF99372}"/>
    <cellStyle name="Normal GHG whole table 3 2 2 51" xfId="25407" xr:uid="{27003616-09E5-4ACD-86CF-4491492C55E9}"/>
    <cellStyle name="Normal GHG whole table 3 2 2 52" xfId="25839" xr:uid="{0629D69A-D607-40C9-8FE7-ED7A2EEA126C}"/>
    <cellStyle name="Normal GHG whole table 3 2 2 53" xfId="24217" xr:uid="{6F2F0435-68DC-4921-A584-10B4ADB633CE}"/>
    <cellStyle name="Normal GHG whole table 3 2 2 54" xfId="26485" xr:uid="{E670CB36-52D5-40A8-B207-B36AEBCCB32A}"/>
    <cellStyle name="Normal GHG whole table 3 2 2 55" xfId="27127" xr:uid="{CB36AD26-E2E9-4BC6-86A0-3584615E24C4}"/>
    <cellStyle name="Normal GHG whole table 3 2 2 56" xfId="27546" xr:uid="{63F7618E-3626-476C-9168-5980C087F4B4}"/>
    <cellStyle name="Normal GHG whole table 3 2 2 57" xfId="26511" xr:uid="{4A928BF5-EAA1-4438-9D69-CC5B0C932369}"/>
    <cellStyle name="Normal GHG whole table 3 2 2 58" xfId="28673" xr:uid="{F2BED3FB-E755-484E-9DD2-720D4C3CDC97}"/>
    <cellStyle name="Normal GHG whole table 3 2 2 59" xfId="29140" xr:uid="{528C417B-D1C5-405B-BAAF-7A08705E9BAE}"/>
    <cellStyle name="Normal GHG whole table 3 2 2 6" xfId="3569" xr:uid="{3C3DBFA8-2C0C-4FE4-BDE0-3EC6CE30BD42}"/>
    <cellStyle name="Normal GHG whole table 3 2 2 60" xfId="29522" xr:uid="{12E0D264-168B-4517-AC44-0429746ACB41}"/>
    <cellStyle name="Normal GHG whole table 3 2 2 61" xfId="29929" xr:uid="{E9C5481C-A99D-433D-AE6C-F335F1C8D855}"/>
    <cellStyle name="Normal GHG whole table 3 2 2 62" xfId="30335" xr:uid="{94030087-09B8-4669-B36E-95C26ED044B1}"/>
    <cellStyle name="Normal GHG whole table 3 2 2 63" xfId="30752" xr:uid="{9A88928B-169C-40C0-8D1D-C427BFAB839D}"/>
    <cellStyle name="Normal GHG whole table 3 2 2 64" xfId="30413" xr:uid="{A94E169B-A302-44A9-ACA3-7A43D9F60BB3}"/>
    <cellStyle name="Normal GHG whole table 3 2 2 65" xfId="31368" xr:uid="{C415F45F-643D-49FF-9F6A-48CE89744E76}"/>
    <cellStyle name="Normal GHG whole table 3 2 2 7" xfId="4151" xr:uid="{A45E4928-8A0E-4030-A75B-DFAC9604C675}"/>
    <cellStyle name="Normal GHG whole table 3 2 2 8" xfId="4588" xr:uid="{B4F7026E-7A61-4030-9E12-B5021EFC1892}"/>
    <cellStyle name="Normal GHG whole table 3 2 2 9" xfId="3641" xr:uid="{289A8B4E-6258-4B7E-930F-17621B012BA9}"/>
    <cellStyle name="Normal GHG whole table 3 2 20" xfId="10001" xr:uid="{EA6C0F0F-B6D3-4CB9-A0C1-946514EB58D7}"/>
    <cellStyle name="Normal GHG whole table 3 2 21" xfId="10426" xr:uid="{1FDD644D-C25A-4CB0-9827-EF60BFDDBEE0}"/>
    <cellStyle name="Normal GHG whole table 3 2 22" xfId="10858" xr:uid="{67E43DDA-26E6-44F5-80C9-D2F1130F42A5}"/>
    <cellStyle name="Normal GHG whole table 3 2 23" xfId="10484" xr:uid="{5B9D2C75-5CA6-4ED1-9894-8877870BEDC7}"/>
    <cellStyle name="Normal GHG whole table 3 2 24" xfId="11971" xr:uid="{45BE5CDA-D7D7-496A-812E-73EED252C098}"/>
    <cellStyle name="Normal GHG whole table 3 2 25" xfId="12444" xr:uid="{9B82E3D3-B132-4BCD-A212-4831FBFDF195}"/>
    <cellStyle name="Normal GHG whole table 3 2 26" xfId="12878" xr:uid="{C90E0C7C-C56E-428E-AE80-87E7E8F2C278}"/>
    <cellStyle name="Normal GHG whole table 3 2 27" xfId="13315" xr:uid="{E5B05B8D-0620-41F3-95C3-E1DFE7529E1C}"/>
    <cellStyle name="Normal GHG whole table 3 2 28" xfId="13949" xr:uid="{1563585E-8C0D-4B31-958B-8942C53C278C}"/>
    <cellStyle name="Normal GHG whole table 3 2 29" xfId="14393" xr:uid="{0488AE67-43B0-4DD0-8401-1B01529C928E}"/>
    <cellStyle name="Normal GHG whole table 3 2 3" xfId="1101" xr:uid="{52FD5D51-E975-4252-A637-A0F7C5A8374F}"/>
    <cellStyle name="Normal GHG whole table 3 2 30" xfId="11725" xr:uid="{5A9A2B46-BF44-431C-9C3C-1BE324DD1BB4}"/>
    <cellStyle name="Normal GHG whole table 3 2 31" xfId="14607" xr:uid="{AAC83AEB-E5B3-49B4-B7EE-2EDE08DA8F45}"/>
    <cellStyle name="Normal GHG whole table 3 2 32" xfId="15363" xr:uid="{8FC24BED-336D-440C-B881-77F91755DAF0}"/>
    <cellStyle name="Normal GHG whole table 3 2 33" xfId="15856" xr:uid="{2D9B7E2D-4475-413E-AAB0-44752D7A44CC}"/>
    <cellStyle name="Normal GHG whole table 3 2 34" xfId="16663" xr:uid="{8F85BEAF-DCD1-4089-B48B-7F2F60F5F204}"/>
    <cellStyle name="Normal GHG whole table 3 2 35" xfId="17117" xr:uid="{A74450AD-01BF-4A01-992D-7CB3F2F548F1}"/>
    <cellStyle name="Normal GHG whole table 3 2 36" xfId="17564" xr:uid="{96C2FF8E-AC89-4D94-8A19-8934E4CC595C}"/>
    <cellStyle name="Normal GHG whole table 3 2 37" xfId="16149" xr:uid="{29FD68EE-6BCF-4E48-91DA-428729E547A3}"/>
    <cellStyle name="Normal GHG whole table 3 2 38" xfId="18481" xr:uid="{0140253E-0555-4483-AB34-A037DDBCAEFF}"/>
    <cellStyle name="Normal GHG whole table 3 2 39" xfId="16150" xr:uid="{C2507F88-E692-4A2B-918C-A48F469FEEC4}"/>
    <cellStyle name="Normal GHG whole table 3 2 4" xfId="1523" xr:uid="{4736B8E7-53E1-493F-8A5A-E701902433BA}"/>
    <cellStyle name="Normal GHG whole table 3 2 40" xfId="19257" xr:uid="{5E828C07-B1D6-4B6A-9D9C-6C7223E70D7B}"/>
    <cellStyle name="Normal GHG whole table 3 2 41" xfId="20000" xr:uid="{3EEE04A7-A46D-4801-8958-3976B8F0A456}"/>
    <cellStyle name="Normal GHG whole table 3 2 42" xfId="20470" xr:uid="{96670393-A679-434C-827F-49B105C12C20}"/>
    <cellStyle name="Normal GHG whole table 3 2 43" xfId="20923" xr:uid="{CF82B5BB-E50A-4ADC-BFB4-87D3DA0E510A}"/>
    <cellStyle name="Normal GHG whole table 3 2 44" xfId="19400" xr:uid="{4418B687-3C35-4B09-AB7B-06F94A918946}"/>
    <cellStyle name="Normal GHG whole table 3 2 45" xfId="21852" xr:uid="{805551DD-49F6-48A4-8F4F-18D40A377509}"/>
    <cellStyle name="Normal GHG whole table 3 2 46" xfId="22289" xr:uid="{F28EC945-B841-449A-9B04-78E839A6B383}"/>
    <cellStyle name="Normal GHG whole table 3 2 47" xfId="22924" xr:uid="{44DE91D6-F94B-4C89-A1D6-B0175D708F9A}"/>
    <cellStyle name="Normal GHG whole table 3 2 48" xfId="22745" xr:uid="{989E7BFF-D3F2-4358-95B3-57AF0CA80566}"/>
    <cellStyle name="Normal GHG whole table 3 2 49" xfId="23610" xr:uid="{9436B873-9104-4FBF-86A2-D771FE2190DB}"/>
    <cellStyle name="Normal GHG whole table 3 2 5" xfId="2440" xr:uid="{8F64C457-6AE8-473C-914A-DF0773C24604}"/>
    <cellStyle name="Normal GHG whole table 3 2 50" xfId="23809" xr:uid="{BC15E839-522D-4DA1-9997-FAF2BFED3B80}"/>
    <cellStyle name="Normal GHG whole table 3 2 51" xfId="24708" xr:uid="{7CAE5464-3E03-4B22-BFE3-18FA9C60FC74}"/>
    <cellStyle name="Normal GHG whole table 3 2 52" xfId="25178" xr:uid="{C57C4608-1854-48EB-A7F9-1DD9F468EE35}"/>
    <cellStyle name="Normal GHG whole table 3 2 53" xfId="25626" xr:uid="{36E3C78B-3BD2-45AC-8D1C-482C9B03A4AF}"/>
    <cellStyle name="Normal GHG whole table 3 2 54" xfId="26230" xr:uid="{E96FCEC8-6933-496C-B2BB-CE0B2744C6D3}"/>
    <cellStyle name="Normal GHG whole table 3 2 55" xfId="26285" xr:uid="{1C812FF6-8FA9-4E6B-B89C-8B8044AE735C}"/>
    <cellStyle name="Normal GHG whole table 3 2 56" xfId="26916" xr:uid="{38C5CF68-4A58-4DA8-8EFE-FB1772DFBA17}"/>
    <cellStyle name="Normal GHG whole table 3 2 57" xfId="27335" xr:uid="{F9402034-A691-4D13-BCBE-543623092A9C}"/>
    <cellStyle name="Normal GHG whole table 3 2 58" xfId="26798" xr:uid="{D02A72C7-CF3C-428F-A135-1A353156C9A8}"/>
    <cellStyle name="Normal GHG whole table 3 2 59" xfId="28458" xr:uid="{4FA5EC06-CCE7-4CC2-AC55-3A75FAAB17B9}"/>
    <cellStyle name="Normal GHG whole table 3 2 6" xfId="3118" xr:uid="{2C55E9A8-30FE-459A-B4D4-E15DAED68B17}"/>
    <cellStyle name="Normal GHG whole table 3 2 60" xfId="28926" xr:uid="{FF8B03D8-8092-4226-9FA1-272152265527}"/>
    <cellStyle name="Normal GHG whole table 3 2 61" xfId="29325" xr:uid="{903A6B93-4ADA-4A38-BACD-F3AFD0076B4C}"/>
    <cellStyle name="Normal GHG whole table 3 2 62" xfId="29716" xr:uid="{048F6B5B-88D9-4A34-988F-C0D4E94C42E0}"/>
    <cellStyle name="Normal GHG whole table 3 2 63" xfId="30124" xr:uid="{C0E145C7-7B1E-48F5-A93C-9E31E0B92B5A}"/>
    <cellStyle name="Normal GHG whole table 3 2 64" xfId="30538" xr:uid="{98E046EE-116E-4780-8C6F-C01A007F4AAB}"/>
    <cellStyle name="Normal GHG whole table 3 2 65" xfId="30862" xr:uid="{67129757-25A8-4E54-A24B-DD496C9EDDCE}"/>
    <cellStyle name="Normal GHG whole table 3 2 66" xfId="31162" xr:uid="{959FC0C4-49A1-43D1-BEA2-B16774C75941}"/>
    <cellStyle name="Normal GHG whole table 3 2 7" xfId="2807" xr:uid="{3D4C3441-4DA6-4AFF-AD5C-7342691EA0FB}"/>
    <cellStyle name="Normal GHG whole table 3 2 8" xfId="3936" xr:uid="{E02C102C-ADD8-4C84-931D-46DEA2547A95}"/>
    <cellStyle name="Normal GHG whole table 3 2 9" xfId="4374" xr:uid="{7CACBB0D-5126-4850-B753-E65E060DD155}"/>
    <cellStyle name="Normal GHG whole table 3 20" xfId="8107" xr:uid="{794DB4D9-3C36-490C-BF0E-7E79724A5601}"/>
    <cellStyle name="Normal GHG whole table 3 21" xfId="9224" xr:uid="{8D50BB19-4631-472A-A53C-21548DBDD4A5}"/>
    <cellStyle name="Normal GHG whole table 3 22" xfId="8964" xr:uid="{C58FED0E-9F9A-4E99-8FB1-016889A4DD7F}"/>
    <cellStyle name="Normal GHG whole table 3 23" xfId="10141" xr:uid="{1AFDE28D-5FE4-4420-A91A-B8C1E6CF8008}"/>
    <cellStyle name="Normal GHG whole table 3 24" xfId="9871" xr:uid="{D475EA9F-CB3A-4AA1-A513-903B56657C6D}"/>
    <cellStyle name="Normal GHG whole table 3 25" xfId="10805" xr:uid="{49CC4AE6-EB4E-4AE8-9201-BEB6C7666FC7}"/>
    <cellStyle name="Normal GHG whole table 3 26" xfId="11637" xr:uid="{816333B0-BAA1-4399-A9FB-CC44F08E9F6B}"/>
    <cellStyle name="Normal GHG whole table 3 27" xfId="11478" xr:uid="{AE20C972-C7B3-4BB8-8F45-30FEFAED7D46}"/>
    <cellStyle name="Normal GHG whole table 3 28" xfId="11584" xr:uid="{DA7D28D4-D8B9-4C19-8870-2383D87F7E29}"/>
    <cellStyle name="Normal GHG whole table 3 29" xfId="12295" xr:uid="{6C3E51B0-D63B-4AAA-80A8-97B3623027C4}"/>
    <cellStyle name="Normal GHG whole table 3 3" xfId="539" xr:uid="{189B52D5-17B0-460B-B1A3-754CA578CF55}"/>
    <cellStyle name="Normal GHG whole table 3 3 10" xfId="5041" xr:uid="{DD05FC85-ADDF-4225-B17C-192E8D5179D6}"/>
    <cellStyle name="Normal GHG whole table 3 3 11" xfId="5187" xr:uid="{B6CA1BAF-C02F-4571-97E1-B9617CC70C2C}"/>
    <cellStyle name="Normal GHG whole table 3 3 12" xfId="3658" xr:uid="{30CDA7F0-9967-4B27-A547-F07F5D071491}"/>
    <cellStyle name="Normal GHG whole table 3 3 13" xfId="5971" xr:uid="{A0D37607-955C-4847-855C-693408CF48A0}"/>
    <cellStyle name="Normal GHG whole table 3 3 14" xfId="6194" xr:uid="{8EC8BB08-5C31-40C6-ABB0-43F5018CCB1C}"/>
    <cellStyle name="Normal GHG whole table 3 3 15" xfId="7259" xr:uid="{194240F3-68AB-41F6-AA05-9515A08085F2}"/>
    <cellStyle name="Normal GHG whole table 3 3 16" xfId="7791" xr:uid="{30B2DA6D-46ED-4F1E-B762-63E5C7BF5A3F}"/>
    <cellStyle name="Normal GHG whole table 3 3 17" xfId="8200" xr:uid="{CD78B9B3-00E6-4B4C-99E2-85FF057D9241}"/>
    <cellStyle name="Normal GHG whole table 3 3 18" xfId="8807" xr:uid="{01D5D66C-9A7B-4904-BC5F-323B510C038A}"/>
    <cellStyle name="Normal GHG whole table 3 3 19" xfId="9473" xr:uid="{6B52010E-F30A-4313-8E0D-C7E781348566}"/>
    <cellStyle name="Normal GHG whole table 3 3 2" xfId="754" xr:uid="{2B082716-3006-42B1-B959-EEA06B418BC6}"/>
    <cellStyle name="Normal GHG whole table 3 3 2 10" xfId="5402" xr:uid="{21406FFC-D661-4466-AC37-A3E0118436AF}"/>
    <cellStyle name="Normal GHG whole table 3 3 2 11" xfId="4252" xr:uid="{3EBA1CA4-20D3-467F-82A7-9C5F0340C3E6}"/>
    <cellStyle name="Normal GHG whole table 3 3 2 12" xfId="3723" xr:uid="{4E8FCCCA-3467-4DCE-8D28-6900660DCBD8}"/>
    <cellStyle name="Normal GHG whole table 3 3 2 13" xfId="6608" xr:uid="{15E9DEFA-A52A-4E63-A264-5F1591A36801}"/>
    <cellStyle name="Normal GHG whole table 3 3 2 14" xfId="7474" xr:uid="{988F5BDF-6DFF-474D-BF18-689D24B417FE}"/>
    <cellStyle name="Normal GHG whole table 3 3 2 15" xfId="7036" xr:uid="{13CEAA84-3064-40A1-959A-726F9F6FCBF9}"/>
    <cellStyle name="Normal GHG whole table 3 3 2 16" xfId="8228" xr:uid="{8882A6CE-4199-4570-96A8-4199411C959B}"/>
    <cellStyle name="Normal GHG whole table 3 3 2 17" xfId="8632" xr:uid="{60C43959-62E4-4878-9F42-B6674C90D2B7}"/>
    <cellStyle name="Normal GHG whole table 3 3 2 18" xfId="9688" xr:uid="{54A9E1D7-5C1B-4B45-A33E-CA4746FD3119}"/>
    <cellStyle name="Normal GHG whole table 3 3 2 19" xfId="9249" xr:uid="{E24AE953-E2BF-4F54-B28E-F00413979114}"/>
    <cellStyle name="Normal GHG whole table 3 3 2 2" xfId="1228" xr:uid="{1D2DA5E6-EEE4-4C2E-980F-817A7EB60424}"/>
    <cellStyle name="Normal GHG whole table 3 3 2 20" xfId="9840" xr:uid="{6C4ADEF2-5DDB-4F24-8C8A-6302950376C9}"/>
    <cellStyle name="Normal GHG whole table 3 3 2 21" xfId="10660" xr:uid="{AE95A601-4AA7-4762-BF91-5ED362C12502}"/>
    <cellStyle name="Normal GHG whole table 3 3 2 22" xfId="11262" xr:uid="{453D4F1B-670C-4A47-BDFA-DB6F72953214}"/>
    <cellStyle name="Normal GHG whole table 3 3 2 23" xfId="12107" xr:uid="{F57AC4BD-4ECC-444B-9B9D-67DE367FB336}"/>
    <cellStyle name="Normal GHG whole table 3 3 2 24" xfId="12580" xr:uid="{3EFA1CCB-0A24-45B4-8269-6C602E341206}"/>
    <cellStyle name="Normal GHG whole table 3 3 2 25" xfId="13014" xr:uid="{1FC00C9E-8CE7-40F6-AC8F-F44EC464AD5F}"/>
    <cellStyle name="Normal GHG whole table 3 3 2 26" xfId="13451" xr:uid="{15F19DE9-6C78-436E-B7B7-F31F83C8AF66}"/>
    <cellStyle name="Normal GHG whole table 3 3 2 27" xfId="11687" xr:uid="{886CF5B4-B488-4623-B1E8-8D3758AB4132}"/>
    <cellStyle name="Normal GHG whole table 3 3 2 28" xfId="11656" xr:uid="{728FEE5F-80E2-4968-8AD4-467314554C92}"/>
    <cellStyle name="Normal GHG whole table 3 3 2 29" xfId="14468" xr:uid="{00E167E8-A08B-4D1B-9E0C-A8B6D76D882A}"/>
    <cellStyle name="Normal GHG whole table 3 3 2 3" xfId="1512" xr:uid="{090B281C-EDD9-4FC0-9C93-BD5C2DA6067D}"/>
    <cellStyle name="Normal GHG whole table 3 3 2 30" xfId="14077" xr:uid="{91C5A677-582B-4AD0-B46C-CE391703A7B2}"/>
    <cellStyle name="Normal GHG whole table 3 3 2 31" xfId="15238" xr:uid="{42DEA0BD-C44B-4E41-B57E-78A8FAA34972}"/>
    <cellStyle name="Normal GHG whole table 3 3 2 32" xfId="15508" xr:uid="{4B138B54-DA45-43AB-BDE3-827A7EC80B8A}"/>
    <cellStyle name="Normal GHG whole table 3 3 2 33" xfId="16799" xr:uid="{2DD3483A-E1C9-44AD-82B3-23E3BB6C7D0C}"/>
    <cellStyle name="Normal GHG whole table 3 3 2 34" xfId="16359" xr:uid="{9F80459B-4339-44C1-B83B-F818D02FCB9B}"/>
    <cellStyle name="Normal GHG whole table 3 3 2 35" xfId="16955" xr:uid="{EF69702E-182E-4DF9-9293-005A202FB4EE}"/>
    <cellStyle name="Normal GHG whole table 3 3 2 36" xfId="18033" xr:uid="{C8CD75B2-EC0C-400B-924B-CD6585EDFAD9}"/>
    <cellStyle name="Normal GHG whole table 3 3 2 37" xfId="18617" xr:uid="{7DF83847-B1B1-474B-982B-AF5443E34050}"/>
    <cellStyle name="Normal GHG whole table 3 3 2 38" xfId="17927" xr:uid="{D8571978-989E-42B2-B7EA-7B9A6475F690}"/>
    <cellStyle name="Normal GHG whole table 3 3 2 39" xfId="19084" xr:uid="{D84E94CA-A0D5-42BF-84F0-97D69DA96BEA}"/>
    <cellStyle name="Normal GHG whole table 3 3 2 4" xfId="2576" xr:uid="{4CC5396F-C417-4432-A61D-B6B1CF96479F}"/>
    <cellStyle name="Normal GHG whole table 3 3 2 40" xfId="20136" xr:uid="{E48DFF7F-418F-4ED1-95A2-4F8C726302C0}"/>
    <cellStyle name="Normal GHG whole table 3 3 2 41" xfId="19692" xr:uid="{581DDBBE-AAF5-4EE2-913E-37E2758D4810}"/>
    <cellStyle name="Normal GHG whole table 3 3 2 42" xfId="20384" xr:uid="{C7750E02-530F-459C-A649-E6B9AACCBEB6}"/>
    <cellStyle name="Normal GHG whole table 3 3 2 43" xfId="21256" xr:uid="{4BA3AA5B-4B9E-4331-9619-26F3EF092F36}"/>
    <cellStyle name="Normal GHG whole table 3 3 2 44" xfId="21484" xr:uid="{B4F40877-3B05-447C-BCEB-5983AF25E82A}"/>
    <cellStyle name="Normal GHG whole table 3 3 2 45" xfId="21789" xr:uid="{ADA0A223-F20B-49B9-9929-9DCB31A1BED7}"/>
    <cellStyle name="Normal GHG whole table 3 3 2 46" xfId="20358" xr:uid="{647525D7-EDE3-4989-A3CA-2BFEEF173D54}"/>
    <cellStyle name="Normal GHG whole table 3 3 2 47" xfId="22705" xr:uid="{83F094DE-9B5D-4330-9CC1-715CD7018113}"/>
    <cellStyle name="Normal GHG whole table 3 3 2 48" xfId="20419" xr:uid="{D8F70357-AEFF-4092-BC01-E071CBE41F60}"/>
    <cellStyle name="Normal GHG whole table 3 3 2 49" xfId="23936" xr:uid="{F8E05576-F61D-4C1F-BF35-939A904DE944}"/>
    <cellStyle name="Normal GHG whole table 3 3 2 5" xfId="1982" xr:uid="{B945AE67-4573-4FC5-B398-12130F898484}"/>
    <cellStyle name="Normal GHG whole table 3 3 2 50" xfId="24844" xr:uid="{87F0F204-2E92-4CD1-899B-8C75E4CAFB85}"/>
    <cellStyle name="Normal GHG whole table 3 3 2 51" xfId="24556" xr:uid="{14EF67F6-2016-44B7-A5CF-8B21A56DD1BA}"/>
    <cellStyle name="Normal GHG whole table 3 3 2 52" xfId="25760" xr:uid="{FBABF81D-B2A2-46FB-9E32-19F3677040A8}"/>
    <cellStyle name="Normal GHG whole table 3 3 2 53" xfId="25403" xr:uid="{A22A5E8D-5749-492B-943A-60C5D13E6E5B}"/>
    <cellStyle name="Normal GHG whole table 3 3 2 54" xfId="25271" xr:uid="{12D8235B-EEE0-4BEF-8A98-6F55820F3292}"/>
    <cellStyle name="Normal GHG whole table 3 3 2 55" xfId="27048" xr:uid="{03AE40F9-8A07-491F-A065-F6DB6B5517FA}"/>
    <cellStyle name="Normal GHG whole table 3 3 2 56" xfId="27467" xr:uid="{87449E16-A799-42AA-AABA-C046363BB0E4}"/>
    <cellStyle name="Normal GHG whole table 3 3 2 57" xfId="24301" xr:uid="{BBB40110-8C24-478B-9203-6327C5F71C68}"/>
    <cellStyle name="Normal GHG whole table 3 3 2 58" xfId="28594" xr:uid="{949A3F70-909E-41C3-8936-8AAAA511DF95}"/>
    <cellStyle name="Normal GHG whole table 3 3 2 59" xfId="29061" xr:uid="{6E434128-3B23-444C-858D-525E939EC7C9}"/>
    <cellStyle name="Normal GHG whole table 3 3 2 6" xfId="3527" xr:uid="{E6047076-186F-4057-A5BD-5D9617D38105}"/>
    <cellStyle name="Normal GHG whole table 3 3 2 60" xfId="28259" xr:uid="{19367090-7959-449F-9507-D9C0C6931F6D}"/>
    <cellStyle name="Normal GHG whole table 3 3 2 61" xfId="29850" xr:uid="{AB7B34B1-12D6-4AD7-954E-59B167149F59}"/>
    <cellStyle name="Normal GHG whole table 3 3 2 62" xfId="30256" xr:uid="{113F5BB3-FE4F-41B5-8E79-EBA68CD50B4A}"/>
    <cellStyle name="Normal GHG whole table 3 3 2 63" xfId="30673" xr:uid="{A3E7BD52-CD30-4DE4-90DC-4E6117765D0E}"/>
    <cellStyle name="Normal GHG whole table 3 3 2 64" xfId="29353" xr:uid="{F0F012BC-A8C9-4CC4-BC9F-B3014446E372}"/>
    <cellStyle name="Normal GHG whole table 3 3 2 65" xfId="31289" xr:uid="{DF25AB09-323D-47A2-A025-88E960A00093}"/>
    <cellStyle name="Normal GHG whole table 3 3 2 7" xfId="4072" xr:uid="{61E09FD1-EF3F-4268-81AF-4BF4EC7EF700}"/>
    <cellStyle name="Normal GHG whole table 3 3 2 8" xfId="4509" xr:uid="{BAD3FD7E-C582-4F63-B5B7-44902F6B6344}"/>
    <cellStyle name="Normal GHG whole table 3 3 2 9" xfId="4237" xr:uid="{2FB32593-C084-4B15-A5DD-6A9933E1D256}"/>
    <cellStyle name="Normal GHG whole table 3 3 20" xfId="10004" xr:uid="{8ED42B2D-F6D2-422D-A3CF-32748EDA36C2}"/>
    <cellStyle name="Normal GHG whole table 3 3 21" xfId="10429" xr:uid="{5552D858-FA5C-4C56-BF5B-B2F833FABBD9}"/>
    <cellStyle name="Normal GHG whole table 3 3 22" xfId="10903" xr:uid="{7951757F-F459-48BE-817E-74253C109928}"/>
    <cellStyle name="Normal GHG whole table 3 3 23" xfId="11202" xr:uid="{896F0500-E9D0-421F-BE54-F1363B0DACDF}"/>
    <cellStyle name="Normal GHG whole table 3 3 24" xfId="11892" xr:uid="{E48D3889-975A-428B-A367-14D32AE0F7FD}"/>
    <cellStyle name="Normal GHG whole table 3 3 25" xfId="12365" xr:uid="{D0B0FC84-D2C9-40C2-AADE-7495161662D5}"/>
    <cellStyle name="Normal GHG whole table 3 3 26" xfId="12799" xr:uid="{8C491495-8D18-41A2-80E7-CE9CE32F5848}"/>
    <cellStyle name="Normal GHG whole table 3 3 27" xfId="13236" xr:uid="{47A90FFD-1248-4B7A-8C16-14E86BD0AAAF}"/>
    <cellStyle name="Normal GHG whole table 3 3 28" xfId="11347" xr:uid="{B2795E25-CA83-42BE-96E9-C41ADEF83AE1}"/>
    <cellStyle name="Normal GHG whole table 3 3 29" xfId="14254" xr:uid="{D509CD40-4F61-4F65-9078-61BD5C910B07}"/>
    <cellStyle name="Normal GHG whole table 3 3 3" xfId="1022" xr:uid="{8CCAD51D-A7B5-4E66-BA04-374BFFCFCAF0}"/>
    <cellStyle name="Normal GHG whole table 3 3 30" xfId="14745" xr:uid="{E0A607A2-FC3E-47A5-8ED2-2B9859DDDA6D}"/>
    <cellStyle name="Normal GHG whole table 3 3 31" xfId="14974" xr:uid="{37DA4E76-2933-4DE7-AE9D-C3578323F2F5}"/>
    <cellStyle name="Normal GHG whole table 3 3 32" xfId="15502" xr:uid="{B54337DB-5BB3-4478-B8B6-F4C7448F3A2E}"/>
    <cellStyle name="Normal GHG whole table 3 3 33" xfId="15859" xr:uid="{42E102FA-7CB2-4BD3-88E3-6B6F1B35F1E7}"/>
    <cellStyle name="Normal GHG whole table 3 3 34" xfId="16584" xr:uid="{D155BEFF-7671-445D-9DC0-0611A2F328E9}"/>
    <cellStyle name="Normal GHG whole table 3 3 35" xfId="17120" xr:uid="{282A9D45-429A-4F4C-9855-CF1D952831A8}"/>
    <cellStyle name="Normal GHG whole table 3 3 36" xfId="17567" xr:uid="{BD4C63FD-083B-4150-9F38-2DEA9A7E4A38}"/>
    <cellStyle name="Normal GHG whole table 3 3 37" xfId="16537" xr:uid="{4C8FC5CE-16E1-48AB-B160-479AE04893B0}"/>
    <cellStyle name="Normal GHG whole table 3 3 38" xfId="18402" xr:uid="{F72B37B2-A4F4-483D-B2A0-2549B86FA0FE}"/>
    <cellStyle name="Normal GHG whole table 3 3 39" xfId="18883" xr:uid="{0CA2216A-FAED-46A3-B18C-102B5AF3D2CF}"/>
    <cellStyle name="Normal GHG whole table 3 3 4" xfId="1679" xr:uid="{9AE499C6-2053-4D5D-9CAC-D43649DF2EEB}"/>
    <cellStyle name="Normal GHG whole table 3 3 40" xfId="19286" xr:uid="{AAA3131B-95EE-4BB7-BC67-7A2F8D01D7D3}"/>
    <cellStyle name="Normal GHG whole table 3 3 41" xfId="19921" xr:uid="{7DB8DEAC-7A1A-499A-99DD-C612959CDD09}"/>
    <cellStyle name="Normal GHG whole table 3 3 42" xfId="20473" xr:uid="{9E49AD91-7D55-4768-8D79-80425C638ED2}"/>
    <cellStyle name="Normal GHG whole table 3 3 43" xfId="20926" xr:uid="{135EFA94-43C8-456C-B118-655BF18C35E8}"/>
    <cellStyle name="Normal GHG whole table 3 3 44" xfId="21551" xr:uid="{7BE93A31-7656-4CF5-94C8-2BC876174473}"/>
    <cellStyle name="Normal GHG whole table 3 3 45" xfId="21855" xr:uid="{50FE2AC6-CF0B-4363-BCC6-D98E84E57283}"/>
    <cellStyle name="Normal GHG whole table 3 3 46" xfId="22292" xr:uid="{DC021DFC-31D2-43E9-81B1-971F81048EF6}"/>
    <cellStyle name="Normal GHG whole table 3 3 47" xfId="22239" xr:uid="{E973E4E3-E7BB-4B42-93DD-389592CDFB11}"/>
    <cellStyle name="Normal GHG whole table 3 3 48" xfId="23158" xr:uid="{2487A8EA-E7D8-4621-B094-3EB5F4305D3B}"/>
    <cellStyle name="Normal GHG whole table 3 3 49" xfId="23471" xr:uid="{A9EF6821-A31D-4352-AC80-BA9A4AE08D38}"/>
    <cellStyle name="Normal GHG whole table 3 3 5" xfId="2361" xr:uid="{B8041CEF-D0D0-43B8-B443-57A2B54D9329}"/>
    <cellStyle name="Normal GHG whole table 3 3 50" xfId="23730" xr:uid="{3E3821A9-8784-460F-92EC-DA4D8F897754}"/>
    <cellStyle name="Normal GHG whole table 3 3 51" xfId="24629" xr:uid="{7BAECAF8-4A98-43F2-AC8F-9AD67545B5BB}"/>
    <cellStyle name="Normal GHG whole table 3 3 52" xfId="25181" xr:uid="{19724ECE-B24C-4F7F-957B-069E22E5620E}"/>
    <cellStyle name="Normal GHG whole table 3 3 53" xfId="25547" xr:uid="{9B36B62C-D680-43CE-910E-4A72BAEACE2B}"/>
    <cellStyle name="Normal GHG whole table 3 3 54" xfId="24338" xr:uid="{A2F9030C-D7BE-40D0-9978-843744C252D8}"/>
    <cellStyle name="Normal GHG whole table 3 3 55" xfId="26716" xr:uid="{4550AD7E-C311-48D2-BBC6-70F13ADD7472}"/>
    <cellStyle name="Normal GHG whole table 3 3 56" xfId="26837" xr:uid="{E3E5912A-631C-48BE-8F8B-8D3DCB6E2E95}"/>
    <cellStyle name="Normal GHG whole table 3 3 57" xfId="27256" xr:uid="{CD9E8D7C-CAFB-4D0C-9BA2-B45CFD175214}"/>
    <cellStyle name="Normal GHG whole table 3 3 58" xfId="27753" xr:uid="{9B8945FA-046D-4EAD-9A5D-1ED720D9D313}"/>
    <cellStyle name="Normal GHG whole table 3 3 59" xfId="28379" xr:uid="{E0D55589-73F0-49F1-BDAD-6453004FD48A}"/>
    <cellStyle name="Normal GHG whole table 3 3 6" xfId="2714" xr:uid="{059025EC-167D-4C76-BE78-E09088297CE3}"/>
    <cellStyle name="Normal GHG whole table 3 3 60" xfId="28847" xr:uid="{8BE058E1-B027-4B8B-93A0-ABD7456D3150}"/>
    <cellStyle name="Normal GHG whole table 3 3 61" xfId="29328" xr:uid="{0736A528-A8FA-4DEC-A47D-12658C2250F8}"/>
    <cellStyle name="Normal GHG whole table 3 3 62" xfId="29637" xr:uid="{C9F6AB08-4197-49CE-97E9-AD46F5029C9C}"/>
    <cellStyle name="Normal GHG whole table 3 3 63" xfId="30045" xr:uid="{8D5B545C-9028-401B-A7CC-779749FD06CD}"/>
    <cellStyle name="Normal GHG whole table 3 3 64" xfId="30459" xr:uid="{50D718FE-87B2-4F46-A9A0-061F40A16D7C}"/>
    <cellStyle name="Normal GHG whole table 3 3 65" xfId="30894" xr:uid="{14E402DD-3DAD-4F1A-82CC-3DD6E1586819}"/>
    <cellStyle name="Normal GHG whole table 3 3 66" xfId="31083" xr:uid="{ABD7DE3D-3B8A-4F15-8F32-99DEB51239AA}"/>
    <cellStyle name="Normal GHG whole table 3 3 7" xfId="3391" xr:uid="{373959E8-7F59-43C5-9E75-17C6EB515E81}"/>
    <cellStyle name="Normal GHG whole table 3 3 8" xfId="3857" xr:uid="{69E2143F-5086-4A81-B5C5-F7C236CF656E}"/>
    <cellStyle name="Normal GHG whole table 3 3 9" xfId="4295" xr:uid="{39CF1B73-6EDA-4BB5-95FD-9F89748A2E13}"/>
    <cellStyle name="Normal GHG whole table 3 30" xfId="13152" xr:uid="{CA2EF486-7FE6-401E-A835-B9FA81211DE5}"/>
    <cellStyle name="Normal GHG whole table 3 31" xfId="11776" xr:uid="{FD8CB7FF-0462-41CD-9657-87095F76D007}"/>
    <cellStyle name="Normal GHG whole table 3 32" xfId="11681" xr:uid="{9BF9C5BF-B46A-4C04-9BDC-7D49A38F8AD9}"/>
    <cellStyle name="Normal GHG whole table 3 33" xfId="13197" xr:uid="{2A56937C-FDF7-4C88-BEA8-35A1732A3900}"/>
    <cellStyle name="Normal GHG whole table 3 34" xfId="14333" xr:uid="{BB243AF5-EAA1-44E2-A72D-A15C175B524B}"/>
    <cellStyle name="Normal GHG whole table 3 35" xfId="14069" xr:uid="{B6ADFAB6-0E5F-4171-97BF-338DDC505EAE}"/>
    <cellStyle name="Normal GHG whole table 3 36" xfId="16332" xr:uid="{4636A11D-A844-4031-B63E-7E6F27B14311}"/>
    <cellStyle name="Normal GHG whole table 3 37" xfId="16045" xr:uid="{5A2EE4F4-208F-4A78-A1A5-3BECD94332FA}"/>
    <cellStyle name="Normal GHG whole table 3 38" xfId="17064" xr:uid="{FC634E73-AC44-46A2-A188-6017915808E5}"/>
    <cellStyle name="Normal GHG whole table 3 39" xfId="16994" xr:uid="{84A884E0-9AC6-4F3C-A118-C83AB19FAC24}"/>
    <cellStyle name="Normal GHG whole table 3 4" xfId="626" xr:uid="{07226F49-C80F-448A-9ABB-240B76E4F429}"/>
    <cellStyle name="Normal GHG whole table 3 4 10" xfId="4989" xr:uid="{D440C116-4552-47D1-B0F2-8EB3CC0EB78C}"/>
    <cellStyle name="Normal GHG whole table 3 4 11" xfId="5274" xr:uid="{16FE9687-DD5B-4D01-B570-9A2F1DF60023}"/>
    <cellStyle name="Normal GHG whole table 3 4 12" xfId="5904" xr:uid="{555696F9-8352-4EA9-B152-70B3656B180C}"/>
    <cellStyle name="Normal GHG whole table 3 4 13" xfId="6200" xr:uid="{2CBA70DA-AC7A-4661-BC3E-24056A398C6A}"/>
    <cellStyle name="Normal GHG whole table 3 4 14" xfId="6534" xr:uid="{8DDF0588-3416-43DC-8FE7-80DC5045E43C}"/>
    <cellStyle name="Normal GHG whole table 3 4 15" xfId="7346" xr:uid="{4C04F09C-AB55-445F-90DF-8B98E3451BEB}"/>
    <cellStyle name="Normal GHG whole table 3 4 16" xfId="7776" xr:uid="{8980B398-1E50-456D-B41C-F9F35B55A316}"/>
    <cellStyle name="Normal GHG whole table 3 4 17" xfId="8214" xr:uid="{E8DA16E6-F26E-44CC-B300-0EE6128CECB5}"/>
    <cellStyle name="Normal GHG whole table 3 4 18" xfId="7953" xr:uid="{1B377AC8-4954-4991-831A-EE70FCAC18FA}"/>
    <cellStyle name="Normal GHG whole table 3 4 19" xfId="9560" xr:uid="{FAB9787A-4C58-49E1-9A13-8A85A94CEC5F}"/>
    <cellStyle name="Normal GHG whole table 3 4 2" xfId="841" xr:uid="{B869D408-CC5F-4F12-9F06-A3A013F7F99A}"/>
    <cellStyle name="Normal GHG whole table 3 4 2 10" xfId="5489" xr:uid="{A0D7D54B-CEC7-4139-B566-C49E4520AE7F}"/>
    <cellStyle name="Normal GHG whole table 3 4 2 11" xfId="5898" xr:uid="{58384B67-0E0A-458E-AA96-A9926389ECAE}"/>
    <cellStyle name="Normal GHG whole table 3 4 2 12" xfId="4673" xr:uid="{9A914833-5A8D-4130-A6AD-3BA8301A898D}"/>
    <cellStyle name="Normal GHG whole table 3 4 2 13" xfId="6599" xr:uid="{A95BC7C6-E7CE-415F-AD91-483349F119D1}"/>
    <cellStyle name="Normal GHG whole table 3 4 2 14" xfId="7561" xr:uid="{7642245C-1D1A-462D-93CB-5D9C1A7ED136}"/>
    <cellStyle name="Normal GHG whole table 3 4 2 15" xfId="7202" xr:uid="{96A8FA75-6926-44F6-9080-91C0838CCAEE}"/>
    <cellStyle name="Normal GHG whole table 3 4 2 16" xfId="8473" xr:uid="{67319840-B76D-4599-8F13-B9468DEB277A}"/>
    <cellStyle name="Normal GHG whole table 3 4 2 17" xfId="6762" xr:uid="{7FC5D9BD-69F0-4474-AAF8-2760F1340A1C}"/>
    <cellStyle name="Normal GHG whole table 3 4 2 18" xfId="9775" xr:uid="{28B4C105-FD89-40C2-916A-53B7BEF380EB}"/>
    <cellStyle name="Normal GHG whole table 3 4 2 19" xfId="9415" xr:uid="{EE5B7075-D221-4D70-80E6-DBD975A27C9F}"/>
    <cellStyle name="Normal GHG whole table 3 4 2 2" xfId="1315" xr:uid="{183F6832-C70F-4581-A11E-73B056E21FF5}"/>
    <cellStyle name="Normal GHG whole table 3 4 2 20" xfId="9353" xr:uid="{BC9E3118-DDE4-4F6F-A576-9F3C3FD79935}"/>
    <cellStyle name="Normal GHG whole table 3 4 2 21" xfId="9131" xr:uid="{E9054D50-EA8B-4E52-90C0-DB62B9A246B4}"/>
    <cellStyle name="Normal GHG whole table 3 4 2 22" xfId="10076" xr:uid="{C01B3895-9D26-4739-8463-406EDFE6486C}"/>
    <cellStyle name="Normal GHG whole table 3 4 2 23" xfId="12194" xr:uid="{CC47B588-1A56-41EE-9AB8-7BDAFC63C212}"/>
    <cellStyle name="Normal GHG whole table 3 4 2 24" xfId="12667" xr:uid="{197EC3DC-BEE7-4B6A-BDE5-DDD76015F1D0}"/>
    <cellStyle name="Normal GHG whole table 3 4 2 25" xfId="13101" xr:uid="{744C4A0A-2270-409E-8D74-694696F558EC}"/>
    <cellStyle name="Normal GHG whole table 3 4 2 26" xfId="13538" xr:uid="{5DE46432-461E-48A6-A688-455E0006AA4D}"/>
    <cellStyle name="Normal GHG whole table 3 4 2 27" xfId="13898" xr:uid="{1D1B0C37-FDA2-490A-BD94-630D39D33C8F}"/>
    <cellStyle name="Normal GHG whole table 3 4 2 28" xfId="13862" xr:uid="{5A1A1015-EA6A-457A-B9B1-2B74620800BA}"/>
    <cellStyle name="Normal GHG whole table 3 4 2 29" xfId="14390" xr:uid="{C09E8068-4495-4EA6-879E-D5A8B5EE0B1A}"/>
    <cellStyle name="Normal GHG whole table 3 4 2 3" xfId="1764" xr:uid="{1C0FF120-CCAC-4F30-9310-1D0A7786F345}"/>
    <cellStyle name="Normal GHG whole table 3 4 2 30" xfId="14786" xr:uid="{0BEBC89B-25BF-4231-972E-B1BF88AD7579}"/>
    <cellStyle name="Normal GHG whole table 3 4 2 31" xfId="15423" xr:uid="{75F36AED-2A67-439E-8CB2-45FCE4C427AA}"/>
    <cellStyle name="Normal GHG whole table 3 4 2 32" xfId="14720" xr:uid="{F9A8770B-7EE4-4E03-BFF6-9D54A7493A5E}"/>
    <cellStyle name="Normal GHG whole table 3 4 2 33" xfId="16886" xr:uid="{EA9F8B7D-3F8F-4EBA-98BB-B7A9CD443939}"/>
    <cellStyle name="Normal GHG whole table 3 4 2 34" xfId="16524" xr:uid="{B1B7E295-B924-4BA5-A105-BA9965078A60}"/>
    <cellStyle name="Normal GHG whole table 3 4 2 35" xfId="16171" xr:uid="{AD53C997-397E-47FE-9ED5-F7C2F3653168}"/>
    <cellStyle name="Normal GHG whole table 3 4 2 36" xfId="17455" xr:uid="{6E2F8FDE-44E2-4AB4-B14C-686A50D263EA}"/>
    <cellStyle name="Normal GHG whole table 3 4 2 37" xfId="18704" xr:uid="{F8D469FD-0BA9-4597-A6EB-3CADBE48C843}"/>
    <cellStyle name="Normal GHG whole table 3 4 2 38" xfId="18349" xr:uid="{FBEF96B3-B664-400D-B5B7-9EACFEDD3E70}"/>
    <cellStyle name="Normal GHG whole table 3 4 2 39" xfId="19288" xr:uid="{92E29539-740B-4586-91CE-B36363FF46D2}"/>
    <cellStyle name="Normal GHG whole table 3 4 2 4" xfId="2663" xr:uid="{6090D974-3F4E-46FD-B27C-824FFA963474}"/>
    <cellStyle name="Normal GHG whole table 3 4 2 40" xfId="20223" xr:uid="{24F1D7A1-2A34-4138-B646-813540771E5D}"/>
    <cellStyle name="Normal GHG whole table 3 4 2 41" xfId="19860" xr:uid="{B7E5F8AA-4D7C-4EED-B350-568315522AE0}"/>
    <cellStyle name="Normal GHG whole table 3 4 2 42" xfId="20408" xr:uid="{ED7EEF6A-2BE0-4105-A58B-EA03FE8D4779}"/>
    <cellStyle name="Normal GHG whole table 3 4 2 43" xfId="21196" xr:uid="{7C42870C-41AF-4A3C-9092-68BA3E407E32}"/>
    <cellStyle name="Normal GHG whole table 3 4 2 44" xfId="21407" xr:uid="{A6D44FD2-8168-4442-9FD1-FD083718747F}"/>
    <cellStyle name="Normal GHG whole table 3 4 2 45" xfId="20567" xr:uid="{B34F7D4D-F3DC-4BC2-BD2E-296E3E692566}"/>
    <cellStyle name="Normal GHG whole table 3 4 2 46" xfId="22878" xr:uid="{0E452006-5EA0-414E-B63B-5BDC275CC441}"/>
    <cellStyle name="Normal GHG whole table 3 4 2 47" xfId="22424" xr:uid="{E4907A4B-F1E9-4B1A-A336-F3DC957007C8}"/>
    <cellStyle name="Normal GHG whole table 3 4 2 48" xfId="23544" xr:uid="{8B9F7FCF-8164-4DE5-853D-C37A70A46AE2}"/>
    <cellStyle name="Normal GHG whole table 3 4 2 49" xfId="24023" xr:uid="{1561655D-1D08-4CA2-B772-BC3BD0F32C06}"/>
    <cellStyle name="Normal GHG whole table 3 4 2 5" xfId="3066" xr:uid="{24C7231D-C748-4208-A7BD-2FB6942FCCF0}"/>
    <cellStyle name="Normal GHG whole table 3 4 2 50" xfId="24931" xr:uid="{7A55850D-E307-4BC8-A62A-2E5D9B4BEE35}"/>
    <cellStyle name="Normal GHG whole table 3 4 2 51" xfId="24560" xr:uid="{8C1678DF-9EE6-415E-A1F7-59DE818B0915}"/>
    <cellStyle name="Normal GHG whole table 3 4 2 52" xfId="25847" xr:uid="{FA164058-87ED-473C-95A4-6393ACCED074}"/>
    <cellStyle name="Normal GHG whole table 3 4 2 53" xfId="26246" xr:uid="{033CA46B-DD28-48D1-A31F-4C2DD33AAEBD}"/>
    <cellStyle name="Normal GHG whole table 3 4 2 54" xfId="26414" xr:uid="{215A0A71-877A-45BF-83E0-1429E00B77C8}"/>
    <cellStyle name="Normal GHG whole table 3 4 2 55" xfId="27135" xr:uid="{10BC9150-89CA-4484-B8DA-644F25E147BE}"/>
    <cellStyle name="Normal GHG whole table 3 4 2 56" xfId="27554" xr:uid="{7B4904C6-576E-4132-BC58-9AD819003868}"/>
    <cellStyle name="Normal GHG whole table 3 4 2 57" xfId="27799" xr:uid="{F478F5EF-4904-4C90-A434-14CE386D0DED}"/>
    <cellStyle name="Normal GHG whole table 3 4 2 58" xfId="28681" xr:uid="{90C76D82-ECC2-45DB-AB64-23E073DDAC0E}"/>
    <cellStyle name="Normal GHG whole table 3 4 2 59" xfId="29148" xr:uid="{48CF28EB-5007-4D27-8E1C-522C313900E4}"/>
    <cellStyle name="Normal GHG whole table 3 4 2 6" xfId="3654" xr:uid="{46E259CC-F9D7-4A07-A68F-E99EEF51A5D4}"/>
    <cellStyle name="Normal GHG whole table 3 4 2 60" xfId="28010" xr:uid="{F2699565-ABBF-4FDD-97F8-BA45E970119B}"/>
    <cellStyle name="Normal GHG whole table 3 4 2 61" xfId="29937" xr:uid="{F67184E1-7545-458F-8EAD-6924C5EAC8DA}"/>
    <cellStyle name="Normal GHG whole table 3 4 2 62" xfId="30343" xr:uid="{D20E92CC-05E1-44D5-90B4-657F7BAC181E}"/>
    <cellStyle name="Normal GHG whole table 3 4 2 63" xfId="30760" xr:uid="{3165C987-F263-400C-81D4-2BF81FD9292B}"/>
    <cellStyle name="Normal GHG whole table 3 4 2 64" xfId="27923" xr:uid="{69494D31-53C2-4237-9D66-A8C4F07306C7}"/>
    <cellStyle name="Normal GHG whole table 3 4 2 65" xfId="31376" xr:uid="{56CD8138-4295-42D3-B196-5E119705B514}"/>
    <cellStyle name="Normal GHG whole table 3 4 2 7" xfId="4159" xr:uid="{1EA66413-7722-4719-A4E4-4629FE9BAD06}"/>
    <cellStyle name="Normal GHG whole table 3 4 2 8" xfId="4596" xr:uid="{BC89A483-F764-4863-A56F-661FB15581ED}"/>
    <cellStyle name="Normal GHG whole table 3 4 2 9" xfId="4248" xr:uid="{999D9C84-97F3-4DA9-9173-7D2BD87B1648}"/>
    <cellStyle name="Normal GHG whole table 3 4 20" xfId="9989" xr:uid="{F45D0622-7EF5-45F1-A01F-D59A78F3FFF3}"/>
    <cellStyle name="Normal GHG whole table 3 4 21" xfId="10414" xr:uid="{F6B65A95-73BC-44D8-B1C5-81B4F8D7DA81}"/>
    <cellStyle name="Normal GHG whole table 3 4 22" xfId="10064" xr:uid="{8022C988-9C16-4E25-AEFF-2997BE108EF1}"/>
    <cellStyle name="Normal GHG whole table 3 4 23" xfId="11123" xr:uid="{76CC96C4-1639-4137-9E5B-7D1FB519E951}"/>
    <cellStyle name="Normal GHG whole table 3 4 24" xfId="11979" xr:uid="{5E11AA79-4CB7-4CDE-9444-D604DA9B1FBD}"/>
    <cellStyle name="Normal GHG whole table 3 4 25" xfId="12452" xr:uid="{D31FFC9F-8B79-4A3A-9FEC-8F0D6245C953}"/>
    <cellStyle name="Normal GHG whole table 3 4 26" xfId="12886" xr:uid="{B329D47D-9E96-49BC-B58F-0CC00676A173}"/>
    <cellStyle name="Normal GHG whole table 3 4 27" xfId="13323" xr:uid="{947050C7-EF91-4DA6-A7A6-AF3892CAFAC8}"/>
    <cellStyle name="Normal GHG whole table 3 4 28" xfId="12726" xr:uid="{7621B244-9C78-4530-A065-601E5B7B14C1}"/>
    <cellStyle name="Normal GHG whole table 3 4 29" xfId="14204" xr:uid="{F6CF0CE2-13F2-4A76-AC19-6DE8302FD8B4}"/>
    <cellStyle name="Normal GHG whole table 3 4 3" xfId="1109" xr:uid="{2B4328EE-03AA-46F5-B444-90986CAD5BB4}"/>
    <cellStyle name="Normal GHG whole table 3 4 30" xfId="14599" xr:uid="{5526CF1A-AC4D-4B0C-A566-2D229DAAB43D}"/>
    <cellStyle name="Normal GHG whole table 3 4 31" xfId="15082" xr:uid="{E6DE8E40-23AF-4030-89F3-2B5024416D43}"/>
    <cellStyle name="Normal GHG whole table 3 4 32" xfId="14954" xr:uid="{630EED3B-9954-4922-9870-16271F034ADF}"/>
    <cellStyle name="Normal GHG whole table 3 4 33" xfId="15845" xr:uid="{DAD585C1-38B5-4FC8-A44F-DA435294D718}"/>
    <cellStyle name="Normal GHG whole table 3 4 34" xfId="16671" xr:uid="{D45338A2-84C4-4C60-95AB-7254A311CE5B}"/>
    <cellStyle name="Normal GHG whole table 3 4 35" xfId="17105" xr:uid="{E0B3E2D0-73F8-4107-8556-5BD76FF170B7}"/>
    <cellStyle name="Normal GHG whole table 3 4 36" xfId="17552" xr:uid="{907A5BD4-B4B3-4425-8F8E-92CBF747D0B7}"/>
    <cellStyle name="Normal GHG whole table 3 4 37" xfId="16054" xr:uid="{290CBE80-0895-4C59-B52C-4F088FC82FD8}"/>
    <cellStyle name="Normal GHG whole table 3 4 38" xfId="18489" xr:uid="{1EDFB7FC-35DA-4415-A3DC-13E02D58FA86}"/>
    <cellStyle name="Normal GHG whole table 3 4 39" xfId="18032" xr:uid="{A195BDE6-2B11-4A52-A20A-86843DF16375}"/>
    <cellStyle name="Normal GHG whole table 3 4 4" xfId="1410" xr:uid="{8435E13A-F676-48FA-ADF4-33E7848AB0DB}"/>
    <cellStyle name="Normal GHG whole table 3 4 40" xfId="17450" xr:uid="{D77ADE88-6B47-436F-8B55-04202B55AD80}"/>
    <cellStyle name="Normal GHG whole table 3 4 41" xfId="20008" xr:uid="{52B3DBE9-B968-4059-B01E-ACEC2B018D50}"/>
    <cellStyle name="Normal GHG whole table 3 4 42" xfId="20458" xr:uid="{68E5F1DA-A4B9-4D1D-8D2C-240E8525A392}"/>
    <cellStyle name="Normal GHG whole table 3 4 43" xfId="20911" xr:uid="{C2E339CF-9F8B-4731-8CAD-A0790B0F33BC}"/>
    <cellStyle name="Normal GHG whole table 3 4 44" xfId="20877" xr:uid="{B6F1F24F-0351-4C6E-A41F-94BBC14F0DEC}"/>
    <cellStyle name="Normal GHG whole table 3 4 45" xfId="21840" xr:uid="{941303F4-DCD8-435E-BEAF-7BA67C6355DD}"/>
    <cellStyle name="Normal GHG whole table 3 4 46" xfId="22277" xr:uid="{965B7A1C-207E-42B0-9A8E-158A433F8D76}"/>
    <cellStyle name="Normal GHG whole table 3 4 47" xfId="20414" xr:uid="{A7A59435-31A9-4FA2-B1E4-8BE1635E3656}"/>
    <cellStyle name="Normal GHG whole table 3 4 48" xfId="22263" xr:uid="{60974FC4-453A-4D0F-B2D5-CDCD6DECE69B}"/>
    <cellStyle name="Normal GHG whole table 3 4 49" xfId="22923" xr:uid="{FFC13A95-A638-4481-A8BC-5745C159CFF7}"/>
    <cellStyle name="Normal GHG whole table 3 4 5" xfId="2448" xr:uid="{5D7EA836-4761-4558-82FC-BF76D95940C9}"/>
    <cellStyle name="Normal GHG whole table 3 4 50" xfId="23817" xr:uid="{47005E23-CEDB-42CE-BD7C-F31B0588D267}"/>
    <cellStyle name="Normal GHG whole table 3 4 51" xfId="24716" xr:uid="{8363C87C-F9B7-4D4B-9F6F-4A4922F0205A}"/>
    <cellStyle name="Normal GHG whole table 3 4 52" xfId="25166" xr:uid="{5AB5E72D-14D2-4F52-9E5A-9968BF217C46}"/>
    <cellStyle name="Normal GHG whole table 3 4 53" xfId="25634" xr:uid="{7B98F02B-933D-4A1F-B863-1550B5295C25}"/>
    <cellStyle name="Normal GHG whole table 3 4 54" xfId="25003" xr:uid="{10063126-BBFA-4B9E-8D02-4F910D87A912}"/>
    <cellStyle name="Normal GHG whole table 3 4 55" xfId="24584" xr:uid="{28675279-DF9F-4909-A892-2E1E9B7033E9}"/>
    <cellStyle name="Normal GHG whole table 3 4 56" xfId="26924" xr:uid="{3356C097-6FD9-42E4-A1D1-555DC07352DD}"/>
    <cellStyle name="Normal GHG whole table 3 4 57" xfId="27343" xr:uid="{EB93E0CB-501F-4BA8-B697-E82B79A17E64}"/>
    <cellStyle name="Normal GHG whole table 3 4 58" xfId="27665" xr:uid="{69FDB7CE-6B5F-4F3A-8796-2C3092A59CC1}"/>
    <cellStyle name="Normal GHG whole table 3 4 59" xfId="28466" xr:uid="{8747A30B-6A81-4CFD-B4EF-5A25F2213468}"/>
    <cellStyle name="Normal GHG whole table 3 4 6" xfId="2516" xr:uid="{2632E864-412B-4B40-9362-AB8CA334601E}"/>
    <cellStyle name="Normal GHG whole table 3 4 60" xfId="28934" xr:uid="{1DDF1AFE-87AC-457C-A70F-B9620C040EFB}"/>
    <cellStyle name="Normal GHG whole table 3 4 61" xfId="29313" xr:uid="{32B50249-E113-4139-B491-4118938C2A84}"/>
    <cellStyle name="Normal GHG whole table 3 4 62" xfId="29724" xr:uid="{9AE00C0C-5BC5-4724-BF9F-8C7AE2917C9C}"/>
    <cellStyle name="Normal GHG whole table 3 4 63" xfId="30132" xr:uid="{DEC00386-5745-4F42-9245-5A70F99CBB20}"/>
    <cellStyle name="Normal GHG whole table 3 4 64" xfId="30546" xr:uid="{531F7469-7527-4F6B-BB14-1CE0EF3397D9}"/>
    <cellStyle name="Normal GHG whole table 3 4 65" xfId="30863" xr:uid="{1A2E099D-FCAE-40BF-8561-7516A43C23D4}"/>
    <cellStyle name="Normal GHG whole table 3 4 66" xfId="31170" xr:uid="{6B870EAD-7435-4195-ADD5-21ADEF56DD0F}"/>
    <cellStyle name="Normal GHG whole table 3 4 7" xfId="2258" xr:uid="{7C98643C-B432-40CD-BC85-204C4AC9FFED}"/>
    <cellStyle name="Normal GHG whole table 3 4 8" xfId="3944" xr:uid="{8AB422DD-8F93-49C6-9EE1-2C1FAF6DD2E4}"/>
    <cellStyle name="Normal GHG whole table 3 4 9" xfId="4382" xr:uid="{82282249-7C0A-4F08-B33E-F6C36629747F}"/>
    <cellStyle name="Normal GHG whole table 3 40" xfId="18222" xr:uid="{2DC8F104-8BEF-44E7-A0A9-8464C7337DA1}"/>
    <cellStyle name="Normal GHG whole table 3 41" xfId="18140" xr:uid="{100A2462-4198-4A0E-9388-A959E1A0B642}"/>
    <cellStyle name="Normal GHG whole table 3 42" xfId="18346" xr:uid="{268121A4-D06C-4F86-ABE8-E80DD6B9EDBC}"/>
    <cellStyle name="Normal GHG whole table 3 43" xfId="19665" xr:uid="{F4A7CF5F-99B0-4050-8A9D-91D9AC499045}"/>
    <cellStyle name="Normal GHG whole table 3 44" xfId="19576" xr:uid="{3DB98567-C46F-41A5-9CE5-8023612C9BF9}"/>
    <cellStyle name="Normal GHG whole table 3 45" xfId="20400" xr:uid="{4B972C2B-63FD-413F-9F11-58347591772E}"/>
    <cellStyle name="Normal GHG whole table 3 46" xfId="20778" xr:uid="{8CE12828-AD6F-4557-BFCE-435095590967}"/>
    <cellStyle name="Normal GHG whole table 3 47" xfId="21544" xr:uid="{0FF78D8E-5F2D-493F-89E5-0BEB5637B16D}"/>
    <cellStyle name="Normal GHG whole table 3 48" xfId="21862" xr:uid="{51A57AD7-3877-40D1-A54F-FDB31047636D}"/>
    <cellStyle name="Normal GHG whole table 3 49" xfId="22499" xr:uid="{1064F450-3FAA-4E04-84C9-95FB5E3EAF63}"/>
    <cellStyle name="Normal GHG whole table 3 5" xfId="956" xr:uid="{A8E5C2A9-8689-4450-AE60-1B82E84F1747}"/>
    <cellStyle name="Normal GHG whole table 3 50" xfId="21665" xr:uid="{892BE10B-FBC8-4EFE-8172-11A7D6BFF789}"/>
    <cellStyle name="Normal GHG whole table 3 51" xfId="23137" xr:uid="{D159360D-F9CE-4CD8-866D-6BCD000E7562}"/>
    <cellStyle name="Normal GHG whole table 3 52" xfId="23553" xr:uid="{11FEE14C-9EEB-4C93-A690-489EDE421558}"/>
    <cellStyle name="Normal GHG whole table 3 53" xfId="24385" xr:uid="{2130AFA5-B3D6-4BFB-9B40-B7C6A8764B7F}"/>
    <cellStyle name="Normal GHG whole table 3 54" xfId="25022" xr:uid="{BCE92360-4AF3-4020-B37A-AD9FA4C2B8DC}"/>
    <cellStyle name="Normal GHG whole table 3 55" xfId="24325" xr:uid="{946275E8-AA8F-4E12-978C-524B2E524CC2}"/>
    <cellStyle name="Normal GHG whole table 3 56" xfId="26080" xr:uid="{87A34EC2-7068-488B-8FF9-6D9BBEB6960B}"/>
    <cellStyle name="Normal GHG whole table 3 57" xfId="26528" xr:uid="{1D391035-C6C7-45D7-B120-5C9457394E9C}"/>
    <cellStyle name="Normal GHG whole table 3 58" xfId="26228" xr:uid="{BF508258-0674-4770-A124-6B2DD9629143}"/>
    <cellStyle name="Normal GHG whole table 3 59" xfId="26704" xr:uid="{EFF81AC3-BE4B-48E9-83BA-633AE240BAD7}"/>
    <cellStyle name="Normal GHG whole table 3 6" xfId="1548" xr:uid="{28EDBE02-1E15-4255-BE04-217B69B91E14}"/>
    <cellStyle name="Normal GHG whole table 3 60" xfId="26769" xr:uid="{25F484D0-5A55-4FE9-9881-04748B846BB1}"/>
    <cellStyle name="Normal GHG whole table 3 61" xfId="28156" xr:uid="{C24EFA07-ADAF-412B-AD36-CD63052E59D9}"/>
    <cellStyle name="Normal GHG whole table 3 62" xfId="28264" xr:uid="{FA4D78CB-0812-4D27-8226-EFEEA34F0AB9}"/>
    <cellStyle name="Normal GHG whole table 3 63" xfId="29001" xr:uid="{8FAC8C11-9A5F-4B46-AF7D-D441AFA6615F}"/>
    <cellStyle name="Normal GHG whole table 3 64" xfId="29294" xr:uid="{1D5B0166-D43F-4960-BA34-34C98392014A}"/>
    <cellStyle name="Normal GHG whole table 3 65" xfId="29438" xr:uid="{EBE8350A-3E2A-4EE1-AAF3-FA225E6F219B}"/>
    <cellStyle name="Normal GHG whole table 3 66" xfId="28241" xr:uid="{C05897FD-3BC5-4C14-8B76-7F3AA4EF0C62}"/>
    <cellStyle name="Normal GHG whole table 3 67" xfId="30005" xr:uid="{31493651-3582-45A0-B685-11EB2793FDAD}"/>
    <cellStyle name="Normal GHG whole table 3 68" xfId="30001" xr:uid="{4ADB2D98-9636-49C4-8269-C95A9EEA1E01}"/>
    <cellStyle name="Normal GHG whole table 3 7" xfId="2105" xr:uid="{5606180F-290A-4132-9338-0C264639DD9A}"/>
    <cellStyle name="Normal GHG whole table 3 8" xfId="2266" xr:uid="{842D14B2-F622-4D4D-949D-F32C92C73A56}"/>
    <cellStyle name="Normal GHG whole table 3 9" xfId="3268" xr:uid="{E1E2BFD4-0C91-40AF-83B0-0850BA9DAC39}"/>
    <cellStyle name="Normal GHG whole table 4" xfId="68" xr:uid="{BE712C6F-3DA0-4E15-8A6E-D3FFF50D58B9}"/>
    <cellStyle name="Normal GHG whole table 4 10" xfId="16120" xr:uid="{3C64C5C9-2C8A-4F21-805E-2B796835D933}"/>
    <cellStyle name="Normal GHG whole table 4 11" xfId="19094" xr:uid="{D03ADE32-0922-4373-8051-3DB9D73C4FB6}"/>
    <cellStyle name="Normal GHG whole table 4 12" xfId="19453" xr:uid="{41914856-484E-41EA-B91C-A0BA6F70A57B}"/>
    <cellStyle name="Normal GHG whole table 4 13" xfId="21304" xr:uid="{4DC72CD9-A9EE-493B-BA5F-959FF6C9A636}"/>
    <cellStyle name="Normal GHG whole table 4 14" xfId="24174" xr:uid="{7EA3A404-FA03-4941-A2DD-75F5179468A6}"/>
    <cellStyle name="Normal GHG whole table 4 15" xfId="25190" xr:uid="{BADF3692-910E-4137-9888-FE627BBBD495}"/>
    <cellStyle name="Normal GHG whole table 4 16" xfId="27967" xr:uid="{A5919C9C-20AA-4978-9F61-2E3D5DA4ADC8}"/>
    <cellStyle name="Normal GHG whole table 4 2" xfId="915" xr:uid="{E2618F50-3908-49CF-A3BE-DBD5E7A7BBDF}"/>
    <cellStyle name="Normal GHG whole table 4 3" xfId="1897" xr:uid="{523CE841-B5C2-44D3-A1B5-6A7E756EC262}"/>
    <cellStyle name="Normal GHG whole table 4 4" xfId="2078" xr:uid="{29893556-5559-41AF-A712-A9AE998B3ACD}"/>
    <cellStyle name="Normal GHG whole table 4 5" xfId="3553" xr:uid="{1547F561-35C8-4021-AEB7-6AED793B1329}"/>
    <cellStyle name="Normal GHG whole table 4 6" xfId="6809" xr:uid="{22AD46CB-73ED-4C09-BE34-07E4E48F2B1E}"/>
    <cellStyle name="Normal GHG whole table 4 7" xfId="7414" xr:uid="{717FC8CD-0A4A-4FF4-A3E3-7FD655582876}"/>
    <cellStyle name="Normal GHG whole table 4 8" xfId="9023" xr:uid="{F7D7211E-1058-41E1-BFC0-488BAF7C25DE}"/>
    <cellStyle name="Normal GHG whole table 4 9" xfId="11428" xr:uid="{12D6A80E-5E96-49AC-BF60-DE619E82E750}"/>
    <cellStyle name="Normal GHG-Shade" xfId="12" xr:uid="{9C347DC4-E227-43ED-A8FC-C40C7F49A76A}"/>
    <cellStyle name="Normal GHG-Shade 2" xfId="165" xr:uid="{1BB8E97C-8A71-4A47-BCE5-4E3487476C59}"/>
    <cellStyle name="Normal GHG-Shade 2 2" xfId="166" xr:uid="{802657D4-6DE8-4CEF-BA46-8F3FD43BA75F}"/>
    <cellStyle name="Normal GHG-Shade 2 3" xfId="167" xr:uid="{F83FBB6B-E295-4A10-946E-78E60918AA54}"/>
    <cellStyle name="Normal GHG-Shade 2 4" xfId="197" xr:uid="{309EAA9C-7386-4D06-B6B9-9AEB2C1DEE2B}"/>
    <cellStyle name="Normal GHG-Shade 2 5" xfId="362" xr:uid="{F77A3EEA-D632-47D7-96FC-7FCCDE5C8D53}"/>
    <cellStyle name="Normal GHG-Shade 3" xfId="168" xr:uid="{A06D4B20-72E6-4FD7-8140-721E83CF0C5F}"/>
    <cellStyle name="Normal GHG-Shade 3 2" xfId="169" xr:uid="{9C431CBE-F921-489D-8806-38F986D38394}"/>
    <cellStyle name="Normal GHG-Shade 4" xfId="170" xr:uid="{880685C4-7511-4F95-A96B-01030177BD3B}"/>
    <cellStyle name="Normal GHG-Shade 4 2" xfId="433" xr:uid="{17A41F1D-52A8-4677-A05A-30D819EA2CDE}"/>
    <cellStyle name="Normal GHG-Shade 4 2 2" xfId="2255" xr:uid="{2EB77509-28CD-4BC6-8CFB-DC1361F2C34A}"/>
    <cellStyle name="Normal GHG-Shade 4 3" xfId="1997" xr:uid="{BB20449E-2B5B-4104-8D0F-C39ABFA21521}"/>
    <cellStyle name="Normál_Munka1" xfId="27" xr:uid="{CA219102-694E-4E9D-AA9F-5FC0E0ED51B6}"/>
    <cellStyle name="Note 2" xfId="171" xr:uid="{4F677811-544C-43A9-BA85-0E77EFA3BBC9}"/>
    <cellStyle name="Note 2 10" xfId="3394" xr:uid="{5A183D3D-6FA6-46AF-84E8-DBA6F642DDCE}"/>
    <cellStyle name="Note 2 11" xfId="3436" xr:uid="{A79B9176-0438-4420-A584-7065178F3C41}"/>
    <cellStyle name="Note 2 12" xfId="3042" xr:uid="{0352E0EA-AE54-4880-9911-7A5212ABA244}"/>
    <cellStyle name="Note 2 13" xfId="4685" xr:uid="{12F524E8-7FCB-494A-9367-873810B18AD1}"/>
    <cellStyle name="Note 2 14" xfId="3364" xr:uid="{E84AE43D-1249-4232-852D-C3B038B766A7}"/>
    <cellStyle name="Note 2 15" xfId="5737" xr:uid="{308E8E1E-1AE1-43C6-803C-1DC1A286BC07}"/>
    <cellStyle name="Note 2 16" xfId="6309" xr:uid="{DFFB66CF-C9D4-4611-BD8F-24CA3DD5E9DE}"/>
    <cellStyle name="Note 2 17" xfId="6592" xr:uid="{DB7D4EFF-D924-477B-B46A-D1D881AC5789}"/>
    <cellStyle name="Note 2 18" xfId="6905" xr:uid="{2DD0401E-B960-48B1-97CF-31F689F598BF}"/>
    <cellStyle name="Note 2 19" xfId="7683" xr:uid="{CF1625F0-7CBF-4230-BDE8-14EAF31D6102}"/>
    <cellStyle name="Note 2 2" xfId="561" xr:uid="{2912601A-AF7D-4115-AFF9-837C14631A90}"/>
    <cellStyle name="Note 2 2 10" xfId="3386" xr:uid="{CC4298D5-6C17-45A8-BBDD-43083101C21B}"/>
    <cellStyle name="Note 2 2 11" xfId="5209" xr:uid="{8F254317-5EF8-44DD-ABBD-FADD83CF6FC3}"/>
    <cellStyle name="Note 2 2 12" xfId="2947" xr:uid="{846CCDD1-6E91-49A3-A192-C54F8A397C43}"/>
    <cellStyle name="Note 2 2 13" xfId="4011" xr:uid="{26B32322-3CC8-4F12-8E0C-D10FED41302D}"/>
    <cellStyle name="Note 2 2 14" xfId="6400" xr:uid="{226D5D51-C02D-460C-BA63-3A22E8D879DA}"/>
    <cellStyle name="Note 2 2 15" xfId="7281" xr:uid="{D385CC65-57AA-4492-AAC1-2C3A837B030F}"/>
    <cellStyle name="Note 2 2 16" xfId="7797" xr:uid="{E0D660AF-4A97-4121-8AC1-57DAE5DF3558}"/>
    <cellStyle name="Note 2 2 17" xfId="8557" xr:uid="{C2E17BDD-7543-4447-B64B-A3B35AACD1EB}"/>
    <cellStyle name="Note 2 2 18" xfId="8688" xr:uid="{D84F2109-3CDD-4DB1-A126-F5013279586F}"/>
    <cellStyle name="Note 2 2 19" xfId="9495" xr:uid="{67A66377-1D91-403D-9591-6DCF7DC8404B}"/>
    <cellStyle name="Note 2 2 2" xfId="776" xr:uid="{6C75410A-874D-438A-AAF6-E28397F04B1A}"/>
    <cellStyle name="Note 2 2 2 10" xfId="5424" xr:uid="{1112DA51-6E75-45A2-B2A7-E1AA7BCBCC9D}"/>
    <cellStyle name="Note 2 2 2 11" xfId="5684" xr:uid="{DCAAE6EF-FD5A-4565-9F42-BDC2E3340851}"/>
    <cellStyle name="Note 2 2 2 12" xfId="5980" xr:uid="{5C3A554F-DA55-49C1-AD0C-F5EAE8E3FDF0}"/>
    <cellStyle name="Note 2 2 2 13" xfId="6483" xr:uid="{F80DBCB3-AD23-4667-AEFA-AC36561706BD}"/>
    <cellStyle name="Note 2 2 2 14" xfId="7496" xr:uid="{F4BC5A9F-612A-486A-87EB-C7EF91061B14}"/>
    <cellStyle name="Note 2 2 2 15" xfId="7200" xr:uid="{68CC3833-3B09-463F-9652-5FEE8EE2F6B2}"/>
    <cellStyle name="Note 2 2 2 16" xfId="7928" xr:uid="{8E6E33FA-8FD0-48D7-9F97-A1D811858354}"/>
    <cellStyle name="Note 2 2 2 17" xfId="8709" xr:uid="{BD0854C7-19E5-4799-9333-AFC1C9D9200B}"/>
    <cellStyle name="Note 2 2 2 18" xfId="9710" xr:uid="{5E2F5414-328D-4A9B-9AC8-073840CF4EEE}"/>
    <cellStyle name="Note 2 2 2 19" xfId="9413" xr:uid="{04109834-1052-41C4-87E2-2A84560FA2FF}"/>
    <cellStyle name="Note 2 2 2 2" xfId="1250" xr:uid="{4238F8B7-2658-413C-82EB-3A83663A5641}"/>
    <cellStyle name="Note 2 2 2 20" xfId="9313" xr:uid="{2A60D096-4750-4F14-8990-2F90ED83CE19}"/>
    <cellStyle name="Note 2 2 2 21" xfId="10431" xr:uid="{5B883ADF-3327-4A37-817B-05CD0A9012BB}"/>
    <cellStyle name="Note 2 2 2 22" xfId="11249" xr:uid="{730C4D1A-62E9-4083-AA0B-232737525690}"/>
    <cellStyle name="Note 2 2 2 23" xfId="12129" xr:uid="{78833D59-7DDF-41C6-BDB8-9460A39D87AA}"/>
    <cellStyle name="Note 2 2 2 24" xfId="12602" xr:uid="{8C9985D8-E15D-4AEC-ADF4-EAF9DB106406}"/>
    <cellStyle name="Note 2 2 2 25" xfId="13036" xr:uid="{7D8D3657-DFD8-4E60-AF3B-711F012322C7}"/>
    <cellStyle name="Note 2 2 2 26" xfId="13473" xr:uid="{F9633AD0-A507-4D6C-AEF2-5D8A773ACBD5}"/>
    <cellStyle name="Note 2 2 2 27" xfId="11662" xr:uid="{87B51E27-880E-4018-9663-C27190D60BA0}"/>
    <cellStyle name="Note 2 2 2 28" xfId="13840" xr:uid="{1163ED4E-7B7A-46B4-9238-6AE4528BBCD2}"/>
    <cellStyle name="Note 2 2 2 29" xfId="14339" xr:uid="{734C6179-4186-4242-B856-7928846D4044}"/>
    <cellStyle name="Note 2 2 2 3" xfId="1482" xr:uid="{A5C08BA5-64FB-4955-9D3D-AF5669DF72A0}"/>
    <cellStyle name="Note 2 2 2 30" xfId="14949" xr:uid="{1ED62FA9-82FD-4C51-9829-52A2032AFAFE}"/>
    <cellStyle name="Note 2 2 2 31" xfId="15661" xr:uid="{ECE1B98F-C829-4A1B-BBDE-4CACEDD09ED1}"/>
    <cellStyle name="Note 2 2 2 32" xfId="15433" xr:uid="{4CD89061-17A0-4F8F-8340-93F0DF31A8B3}"/>
    <cellStyle name="Note 2 2 2 33" xfId="16821" xr:uid="{3384F7D9-371F-4884-AF8F-4B81C9080DC6}"/>
    <cellStyle name="Note 2 2 2 34" xfId="16522" xr:uid="{6DF4A540-06A9-4244-9B72-36E5935E1668}"/>
    <cellStyle name="Note 2 2 2 35" xfId="16073" xr:uid="{CCE3F3CC-B4A3-4250-AE62-9B598D7AE357}"/>
    <cellStyle name="Note 2 2 2 36" xfId="17048" xr:uid="{ECE19F53-29E4-48BC-8A67-2FE50D5DF98A}"/>
    <cellStyle name="Note 2 2 2 37" xfId="18639" xr:uid="{52A22331-2E26-43BA-800C-80F8538525E1}"/>
    <cellStyle name="Note 2 2 2 38" xfId="18790" xr:uid="{DBA9E10F-669F-4CF2-ACA2-293F7681BF35}"/>
    <cellStyle name="Note 2 2 2 39" xfId="18236" xr:uid="{23F7E712-F320-4E99-8813-16D2AC3C4FFF}"/>
    <cellStyle name="Note 2 2 2 4" xfId="2598" xr:uid="{C642FB55-6729-4341-BA29-39F813B856A1}"/>
    <cellStyle name="Note 2 2 2 40" xfId="20158" xr:uid="{3EB978FB-F47D-4E8C-9CD9-94FA65011502}"/>
    <cellStyle name="Note 2 2 2 41" xfId="19858" xr:uid="{D874565F-32E2-4BE5-9B91-59DFA5BAB900}"/>
    <cellStyle name="Note 2 2 2 42" xfId="20530" xr:uid="{34C3D3C8-BF56-4D21-ABB8-9477F3620C71}"/>
    <cellStyle name="Note 2 2 2 43" xfId="20387" xr:uid="{8AAE37B5-8BB8-4492-A6E5-3625ADFC6F8C}"/>
    <cellStyle name="Note 2 2 2 44" xfId="19445" xr:uid="{B249AED5-08CE-4FD8-BBE5-AAA2D4C93EB8}"/>
    <cellStyle name="Note 2 2 2 45" xfId="21806" xr:uid="{2A844ED6-19C6-44B5-8CEA-B2E9A6FD59D0}"/>
    <cellStyle name="Note 2 2 2 46" xfId="21278" xr:uid="{DEBAE9B1-551D-4D2A-9F33-10105870D927}"/>
    <cellStyle name="Note 2 2 2 47" xfId="23062" xr:uid="{88411D31-2457-4879-BFC7-4483197DEC98}"/>
    <cellStyle name="Note 2 2 2 48" xfId="23080" xr:uid="{2D48E994-DEF5-4555-AE50-43A3959C597E}"/>
    <cellStyle name="Note 2 2 2 49" xfId="23958" xr:uid="{08464201-7605-4923-A720-09A70482979E}"/>
    <cellStyle name="Note 2 2 2 5" xfId="2021" xr:uid="{C2FC7EEF-E805-4C4F-95B0-24E2C72152BF}"/>
    <cellStyle name="Note 2 2 2 50" xfId="24866" xr:uid="{208683C5-C6E1-467C-98E0-07FA10C52EF2}"/>
    <cellStyle name="Note 2 2 2 51" xfId="24428" xr:uid="{674EF3E7-FAF2-467C-B251-BEBD429DF61E}"/>
    <cellStyle name="Note 2 2 2 52" xfId="25782" xr:uid="{92FA6916-ECB8-4A07-A682-70E7EAA482EF}"/>
    <cellStyle name="Note 2 2 2 53" xfId="24102" xr:uid="{2F70D95A-2F77-46E2-8DED-51E2BB70F69A}"/>
    <cellStyle name="Note 2 2 2 54" xfId="26510" xr:uid="{E2713BB4-51B6-4F4B-8A3D-6052A0422594}"/>
    <cellStyle name="Note 2 2 2 55" xfId="27070" xr:uid="{322E7734-2B42-4057-ABDC-2ADC49B3421D}"/>
    <cellStyle name="Note 2 2 2 56" xfId="27489" xr:uid="{63A8AA27-F456-48BE-90FA-D23B9DA29CBC}"/>
    <cellStyle name="Note 2 2 2 57" xfId="27204" xr:uid="{F9B46150-9062-4EED-995A-B44F739331D2}"/>
    <cellStyle name="Note 2 2 2 58" xfId="28616" xr:uid="{E8BDFCE7-7545-4BBA-B03C-7A1A762974BE}"/>
    <cellStyle name="Note 2 2 2 59" xfId="29083" xr:uid="{EAFABD84-2144-467D-9E3F-E26EED9ABB7A}"/>
    <cellStyle name="Note 2 2 2 6" xfId="3023" xr:uid="{1F584043-FD21-4222-A099-5E5378938CEC}"/>
    <cellStyle name="Note 2 2 2 60" xfId="28096" xr:uid="{A9F3A6A3-C678-495A-906D-440EE6B01A7B}"/>
    <cellStyle name="Note 2 2 2 61" xfId="29872" xr:uid="{885C132F-1BD8-43DA-8AAB-16840E2F3262}"/>
    <cellStyle name="Note 2 2 2 62" xfId="30278" xr:uid="{6C50F64D-BA01-4E61-BC09-AFE684F8C3FC}"/>
    <cellStyle name="Note 2 2 2 63" xfId="30695" xr:uid="{E508394D-7036-45F7-A8FC-ED21E6236C0C}"/>
    <cellStyle name="Note 2 2 2 64" xfId="29587" xr:uid="{6FC18CDB-F9D9-4F6E-9B62-FB4769036FBF}"/>
    <cellStyle name="Note 2 2 2 65" xfId="31311" xr:uid="{C24617D5-673A-4C8E-BA06-14F2927FE2EB}"/>
    <cellStyle name="Note 2 2 2 7" xfId="4094" xr:uid="{E7E8ADAC-2879-484A-ACBB-EE526DFCA3D7}"/>
    <cellStyle name="Note 2 2 2 8" xfId="4531" xr:uid="{77684C3A-4679-42EA-85B4-1EC93DDB6ECE}"/>
    <cellStyle name="Note 2 2 2 9" xfId="1861" xr:uid="{158F7067-CE17-4761-9D16-DB042DDAA92C}"/>
    <cellStyle name="Note 2 2 20" xfId="10012" xr:uid="{26E78F3C-F48A-4D07-897E-0B6C6BFE297B}"/>
    <cellStyle name="Note 2 2 21" xfId="10435" xr:uid="{DC579B82-729C-47B1-A895-704A46F2158D}"/>
    <cellStyle name="Note 2 2 22" xfId="10166" xr:uid="{55724691-E3F3-4AB4-9ED4-2B3ABBB11163}"/>
    <cellStyle name="Note 2 2 23" xfId="10725" xr:uid="{F8CEBB42-BDE4-4A74-B930-87E0D33B03E3}"/>
    <cellStyle name="Note 2 2 24" xfId="11914" xr:uid="{56511E89-7A0C-4493-8657-F06C5C6D6A76}"/>
    <cellStyle name="Note 2 2 25" xfId="12387" xr:uid="{1B1A40FF-7111-4697-A20D-B31905F4C5B9}"/>
    <cellStyle name="Note 2 2 26" xfId="12821" xr:uid="{D893B39C-CCBE-41B7-9C37-E7DFF9E3C064}"/>
    <cellStyle name="Note 2 2 27" xfId="13258" xr:uid="{639622BA-D744-4B21-9986-362403BB6F90}"/>
    <cellStyle name="Note 2 2 28" xfId="12290" xr:uid="{691F743A-A0ED-4530-9DCC-9577AC050AA9}"/>
    <cellStyle name="Note 2 2 29" xfId="14034" xr:uid="{32A794A4-45B6-4140-83BE-54D859DCEF99}"/>
    <cellStyle name="Note 2 2 3" xfId="1044" xr:uid="{B8592CF2-22F3-482A-9405-B9CF6BE0C0E1}"/>
    <cellStyle name="Note 2 2 30" xfId="14744" xr:uid="{37537505-1048-4E7F-90E1-EEEEC9D87108}"/>
    <cellStyle name="Note 2 2 31" xfId="14973" xr:uid="{564F55FE-1D23-4306-A901-4381D326A68C}"/>
    <cellStyle name="Note 2 2 32" xfId="15187" xr:uid="{410D84E0-B174-4674-A50D-CD894D84B63B}"/>
    <cellStyle name="Note 2 2 33" xfId="15861" xr:uid="{AA0F2FFE-897E-492F-83C7-85C1C915830B}"/>
    <cellStyle name="Note 2 2 34" xfId="16606" xr:uid="{226DB58D-7935-4DC0-AD51-27D7D6A36BD4}"/>
    <cellStyle name="Note 2 2 35" xfId="17128" xr:uid="{704FBE74-CA63-46E6-BD5F-33C5F60BED97}"/>
    <cellStyle name="Note 2 2 36" xfId="17575" xr:uid="{0DFDEB93-EDCB-4154-BCBF-DE52234FBDB9}"/>
    <cellStyle name="Note 2 2 37" xfId="18193" xr:uid="{C4A0E511-8944-4EF6-8282-5B6A7DA9F179}"/>
    <cellStyle name="Note 2 2 38" xfId="18424" xr:uid="{FCA6320E-6F9A-417F-92AD-685E6FDDCFDA}"/>
    <cellStyle name="Note 2 2 39" xfId="18757" xr:uid="{91384EAE-6FF6-4D1D-8049-EA79D5E8E010}"/>
    <cellStyle name="Note 2 2 4" xfId="1743" xr:uid="{CA207089-0EDD-4149-862C-A96EE227CCB5}"/>
    <cellStyle name="Note 2 2 40" xfId="18800" xr:uid="{419FD044-B442-4104-B32F-73F32974F5D4}"/>
    <cellStyle name="Note 2 2 41" xfId="19943" xr:uid="{C131361B-4233-419B-B2B9-D5AFF3EAAE3B}"/>
    <cellStyle name="Note 2 2 42" xfId="20481" xr:uid="{34A92534-4350-4104-975D-47485D5EFB30}"/>
    <cellStyle name="Note 2 2 43" xfId="20934" xr:uid="{5EFEA927-722B-4C4D-ABDB-3042CADEB73E}"/>
    <cellStyle name="Note 2 2 44" xfId="20805" xr:uid="{9BCC8CED-7FB1-403C-9F68-A194BF65B1F1}"/>
    <cellStyle name="Note 2 2 45" xfId="21863" xr:uid="{2B604910-7716-4634-B2A8-D4D305ED0CC3}"/>
    <cellStyle name="Note 2 2 46" xfId="22300" xr:uid="{FFCAEDEB-D7AA-48D8-B0A2-F30EFB7FE349}"/>
    <cellStyle name="Note 2 2 47" xfId="22160" xr:uid="{79D4E7F9-2A1D-4AAD-9308-2AB00295CBB8}"/>
    <cellStyle name="Note 2 2 48" xfId="22676" xr:uid="{600F7DAF-3B7E-4783-AAC5-0A8600FB9948}"/>
    <cellStyle name="Note 2 2 49" xfId="23277" xr:uid="{D0DC126C-B8CE-4F26-AA9B-94F4C1D0C45D}"/>
    <cellStyle name="Note 2 2 5" xfId="2383" xr:uid="{6A9747AD-AF99-4F66-A592-87B3255BC46E}"/>
    <cellStyle name="Note 2 2 50" xfId="23752" xr:uid="{BC977E50-4245-4CB7-9C03-824D2A9855F3}"/>
    <cellStyle name="Note 2 2 51" xfId="24651" xr:uid="{982C7032-75E3-4A9F-B9A9-FED7E82838B0}"/>
    <cellStyle name="Note 2 2 52" xfId="25188" xr:uid="{09704B22-6599-4D76-BA52-8748A88193DA}"/>
    <cellStyle name="Note 2 2 53" xfId="25569" xr:uid="{105F8273-582C-422F-BB71-CE5A1EB42BBD}"/>
    <cellStyle name="Note 2 2 54" xfId="25338" xr:uid="{DAB8BC6B-9C2E-4798-9635-5BC9DEA2EC28}"/>
    <cellStyle name="Note 2 2 55" xfId="26549" xr:uid="{2C773B4E-9901-40BB-A482-7C9EFA20E3C2}"/>
    <cellStyle name="Note 2 2 56" xfId="26859" xr:uid="{2FE4CA21-4868-41A0-9A6A-630DB683D751}"/>
    <cellStyle name="Note 2 2 57" xfId="27278" xr:uid="{0CBB39D4-A645-4581-AB2C-3B85A8D8BA7E}"/>
    <cellStyle name="Note 2 2 58" xfId="27817" xr:uid="{804A02B1-C379-48E5-8F39-E4C9A0CAB7A2}"/>
    <cellStyle name="Note 2 2 59" xfId="28401" xr:uid="{1725024A-84D7-4728-90EB-A8E7FC1F8E27}"/>
    <cellStyle name="Note 2 2 6" xfId="2515" xr:uid="{4A41106D-3287-441A-97B5-FEA07CB7D047}"/>
    <cellStyle name="Note 2 2 60" xfId="28869" xr:uid="{B3A1E0F9-707D-455C-ABC9-5FC3A3B1D34D}"/>
    <cellStyle name="Note 2 2 61" xfId="29334" xr:uid="{FD6DD068-A3EC-44E7-B91D-C7E28FDB662B}"/>
    <cellStyle name="Note 2 2 62" xfId="29659" xr:uid="{0D94B2E5-B2A9-4823-B0EE-8B5F9807D500}"/>
    <cellStyle name="Note 2 2 63" xfId="30067" xr:uid="{5130DD0F-6CA8-401F-A000-099410002608}"/>
    <cellStyle name="Note 2 2 64" xfId="30481" xr:uid="{1EF19125-A779-49A0-8CF9-37A53FD1D5DD}"/>
    <cellStyle name="Note 2 2 65" xfId="30394" xr:uid="{90E5B966-CAE6-4123-B18D-B26602010465}"/>
    <cellStyle name="Note 2 2 66" xfId="31105" xr:uid="{DA9F833A-6339-41E6-88AA-6104A5E22AB0}"/>
    <cellStyle name="Note 2 2 7" xfId="3588" xr:uid="{EB941926-AD9F-45BF-AF16-3786894D9B25}"/>
    <cellStyle name="Note 2 2 8" xfId="3879" xr:uid="{1CC1C328-E5E2-4C11-B212-D859CC4C7225}"/>
    <cellStyle name="Note 2 2 9" xfId="4317" xr:uid="{962783FD-CC31-4B85-A743-20AF401FC6BA}"/>
    <cellStyle name="Note 2 20" xfId="8419" xr:uid="{27C0F126-55E4-40E3-83DD-8A01FE40A8BF}"/>
    <cellStyle name="Note 2 21" xfId="8889" xr:uid="{D70CF7C1-CD60-4C6F-87DF-6F3F432A7C88}"/>
    <cellStyle name="Note 2 22" xfId="9118" xr:uid="{2C517F33-50E3-4249-8479-36086CCCFA71}"/>
    <cellStyle name="Note 2 23" xfId="9898" xr:uid="{A5250A3D-B031-4BD3-8F06-FDE06AAD94E0}"/>
    <cellStyle name="Note 2 24" xfId="10332" xr:uid="{B007E93E-2B20-4933-A5FB-FD770583732F}"/>
    <cellStyle name="Note 2 25" xfId="10061" xr:uid="{8620DF3B-7052-4A20-876F-867913986EA0}"/>
    <cellStyle name="Note 2 26" xfId="11231" xr:uid="{2949135F-5658-414A-8E24-4A15F224C915}"/>
    <cellStyle name="Note 2 27" xfId="11529" xr:uid="{FD0AC216-3141-428E-84FD-8C45C122C61B}"/>
    <cellStyle name="Note 2 28" xfId="11516" xr:uid="{11B80A35-7875-4450-8D2E-DF7C020087A8}"/>
    <cellStyle name="Note 2 29" xfId="11369" xr:uid="{4660C126-6265-4C5A-A4CE-9E2AB6B6D150}"/>
    <cellStyle name="Note 2 3" xfId="625" xr:uid="{DCE8405E-1FDC-4E2E-85A2-815F14BD7739}"/>
    <cellStyle name="Note 2 3 10" xfId="4829" xr:uid="{33592751-6AAF-46AA-87C4-AAF0E65E876D}"/>
    <cellStyle name="Note 2 3 11" xfId="5273" xr:uid="{8ADB0E58-257D-4AA6-90FC-9E08E6844BDA}"/>
    <cellStyle name="Note 2 3 12" xfId="4686" xr:uid="{19FE082D-BD79-426E-AE25-BAA10692CD4E}"/>
    <cellStyle name="Note 2 3 13" xfId="5128" xr:uid="{8CA14CA9-8D64-4482-A033-993DBBFB3398}"/>
    <cellStyle name="Note 2 3 14" xfId="3821" xr:uid="{FDF031F6-BEFB-4877-BE5A-D2FB87B51F26}"/>
    <cellStyle name="Note 2 3 15" xfId="7345" xr:uid="{627846A0-1FAF-4D91-AD09-FC42550EDAB4}"/>
    <cellStyle name="Note 2 3 16" xfId="7978" xr:uid="{F07925B9-CA22-4017-84CF-E1E0C43875CE}"/>
    <cellStyle name="Note 2 3 17" xfId="6854" xr:uid="{D78707C6-F5D1-4C73-A86F-A41CFBA9A7C1}"/>
    <cellStyle name="Note 2 3 18" xfId="8701" xr:uid="{EFEC2E05-4F7B-4FCB-BFC8-764D084F9CB4}"/>
    <cellStyle name="Note 2 3 19" xfId="9559" xr:uid="{4D765E59-F1A8-491B-9223-8407657B3813}"/>
    <cellStyle name="Note 2 3 2" xfId="840" xr:uid="{E16E2BC6-D7DB-4EF5-86DC-6D494AAD153A}"/>
    <cellStyle name="Note 2 3 2 10" xfId="5488" xr:uid="{F32E95D6-0C8E-4276-AC8A-CF8FB23CB953}"/>
    <cellStyle name="Note 2 3 2 11" xfId="5940" xr:uid="{C7703842-A801-466F-A252-A7364FC5AAC5}"/>
    <cellStyle name="Note 2 3 2 12" xfId="5673" xr:uid="{C0922BDB-D416-4679-A0B4-8300F6A160FD}"/>
    <cellStyle name="Note 2 3 2 13" xfId="6353" xr:uid="{F573FE66-0542-4DD0-B4A2-CA7E7C8E91A7}"/>
    <cellStyle name="Note 2 3 2 14" xfId="7560" xr:uid="{12FF81B9-9352-4E57-9990-4B8AFD7A8E56}"/>
    <cellStyle name="Note 2 3 2 15" xfId="7205" xr:uid="{DF4E43C9-1C73-46BB-A7B8-7E7425F0B345}"/>
    <cellStyle name="Note 2 3 2 16" xfId="8035" xr:uid="{71E0BADF-7CA3-4799-92A4-51C6DE9DEB53}"/>
    <cellStyle name="Note 2 3 2 17" xfId="8802" xr:uid="{0891F538-1E90-4B28-A7C1-F5CA7DE27F87}"/>
    <cellStyle name="Note 2 3 2 18" xfId="9774" xr:uid="{43EE6F4C-896D-490B-8A52-21AB54434EEA}"/>
    <cellStyle name="Note 2 3 2 19" xfId="9418" xr:uid="{4466EBC1-04FA-4766-AC37-960E98B5BBC0}"/>
    <cellStyle name="Note 2 3 2 2" xfId="1314" xr:uid="{C73DB949-BDAB-4A53-B055-9FBE3669FE19}"/>
    <cellStyle name="Note 2 3 2 20" xfId="10231" xr:uid="{A8F70D8C-E3DF-4A68-B065-8CA97D4EB309}"/>
    <cellStyle name="Note 2 3 2 21" xfId="10849" xr:uid="{5480DA17-1A57-4AF7-A72A-2E0D288A487C}"/>
    <cellStyle name="Note 2 3 2 22" xfId="11134" xr:uid="{59E31CC9-1F4E-452A-962D-6FCF4C30C6AC}"/>
    <cellStyle name="Note 2 3 2 23" xfId="12193" xr:uid="{2AD6EC4A-767D-4DE4-ABBE-195FD35CD922}"/>
    <cellStyle name="Note 2 3 2 24" xfId="12666" xr:uid="{2E81D444-5650-4D90-A2BE-9A71B6DF5CDC}"/>
    <cellStyle name="Note 2 3 2 25" xfId="13100" xr:uid="{C1322174-1A1B-4433-9D30-CD6BB62999B6}"/>
    <cellStyle name="Note 2 3 2 26" xfId="13537" xr:uid="{7C371FF0-B09D-4A0B-8630-95462CD9AF9B}"/>
    <cellStyle name="Note 2 3 2 27" xfId="13687" xr:uid="{017E3B76-C183-455B-9198-FD0578426DF6}"/>
    <cellStyle name="Note 2 3 2 28" xfId="11730" xr:uid="{E76F2779-F25B-44D6-B88A-2F8F2DDF01D8}"/>
    <cellStyle name="Note 2 3 2 29" xfId="13790" xr:uid="{283DE4E9-BE23-4AB5-8244-D3123F224DC1}"/>
    <cellStyle name="Note 2 3 2 3" xfId="1763" xr:uid="{E1146C12-5E70-45C8-B1B5-0B48CDACE6B8}"/>
    <cellStyle name="Note 2 3 2 30" xfId="15175" xr:uid="{F73F321E-2D73-4F98-B7BD-82DD93866C6D}"/>
    <cellStyle name="Note 2 3 2 31" xfId="15315" xr:uid="{2C1BBD77-CCFF-4299-B81E-92E43ECB088A}"/>
    <cellStyle name="Note 2 3 2 32" xfId="14315" xr:uid="{32A13191-492D-406D-9541-94E3D01B6DB8}"/>
    <cellStyle name="Note 2 3 2 33" xfId="16885" xr:uid="{A833C3EC-1788-49C8-8F85-C3DD5208859A}"/>
    <cellStyle name="Note 2 3 2 34" xfId="16527" xr:uid="{651D0C5D-BB7E-4E80-9A89-4128595B192B}"/>
    <cellStyle name="Note 2 3 2 35" xfId="17352" xr:uid="{63CD9DFF-6CFB-403B-AE2E-683DB0BDCFB9}"/>
    <cellStyle name="Note 2 3 2 36" xfId="16539" xr:uid="{24175A4D-7F45-4D8B-AF5C-CCD108781873}"/>
    <cellStyle name="Note 2 3 2 37" xfId="18703" xr:uid="{746812DA-C191-4A3A-8170-7224B8181D40}"/>
    <cellStyle name="Note 2 3 2 38" xfId="18979" xr:uid="{DBA79A21-8A9D-4B4E-A43B-53D85652BC7E}"/>
    <cellStyle name="Note 2 3 2 39" xfId="19199" xr:uid="{A69635FC-A025-495E-8BC3-01C39A553F2C}"/>
    <cellStyle name="Note 2 3 2 4" xfId="2662" xr:uid="{1971BFDF-09F6-42DA-B071-60306F426CC6}"/>
    <cellStyle name="Note 2 3 2 40" xfId="20222" xr:uid="{8D350D53-7317-4786-81FC-7FF5E45E7637}"/>
    <cellStyle name="Note 2 3 2 41" xfId="19863" xr:uid="{34C3F9EB-F839-4EC9-9BE7-6742777FBD02}"/>
    <cellStyle name="Note 2 3 2 42" xfId="19687" xr:uid="{45770701-811F-47A6-B63C-2B480BCA92C3}"/>
    <cellStyle name="Note 2 3 2 43" xfId="21589" xr:uid="{CAF1D3E5-64B2-4434-A4FB-B929ECC0C03E}"/>
    <cellStyle name="Note 2 3 2 44" xfId="19376" xr:uid="{5C5F49A7-6AA3-413B-A21C-CE81DECDEC3C}"/>
    <cellStyle name="Note 2 3 2 45" xfId="21445" xr:uid="{2303D986-FE82-4085-B9A7-AB8D24E8262A}"/>
    <cellStyle name="Note 2 3 2 46" xfId="22686" xr:uid="{38DCC5B5-9151-4C70-B809-0FFEEB6EAB1D}"/>
    <cellStyle name="Note 2 3 2 47" xfId="23266" xr:uid="{BE36A908-1E5C-4066-9893-482DDEB97363}"/>
    <cellStyle name="Note 2 3 2 48" xfId="23574" xr:uid="{86B04429-5A8E-4980-B43B-9EB174595731}"/>
    <cellStyle name="Note 2 3 2 49" xfId="24022" xr:uid="{A0CA1D84-D5D3-470F-8203-6AEB614530E8}"/>
    <cellStyle name="Note 2 3 2 5" xfId="2852" xr:uid="{3E72FA17-61E7-4209-91AE-F081C3AEF472}"/>
    <cellStyle name="Note 2 3 2 50" xfId="24930" xr:uid="{D8D8C626-511A-4436-B8D2-A08FA4EBBCC8}"/>
    <cellStyle name="Note 2 3 2 51" xfId="24567" xr:uid="{CD0E9473-7B87-466C-8A83-3A2C899032B2}"/>
    <cellStyle name="Note 2 3 2 52" xfId="25846" xr:uid="{B52B465B-F568-40DE-9C55-5D83DCBE627C}"/>
    <cellStyle name="Note 2 3 2 53" xfId="26054" xr:uid="{B79C84BC-54F2-4C65-97E3-C88236925681}"/>
    <cellStyle name="Note 2 3 2 54" xfId="26590" xr:uid="{A3CC14A9-AC03-4CC5-B219-02ABBE22AACA}"/>
    <cellStyle name="Note 2 3 2 55" xfId="27134" xr:uid="{36169CC4-C3FC-45D1-AFC9-3A6E5B918F54}"/>
    <cellStyle name="Note 2 3 2 56" xfId="27553" xr:uid="{814D6623-3BAE-4368-A6B8-97C9FB4A7EDF}"/>
    <cellStyle name="Note 2 3 2 57" xfId="27679" xr:uid="{9CED1814-25EB-4E67-A52B-92D2B760DD50}"/>
    <cellStyle name="Note 2 3 2 58" xfId="28680" xr:uid="{889AAE39-F36F-40B4-B05A-C9F7FBF582B2}"/>
    <cellStyle name="Note 2 3 2 59" xfId="29147" xr:uid="{F8645936-6797-4914-9F9E-F5FF5F11EFD3}"/>
    <cellStyle name="Note 2 3 2 6" xfId="3580" xr:uid="{0189D9B7-07A3-4995-B8FC-8A65945095B4}"/>
    <cellStyle name="Note 2 3 2 60" xfId="28225" xr:uid="{B3686EBA-026F-4E01-9DAE-C5097C1F0A98}"/>
    <cellStyle name="Note 2 3 2 61" xfId="29936" xr:uid="{F32E8DAD-0CFC-4260-BAEF-3BD7D4E4BE79}"/>
    <cellStyle name="Note 2 3 2 62" xfId="30342" xr:uid="{8167E69E-E629-4D15-A4D8-FCAA5C35F563}"/>
    <cellStyle name="Note 2 3 2 63" xfId="30759" xr:uid="{09FBEE38-C414-4C6F-986B-52E366E170E6}"/>
    <cellStyle name="Note 2 3 2 64" xfId="29225" xr:uid="{315A39C3-EE72-4C8C-96BB-61CDE7F3051A}"/>
    <cellStyle name="Note 2 3 2 65" xfId="31375" xr:uid="{5427468A-23D4-446B-9B51-9878BAC2074E}"/>
    <cellStyle name="Note 2 3 2 7" xfId="4158" xr:uid="{7AEF73B3-F2D7-4259-8751-375019E00A1C}"/>
    <cellStyle name="Note 2 3 2 8" xfId="4595" xr:uid="{1FB618D3-F47C-4F0A-AA53-82F57FAE5CA9}"/>
    <cellStyle name="Note 2 3 2 9" xfId="2521" xr:uid="{0270AC39-981C-4CAA-8BF6-E217DAE23D0F}"/>
    <cellStyle name="Note 2 3 20" xfId="10194" xr:uid="{7CE22B3A-E570-40BF-83D7-F71CB9C617AE}"/>
    <cellStyle name="Note 2 3 21" xfId="10598" xr:uid="{624D6552-EC56-40B3-B7A0-78A31390DF3B}"/>
    <cellStyle name="Note 2 3 22" xfId="10362" xr:uid="{C9E1C62A-4289-4F52-9958-76BC1558F4F1}"/>
    <cellStyle name="Note 2 3 23" xfId="11236" xr:uid="{15615551-B268-4120-9DF4-3B74AECE2103}"/>
    <cellStyle name="Note 2 3 24" xfId="11978" xr:uid="{EA716E05-FC41-4356-BFF8-C749E808AD7D}"/>
    <cellStyle name="Note 2 3 25" xfId="12451" xr:uid="{435EFDE5-28BD-460E-A324-EAEBFC477394}"/>
    <cellStyle name="Note 2 3 26" xfId="12885" xr:uid="{0C8C0617-4E2B-473D-84A4-DFAADD598193}"/>
    <cellStyle name="Note 2 3 27" xfId="13322" xr:uid="{619CE9E8-85C5-41BC-8F44-2C311F5091F9}"/>
    <cellStyle name="Note 2 3 28" xfId="11370" xr:uid="{207E5DE7-99C7-41D7-8145-94DDB8F7E817}"/>
    <cellStyle name="Note 2 3 29" xfId="14402" xr:uid="{FAE27939-E6F9-49D4-BA5A-B0EA09C196D4}"/>
    <cellStyle name="Note 2 3 3" xfId="1108" xr:uid="{38F0CF0E-096C-494F-A14F-A6E84A86BF75}"/>
    <cellStyle name="Note 2 3 30" xfId="14801" xr:uid="{5D3A4FEF-2AED-4809-B063-9832DC226C96}"/>
    <cellStyle name="Note 2 3 31" xfId="15081" xr:uid="{71C401E1-0ADA-49EB-8DB8-627E708B29D4}"/>
    <cellStyle name="Note 2 3 32" xfId="15601" xr:uid="{2F022D74-0EC7-4AA8-ABA5-58FFC3769F6D}"/>
    <cellStyle name="Note 2 3 33" xfId="15957" xr:uid="{FA8AEDD0-80E3-4C75-9BC9-F9DB73331FE3}"/>
    <cellStyle name="Note 2 3 34" xfId="16670" xr:uid="{E55688D7-3169-49B8-B00B-AFFCDA9121F5}"/>
    <cellStyle name="Note 2 3 35" xfId="17315" xr:uid="{6C776419-E5B6-4AC9-938E-BD5557E08691}"/>
    <cellStyle name="Note 2 3 36" xfId="17758" xr:uid="{6567908A-9B18-4654-9BF3-572849F77F2C}"/>
    <cellStyle name="Note 2 3 37" xfId="18127" xr:uid="{15AED7C1-382C-4C90-BDD4-E5FAE8E49EE4}"/>
    <cellStyle name="Note 2 3 38" xfId="18488" xr:uid="{5EEA411A-BD46-47E4-AB96-17C3ACE8A222}"/>
    <cellStyle name="Note 2 3 39" xfId="18778" xr:uid="{A4CB4074-EAFD-439F-855B-986A526F725D}"/>
    <cellStyle name="Note 2 3 4" xfId="1377" xr:uid="{EE7CE170-1379-4A38-B14A-DE6E982CBF91}"/>
    <cellStyle name="Note 2 3 40" xfId="18830" xr:uid="{57AA1CA6-5CBC-450A-AE3F-9C3F5495C895}"/>
    <cellStyle name="Note 2 3 41" xfId="20007" xr:uid="{82D7F63C-CECD-4CC2-A133-FC2ED1BCCD55}"/>
    <cellStyle name="Note 2 3 42" xfId="20666" xr:uid="{25D564D7-0A2F-40A8-99CD-ABEA52401A74}"/>
    <cellStyle name="Note 2 3 43" xfId="21122" xr:uid="{225ABF5C-7888-4819-9534-FF768B86EA3C}"/>
    <cellStyle name="Note 2 3 44" xfId="21081" xr:uid="{A2B8856F-1ED1-4A51-8FE8-BF1C98651D4C}"/>
    <cellStyle name="Note 2 3 45" xfId="22054" xr:uid="{1FD9F70A-B1C4-44C3-A9B9-8113A870A87A}"/>
    <cellStyle name="Note 2 3 46" xfId="22482" xr:uid="{E579675A-59F5-4EE7-8606-986CC060CDD1}"/>
    <cellStyle name="Note 2 3 47" xfId="22523" xr:uid="{8F270370-3486-455B-9CD1-EAE59E8B4F2D}"/>
    <cellStyle name="Note 2 3 48" xfId="23049" xr:uid="{51B12101-E1BE-4123-9081-5B5390AB09E5}"/>
    <cellStyle name="Note 2 3 49" xfId="23263" xr:uid="{C7A07FA4-428A-4FDB-B20A-D9B8AB63B003}"/>
    <cellStyle name="Note 2 3 5" xfId="2447" xr:uid="{4CC49EF8-5233-4033-A050-FB330E87395C}"/>
    <cellStyle name="Note 2 3 50" xfId="23816" xr:uid="{A8484D64-6CD7-4C4F-A1AA-719999AD47B1}"/>
    <cellStyle name="Note 2 3 51" xfId="24715" xr:uid="{8EEBA874-5FC0-4723-A3C1-A11ABED3CDD0}"/>
    <cellStyle name="Note 2 3 52" xfId="25369" xr:uid="{DA645593-4E84-4F7C-B40A-E8FACD0FC6E3}"/>
    <cellStyle name="Note 2 3 53" xfId="25633" xr:uid="{3526E64C-28A5-41D0-AED1-A3ED76F6D20D}"/>
    <cellStyle name="Note 2 3 54" xfId="24998" xr:uid="{B7796D65-0F4B-4CD4-A9EA-6256060574B1}"/>
    <cellStyle name="Note 2 3 55" xfId="26618" xr:uid="{32B771BE-53A5-41DC-98D6-C2C747C6E590}"/>
    <cellStyle name="Note 2 3 56" xfId="26923" xr:uid="{BA51A0EE-E527-41D9-92F7-0D31793C3E29}"/>
    <cellStyle name="Note 2 3 57" xfId="27342" xr:uid="{D67DEBDF-71D2-4D5A-9483-DBCF4B1D0DAF}"/>
    <cellStyle name="Note 2 3 58" xfId="27786" xr:uid="{CD83F0A0-8F4C-449C-A751-7DD66E5BE88D}"/>
    <cellStyle name="Note 2 3 59" xfId="28465" xr:uid="{47B0D961-9A54-478C-BF9C-1673283DCA8F}"/>
    <cellStyle name="Note 2 3 6" xfId="2190" xr:uid="{07FD7E4A-EF4B-4C3D-B45B-EA3D68A523BE}"/>
    <cellStyle name="Note 2 3 60" xfId="28933" xr:uid="{EE90B3EA-14F7-40BF-817D-983959772B39}"/>
    <cellStyle name="Note 2 3 61" xfId="29491" xr:uid="{4CEF77F5-B949-409F-911E-211F7AC6BA67}"/>
    <cellStyle name="Note 2 3 62" xfId="29723" xr:uid="{8EA56222-3227-4D30-80B1-2EA989EC86D1}"/>
    <cellStyle name="Note 2 3 63" xfId="30131" xr:uid="{8424CE9C-4ADA-41B5-A35A-5FE5D784F413}"/>
    <cellStyle name="Note 2 3 64" xfId="30545" xr:uid="{19BC5C44-37DB-4D20-9ACC-E247649B5808}"/>
    <cellStyle name="Note 2 3 65" xfId="30976" xr:uid="{52E2EE68-FA79-41B5-9283-7DE239B43CB2}"/>
    <cellStyle name="Note 2 3 66" xfId="31169" xr:uid="{1449508C-3406-48E9-864D-CBF409CE3B6F}"/>
    <cellStyle name="Note 2 3 7" xfId="3568" xr:uid="{789403CC-1C5D-431F-8201-DE5EA7D2FF04}"/>
    <cellStyle name="Note 2 3 8" xfId="3943" xr:uid="{A144E986-169A-4ED0-A004-47E378697D56}"/>
    <cellStyle name="Note 2 3 9" xfId="4381" xr:uid="{6037F610-B47B-4007-99B4-AC7B67B84508}"/>
    <cellStyle name="Note 2 30" xfId="11363" xr:uid="{A6D82B4E-A0E1-4C03-B602-7A1F61BC4EDA}"/>
    <cellStyle name="Note 2 31" xfId="11827" xr:uid="{ECCC9DF5-7F99-4A2F-A964-D4D889A2D7A4}"/>
    <cellStyle name="Note 2 32" xfId="13767" xr:uid="{E9279684-CB15-401A-B689-DE1C33EEE304}"/>
    <cellStyle name="Note 2 33" xfId="14278" xr:uid="{20E27B59-5568-4E8E-B3E8-C2868C37193E}"/>
    <cellStyle name="Note 2 34" xfId="14161" xr:uid="{8D8BE391-52AC-4C13-8E21-30E9B7058D83}"/>
    <cellStyle name="Note 2 35" xfId="15631" xr:uid="{A2EDE33A-E300-4770-A3E2-C26236299174}"/>
    <cellStyle name="Note 2 36" xfId="15805" xr:uid="{34A57933-F748-4243-822A-F1DC7FC24FE5}"/>
    <cellStyle name="Note 2 37" xfId="16222" xr:uid="{479871BD-D33C-4DD6-B3B4-87D54E025C5A}"/>
    <cellStyle name="Note 2 38" xfId="17012" xr:uid="{7923B075-E484-4B52-9F0C-64FB0B0BCD30}"/>
    <cellStyle name="Note 2 39" xfId="17457" xr:uid="{0D7FE70F-BD4F-4BFD-A9DA-0F092B42204F}"/>
    <cellStyle name="Note 2 4" xfId="520" xr:uid="{0B6301F4-E0C7-45D8-AF6D-50927A99ADFF}"/>
    <cellStyle name="Note 2 4 10" xfId="4945" xr:uid="{1DEE1AB4-C270-4F9F-9099-99F5D58C35AA}"/>
    <cellStyle name="Note 2 4 11" xfId="5168" xr:uid="{8FF12913-9831-4036-94E9-971607961E44}"/>
    <cellStyle name="Note 2 4 12" xfId="4853" xr:uid="{F34F95E8-F93E-4BD2-A82D-811700E7B162}"/>
    <cellStyle name="Note 2 4 13" xfId="4654" xr:uid="{57810220-95CB-461B-8175-69A9183AC14F}"/>
    <cellStyle name="Note 2 4 14" xfId="6567" xr:uid="{36DA7D47-5041-455E-A0E3-BFD428C4AE42}"/>
    <cellStyle name="Note 2 4 15" xfId="7240" xr:uid="{4CEAE243-77D7-48BF-8D92-F6235EDD292A}"/>
    <cellStyle name="Note 2 4 16" xfId="8009" xr:uid="{E920D4E9-463C-400A-BC4B-319006E26091}"/>
    <cellStyle name="Note 2 4 17" xfId="8563" xr:uid="{C8EF2AF9-6463-49EF-B99A-1B2B722E9C31}"/>
    <cellStyle name="Note 2 4 18" xfId="8849" xr:uid="{5D71EE90-A757-4643-9CB9-35CFCBE2DD02}"/>
    <cellStyle name="Note 2 4 19" xfId="9454" xr:uid="{2BC5D649-FC8E-42B6-ABFA-08080C99D3DB}"/>
    <cellStyle name="Note 2 4 2" xfId="735" xr:uid="{4D96101E-7A85-41AF-BB04-8733C5F35D42}"/>
    <cellStyle name="Note 2 4 2 10" xfId="5383" xr:uid="{99C59E52-F338-44E3-B1A7-BD92DBF7A347}"/>
    <cellStyle name="Note 2 4 2 11" xfId="5816" xr:uid="{70EE16C6-EBCC-46C0-9574-8E4437839AFE}"/>
    <cellStyle name="Note 2 4 2 12" xfId="6051" xr:uid="{E2B03F3E-2EBB-4945-BEF7-C44843F19BA2}"/>
    <cellStyle name="Note 2 4 2 13" xfId="6420" xr:uid="{40C0B65B-E95C-4B64-8E4D-F84B6E5DA2A6}"/>
    <cellStyle name="Note 2 4 2 14" xfId="7455" xr:uid="{BECFA278-5163-4DED-92CB-4601F5C23692}"/>
    <cellStyle name="Note 2 4 2 15" xfId="6884" xr:uid="{24B72DEC-FB6F-43F7-BC18-161A30C4A521}"/>
    <cellStyle name="Note 2 4 2 16" xfId="8185" xr:uid="{1BF2FC04-CE7B-476D-9D77-5286AD05D959}"/>
    <cellStyle name="Note 2 4 2 17" xfId="7802" xr:uid="{84E4CF42-72A3-4181-A216-AB8D8BA63F8D}"/>
    <cellStyle name="Note 2 4 2 18" xfId="9669" xr:uid="{6A0A6D4A-8F24-4535-AFC3-44E0E8E7D0F0}"/>
    <cellStyle name="Note 2 4 2 19" xfId="9098" xr:uid="{CE679522-46F3-486E-BFF3-0F3F932A8A83}"/>
    <cellStyle name="Note 2 4 2 2" xfId="1209" xr:uid="{B7508D0C-5CEF-4D2F-BD8F-7473A90E5574}"/>
    <cellStyle name="Note 2 4 2 20" xfId="9835" xr:uid="{56681608-71E5-44B5-8EC6-267DD94CF000}"/>
    <cellStyle name="Note 2 4 2 21" xfId="10370" xr:uid="{52A50BA5-68B2-42FB-A4DC-D33427E7E77E}"/>
    <cellStyle name="Note 2 4 2 22" xfId="11260" xr:uid="{3CEAEC23-BC0C-43F4-B63B-45039F4422F3}"/>
    <cellStyle name="Note 2 4 2 23" xfId="12088" xr:uid="{8238518A-7F31-4C98-A419-F715FCD767AB}"/>
    <cellStyle name="Note 2 4 2 24" xfId="12561" xr:uid="{D4CED58E-74B6-47F0-AAB7-88421605B91C}"/>
    <cellStyle name="Note 2 4 2 25" xfId="12995" xr:uid="{EAB76147-E5BD-4FCA-B088-92E3237C4102}"/>
    <cellStyle name="Note 2 4 2 26" xfId="13432" xr:uid="{FBF6952F-2D16-4CAC-A691-CBF871470EAB}"/>
    <cellStyle name="Note 2 4 2 27" xfId="12301" xr:uid="{DC2AEBEF-2EC0-41D5-B4D1-A59D021665BA}"/>
    <cellStyle name="Note 2 4 2 28" xfId="11658" xr:uid="{AEA49FD2-A410-451C-AE95-88F40B446B64}"/>
    <cellStyle name="Note 2 4 2 29" xfId="14014" xr:uid="{E98A1A76-4B43-48FD-8972-B066B9A76718}"/>
    <cellStyle name="Note 2 4 2 3" xfId="1439" xr:uid="{ED3ACF2E-E4EC-4555-AD63-7009BE9FB08D}"/>
    <cellStyle name="Note 2 4 2 30" xfId="14180" xr:uid="{811CC0E0-ABDE-4E43-9442-7FF0ABA257DE}"/>
    <cellStyle name="Note 2 4 2 31" xfId="15746" xr:uid="{FB50FF67-99E3-4911-A4E4-FB7DA982D453}"/>
    <cellStyle name="Note 2 4 2 32" xfId="15638" xr:uid="{5FE4E337-48E2-477B-B033-21216331185E}"/>
    <cellStyle name="Note 2 4 2 33" xfId="16780" xr:uid="{FE3D534F-2AD3-4F61-9888-A0B6028BBF81}"/>
    <cellStyle name="Note 2 4 2 34" xfId="16201" xr:uid="{F2520607-F27E-430F-ADA2-67B99D311A13}"/>
    <cellStyle name="Note 2 4 2 35" xfId="16949" xr:uid="{6798A6A2-A864-4C84-9FAD-74F71020B39B}"/>
    <cellStyle name="Note 2 4 2 36" xfId="17471" xr:uid="{8C913F64-7E76-4901-95D3-23A2BACA3015}"/>
    <cellStyle name="Note 2 4 2 37" xfId="18598" xr:uid="{68483018-F4F5-4DBD-95D1-B34F8421CDBC}"/>
    <cellStyle name="Note 2 4 2 38" xfId="18964" xr:uid="{F8E85EAA-7360-4ED4-AE12-98CAC40C9CDB}"/>
    <cellStyle name="Note 2 4 2 39" xfId="18782" xr:uid="{3D6A66D3-BA51-4B6D-A327-2A55C903D052}"/>
    <cellStyle name="Note 2 4 2 4" xfId="2557" xr:uid="{59CCD8A5-8898-4BD4-94A5-C9554518F32B}"/>
    <cellStyle name="Note 2 4 2 40" xfId="20117" xr:uid="{19C052FA-9999-484F-916C-D158EEFC8023}"/>
    <cellStyle name="Note 2 4 2 41" xfId="19533" xr:uid="{23CDEBAC-36C7-4C30-BA9F-9718A9FF9F56}"/>
    <cellStyle name="Note 2 4 2 42" xfId="20711" xr:uid="{1BB3F177-CCCA-4532-8F1A-6D12E7F1CD69}"/>
    <cellStyle name="Note 2 4 2 43" xfId="21510" xr:uid="{50D0E54C-D40A-4908-8A3C-F6FF6A5A80FF}"/>
    <cellStyle name="Note 2 4 2 44" xfId="21152" xr:uid="{E6F27A92-95DD-4F5E-BE29-C5625AFC1D83}"/>
    <cellStyle name="Note 2 4 2 45" xfId="21639" xr:uid="{A06F74BF-4FC9-4D6E-BBC4-7444E0AE5A37}"/>
    <cellStyle name="Note 2 4 2 46" xfId="22165" xr:uid="{68D72EC5-C0E9-4B74-B509-B364CF22D2A6}"/>
    <cellStyle name="Note 2 4 2 47" xfId="23252" xr:uid="{02D9C039-B3B5-46BF-8A82-145EA2189DE6}"/>
    <cellStyle name="Note 2 4 2 48" xfId="23445" xr:uid="{D1252325-EB0B-42A9-A6AB-9D4C41E5B252}"/>
    <cellStyle name="Note 2 4 2 49" xfId="23917" xr:uid="{89E279EF-034C-43FB-970D-FD76AB96DCE5}"/>
    <cellStyle name="Note 2 4 2 5" xfId="2083" xr:uid="{21E26893-9415-4C40-B42E-0054160643A6}"/>
    <cellStyle name="Note 2 4 2 50" xfId="24825" xr:uid="{7CEF8072-FAD5-407C-A2F6-D4CE07023060}"/>
    <cellStyle name="Note 2 4 2 51" xfId="24512" xr:uid="{5AF1ADAC-59CE-4650-A3D2-C54A304682C3}"/>
    <cellStyle name="Note 2 4 2 52" xfId="25741" xr:uid="{97617127-278B-44A7-BB3F-84D4AA46D480}"/>
    <cellStyle name="Note 2 4 2 53" xfId="24349" xr:uid="{53BD0B03-008B-450A-AFDB-5D92C3EC29CB}"/>
    <cellStyle name="Note 2 4 2 54" xfId="25502" xr:uid="{7910D2A4-454C-496E-823C-6CAB8644AD80}"/>
    <cellStyle name="Note 2 4 2 55" xfId="27029" xr:uid="{835615C1-8CD4-462A-9671-A6676F1D76C6}"/>
    <cellStyle name="Note 2 4 2 56" xfId="27448" xr:uid="{083015F5-A117-4771-8C6C-647BC975E370}"/>
    <cellStyle name="Note 2 4 2 57" xfId="27724" xr:uid="{73C886F6-FF7C-4AED-AC15-476A06EC31AD}"/>
    <cellStyle name="Note 2 4 2 58" xfId="28575" xr:uid="{4C8A6A8F-964E-49A6-925C-1E74A8E6BB8D}"/>
    <cellStyle name="Note 2 4 2 59" xfId="29042" xr:uid="{8D9CB086-5B15-4C67-A525-01B69D86DD8A}"/>
    <cellStyle name="Note 2 4 2 6" xfId="2771" xr:uid="{C2624E47-E5D2-4CB4-8309-FBF19AFE9061}"/>
    <cellStyle name="Note 2 4 2 60" xfId="27899" xr:uid="{2C011B6E-10A3-416B-A462-D785E5BB99B0}"/>
    <cellStyle name="Note 2 4 2 61" xfId="29831" xr:uid="{3C98ECC1-3F00-43DD-9ADC-146961577A9A}"/>
    <cellStyle name="Note 2 4 2 62" xfId="30237" xr:uid="{AE71872E-66F8-4100-A477-86E177A81095}"/>
    <cellStyle name="Note 2 4 2 63" xfId="30654" xr:uid="{2BA92F5C-B91B-402A-9062-AA5316F3BFD6}"/>
    <cellStyle name="Note 2 4 2 64" xfId="29479" xr:uid="{105BE701-CFF4-4E93-8739-87E96D021A95}"/>
    <cellStyle name="Note 2 4 2 65" xfId="31270" xr:uid="{D2A522E5-6A9C-4075-81F4-389C9C9BC454}"/>
    <cellStyle name="Note 2 4 2 7" xfId="4053" xr:uid="{91DAAB62-65DB-4FEB-A042-EBC396492624}"/>
    <cellStyle name="Note 2 4 2 8" xfId="4490" xr:uid="{9C3EF820-9F1D-4311-8150-8264578D72B9}"/>
    <cellStyle name="Note 2 4 2 9" xfId="2768" xr:uid="{9855D685-2FF1-42E5-9CDC-2E1B5B8EFB5F}"/>
    <cellStyle name="Note 2 4 20" xfId="10227" xr:uid="{BBBA6814-D5DE-4571-A401-DF0BE329AFC1}"/>
    <cellStyle name="Note 2 4 21" xfId="10626" xr:uid="{82C4FD41-D90F-48B7-AB6D-CBEC512610A0}"/>
    <cellStyle name="Note 2 4 22" xfId="10522" xr:uid="{956245C0-8B8F-4F10-A83A-DBF3A1DC4E0D}"/>
    <cellStyle name="Note 2 4 23" xfId="11161" xr:uid="{F128600C-D89A-439B-908B-67648FAE2C88}"/>
    <cellStyle name="Note 2 4 24" xfId="11873" xr:uid="{CD480088-43F8-4647-B7D4-6BFCD5BC0D66}"/>
    <cellStyle name="Note 2 4 25" xfId="12346" xr:uid="{487A0558-D913-439B-A8C4-00146FE41F4A}"/>
    <cellStyle name="Note 2 4 26" xfId="12780" xr:uid="{20026C7E-EA24-4710-B321-67F459E07FF0}"/>
    <cellStyle name="Note 2 4 27" xfId="13217" xr:uid="{4ECA13F0-F858-4AA3-B325-226E06EC7A37}"/>
    <cellStyle name="Note 2 4 28" xfId="11701" xr:uid="{E60F4569-2509-4B3B-9CC5-5E4263468412}"/>
    <cellStyle name="Note 2 4 29" xfId="14160" xr:uid="{2B4DCD30-6237-4CFF-B23C-9A328D43C531}"/>
    <cellStyle name="Note 2 4 3" xfId="1003" xr:uid="{422FD09E-0F15-46AB-A9C3-B680A94200EA}"/>
    <cellStyle name="Note 2 4 30" xfId="14797" xr:uid="{3F9555AF-9096-49EE-86A1-204C1DEF312F}"/>
    <cellStyle name="Note 2 4 31" xfId="13989" xr:uid="{D0A28139-2F4E-48AF-BE81-C09D66BEF167}"/>
    <cellStyle name="Note 2 4 32" xfId="15303" xr:uid="{B030C816-3FF5-413A-A771-52741A91E570}"/>
    <cellStyle name="Note 2 4 33" xfId="15975" xr:uid="{C5224977-2686-4E34-BD59-4664B2F14615}"/>
    <cellStyle name="Note 2 4 34" xfId="16565" xr:uid="{9F3C5236-C9AB-4267-8B27-2D0059B4587B}"/>
    <cellStyle name="Note 2 4 35" xfId="17348" xr:uid="{E0DBF3FF-C80B-44BB-A190-BC3A01C3201F}"/>
    <cellStyle name="Note 2 4 36" xfId="17790" xr:uid="{90958969-0374-46D3-B099-522E0C607684}"/>
    <cellStyle name="Note 2 4 37" xfId="17442" xr:uid="{9FB8A533-EFA3-48AC-B6BA-EC2D44DEE35E}"/>
    <cellStyle name="Note 2 4 38" xfId="18383" xr:uid="{A4712575-5A21-4774-8E02-3D3489080AB0}"/>
    <cellStyle name="Note 2 4 39" xfId="19003" xr:uid="{B7A96AA5-DA36-4B7C-816A-EB382FAB4795}"/>
    <cellStyle name="Note 2 4 4" xfId="1690" xr:uid="{4B713430-DDE0-44CC-8A6B-776E0A81CBAA}"/>
    <cellStyle name="Note 2 4 40" xfId="19050" xr:uid="{00A7C51B-F2CF-4A41-898D-B56D1EF6EC5C}"/>
    <cellStyle name="Note 2 4 41" xfId="19902" xr:uid="{A808EE4F-31E5-4E06-997F-AF965F421EE3}"/>
    <cellStyle name="Note 2 4 42" xfId="20699" xr:uid="{5EC8C34C-DAB5-4484-AC31-A6E4C64DAB79}"/>
    <cellStyle name="Note 2 4 43" xfId="21156" xr:uid="{84A6184C-EF78-46B9-B396-68D387E89B7F}"/>
    <cellStyle name="Note 2 4 44" xfId="21346" xr:uid="{FBADB805-5997-4708-BED1-C17C960B16A4}"/>
    <cellStyle name="Note 2 4 45" xfId="22087" xr:uid="{1DFD1C09-8270-43F9-80A1-2538319E0F87}"/>
    <cellStyle name="Note 2 4 46" xfId="22515" xr:uid="{06962DE4-A23C-4B51-B746-B41FB7231B54}"/>
    <cellStyle name="Note 2 4 47" xfId="22519" xr:uid="{27962352-9103-4E09-8068-33F04FC01E46}"/>
    <cellStyle name="Note 2 4 48" xfId="23285" xr:uid="{A8F26496-164A-4BAD-9540-B6B95AAB84FF}"/>
    <cellStyle name="Note 2 4 49" xfId="23028" xr:uid="{ED4961C0-26DE-471D-8B3A-ED985E5ABD32}"/>
    <cellStyle name="Note 2 4 5" xfId="2342" xr:uid="{17A1B6CC-4843-4150-856E-DDC3D4F382C8}"/>
    <cellStyle name="Note 2 4 50" xfId="23711" xr:uid="{ACCAC2D8-B9D3-4557-BD3A-2D712ECAE94E}"/>
    <cellStyle name="Note 2 4 51" xfId="24610" xr:uid="{CCE41D1F-2B45-4D57-A98E-130E2D7922ED}"/>
    <cellStyle name="Note 2 4 52" xfId="25402" xr:uid="{17ADA21D-6FDD-4FA9-ADB1-679F213D83D7}"/>
    <cellStyle name="Note 2 4 53" xfId="25528" xr:uid="{CE2C0BAA-FA1D-4B25-BD5B-D24C690CDF33}"/>
    <cellStyle name="Note 2 4 54" xfId="24205" xr:uid="{DA0463CD-B50D-40C2-8D53-647C5FC4B047}"/>
    <cellStyle name="Note 2 4 55" xfId="25036" xr:uid="{044AE778-D3BC-4BE8-A36F-DDE32F1F8CED}"/>
    <cellStyle name="Note 2 4 56" xfId="26818" xr:uid="{7C33D597-324D-4CC4-9FD8-4F824D19C0AC}"/>
    <cellStyle name="Note 2 4 57" xfId="27237" xr:uid="{152AE432-AE03-4975-8EC8-53F2781C3AC0}"/>
    <cellStyle name="Note 2 4 58" xfId="27765" xr:uid="{445B4B88-AEB9-48A0-B4C3-8EEB9EAD0286}"/>
    <cellStyle name="Note 2 4 59" xfId="28360" xr:uid="{57F40796-BE60-49DB-AE8B-F3203EEEE3D2}"/>
    <cellStyle name="Note 2 4 6" xfId="2155" xr:uid="{E67D99D2-E16C-4908-872A-FA14F5EF071F}"/>
    <cellStyle name="Note 2 4 60" xfId="28828" xr:uid="{B967637F-7BF1-461A-9E55-D3909686242C}"/>
    <cellStyle name="Note 2 4 61" xfId="29517" xr:uid="{2E6834FC-C755-4FD8-AB6E-A5AC081A2D63}"/>
    <cellStyle name="Note 2 4 62" xfId="29618" xr:uid="{044F0DB4-46DA-4358-9949-203E9F905E5A}"/>
    <cellStyle name="Note 2 4 63" xfId="30026" xr:uid="{7A49BBFE-5B02-49DC-8412-D6265C1FE525}"/>
    <cellStyle name="Note 2 4 64" xfId="30440" xr:uid="{17F3F6BD-7E4A-46AD-8538-AEE23F613BC3}"/>
    <cellStyle name="Note 2 4 65" xfId="30909" xr:uid="{076EFC04-C3A7-4682-A5C5-75BA8A8C41AF}"/>
    <cellStyle name="Note 2 4 66" xfId="31064" xr:uid="{859851E5-A1E2-4838-9CFD-2AF84896EC62}"/>
    <cellStyle name="Note 2 4 7" xfId="3540" xr:uid="{356DFB51-97E3-4263-806C-0B6F0BBEF256}"/>
    <cellStyle name="Note 2 4 8" xfId="3838" xr:uid="{94F5DE91-6B1E-48E5-86EA-449F2BBDFB50}"/>
    <cellStyle name="Note 2 4 9" xfId="4276" xr:uid="{CBF6F6E0-4725-46B3-9886-19C79FEA41A6}"/>
    <cellStyle name="Note 2 40" xfId="17967" xr:uid="{57D28392-B98A-4110-81D1-2E78D05B9C15}"/>
    <cellStyle name="Note 2 41" xfId="17158" xr:uid="{A76C8CB5-24B5-4C7C-96F3-9C3DBB24B9C4}"/>
    <cellStyle name="Note 2 42" xfId="19010" xr:uid="{CF386F75-7902-4E0C-8D86-6A140FACC676}"/>
    <cellStyle name="Note 2 43" xfId="18939" xr:uid="{10544CE5-2514-40BA-9733-552EE86460FF}"/>
    <cellStyle name="Note 2 44" xfId="19555" xr:uid="{03CDFB83-BC49-483E-B342-53CCB03E56EB}"/>
    <cellStyle name="Note 2 45" xfId="20361" xr:uid="{A930B0F0-146D-40B6-AAE3-DE31B8266480}"/>
    <cellStyle name="Note 2 46" xfId="20816" xr:uid="{9F533879-4E4B-4DA9-91D9-8AFC0DC1286F}"/>
    <cellStyle name="Note 2 47" xfId="20326" xr:uid="{EB4D1894-22A2-4185-9C94-1F533DB143FF}"/>
    <cellStyle name="Note 2 48" xfId="21747" xr:uid="{5EB5C76C-8E0B-4103-8565-4F8B365CFFC6}"/>
    <cellStyle name="Note 2 49" xfId="22186" xr:uid="{04AEB7B4-5533-499F-A141-504F6F59326F}"/>
    <cellStyle name="Note 2 5" xfId="684" xr:uid="{FF1F27D5-8570-4D2B-B55D-1AFE138DBB90}"/>
    <cellStyle name="Note 2 5 10" xfId="5332" xr:uid="{209A17F0-BDB3-49EF-9ABD-6A9F6BB6C799}"/>
    <cellStyle name="Note 2 5 11" xfId="5052" xr:uid="{CC567384-2FFF-43E6-8A8E-3FEA9083331A}"/>
    <cellStyle name="Note 2 5 12" xfId="4821" xr:uid="{1C6DB5D0-B25B-476F-BD79-945A5FE1C506}"/>
    <cellStyle name="Note 2 5 13" xfId="5938" xr:uid="{528A17EF-32A5-4352-B384-E8D34EFA677D}"/>
    <cellStyle name="Note 2 5 14" xfId="7404" xr:uid="{471970FD-AA49-4296-B581-D51CC8066905}"/>
    <cellStyle name="Note 2 5 15" xfId="8030" xr:uid="{9BAB29E0-4AA4-4A29-8E30-B02E248861A1}"/>
    <cellStyle name="Note 2 5 16" xfId="7621" xr:uid="{34CE6FCF-5742-402F-807D-A97925549E84}"/>
    <cellStyle name="Note 2 5 17" xfId="8589" xr:uid="{61664345-7E99-41E8-987F-5FCF332C59F5}"/>
    <cellStyle name="Note 2 5 18" xfId="9618" xr:uid="{A6CF51D9-262E-40BA-BFEC-429D3EDD5B50}"/>
    <cellStyle name="Note 2 5 19" xfId="10250" xr:uid="{AB6495C3-D3CA-4CA3-8E1D-AA70606ED7A2}"/>
    <cellStyle name="Note 2 5 2" xfId="1166" xr:uid="{32FAF65D-2BC3-4E0B-8B8E-158666D6E00B}"/>
    <cellStyle name="Note 2 5 20" xfId="10644" xr:uid="{4466D7E2-E6F1-4867-9DAA-123D273DF9D0}"/>
    <cellStyle name="Note 2 5 21" xfId="10999" xr:uid="{5887A36D-CD99-452A-AB09-E1E99711CCE4}"/>
    <cellStyle name="Note 2 5 22" xfId="11227" xr:uid="{9465DD33-2342-4D9E-ACA7-C2DBA61777F0}"/>
    <cellStyle name="Note 2 5 23" xfId="12037" xr:uid="{76471B3F-0BF4-4D10-857F-E262F908BF49}"/>
    <cellStyle name="Note 2 5 24" xfId="12510" xr:uid="{7CAB3FD5-325E-4DDF-96D7-6DE3CA17E617}"/>
    <cellStyle name="Note 2 5 25" xfId="12944" xr:uid="{DDE7E8CC-60FC-4E3B-8629-B5473146B4F8}"/>
    <cellStyle name="Note 2 5 26" xfId="13381" xr:uid="{FFF94268-8C25-47A3-911A-7B3EDA295AB9}"/>
    <cellStyle name="Note 2 5 27" xfId="11468" xr:uid="{9E48479E-6841-4ACC-A105-E8396ABA8A0F}"/>
    <cellStyle name="Note 2 5 28" xfId="11448" xr:uid="{5C046FAA-6686-42E1-923A-9935A349B736}"/>
    <cellStyle name="Note 2 5 29" xfId="14897" xr:uid="{F044E2B8-542C-4D43-B0BA-E05393E4F99E}"/>
    <cellStyle name="Note 2 5 3" xfId="1517" xr:uid="{4AEE26DD-7BB7-4A39-A084-2530AA0FA1AD}"/>
    <cellStyle name="Note 2 5 30" xfId="11553" xr:uid="{7D22C6F0-1D9A-40C7-BBAF-E86527C8165F}"/>
    <cellStyle name="Note 2 5 31" xfId="14761" xr:uid="{AFF68D1C-ED52-4A77-BD8A-70E34176A5D3}"/>
    <cellStyle name="Note 2 5 32" xfId="15988" xr:uid="{D13A056D-834D-41CE-824E-E61847668795}"/>
    <cellStyle name="Note 2 5 33" xfId="16729" xr:uid="{BCCEAB97-EAF2-4D00-8831-116C3428A20F}"/>
    <cellStyle name="Note 2 5 34" xfId="17371" xr:uid="{ED85812C-95F2-4526-9DE2-4C57D1B93FB9}"/>
    <cellStyle name="Note 2 5 35" xfId="17813" xr:uid="{270F2091-C529-4CC3-9E2A-60312B112431}"/>
    <cellStyle name="Note 2 5 36" xfId="18060" xr:uid="{933B60F6-E1DD-4E31-8F3A-F43B24D63523}"/>
    <cellStyle name="Note 2 5 37" xfId="18547" xr:uid="{2133F3FD-A46A-4742-888C-A29E90B06527}"/>
    <cellStyle name="Note 2 5 38" xfId="17727" xr:uid="{40B705AF-1DFF-409B-A2B9-68B46CA013F5}"/>
    <cellStyle name="Note 2 5 39" xfId="19339" xr:uid="{041C4A34-1B93-424B-AE2B-D64891805E87}"/>
    <cellStyle name="Note 2 5 4" xfId="2506" xr:uid="{ACCF46A0-EFFE-45E2-9E13-59A0F693609E}"/>
    <cellStyle name="Note 2 5 40" xfId="20066" xr:uid="{9D452103-46A9-4143-9237-FEA0FFA50FA8}"/>
    <cellStyle name="Note 2 5 41" xfId="20721" xr:uid="{04F5E217-0F3A-44DB-9B2B-E387852CB0EB}"/>
    <cellStyle name="Note 2 5 42" xfId="21179" xr:uid="{998C8B87-9A2A-4E8F-ABC2-D5CFC5BC6596}"/>
    <cellStyle name="Note 2 5 43" xfId="21591" xr:uid="{4B868F6F-8AA2-44F0-B29C-EBC26F9E790F}"/>
    <cellStyle name="Note 2 5 44" xfId="22110" xr:uid="{76B5043D-9BD9-4770-8355-6F8B64E4F15C}"/>
    <cellStyle name="Note 2 5 45" xfId="22538" xr:uid="{8804D2FC-8EDA-4F31-83CC-02ABCDB7B3D5}"/>
    <cellStyle name="Note 2 5 46" xfId="22364" xr:uid="{B9F0F692-F41E-443C-A6FD-4D163C06975B}"/>
    <cellStyle name="Note 2 5 47" xfId="22253" xr:uid="{30AFDFC8-55E1-4A0F-8FEA-E623FA06B6A8}"/>
    <cellStyle name="Note 2 5 48" xfId="23660" xr:uid="{275F412C-32B4-471B-89D6-D34EA24A0CA8}"/>
    <cellStyle name="Note 2 5 49" xfId="23874" xr:uid="{6D999280-0320-4AD9-B02A-523C6579C56F}"/>
    <cellStyle name="Note 2 5 5" xfId="2253" xr:uid="{257EEAFE-71F9-496F-BDFC-0460B7FFB263}"/>
    <cellStyle name="Note 2 5 50" xfId="24774" xr:uid="{4DAD3F7A-9372-4609-BC76-28409BBBDF29}"/>
    <cellStyle name="Note 2 5 51" xfId="25425" xr:uid="{F0DB1808-8B3D-4566-BF1D-9DCA631C3EF9}"/>
    <cellStyle name="Note 2 5 52" xfId="25692" xr:uid="{FD788385-7702-45F5-963A-386E79D3B505}"/>
    <cellStyle name="Note 2 5 53" xfId="25368" xr:uid="{5E316B1F-1960-48B3-9531-5D95BA584583}"/>
    <cellStyle name="Note 2 5 54" xfId="26444" xr:uid="{42E8693D-94A0-44EF-B5F6-ACDED177FEF3}"/>
    <cellStyle name="Note 2 5 55" xfId="26982" xr:uid="{83E60F42-AD57-420F-B1AA-1C2E0EF99E93}"/>
    <cellStyle name="Note 2 5 56" xfId="27401" xr:uid="{88D95964-C9BA-4ACD-99C9-BCEA2DC73DAA}"/>
    <cellStyle name="Note 2 5 57" xfId="27743" xr:uid="{7EDED7C3-0EB3-4315-8170-FB54FFBC2644}"/>
    <cellStyle name="Note 2 5 58" xfId="28524" xr:uid="{3ECCE59F-22FC-4084-A30D-31A1E194C80B}"/>
    <cellStyle name="Note 2 5 59" xfId="28992" xr:uid="{82474BAB-2C6C-4B38-977E-998119834064}"/>
    <cellStyle name="Note 2 5 6" xfId="3008" xr:uid="{0517CB3F-0810-40E7-A83C-5B3CDE601F2C}"/>
    <cellStyle name="Note 2 5 60" xfId="29538" xr:uid="{ABE164A4-98EE-45B0-A518-1A6089EEA55B}"/>
    <cellStyle name="Note 2 5 61" xfId="29782" xr:uid="{006D6369-6854-485D-89F8-1FE63D825B12}"/>
    <cellStyle name="Note 2 5 62" xfId="30189" xr:uid="{D01D141A-FB91-4CA2-8278-7F0E6E80F52F}"/>
    <cellStyle name="Note 2 5 63" xfId="30604" xr:uid="{AF608979-C064-458D-9FBB-199B26BA1808}"/>
    <cellStyle name="Note 2 5 64" xfId="29484" xr:uid="{9CA32D8F-EF5F-4BA7-8A93-4D54103078E4}"/>
    <cellStyle name="Note 2 5 65" xfId="31227" xr:uid="{1BD5ADD0-117F-47C0-B23E-D2E7D34399CC}"/>
    <cellStyle name="Note 2 5 7" xfId="4002" xr:uid="{5A2FD7AB-03EB-4F4C-BCF2-560103F566C4}"/>
    <cellStyle name="Note 2 5 8" xfId="4440" xr:uid="{8C63563E-3C30-4F77-9E2A-8441C8C08B8D}"/>
    <cellStyle name="Note 2 5 9" xfId="4783" xr:uid="{410B20B7-AEB4-4705-ADC7-4CA0A22FF2CC}"/>
    <cellStyle name="Note 2 50" xfId="22461" xr:uid="{1FFE1FD8-CC18-4D2C-9F23-74C4855554EE}"/>
    <cellStyle name="Note 2 51" xfId="23291" xr:uid="{F4509F1B-73DD-40B6-AFDC-29CCA86092DC}"/>
    <cellStyle name="Note 2 52" xfId="23127" xr:uid="{B31E7550-99EF-4660-AA30-BB8D2DB87B2A}"/>
    <cellStyle name="Note 2 53" xfId="20366" xr:uid="{6DCBC012-2C6C-4A07-ACDA-69E729E8C6B9}"/>
    <cellStyle name="Note 2 54" xfId="24276" xr:uid="{CCCE92EA-38C3-4E44-835A-452CF4241325}"/>
    <cellStyle name="Note 2 55" xfId="25077" xr:uid="{F6FF9BB4-6D1C-41D9-9731-1FBE62F0B9BD}"/>
    <cellStyle name="Note 2 56" xfId="25223" xr:uid="{C445F00D-5537-47D7-B6DA-65AFF3986910}"/>
    <cellStyle name="Note 2 57" xfId="25330" xr:uid="{F18D4404-7E58-48B9-89F9-B3E70FB02E2F}"/>
    <cellStyle name="Note 2 58" xfId="26142" xr:uid="{8F26FEA7-6C69-43D0-BD69-013D7E77738A}"/>
    <cellStyle name="Note 2 59" xfId="24362" xr:uid="{9773D261-EF28-4200-93DD-6C71C2945245}"/>
    <cellStyle name="Note 2 6" xfId="927" xr:uid="{21A8219B-6727-4E2E-A577-C023DADCC5C1}"/>
    <cellStyle name="Note 2 60" xfId="26772" xr:uid="{DB102AC4-39A7-4B58-BAA1-A0483D553685}"/>
    <cellStyle name="Note 2 61" xfId="26785" xr:uid="{0E439440-7141-4254-8383-7B4B383B7C11}"/>
    <cellStyle name="Note 2 62" xfId="28056" xr:uid="{A18894C6-86E1-4EAB-8778-E212D7311E16}"/>
    <cellStyle name="Note 2 63" xfId="28046" xr:uid="{DEBDE385-0129-4325-AEEC-1325A828D231}"/>
    <cellStyle name="Note 2 64" xfId="29230" xr:uid="{EB3CFD33-E406-47F8-B477-01038D934F22}"/>
    <cellStyle name="Note 2 65" xfId="29398" xr:uid="{59C1EBB6-FDF7-4158-BF74-68E2AD73C602}"/>
    <cellStyle name="Note 2 66" xfId="29333" xr:uid="{EEB30B3F-E785-4844-A96D-2041EB17B0CF}"/>
    <cellStyle name="Note 2 67" xfId="29485" xr:uid="{A1E9D6C5-AEAD-43F8-AD5F-5A0F1ED9A57A}"/>
    <cellStyle name="Note 2 68" xfId="30817" xr:uid="{D3B7B67D-ECAF-4FAA-A3FB-C455B1BCDA13}"/>
    <cellStyle name="Note 2 69" xfId="29204" xr:uid="{DA0921E0-B86C-47ED-860A-50C887312E78}"/>
    <cellStyle name="Note 2 7" xfId="1594" xr:uid="{C54A4358-0B54-4CF4-A4D8-F04A758AD3EB}"/>
    <cellStyle name="Note 2 8" xfId="1998" xr:uid="{0A9EE395-AAC7-4297-AE60-5F5AD96A6520}"/>
    <cellStyle name="Note 2 9" xfId="2718" xr:uid="{5A4EB8D6-194E-4781-9B9E-49252A520929}"/>
    <cellStyle name="Note 3" xfId="236" xr:uid="{18B663CF-669F-4600-9B01-CD7D57EDF23B}"/>
    <cellStyle name="Note 3 10" xfId="3741" xr:uid="{9C037425-E128-4383-B35A-D3607930D91C}"/>
    <cellStyle name="Note 3 11" xfId="2810" xr:uid="{BBE71932-E5DC-4A68-B3C7-95EF2938FFB7}"/>
    <cellStyle name="Note 3 12" xfId="2871" xr:uid="{AE4F781B-91E2-4289-8C11-01AEEC205FBC}"/>
    <cellStyle name="Note 3 13" xfId="4449" xr:uid="{6DDE4632-47EA-4F1A-8463-769AB749686C}"/>
    <cellStyle name="Note 3 14" xfId="3440" xr:uid="{B197FED4-0ED8-4F6F-9037-30372FA3DD01}"/>
    <cellStyle name="Note 3 15" xfId="3151" xr:uid="{85DCB746-EBB1-440B-ABEF-85CAD1323A24}"/>
    <cellStyle name="Note 3 16" xfId="6072" xr:uid="{89BB1D2A-D0D6-4961-8396-A33F0E8FC653}"/>
    <cellStyle name="Note 3 17" xfId="6696" xr:uid="{10B64804-A622-4D1C-9FA9-0CDC8A9DC706}"/>
    <cellStyle name="Note 3 18" xfId="6967" xr:uid="{8908D213-B6CB-4D2C-8DE2-1BBC60B2CF43}"/>
    <cellStyle name="Note 3 19" xfId="7620" xr:uid="{559C2FBF-2DA2-4F27-A608-2DD7CCCCEB68}"/>
    <cellStyle name="Note 3 2" xfId="589" xr:uid="{A86B2AD8-B724-4B33-A639-DA65B84AE840}"/>
    <cellStyle name="Note 3 2 10" xfId="4870" xr:uid="{35A7BB59-04E2-480E-9EC0-139C47553253}"/>
    <cellStyle name="Note 3 2 11" xfId="5237" xr:uid="{0F0A738E-481D-4B06-8D81-94FDA30DF5BA}"/>
    <cellStyle name="Note 3 2 12" xfId="5644" xr:uid="{38DAB877-F4F6-43DB-8D81-2EC84636A114}"/>
    <cellStyle name="Note 3 2 13" xfId="5125" xr:uid="{C6135428-AAC3-46B2-95A6-334B04BC2C41}"/>
    <cellStyle name="Note 3 2 14" xfId="4828" xr:uid="{CDDD6C03-08E0-415F-99BB-B20955174F76}"/>
    <cellStyle name="Note 3 2 15" xfId="7309" xr:uid="{482FFACD-A6FE-4A0E-8C51-CEE0F6ABA5DB}"/>
    <cellStyle name="Note 3 2 16" xfId="7871" xr:uid="{B9DC268C-367B-4795-A87F-FA7C097CD6AB}"/>
    <cellStyle name="Note 3 2 17" xfId="7654" xr:uid="{CDD23DC7-ECE7-4D73-9591-D0E319ED843C}"/>
    <cellStyle name="Note 3 2 18" xfId="8895" xr:uid="{EE1B8EEA-B1BB-449E-BED7-08CF7FF54806}"/>
    <cellStyle name="Note 3 2 19" xfId="9523" xr:uid="{D7CAA4C1-C44F-40A4-A5A5-7089F456DB21}"/>
    <cellStyle name="Note 3 2 2" xfId="804" xr:uid="{0C9E377C-AEDB-48C2-9B5B-966D39D5FB50}"/>
    <cellStyle name="Note 3 2 2 10" xfId="5452" xr:uid="{FF47D0A4-BA7E-4A5C-BB84-F91888A46D0C}"/>
    <cellStyle name="Note 3 2 2 11" xfId="2740" xr:uid="{B38FC69C-43A5-46CA-A750-A253096F4DE8}"/>
    <cellStyle name="Note 3 2 2 12" xfId="3347" xr:uid="{556BD02F-2FF9-4FB4-A947-7FFB10785085}"/>
    <cellStyle name="Note 3 2 2 13" xfId="5652" xr:uid="{FEE966A1-5426-45BA-9618-617222A26217}"/>
    <cellStyle name="Note 3 2 2 14" xfId="7524" xr:uid="{4A9447B2-8314-4511-901F-3E661D2748BF}"/>
    <cellStyle name="Note 3 2 2 15" xfId="6772" xr:uid="{1361DBC1-1379-4BAA-8844-B17FD60A6AC2}"/>
    <cellStyle name="Note 3 2 2 16" xfId="8180" xr:uid="{C73F8081-CB40-4DF1-A1E1-729F71EE73E9}"/>
    <cellStyle name="Note 3 2 2 17" xfId="8316" xr:uid="{DE7D9112-59B0-4269-99C5-2B146FF0F123}"/>
    <cellStyle name="Note 3 2 2 18" xfId="9738" xr:uid="{8C495411-138A-4F28-BA68-AB4AE1E42BCC}"/>
    <cellStyle name="Note 3 2 2 19" xfId="8984" xr:uid="{550C5FA9-244A-4AA8-93D6-023481544E85}"/>
    <cellStyle name="Note 3 2 2 2" xfId="1278" xr:uid="{7F4E22FE-36E9-4934-B5CD-238BFB01E803}"/>
    <cellStyle name="Note 3 2 2 20" xfId="9348" xr:uid="{DCD76E82-5CC4-4F7A-8318-4C0FF7223A4F}"/>
    <cellStyle name="Note 3 2 2 21" xfId="9084" xr:uid="{C2864D5F-754A-4C65-A063-6F50D5B20D46}"/>
    <cellStyle name="Note 3 2 2 22" xfId="10225" xr:uid="{F199A29E-F67A-4685-9B76-08502DA85CC3}"/>
    <cellStyle name="Note 3 2 2 23" xfId="12157" xr:uid="{96FD0697-0030-4FC1-9371-4CF9BB083093}"/>
    <cellStyle name="Note 3 2 2 24" xfId="12630" xr:uid="{BA5795CC-24F4-4432-876F-EB114AF6F808}"/>
    <cellStyle name="Note 3 2 2 25" xfId="13064" xr:uid="{4E15F760-7421-42A5-A02D-DED2207591DA}"/>
    <cellStyle name="Note 3 2 2 26" xfId="13501" xr:uid="{E16F3674-BB71-40AA-AE70-CA171273CF5E}"/>
    <cellStyle name="Note 3 2 2 27" xfId="11378" xr:uid="{4D18FC98-762F-41F6-8941-465795AC1735}"/>
    <cellStyle name="Note 3 2 2 28" xfId="11663" xr:uid="{AC2BE4D6-1C69-45DA-9256-F43A87E3CAC6}"/>
    <cellStyle name="Note 3 2 2 29" xfId="11660" xr:uid="{B9FA5C90-DB39-4BAE-90AB-6E9AE34EF0B1}"/>
    <cellStyle name="Note 3 2 2 3" xfId="1697" xr:uid="{03F4112F-AD3D-4C49-B0E5-B7648308FCAC}"/>
    <cellStyle name="Note 3 2 2 30" xfId="11357" xr:uid="{A2D19F19-470D-482A-B475-51E5211F77D3}"/>
    <cellStyle name="Note 3 2 2 31" xfId="14364" xr:uid="{1906437A-603D-4E8A-99A8-14B5861685EA}"/>
    <cellStyle name="Note 3 2 2 32" xfId="14227" xr:uid="{6A73CDC3-CA80-4577-BB0E-268D85AD9E0F}"/>
    <cellStyle name="Note 3 2 2 33" xfId="16849" xr:uid="{F1DC12C6-8E2B-4FD4-8EF6-9449ACDCFA78}"/>
    <cellStyle name="Note 3 2 2 34" xfId="16081" xr:uid="{0B5E78AC-37EB-431B-909A-657EE0C7DAEA}"/>
    <cellStyle name="Note 3 2 2 35" xfId="16457" xr:uid="{DFD19DDF-F5EB-4665-9065-9DCA8BA04D6C}"/>
    <cellStyle name="Note 3 2 2 36" xfId="16551" xr:uid="{BF28C863-9A8B-46AC-AEF5-ECB9B5771D06}"/>
    <cellStyle name="Note 3 2 2 37" xfId="18667" xr:uid="{692B3655-BB8B-4195-9450-B8F4537E9068}"/>
    <cellStyle name="Note 3 2 2 38" xfId="17522" xr:uid="{5FB085FF-3469-417F-B243-4697741891CC}"/>
    <cellStyle name="Note 3 2 2 39" xfId="16950" xr:uid="{FAB6EB3A-8FB4-4AD5-908F-04BFD1C735D6}"/>
    <cellStyle name="Note 3 2 2 4" xfId="2626" xr:uid="{EDD3F3BB-BF97-4DB3-9A4A-673AF5583E45}"/>
    <cellStyle name="Note 3 2 2 40" xfId="20186" xr:uid="{7F874EBA-B0A4-4327-B0AD-8B66C394E1EF}"/>
    <cellStyle name="Note 3 2 2 41" xfId="19414" xr:uid="{9EDD0739-8B24-4338-91AB-E2413C0C3E87}"/>
    <cellStyle name="Note 3 2 2 42" xfId="20350" xr:uid="{CC11E3C3-5EDB-4858-A51E-4404BA7D8567}"/>
    <cellStyle name="Note 3 2 2 43" xfId="19888" xr:uid="{2C21DDA9-BCC6-47FA-AFED-51464B0CBAA0}"/>
    <cellStyle name="Note 3 2 2 44" xfId="20544" xr:uid="{C9B91AE6-D062-4436-B891-C54D9078BAC6}"/>
    <cellStyle name="Note 3 2 2 45" xfId="20580" xr:uid="{B2B798B4-784A-412F-871E-50343002DAB1}"/>
    <cellStyle name="Note 3 2 2 46" xfId="20294" xr:uid="{2CC70719-11DD-47A5-A977-174625D95A59}"/>
    <cellStyle name="Note 3 2 2 47" xfId="22167" xr:uid="{D2A7141A-DFC8-48CE-8579-4296D794A813}"/>
    <cellStyle name="Note 3 2 2 48" xfId="22782" xr:uid="{327F8351-EC9B-4F58-9736-5C3B826892F5}"/>
    <cellStyle name="Note 3 2 2 49" xfId="23986" xr:uid="{F6EFA5A8-A8E3-4FBE-A9A0-F096EB182CCC}"/>
    <cellStyle name="Note 3 2 2 5" xfId="2060" xr:uid="{384902CA-AFC8-46A8-91C4-77AAB92878F6}"/>
    <cellStyle name="Note 3 2 2 50" xfId="24894" xr:uid="{69F4FA9D-E5EE-4BB4-A8B8-5A9461707C1F}"/>
    <cellStyle name="Note 3 2 2 51" xfId="24138" xr:uid="{46DA3704-5FFE-4462-9CBA-C1D7623EFA9C}"/>
    <cellStyle name="Note 3 2 2 52" xfId="25810" xr:uid="{567BA968-DF8E-4992-8022-091A62D976F3}"/>
    <cellStyle name="Note 3 2 2 53" xfId="24126" xr:uid="{46AC0812-E918-4D60-A47A-B0A2C027A513}"/>
    <cellStyle name="Note 3 2 2 54" xfId="26340" xr:uid="{B91B85FF-1C28-4171-AC96-14D53A656E84}"/>
    <cellStyle name="Note 3 2 2 55" xfId="27098" xr:uid="{1C1F6126-D8B7-4406-A7EC-FADD47B8E797}"/>
    <cellStyle name="Note 3 2 2 56" xfId="27517" xr:uid="{E4F8F219-6BA2-4073-9C28-AD442890FA14}"/>
    <cellStyle name="Note 3 2 2 57" xfId="27649" xr:uid="{B5D9BCF4-52F3-4F55-ACB3-491355122DE0}"/>
    <cellStyle name="Note 3 2 2 58" xfId="28644" xr:uid="{72D51EBB-ADC8-4828-81E6-A7CA7B57F27F}"/>
    <cellStyle name="Note 3 2 2 59" xfId="29111" xr:uid="{AB12AC0A-94DC-47A6-BCFC-5888EBF81284}"/>
    <cellStyle name="Note 3 2 2 6" xfId="2104" xr:uid="{29ECBCE7-9E10-4ED6-832B-894C3426EF02}"/>
    <cellStyle name="Note 3 2 2 60" xfId="27920" xr:uid="{B6BB410C-6212-4711-8D68-FB4B45037590}"/>
    <cellStyle name="Note 3 2 2 61" xfId="29900" xr:uid="{D392A540-2AB1-41EF-B737-308683585F63}"/>
    <cellStyle name="Note 3 2 2 62" xfId="30306" xr:uid="{FF382FC0-7B80-4990-B61E-74DF3BA9BD0B}"/>
    <cellStyle name="Note 3 2 2 63" xfId="30723" xr:uid="{242FA59E-35F2-4F56-9164-5DEC34D5383D}"/>
    <cellStyle name="Note 3 2 2 64" xfId="30411" xr:uid="{E0222EE8-80E7-42F1-947C-81B9C8317959}"/>
    <cellStyle name="Note 3 2 2 65" xfId="31339" xr:uid="{AABBB503-05FB-4873-89A8-89D5CF070F80}"/>
    <cellStyle name="Note 3 2 2 7" xfId="4122" xr:uid="{587AA71E-A441-4225-9AB5-DB46027FE9FC}"/>
    <cellStyle name="Note 3 2 2 8" xfId="4559" xr:uid="{C3F8A41B-E07C-44A6-96A3-47ABEC0672A9}"/>
    <cellStyle name="Note 3 2 2 9" xfId="3355" xr:uid="{C432007C-CAE5-421C-A65B-1A9ECD6BB6F1}"/>
    <cellStyle name="Note 3 2 20" xfId="10085" xr:uid="{2DBEEA12-A151-4183-94D0-A01078AEF2A8}"/>
    <cellStyle name="Note 3 2 21" xfId="10500" xr:uid="{14792ECC-975A-43BE-8543-902582642769}"/>
    <cellStyle name="Note 3 2 22" xfId="10870" xr:uid="{CA315A71-3730-4B7B-B53F-42003460EEEA}"/>
    <cellStyle name="Note 3 2 23" xfId="9892" xr:uid="{9D0357AB-F88F-4D6A-9718-D875AB3EE057}"/>
    <cellStyle name="Note 3 2 24" xfId="11942" xr:uid="{446FB554-4581-407D-9498-C593C066EC00}"/>
    <cellStyle name="Note 3 2 25" xfId="12415" xr:uid="{5210A17F-60F9-46E3-86B6-77A96B1C51C6}"/>
    <cellStyle name="Note 3 2 26" xfId="12849" xr:uid="{D192D9EB-55D5-444D-8083-2F2D458C80CD}"/>
    <cellStyle name="Note 3 2 27" xfId="13286" xr:uid="{275B1379-E102-4E38-98B5-BD4566F747AF}"/>
    <cellStyle name="Note 3 2 28" xfId="13683" xr:uid="{97A166A2-CD3E-4634-B8DE-228758F5F43C}"/>
    <cellStyle name="Note 3 2 29" xfId="14367" xr:uid="{83C53B64-828C-4219-8D93-105F0A097D98}"/>
    <cellStyle name="Note 3 2 3" xfId="1072" xr:uid="{C54F5F2B-3C04-4A92-BEB1-84906E18CB65}"/>
    <cellStyle name="Note 3 2 30" xfId="14615" xr:uid="{9BB2AF50-4C47-4AC7-A0B8-5E5B75A08C11}"/>
    <cellStyle name="Note 3 2 31" xfId="15292" xr:uid="{9CA91956-48FE-4306-8577-2C2B104FE8E1}"/>
    <cellStyle name="Note 3 2 32" xfId="15304" xr:uid="{48F9D11A-8696-40E2-BE0F-322CB9B371F6}"/>
    <cellStyle name="Note 3 2 33" xfId="15900" xr:uid="{8E55EFF2-4422-41E8-8A21-76E18021BD0C}"/>
    <cellStyle name="Note 3 2 34" xfId="16634" xr:uid="{ED010F0B-2C87-4476-8CD7-3994861C610D}"/>
    <cellStyle name="Note 3 2 35" xfId="17203" xr:uid="{4C3A09F7-D89C-452D-8AA8-49E44AB99986}"/>
    <cellStyle name="Note 3 2 36" xfId="17649" xr:uid="{4551FB7A-61EF-46E7-BE3C-C6AE654A7D2B}"/>
    <cellStyle name="Note 3 2 37" xfId="16164" xr:uid="{269EB182-6709-44B3-BFEB-357240A8DB09}"/>
    <cellStyle name="Note 3 2 38" xfId="18452" xr:uid="{F055F8BE-6CFD-4B15-969E-D0BAEA211377}"/>
    <cellStyle name="Note 3 2 39" xfId="17345" xr:uid="{8F0F57DA-13B9-4C42-8DD1-FD2D789F662D}"/>
    <cellStyle name="Note 3 2 4" xfId="1712" xr:uid="{FB38CCF1-1C34-4E5B-8764-2F555D33BEC3}"/>
    <cellStyle name="Note 3 2 40" xfId="19310" xr:uid="{F1E6AE58-CE8C-487F-B8B1-0B6BCD5AB2E8}"/>
    <cellStyle name="Note 3 2 41" xfId="19971" xr:uid="{CE6B291B-4356-4180-A33E-3AF2BF822BBF}"/>
    <cellStyle name="Note 3 2 42" xfId="20556" xr:uid="{FC39F197-6660-47D8-BCCA-0AF9A3D7F90D}"/>
    <cellStyle name="Note 3 2 43" xfId="21009" xr:uid="{551AE91D-FD87-4F0E-BACA-13463899A49D}"/>
    <cellStyle name="Note 3 2 44" xfId="21300" xr:uid="{2E0D7BB7-424B-41C4-8F2C-A79B54E9E76F}"/>
    <cellStyle name="Note 3 2 45" xfId="21940" xr:uid="{AEBD8616-D9F0-4D66-BC6D-678C0B6B7FCC}"/>
    <cellStyle name="Note 3 2 46" xfId="22372" xr:uid="{8F1E19BE-4B44-417B-8EE0-2D49658505B6}"/>
    <cellStyle name="Note 3 2 47" xfId="22682" xr:uid="{6F6D9584-C53C-4E60-9ECB-7C1FD1A63BCD}"/>
    <cellStyle name="Note 3 2 48" xfId="22318" xr:uid="{6174978E-64BA-4CAB-A901-52DDB5F24369}"/>
    <cellStyle name="Note 3 2 49" xfId="23620" xr:uid="{84299F41-A67B-4082-A72C-8BED35714D1F}"/>
    <cellStyle name="Note 3 2 5" xfId="2411" xr:uid="{36EC7712-6B00-4B20-8ECA-DB82610C5E14}"/>
    <cellStyle name="Note 3 2 50" xfId="23780" xr:uid="{C6646688-BC1E-4E39-A7EB-D14D28A4D35B}"/>
    <cellStyle name="Note 3 2 51" xfId="24679" xr:uid="{6032833E-D631-4C72-8C23-5A9C11680AA1}"/>
    <cellStyle name="Note 3 2 52" xfId="25264" xr:uid="{FD1A2245-F517-496C-8C46-FD5C8048BCBE}"/>
    <cellStyle name="Note 3 2 53" xfId="25597" xr:uid="{F29E3565-433A-4462-8E6D-16A23E2567BB}"/>
    <cellStyle name="Note 3 2 54" xfId="25986" xr:uid="{7F64022E-3E20-4C0A-8485-98A6B34821D7}"/>
    <cellStyle name="Note 3 2 55" xfId="26029" xr:uid="{FDD18A08-23D6-457B-A323-15D2B340AA8F}"/>
    <cellStyle name="Note 3 2 56" xfId="26887" xr:uid="{FAB0C112-78E5-4237-A565-D2114E4C7C90}"/>
    <cellStyle name="Note 3 2 57" xfId="27306" xr:uid="{231AF61E-1708-4C98-AA65-D27CEED912EE}"/>
    <cellStyle name="Note 3 2 58" xfId="27681" xr:uid="{D8C748FB-A9E9-4AC3-B2C1-E46867CEB6DD}"/>
    <cellStyle name="Note 3 2 59" xfId="28429" xr:uid="{8B179F49-183C-4FCF-B4F5-E9A98F72BCFB}"/>
    <cellStyle name="Note 3 2 6" xfId="2848" xr:uid="{A4091C4F-15F3-4F69-AF13-5F3E8D23C96A}"/>
    <cellStyle name="Note 3 2 60" xfId="28897" xr:uid="{699509B9-E590-4BC0-927C-96305158F021}"/>
    <cellStyle name="Note 3 2 61" xfId="29395" xr:uid="{09DA5CB1-FF44-4AF4-A902-7C8D4B0044A6}"/>
    <cellStyle name="Note 3 2 62" xfId="29687" xr:uid="{EB734A9B-275A-4465-A117-307D0149F6E0}"/>
    <cellStyle name="Note 3 2 63" xfId="30095" xr:uid="{D2BB6D97-CC1C-442C-87C6-02A8F0F04384}"/>
    <cellStyle name="Note 3 2 64" xfId="30509" xr:uid="{EBC468D4-D0F6-4269-9993-580C8DBEBAEE}"/>
    <cellStyle name="Note 3 2 65" xfId="30943" xr:uid="{DA1A3582-483E-4C5D-BAB6-9FF4575BB5FC}"/>
    <cellStyle name="Note 3 2 66" xfId="31133" xr:uid="{1C3F68FD-9FA4-466F-B8D7-2DC23D532550}"/>
    <cellStyle name="Note 3 2 7" xfId="3490" xr:uid="{95F9DAD1-677B-4170-9934-CD91B96A5DD6}"/>
    <cellStyle name="Note 3 2 8" xfId="3907" xr:uid="{13CC6127-C4F4-469A-B782-E626F5A9A157}"/>
    <cellStyle name="Note 3 2 9" xfId="4345" xr:uid="{350810A8-67C3-47A9-9963-22ED74FBEAED}"/>
    <cellStyle name="Note 3 20" xfId="8640" xr:uid="{A2F77650-4CB0-4A25-9904-CF1284A37A9D}"/>
    <cellStyle name="Note 3 21" xfId="8613" xr:uid="{9657CEC4-1237-467E-8FBE-053F92B6D667}"/>
    <cellStyle name="Note 3 22" xfId="9180" xr:uid="{8B88016B-0096-429A-B724-D4628DB320A6}"/>
    <cellStyle name="Note 3 23" xfId="9833" xr:uid="{E719ABF4-6D3D-47BF-8A8C-3932B0AF1268}"/>
    <cellStyle name="Note 3 24" xfId="9368" xr:uid="{5ECD60B9-7FA5-420D-ADC0-5C2EAE2C1CE5}"/>
    <cellStyle name="Note 3 25" xfId="10864" xr:uid="{8A147909-1079-452C-BBFB-96317C0B97FA}"/>
    <cellStyle name="Note 3 26" xfId="11313" xr:uid="{EDF9C352-01A3-41EF-9929-703A0FB17A48}"/>
    <cellStyle name="Note 3 27" xfId="11592" xr:uid="{BA4DE81E-9DB2-404A-AD02-0B7F9F0772D2}"/>
    <cellStyle name="Note 3 28" xfId="11360" xr:uid="{762BBD05-360F-4BBA-A5A0-D93D914FFF4D}"/>
    <cellStyle name="Note 3 29" xfId="11655" xr:uid="{02E21739-B312-44F3-92CE-329FFAEFE7B4}"/>
    <cellStyle name="Note 3 3" xfId="555" xr:uid="{4DD4BF44-E696-4DD8-ACC2-C47D84B9AE0D}"/>
    <cellStyle name="Note 3 3 10" xfId="4225" xr:uid="{CF6AAFA0-89BC-4814-9110-6DC571293414}"/>
    <cellStyle name="Note 3 3 11" xfId="5203" xr:uid="{2C7154CE-A5E6-4541-9409-009638FFA6C9}"/>
    <cellStyle name="Note 3 3 12" xfId="5862" xr:uid="{6920EF0E-8116-45F0-9470-0F110092B18B}"/>
    <cellStyle name="Note 3 3 13" xfId="6138" xr:uid="{D71C5F99-059B-454B-86E1-FF441AF80B91}"/>
    <cellStyle name="Note 3 3 14" xfId="6367" xr:uid="{EF7B587E-00BC-467F-9782-243871DF9E71}"/>
    <cellStyle name="Note 3 3 15" xfId="7275" xr:uid="{93F10208-76BF-4151-9BB2-8C3B5446EDA1}"/>
    <cellStyle name="Note 3 3 16" xfId="7932" xr:uid="{7E973218-68BF-48B0-9583-783733B14A56}"/>
    <cellStyle name="Note 3 3 17" xfId="8578" xr:uid="{265C62F2-F222-46C0-A03F-8FF929459E1E}"/>
    <cellStyle name="Note 3 3 18" xfId="8309" xr:uid="{6580C229-7F70-4F6A-A6D9-11F617A71F69}"/>
    <cellStyle name="Note 3 3 19" xfId="9489" xr:uid="{EC16616C-EACF-4D2D-80B5-7C55098AEE5B}"/>
    <cellStyle name="Note 3 3 2" xfId="770" xr:uid="{C5014E7E-CF5B-47C3-AF9D-084A0BD6FC20}"/>
    <cellStyle name="Note 3 3 2 10" xfId="5418" xr:uid="{5BF6D970-0858-4596-BCDA-8B2B122D1520}"/>
    <cellStyle name="Note 3 3 2 11" xfId="4651" xr:uid="{D0C701A4-9088-4B5E-96CF-E0F3963CD62F}"/>
    <cellStyle name="Note 3 3 2 12" xfId="2968" xr:uid="{F25A5A10-0347-4E3E-AE6B-A6C212E4149A}"/>
    <cellStyle name="Note 3 3 2 13" xfId="6178" xr:uid="{93C6B687-528A-42BF-B487-989A069BFF3B}"/>
    <cellStyle name="Note 3 3 2 14" xfId="7490" xr:uid="{DEFB21CD-1923-4D65-884D-FB2CDA19F6F2}"/>
    <cellStyle name="Note 3 3 2 15" xfId="7195" xr:uid="{D068EFE0-933F-4A32-8849-5E635EEF2095}"/>
    <cellStyle name="Note 3 3 2 16" xfId="8399" xr:uid="{07D19F0E-69FB-4B60-A351-97BAAE2FA05C}"/>
    <cellStyle name="Note 3 3 2 17" xfId="7413" xr:uid="{B344AFC7-518C-4215-BBFB-D5EBF1A3618F}"/>
    <cellStyle name="Note 3 3 2 18" xfId="9704" xr:uid="{D5DA0B16-047B-47E6-AB86-224989C42194}"/>
    <cellStyle name="Note 3 3 2 19" xfId="9408" xr:uid="{824223DC-7FDF-44F8-AC64-8AA3369B64E7}"/>
    <cellStyle name="Note 3 3 2 2" xfId="1244" xr:uid="{E67300C5-ECEA-4D0D-AD45-726AABA5B1E8}"/>
    <cellStyle name="Note 3 3 2 20" xfId="9137" xr:uid="{C8165EEB-6574-4537-9DDC-D434250D6E5C}"/>
    <cellStyle name="Note 3 3 2 21" xfId="9139" xr:uid="{FBBD54EE-BA4E-47A8-A8CC-1B38B16523C0}"/>
    <cellStyle name="Note 3 3 2 22" xfId="11066" xr:uid="{1EEB64C8-82E9-47BA-9C06-9D3A59F34FD8}"/>
    <cellStyle name="Note 3 3 2 23" xfId="12123" xr:uid="{2F4DBEA1-6EEB-4932-A725-9CFD46B91479}"/>
    <cellStyle name="Note 3 3 2 24" xfId="12596" xr:uid="{38864038-18E6-4D1E-AB58-D39771DC3094}"/>
    <cellStyle name="Note 3 3 2 25" xfId="13030" xr:uid="{2ABAED5E-F59E-4D98-A979-5C32156E2EC8}"/>
    <cellStyle name="Note 3 3 2 26" xfId="13467" xr:uid="{D48066C4-5E95-4942-913E-EDFF632F314D}"/>
    <cellStyle name="Note 3 3 2 27" xfId="11803" xr:uid="{BB371D3C-6C87-4C5C-94A4-EAE57C174DDE}"/>
    <cellStyle name="Note 3 3 2 28" xfId="12247" xr:uid="{5506C861-D979-4885-98DE-BD9FDB979A09}"/>
    <cellStyle name="Note 3 3 2 29" xfId="14215" xr:uid="{3E829F81-F864-4B9A-BD05-A42B1647C44F}"/>
    <cellStyle name="Note 3 3 2 3" xfId="1431" xr:uid="{BCF77101-A046-4AD1-B210-6A4788B5E35D}"/>
    <cellStyle name="Note 3 3 2 30" xfId="15276" xr:uid="{5659B8DA-130F-4164-A096-B3CFC79BCBD9}"/>
    <cellStyle name="Note 3 3 2 31" xfId="13700" xr:uid="{AC7CC832-F859-4910-B8E6-6B3B4F1CFE09}"/>
    <cellStyle name="Note 3 3 2 32" xfId="14916" xr:uid="{FF93B34E-0C8B-4CA2-8ADC-C5753A4F6BDD}"/>
    <cellStyle name="Note 3 3 2 33" xfId="16815" xr:uid="{16DF0283-C822-4AA0-9BBB-FB9F4BF718AC}"/>
    <cellStyle name="Note 3 3 2 34" xfId="16517" xr:uid="{D959B0D8-B0D6-40F7-8A42-41B8DBA2F259}"/>
    <cellStyle name="Note 3 3 2 35" xfId="16241" xr:uid="{453E07F6-BC04-472F-AB23-CFE5C7CE1FAA}"/>
    <cellStyle name="Note 3 3 2 36" xfId="17887" xr:uid="{FD0BF369-E08B-4A80-90FA-A6CFAB7EB01E}"/>
    <cellStyle name="Note 3 3 2 37" xfId="18633" xr:uid="{F4C25C3C-44A4-4758-AAC5-4919EA8395BD}"/>
    <cellStyle name="Note 3 3 2 38" xfId="18039" xr:uid="{32564A33-FE04-4546-BA70-DB02B1282657}"/>
    <cellStyle name="Note 3 3 2 39" xfId="16217" xr:uid="{23256CAD-3A6F-4A82-852A-FD2A17DDC113}"/>
    <cellStyle name="Note 3 3 2 4" xfId="2592" xr:uid="{55AB61FD-1D07-4B3B-A2C4-E74EF945A5E1}"/>
    <cellStyle name="Note 3 3 2 40" xfId="20152" xr:uid="{EC14075E-1598-49FC-9EF5-5F94E03FCA0D}"/>
    <cellStyle name="Note 3 3 2 41" xfId="19853" xr:uid="{0F120831-F106-4388-A60C-058297135AC3}"/>
    <cellStyle name="Note 3 3 2 42" xfId="20302" xr:uid="{95BE38B4-727D-443B-B749-40DA821C9787}"/>
    <cellStyle name="Note 3 3 2 43" xfId="21524" xr:uid="{0A7A565F-FB2F-49B4-845D-7CB1240F365B}"/>
    <cellStyle name="Note 3 3 2 44" xfId="19542" xr:uid="{A934F192-8C8A-47C4-81A9-89D2CCCE17BE}"/>
    <cellStyle name="Note 3 3 2 45" xfId="21488" xr:uid="{35F06E0E-D81E-4338-B399-23AFF53B1DBB}"/>
    <cellStyle name="Note 3 3 2 46" xfId="22184" xr:uid="{FE3905E4-33F5-43A4-BC61-DEEAC1ED2793}"/>
    <cellStyle name="Note 3 3 2 47" xfId="22337" xr:uid="{BB5CCD62-F1AF-4241-9B3A-F49DCE200212}"/>
    <cellStyle name="Note 3 3 2 48" xfId="22780" xr:uid="{1111798C-29FC-46EB-B4B3-EA75CF11E524}"/>
    <cellStyle name="Note 3 3 2 49" xfId="23952" xr:uid="{0E4F32E8-E56C-444F-A730-E0C92CF2BF59}"/>
    <cellStyle name="Note 3 3 2 5" xfId="2328" xr:uid="{8C3C0F55-1100-4C1A-915A-200069069FB4}"/>
    <cellStyle name="Note 3 3 2 50" xfId="24860" xr:uid="{D5C1E5AB-59AA-4B3E-8FAC-4FDCDBA44200}"/>
    <cellStyle name="Note 3 3 2 51" xfId="24395" xr:uid="{08538442-01DF-445C-AC40-4021A7CA72C0}"/>
    <cellStyle name="Note 3 3 2 52" xfId="25776" xr:uid="{3DB56803-A6A9-4EED-931B-68B753D0585B}"/>
    <cellStyle name="Note 3 3 2 53" xfId="24269" xr:uid="{221BC2AF-D5A4-44F6-9250-661F0FDBF67F}"/>
    <cellStyle name="Note 3 3 2 54" xfId="26684" xr:uid="{EFD90596-D081-4839-9685-20A21D7CF871}"/>
    <cellStyle name="Note 3 3 2 55" xfId="27064" xr:uid="{E4B2D76C-92D0-493C-822D-0604AF402549}"/>
    <cellStyle name="Note 3 3 2 56" xfId="27483" xr:uid="{4B12EC4A-204B-4E42-87BE-B6E9A28891C5}"/>
    <cellStyle name="Note 3 3 2 57" xfId="26002" xr:uid="{2A89996E-C287-44EF-8180-4B1AE50673B4}"/>
    <cellStyle name="Note 3 3 2 58" xfId="28610" xr:uid="{78B20692-B0D2-4F6E-BDFE-989450EEEC55}"/>
    <cellStyle name="Note 3 3 2 59" xfId="29077" xr:uid="{B6318E39-80C3-4802-BEBD-A59312A76DF1}"/>
    <cellStyle name="Note 3 3 2 6" xfId="3359" xr:uid="{1B5B5FBB-65DE-4186-82A9-B2BC508E7EC4}"/>
    <cellStyle name="Note 3 3 2 60" xfId="28790" xr:uid="{B230205B-E42F-484E-804C-43935F399D94}"/>
    <cellStyle name="Note 3 3 2 61" xfId="29866" xr:uid="{9D40B8E7-EEAF-4C28-BB22-15A40730D930}"/>
    <cellStyle name="Note 3 3 2 62" xfId="30272" xr:uid="{9129C210-D994-4412-BD25-B2FCAA9C29A8}"/>
    <cellStyle name="Note 3 3 2 63" xfId="30689" xr:uid="{E1912BC2-E921-4BE4-9EC3-CA5EC518BFF0}"/>
    <cellStyle name="Note 3 3 2 64" xfId="29596" xr:uid="{B2AA9D37-8509-4588-BA4E-0B6D7870A778}"/>
    <cellStyle name="Note 3 3 2 65" xfId="31305" xr:uid="{E8A7EBA0-854F-47DF-B942-88837FE67D7B}"/>
    <cellStyle name="Note 3 3 2 7" xfId="4088" xr:uid="{DA7C39CE-A1F6-4F01-95D5-9E36D8F7819E}"/>
    <cellStyle name="Note 3 3 2 8" xfId="4525" xr:uid="{91F82B71-BC28-41BC-9AD1-59DD175B8B47}"/>
    <cellStyle name="Note 3 3 2 9" xfId="3542" xr:uid="{D6D8DD70-CB0E-48C7-AA77-ACAA74ACE138}"/>
    <cellStyle name="Note 3 3 20" xfId="10145" xr:uid="{37341C7A-762C-4174-8DCF-B5E4D4FCE69F}"/>
    <cellStyle name="Note 3 3 21" xfId="10555" xr:uid="{919D7628-BB4B-4AA4-808D-B4AF9FB7541B}"/>
    <cellStyle name="Note 3 3 22" xfId="8954" xr:uid="{CE13B9AC-D7E9-4124-8830-8D6AFC46A6FC}"/>
    <cellStyle name="Note 3 3 23" xfId="11095" xr:uid="{98F0D045-18A4-426C-AC2D-E8198F14693C}"/>
    <cellStyle name="Note 3 3 24" xfId="11908" xr:uid="{79CF0348-41EA-44E5-BE5F-8A3822B51816}"/>
    <cellStyle name="Note 3 3 25" xfId="12381" xr:uid="{FB7C6E00-057D-46F8-81E3-DFF60EAB5A1E}"/>
    <cellStyle name="Note 3 3 26" xfId="12815" xr:uid="{37DADCEF-E496-44F1-BF17-B12E2C3EC2AF}"/>
    <cellStyle name="Note 3 3 27" xfId="13252" xr:uid="{1CA67615-BD73-4689-996F-770A97DCC155}"/>
    <cellStyle name="Note 3 3 28" xfId="11610" xr:uid="{DE8FB246-E0EB-4984-94AB-D1E985F95E3C}"/>
    <cellStyle name="Note 3 3 29" xfId="12325" xr:uid="{6B5F96C4-BAD0-46AD-8BF3-ABB540C6AC02}"/>
    <cellStyle name="Note 3 3 3" xfId="1038" xr:uid="{65E53414-A0E2-429B-ACA8-5456B8A6A771}"/>
    <cellStyle name="Note 3 3 30" xfId="14741" xr:uid="{EA3151D4-5A89-41FF-9451-58AE482AADA0}"/>
    <cellStyle name="Note 3 3 31" xfId="11821" xr:uid="{4B92E08F-6643-4382-AE9A-E9FBE73EC67A}"/>
    <cellStyle name="Note 3 3 32" xfId="15546" xr:uid="{7B941BF5-AC0F-4406-A975-27B3CB70E6EA}"/>
    <cellStyle name="Note 3 3 33" xfId="15935" xr:uid="{3A801749-509E-4B16-91F7-4D2B04B8774F}"/>
    <cellStyle name="Note 3 3 34" xfId="16600" xr:uid="{8D1CB7CE-46BC-4116-A6E6-BC109E6A3371}"/>
    <cellStyle name="Note 3 3 35" xfId="17265" xr:uid="{1458CF67-AF3D-49BE-B256-7CA7188394C1}"/>
    <cellStyle name="Note 3 3 36" xfId="17709" xr:uid="{A8E88AF4-2149-4D9C-A72F-F19890C2F1A3}"/>
    <cellStyle name="Note 3 3 37" xfId="17536" xr:uid="{198FC08B-F011-4D4A-8227-51E7F8EB260B}"/>
    <cellStyle name="Note 3 3 38" xfId="18418" xr:uid="{4F06C914-3167-4589-8097-5CADFA9861CF}"/>
    <cellStyle name="Note 3 3 39" xfId="17942" xr:uid="{ED788CB3-7C4B-40EF-B59D-51819398167B}"/>
    <cellStyle name="Note 3 3 4" xfId="1661" xr:uid="{97012357-B01A-47FF-8FFD-C4C6D595CC02}"/>
    <cellStyle name="Note 3 3 40" xfId="18044" xr:uid="{D892F3A0-6631-4619-AF1F-7117249470C1}"/>
    <cellStyle name="Note 3 3 41" xfId="19937" xr:uid="{8ADF98A6-2022-4E73-992E-FCE73D5C195D}"/>
    <cellStyle name="Note 3 3 42" xfId="20615" xr:uid="{C62B9006-0B56-4015-A4D7-399F354CF336}"/>
    <cellStyle name="Note 3 3 43" xfId="21070" xr:uid="{5FE3D8CC-9EE3-45FE-B842-AAF602F70664}"/>
    <cellStyle name="Note 3 3 44" xfId="20880" xr:uid="{39AECE3D-B057-4F3A-87D8-4C60FE22581F}"/>
    <cellStyle name="Note 3 3 45" xfId="22001" xr:uid="{D0F03877-517B-4A18-85DE-979B0B61EE3C}"/>
    <cellStyle name="Note 3 3 46" xfId="22432" xr:uid="{B92F2653-B755-4B36-BDD4-C2EA2CC1DAFE}"/>
    <cellStyle name="Note 3 3 47" xfId="19597" xr:uid="{C4AF34C1-6F0E-477B-BDB6-0E7DB3648B80}"/>
    <cellStyle name="Note 3 3 48" xfId="20478" xr:uid="{ADD5C62A-E8B3-4D35-9229-8A23CED3950F}"/>
    <cellStyle name="Note 3 3 49" xfId="22133" xr:uid="{D76A7083-1955-4B60-AE40-671D2AB9D0C0}"/>
    <cellStyle name="Note 3 3 5" xfId="2377" xr:uid="{8CD7D771-E9B0-4196-9B02-45DCC1D0289A}"/>
    <cellStyle name="Note 3 3 50" xfId="23746" xr:uid="{4E28086C-A900-4A9B-87D2-85BEFF45A41E}"/>
    <cellStyle name="Note 3 3 51" xfId="24645" xr:uid="{92C427DB-5245-4071-8917-0E2D06DF47EE}"/>
    <cellStyle name="Note 3 3 52" xfId="25321" xr:uid="{52ADAE1B-B87B-48A5-9ED0-C3613872E346}"/>
    <cellStyle name="Note 3 3 53" xfId="25563" xr:uid="{86B5F8AC-0F63-4430-AC54-068F9EAA6A72}"/>
    <cellStyle name="Note 3 3 54" xfId="24363" xr:uid="{881436E3-D0E3-49ED-951F-BC743BDA3419}"/>
    <cellStyle name="Note 3 3 55" xfId="26635" xr:uid="{E5FEF565-13E4-419B-8D94-C6E5CEC541FB}"/>
    <cellStyle name="Note 3 3 56" xfId="26853" xr:uid="{8CA023AC-8F13-4D27-B3C0-B1F432FF2C00}"/>
    <cellStyle name="Note 3 3 57" xfId="27272" xr:uid="{23CCA6EB-11F5-4EB9-A819-7A7B5B0D10EA}"/>
    <cellStyle name="Note 3 3 58" xfId="27686" xr:uid="{6F2D7D9A-A0BB-48ED-90AA-B581BA8D7EE2}"/>
    <cellStyle name="Note 3 3 59" xfId="28395" xr:uid="{E27716B6-B3E2-4124-B467-993EC96D9608}"/>
    <cellStyle name="Note 3 3 6" xfId="1923" xr:uid="{E1BA7E32-CBAB-47E5-875E-F47516B73C72}"/>
    <cellStyle name="Note 3 3 60" xfId="28863" xr:uid="{C642D059-2A66-476E-82CC-15A13EADEDDF}"/>
    <cellStyle name="Note 3 3 61" xfId="29445" xr:uid="{331E1506-A948-4879-AD33-C27BD552A926}"/>
    <cellStyle name="Note 3 3 62" xfId="29653" xr:uid="{4BA5CEA3-D26E-4027-8270-F96ABE5D048B}"/>
    <cellStyle name="Note 3 3 63" xfId="30061" xr:uid="{708AB913-CC2B-4E7E-86A4-9DD21964A00A}"/>
    <cellStyle name="Note 3 3 64" xfId="30475" xr:uid="{7366DEAB-A47C-469E-9BE8-47AEBFEBA829}"/>
    <cellStyle name="Note 3 3 65" xfId="30922" xr:uid="{A0D47BEB-3B2E-48F5-8767-E6C29A514844}"/>
    <cellStyle name="Note 3 3 66" xfId="31099" xr:uid="{FF45200D-B50A-42FD-8C15-59EBA23DFD31}"/>
    <cellStyle name="Note 3 3 7" xfId="2179" xr:uid="{B124D0F9-B29E-4B2A-85E7-543B3AAABEE1}"/>
    <cellStyle name="Note 3 3 8" xfId="3873" xr:uid="{3C334AC5-C8CF-40FD-9D53-F42574ED2036}"/>
    <cellStyle name="Note 3 3 9" xfId="4311" xr:uid="{6E315B1B-E678-4120-9CD1-D9620421D80B}"/>
    <cellStyle name="Note 3 30" xfId="11784" xr:uid="{65CBCF1E-3920-4C1F-A8CD-9E26888E956E}"/>
    <cellStyle name="Note 3 31" xfId="13970" xr:uid="{F2D4681E-DD03-4035-A68B-C1F1E96D0E58}"/>
    <cellStyle name="Note 3 32" xfId="13172" xr:uid="{A58F0093-4738-4C06-8BA9-F694F35D3730}"/>
    <cellStyle name="Note 3 33" xfId="14379" xr:uid="{EF5F25E8-0865-4BFD-AD30-AE56373EF9DC}"/>
    <cellStyle name="Note 3 34" xfId="14663" xr:uid="{02E6F0BB-80CC-418E-BEA4-A39F5EC948C8}"/>
    <cellStyle name="Note 3 35" xfId="14996" xr:uid="{D17D44B5-6114-47A1-AA56-6197585A7AD9}"/>
    <cellStyle name="Note 3 36" xfId="15802" xr:uid="{75F8CF7B-6BB2-4789-9C6C-034EE4138072}"/>
    <cellStyle name="Note 3 37" xfId="16287" xr:uid="{D70EF32C-A123-4217-A710-7926538692F8}"/>
    <cellStyle name="Note 3 38" xfId="16946" xr:uid="{D40C8098-ABF6-40B8-87ED-2C437E4C797B}"/>
    <cellStyle name="Note 3 39" xfId="16999" xr:uid="{0CB6F0A5-DA5C-4DD0-BE8D-F49E520A567C}"/>
    <cellStyle name="Note 3 4" xfId="573" xr:uid="{57AC2032-8089-4440-A019-5350E1B400CC}"/>
    <cellStyle name="Note 3 4 10" xfId="3344" xr:uid="{6666AAD1-A3FB-4959-AFCC-AFCFBDEC4FC6}"/>
    <cellStyle name="Note 3 4 11" xfId="5221" xr:uid="{47696283-A468-4176-BC36-95835B5EA1FA}"/>
    <cellStyle name="Note 3 4 12" xfId="5725" xr:uid="{3F4CA826-B1FB-40A7-8112-4A3DE93AF23F}"/>
    <cellStyle name="Note 3 4 13" xfId="5646" xr:uid="{1AB29A1E-5658-4154-BDDA-3F03A21F6E36}"/>
    <cellStyle name="Note 3 4 14" xfId="6638" xr:uid="{14C97117-0479-4DEA-9A29-D5A8DCF80D71}"/>
    <cellStyle name="Note 3 4 15" xfId="7293" xr:uid="{3D94A5A8-34B8-4AA5-B172-D4E0A9FA92AA}"/>
    <cellStyle name="Note 3 4 16" xfId="7052" xr:uid="{C4694309-36EF-45DD-9569-8632CD37C33C}"/>
    <cellStyle name="Note 3 4 17" xfId="8181" xr:uid="{BCEC337A-ADF4-4BA2-BCF7-7979CDA644E6}"/>
    <cellStyle name="Note 3 4 18" xfId="8558" xr:uid="{17847FEF-F5AE-405C-B671-25223028ADA1}"/>
    <cellStyle name="Note 3 4 19" xfId="9507" xr:uid="{2AA9CA03-F9CD-43FD-84A6-72F21AC95D41}"/>
    <cellStyle name="Note 3 4 2" xfId="788" xr:uid="{3CA561A8-5BCC-4FFD-A9A9-01307CF5F78E}"/>
    <cellStyle name="Note 3 4 2 10" xfId="5436" xr:uid="{951D46AB-733C-4990-A757-9A793151EA9D}"/>
    <cellStyle name="Note 3 4 2 11" xfId="5960" xr:uid="{29817CA1-2E9B-40A2-8093-FAFF85974A53}"/>
    <cellStyle name="Note 3 4 2 12" xfId="3178" xr:uid="{5046417A-88E6-4464-A242-B4758FD2EB58}"/>
    <cellStyle name="Note 3 4 2 13" xfId="6570" xr:uid="{3A426D2F-1E4D-4DD4-AC35-C72BD076C781}"/>
    <cellStyle name="Note 3 4 2 14" xfId="7508" xr:uid="{366F6949-9FCE-4AED-8009-6849905F5D85}"/>
    <cellStyle name="Note 3 4 2 15" xfId="7106" xr:uid="{3C450949-9AFB-4C63-8832-EBF5994DA7B7}"/>
    <cellStyle name="Note 3 4 2 16" xfId="6900" xr:uid="{EB8BBB03-3B2A-4A01-B044-6E722E442306}"/>
    <cellStyle name="Note 3 4 2 17" xfId="8577" xr:uid="{17D9966A-B7A6-495C-976F-55CC2DEDADDD}"/>
    <cellStyle name="Note 3 4 2 18" xfId="9722" xr:uid="{59722796-9B2F-47B8-80D5-D77BFB36A798}"/>
    <cellStyle name="Note 3 4 2 19" xfId="9192" xr:uid="{1624B79A-E90E-4315-90E6-D33CDD8BB9D9}"/>
    <cellStyle name="Note 3 4 2 2" xfId="1262" xr:uid="{289449E9-EFBB-43C1-B1B5-791676D9D721}"/>
    <cellStyle name="Note 3 4 2 20" xfId="9085" xr:uid="{7624822D-3198-4AB9-BB59-FDDF785518D9}"/>
    <cellStyle name="Note 3 4 2 21" xfId="8972" xr:uid="{4CD64D4C-D060-4A10-A275-70DD9DEDF192}"/>
    <cellStyle name="Note 3 4 2 22" xfId="11120" xr:uid="{2B94CA51-733D-4FDC-9C6C-F4436A977892}"/>
    <cellStyle name="Note 3 4 2 23" xfId="12141" xr:uid="{15E40E9A-0AC0-430E-8AB1-C31428F35558}"/>
    <cellStyle name="Note 3 4 2 24" xfId="12614" xr:uid="{135AB9D3-C460-40B3-8E93-0AEA8AB66084}"/>
    <cellStyle name="Note 3 4 2 25" xfId="13048" xr:uid="{21A8E3C2-90F8-41BE-9C96-D783206CE6EC}"/>
    <cellStyle name="Note 3 4 2 26" xfId="13485" xr:uid="{9FD2250D-4DA4-4F0E-B882-C1E0D4875824}"/>
    <cellStyle name="Note 3 4 2 27" xfId="12296" xr:uid="{957576EE-5D2E-4470-8BB6-0051538DF2EB}"/>
    <cellStyle name="Note 3 4 2 28" xfId="13881" xr:uid="{D63B7ACC-5E98-4AF5-B085-3FA704B20143}"/>
    <cellStyle name="Note 3 4 2 29" xfId="14155" xr:uid="{3AD35EA6-3AF8-4A22-B801-C16049051CF3}"/>
    <cellStyle name="Note 3 4 2 3" xfId="1508" xr:uid="{9C188BCE-7382-4491-946F-88D3D0640879}"/>
    <cellStyle name="Note 3 4 2 30" xfId="15199" xr:uid="{53B8608E-8B4A-4107-994E-E55EF2087203}"/>
    <cellStyle name="Note 3 4 2 31" xfId="14572" xr:uid="{4454072D-A261-44C4-BF1E-6F54986B7B1B}"/>
    <cellStyle name="Note 3 4 2 32" xfId="14978" xr:uid="{FBBB8D06-0089-4149-8D5F-47FAD4B8ED54}"/>
    <cellStyle name="Note 3 4 2 33" xfId="16833" xr:uid="{ADD5AD6C-6E29-499E-A058-BFCE96B26CF5}"/>
    <cellStyle name="Note 3 4 2 34" xfId="16428" xr:uid="{7B42746C-D0D1-4333-9D21-E394DAEB2265}"/>
    <cellStyle name="Note 3 4 2 35" xfId="16493" xr:uid="{461C93DB-051F-4CFD-B799-AED3648A0D45}"/>
    <cellStyle name="Note 3 4 2 36" xfId="17774" xr:uid="{AE741A20-5EAD-495B-8FAC-9FC7594E28E0}"/>
    <cellStyle name="Note 3 4 2 37" xfId="18651" xr:uid="{B379F170-768D-4BA1-90DA-9E72796E9D6D}"/>
    <cellStyle name="Note 3 4 2 38" xfId="19017" xr:uid="{CE4A2590-2092-4C4F-A8A0-B7B3F2D9C802}"/>
    <cellStyle name="Note 3 4 2 39" xfId="19021" xr:uid="{1941FC13-5F74-4C88-A657-F9B96BEEEBD7}"/>
    <cellStyle name="Note 3 4 2 4" xfId="2610" xr:uid="{19E03A94-6FE9-49FE-9590-68A59E8291C5}"/>
    <cellStyle name="Note 3 4 2 40" xfId="20170" xr:uid="{F381A815-7A5B-493B-AB95-549A267DCECF}"/>
    <cellStyle name="Note 3 4 2 41" xfId="19588" xr:uid="{46376924-80FB-40CE-BB5C-1B17D23F06E6}"/>
    <cellStyle name="Note 3 4 2 42" xfId="19705" xr:uid="{D1EB2D24-83DE-4C11-971C-44EE2544C871}"/>
    <cellStyle name="Note 3 4 2 43" xfId="21426" xr:uid="{828DB5F1-4F18-453F-8426-B0AEDBA87682}"/>
    <cellStyle name="Note 3 4 2 44" xfId="20665" xr:uid="{BF17BDDF-A2D1-47B9-8F2A-2CBC0720C8B5}"/>
    <cellStyle name="Note 3 4 2 45" xfId="21328" xr:uid="{1A3036A1-50BF-4283-A777-7CCC6F277510}"/>
    <cellStyle name="Note 3 4 2 46" xfId="22170" xr:uid="{9C518442-7A71-4467-A991-BC88EAB49802}"/>
    <cellStyle name="Note 3 4 2 47" xfId="23296" xr:uid="{C1C911FB-20A3-4F38-B9BF-718479B5F63A}"/>
    <cellStyle name="Note 3 4 2 48" xfId="23165" xr:uid="{FD0B9601-179D-4F4E-A061-7612F8AB0C0F}"/>
    <cellStyle name="Note 3 4 2 49" xfId="23970" xr:uid="{6F1E0709-F7CC-4AB6-8C55-1FB88DD5BFCF}"/>
    <cellStyle name="Note 3 4 2 5" xfId="2032" xr:uid="{7DC3FFDE-1C7A-41C1-88DA-C0C0FC73C9D5}"/>
    <cellStyle name="Note 3 4 2 50" xfId="24878" xr:uid="{86B2586A-1600-4306-A08F-6991F107BFD5}"/>
    <cellStyle name="Note 3 4 2 51" xfId="24305" xr:uid="{942B44C6-C8A4-4734-8052-CBEE38D99C48}"/>
    <cellStyle name="Note 3 4 2 52" xfId="25794" xr:uid="{0A4208C3-72A4-4E40-ADB3-361EDECD004A}"/>
    <cellStyle name="Note 3 4 2 53" xfId="24493" xr:uid="{2086C291-48FA-4D81-8A10-CB829BFEA02D}"/>
    <cellStyle name="Note 3 4 2 54" xfId="26631" xr:uid="{322ADA26-9F6D-4B46-8568-D3D3A6C5967E}"/>
    <cellStyle name="Note 3 4 2 55" xfId="27082" xr:uid="{65BCA766-DF1D-4816-8EA1-378591922613}"/>
    <cellStyle name="Note 3 4 2 56" xfId="27501" xr:uid="{5D427DC5-DA2F-4676-8FD5-C1C87C03FC9F}"/>
    <cellStyle name="Note 3 4 2 57" xfId="26787" xr:uid="{05FC04C1-0C70-41EA-8143-40A66AF37648}"/>
    <cellStyle name="Note 3 4 2 58" xfId="28628" xr:uid="{4492E260-0CC4-4256-8B93-BD32656BB7F7}"/>
    <cellStyle name="Note 3 4 2 59" xfId="29095" xr:uid="{79EA0DED-718E-4745-AA91-DD22E55FAAAB}"/>
    <cellStyle name="Note 3 4 2 6" xfId="3491" xr:uid="{F2D94946-C12F-43FF-BD1E-1C41016C6D9F}"/>
    <cellStyle name="Note 3 4 2 60" xfId="28087" xr:uid="{17C7E89D-492D-435B-9E9D-DBE2FBF8C2E3}"/>
    <cellStyle name="Note 3 4 2 61" xfId="29884" xr:uid="{00752345-0FE1-4B0F-8F36-39EDE9F41405}"/>
    <cellStyle name="Note 3 4 2 62" xfId="30290" xr:uid="{FDFF22DE-0149-4BF9-B4B3-EF3099A26718}"/>
    <cellStyle name="Note 3 4 2 63" xfId="30707" xr:uid="{96908FEE-1A1D-4DF7-B1BD-7D2A9B8C0232}"/>
    <cellStyle name="Note 3 4 2 64" xfId="30857" xr:uid="{F9AD71AA-4D18-4C18-A0EE-C9F306DC230F}"/>
    <cellStyle name="Note 3 4 2 65" xfId="31323" xr:uid="{91F696AD-7694-48B8-BF6F-BE2AF90E218F}"/>
    <cellStyle name="Note 3 4 2 7" xfId="4106" xr:uid="{1A4FA466-5410-496A-9B95-19E302D675FD}"/>
    <cellStyle name="Note 3 4 2 8" xfId="4543" xr:uid="{267F2E22-BCCA-4F85-99DE-10BBD1A37496}"/>
    <cellStyle name="Note 3 4 2 9" xfId="4240" xr:uid="{C5633819-5D5E-4F43-B778-B93BA3CE068C}"/>
    <cellStyle name="Note 3 4 20" xfId="9265" xr:uid="{9558FD60-420A-4B22-8F3A-B7475676C1AC}"/>
    <cellStyle name="Note 3 4 21" xfId="9830" xr:uid="{8BC94005-1C77-4E68-9D4E-0FBBA9423280}"/>
    <cellStyle name="Note 3 4 22" xfId="10773" xr:uid="{E95EBF93-E5B0-4112-A6D4-60D7AD4C2239}"/>
    <cellStyle name="Note 3 4 23" xfId="11156" xr:uid="{0D13930B-FFBA-4620-88BB-4AE9E8E360C1}"/>
    <cellStyle name="Note 3 4 24" xfId="11926" xr:uid="{097EE104-D271-475F-B1E0-692C4AEF0841}"/>
    <cellStyle name="Note 3 4 25" xfId="12399" xr:uid="{A28F47EB-4231-40F9-BA06-10A69C57D6C9}"/>
    <cellStyle name="Note 3 4 26" xfId="12833" xr:uid="{FB90DDA2-6633-4D8E-B6D6-302CDB34246F}"/>
    <cellStyle name="Note 3 4 27" xfId="13270" xr:uid="{11D9E0D4-D541-4879-B376-9064AA0076F0}"/>
    <cellStyle name="Note 3 4 28" xfId="13749" xr:uid="{68B3D8B2-481F-41DA-B3F1-70A176E3104A}"/>
    <cellStyle name="Note 3 4 29" xfId="13193" xr:uid="{EBFE1218-059E-468F-B0E6-BE41B07ED262}"/>
    <cellStyle name="Note 3 4 3" xfId="1056" xr:uid="{3BFA2672-8CE0-4B7C-9B5E-84323E9AC02D}"/>
    <cellStyle name="Note 3 4 30" xfId="14123" xr:uid="{570DB1BD-3EAA-4D27-B9FA-2966F1905484}"/>
    <cellStyle name="Note 3 4 31" xfId="14704" xr:uid="{3DC6CCE8-6E29-4AE0-B97E-C3AE78E04CE9}"/>
    <cellStyle name="Note 3 4 32" xfId="14211" xr:uid="{0F184A01-CE2D-4FD0-9453-9D3A29C4FCA2}"/>
    <cellStyle name="Note 3 4 33" xfId="15417" xr:uid="{912647F1-E08D-4675-AB23-19643FCB1E7A}"/>
    <cellStyle name="Note 3 4 34" xfId="16618" xr:uid="{F658D630-1841-4A7D-81AA-45A0159D4C28}"/>
    <cellStyle name="Note 3 4 35" xfId="16374" xr:uid="{CB0F19E5-4115-40C1-9811-BACD548508EA}"/>
    <cellStyle name="Note 3 4 36" xfId="16943" xr:uid="{8CA790FD-91B1-4956-8DF7-74CAAA3683C4}"/>
    <cellStyle name="Note 3 4 37" xfId="18187" xr:uid="{5DDCCF88-41DF-4E53-ADF3-651FDF5188A1}"/>
    <cellStyle name="Note 3 4 38" xfId="18436" xr:uid="{64B8BF84-4D70-4EC7-9276-F0DE7F56E454}"/>
    <cellStyle name="Note 3 4 39" xfId="18871" xr:uid="{1E64D218-1B0E-4F27-B791-EA21021B1DD5}"/>
    <cellStyle name="Note 3 4 4" xfId="1692" xr:uid="{32632B5D-1B86-4D6A-8228-F3341BD681EE}"/>
    <cellStyle name="Note 3 4 40" xfId="19228" xr:uid="{2DF4E263-4A16-4EFB-AFC5-CEDBDB87EACA}"/>
    <cellStyle name="Note 3 4 41" xfId="19955" xr:uid="{2187DB68-8FFE-4337-8424-C480485FEB4D}"/>
    <cellStyle name="Note 3 4 42" xfId="19708" xr:uid="{B9A71345-108A-49E0-B28C-131542472E99}"/>
    <cellStyle name="Note 3 4 43" xfId="20475" xr:uid="{C37B51F2-3A0F-4E75-A166-0EE96DF9E550}"/>
    <cellStyle name="Note 3 4 44" xfId="19375" xr:uid="{D2203D3C-B4BD-4F7B-851B-7DCF8A38431F}"/>
    <cellStyle name="Note 3 4 45" xfId="20300" xr:uid="{7D74CCCA-B4B4-4CFB-8422-AFDC885F808A}"/>
    <cellStyle name="Note 3 4 46" xfId="21902" xr:uid="{7887D971-9B5F-4A1B-A195-40606182B9AA}"/>
    <cellStyle name="Note 3 4 47" xfId="22744" xr:uid="{6C1911C0-1C19-4B78-A9C0-3DF9E05BE6B9}"/>
    <cellStyle name="Note 3 4 48" xfId="23147" xr:uid="{A508BBBC-EBC8-44DD-A46F-59B56F3BDEFA}"/>
    <cellStyle name="Note 3 4 49" xfId="22841" xr:uid="{284AEE26-613F-47F7-BA61-7D7793337BC9}"/>
    <cellStyle name="Note 3 4 5" xfId="2395" xr:uid="{7761383A-0818-4553-A84F-16D8BB6A7273}"/>
    <cellStyle name="Note 3 4 50" xfId="23764" xr:uid="{FE86CEA6-EB87-487C-A5C3-7C880130343E}"/>
    <cellStyle name="Note 3 4 51" xfId="24663" xr:uid="{16469613-532E-4567-B529-2E29E7663AC9}"/>
    <cellStyle name="Note 3 4 52" xfId="24550" xr:uid="{EAA3C366-24AC-4497-8D7E-001A7874F737}"/>
    <cellStyle name="Note 3 4 53" xfId="25581" xr:uid="{DB9A7C27-87DF-4C2F-A0F2-87740DEF8005}"/>
    <cellStyle name="Note 3 4 54" xfId="25401" xr:uid="{ECD529C4-583C-4060-919A-CC78735789D9}"/>
    <cellStyle name="Note 3 4 55" xfId="26622" xr:uid="{CB80BA84-4FE3-4AE7-A68F-CB244330FB4F}"/>
    <cellStyle name="Note 3 4 56" xfId="26871" xr:uid="{BE2A9378-41A8-4ED0-84E2-61A4AC234597}"/>
    <cellStyle name="Note 3 4 57" xfId="27290" xr:uid="{66AB5707-EE9B-4672-A717-BC610BF82EF3}"/>
    <cellStyle name="Note 3 4 58" xfId="27624" xr:uid="{ECCF5BBA-B67D-46FC-B527-336D1323649B}"/>
    <cellStyle name="Note 3 4 59" xfId="28413" xr:uid="{F06033C9-867A-4AD1-828D-321DDFFDE6EB}"/>
    <cellStyle name="Note 3 4 6" xfId="2915" xr:uid="{1E00EAF8-C5F3-4287-8ED3-43504EE0FC34}"/>
    <cellStyle name="Note 3 4 60" xfId="28881" xr:uid="{F4C465DD-12E2-42A0-BE77-67664457C827}"/>
    <cellStyle name="Note 3 4 61" xfId="27917" xr:uid="{C62D240A-6552-48E3-8E56-AAC8949CDE80}"/>
    <cellStyle name="Note 3 4 62" xfId="29671" xr:uid="{0095DAC1-5E94-4BE4-9318-367F88E3AFA8}"/>
    <cellStyle name="Note 3 4 63" xfId="30079" xr:uid="{0E193941-91A6-4834-930A-69B01BA4D4D9}"/>
    <cellStyle name="Note 3 4 64" xfId="30493" xr:uid="{8160A11C-CFCD-4048-AF30-6BC70A4D490A}"/>
    <cellStyle name="Note 3 4 65" xfId="30889" xr:uid="{D3EA48D1-3F3F-4056-90B5-99702EE37D47}"/>
    <cellStyle name="Note 3 4 66" xfId="31117" xr:uid="{3D6118D9-B0A4-4E2A-8000-869FB02DFC3F}"/>
    <cellStyle name="Note 3 4 7" xfId="3244" xr:uid="{563BD4B6-9077-4B87-A707-EF8DF4872997}"/>
    <cellStyle name="Note 3 4 8" xfId="3891" xr:uid="{3359A13B-8860-4EFE-969A-91DA3C64B850}"/>
    <cellStyle name="Note 3 4 9" xfId="4329" xr:uid="{08F92137-2F85-4CAD-9FC4-04E5D4EB72E9}"/>
    <cellStyle name="Note 3 40" xfId="17875" xr:uid="{19BD0CB2-7342-4791-83A4-8F967F00AA83}"/>
    <cellStyle name="Note 3 41" xfId="18269" xr:uid="{C7AA1698-49AD-4730-B4D5-89E58341FE44}"/>
    <cellStyle name="Note 3 42" xfId="18167" xr:uid="{E9E5E513-34EA-4B64-833F-2D4FDEBCEA76}"/>
    <cellStyle name="Note 3 43" xfId="19196" xr:uid="{E136224E-F41E-4A3D-8DFA-E1F886550859}"/>
    <cellStyle name="Note 3 44" xfId="19620" xr:uid="{31DE52BE-834F-4C2C-B7CC-6CA33A0C1338}"/>
    <cellStyle name="Note 3 45" xfId="20289" xr:uid="{F6B7E0B2-1B8F-4535-9823-664E4E68DC21}"/>
    <cellStyle name="Note 3 46" xfId="20550" xr:uid="{5D1D4FE1-5CEB-4794-93DF-DCC125A8FEEE}"/>
    <cellStyle name="Note 3 47" xfId="21031" xr:uid="{0AD3E6C9-C28F-42DF-84B8-AF88B4AF1D31}"/>
    <cellStyle name="Note 3 48" xfId="20832" xr:uid="{D5F12486-EA15-4537-ADA4-AED2D34F9DE7}"/>
    <cellStyle name="Note 3 49" xfId="21535" xr:uid="{AFD3F08A-8868-4B44-AB37-BC4A113456FF}"/>
    <cellStyle name="Note 3 5" xfId="690" xr:uid="{DED39CB2-BCBD-4F06-BA36-7EBD0D7A0925}"/>
    <cellStyle name="Note 3 5 10" xfId="5338" xr:uid="{1D55AB9C-2067-4613-A680-3480A703CC7F}"/>
    <cellStyle name="Note 3 5 11" xfId="5860" xr:uid="{A01CF246-6354-43B0-99A9-0670A52BB749}"/>
    <cellStyle name="Note 3 5 12" xfId="4739" xr:uid="{F2059F95-C63F-4D7E-9AF2-7345E600D5C5}"/>
    <cellStyle name="Note 3 5 13" xfId="5570" xr:uid="{C01A92DA-0CB2-4735-AC12-6961CBF67926}"/>
    <cellStyle name="Note 3 5 14" xfId="7410" xr:uid="{AF0236C0-D1BA-4EFC-A120-C74620579D9D}"/>
    <cellStyle name="Note 3 5 15" xfId="7917" xr:uid="{051B9A29-CF73-4D4B-ADE9-5768C9C785BE}"/>
    <cellStyle name="Note 3 5 16" xfId="8271" xr:uid="{13D6BFBA-7DB9-4636-9C34-1554D397E24B}"/>
    <cellStyle name="Note 3 5 17" xfId="8511" xr:uid="{AEE91F16-A50D-4221-97C1-C2F54AC3FCB7}"/>
    <cellStyle name="Note 3 5 18" xfId="9624" xr:uid="{48E77B2B-4BBD-4F7C-B17C-A4FEC3EA4E5B}"/>
    <cellStyle name="Note 3 5 19" xfId="10131" xr:uid="{1E230FBB-7BBD-45FF-B054-094B6EA899D1}"/>
    <cellStyle name="Note 3 5 2" xfId="1172" xr:uid="{BFD0006B-A98D-4936-A39E-5B20CBA7B87C}"/>
    <cellStyle name="Note 3 5 20" xfId="10541" xr:uid="{C167ED83-0E6F-4C8D-A5A0-9A600F31E1BA}"/>
    <cellStyle name="Note 3 5 21" xfId="10535" xr:uid="{856FEB8F-EA0D-4B95-9520-B8CC284EA8C6}"/>
    <cellStyle name="Note 3 5 22" xfId="10704" xr:uid="{6B330692-7287-477F-AC62-4A5FA980A4F2}"/>
    <cellStyle name="Note 3 5 23" xfId="12043" xr:uid="{18088EC9-5660-45E0-9CEC-0F01B2B51554}"/>
    <cellStyle name="Note 3 5 24" xfId="12516" xr:uid="{3E127DD7-275D-4763-878C-370015D928AD}"/>
    <cellStyle name="Note 3 5 25" xfId="12950" xr:uid="{E8C5780B-3E4A-4149-BBBA-AAD043DA978C}"/>
    <cellStyle name="Note 3 5 26" xfId="13387" xr:uid="{31F45427-D762-4433-A604-14EDB17F93B7}"/>
    <cellStyle name="Note 3 5 27" xfId="11738" xr:uid="{79611E30-76A7-43AB-B5AE-10CA13C1AAD2}"/>
    <cellStyle name="Note 3 5 28" xfId="13918" xr:uid="{B55768B9-1C58-4811-97AE-9FA9496C7B19}"/>
    <cellStyle name="Note 3 5 29" xfId="14780" xr:uid="{3CC7FFEA-9992-464A-AC51-EC9CA023401A}"/>
    <cellStyle name="Note 3 5 3" xfId="1663" xr:uid="{3D5176E2-8BDB-42E4-BE83-5E1EB72A4262}"/>
    <cellStyle name="Note 3 5 30" xfId="15306" xr:uid="{71FEE527-FA90-4180-AF82-B020A3836D11}"/>
    <cellStyle name="Note 3 5 31" xfId="15365" xr:uid="{03A3729B-2284-4CFF-95B7-198A708BE101}"/>
    <cellStyle name="Note 3 5 32" xfId="15925" xr:uid="{832E7405-F6A4-4058-93E9-93E3B5C1B4D2}"/>
    <cellStyle name="Note 3 5 33" xfId="16735" xr:uid="{F06813DA-8430-4018-989E-16D685FEBE1B}"/>
    <cellStyle name="Note 3 5 34" xfId="17250" xr:uid="{DBE46CA9-BEF0-4795-B00E-C373E147297C}"/>
    <cellStyle name="Note 3 5 35" xfId="17694" xr:uid="{2F1B4894-EF10-455D-9975-F5C481A04341}"/>
    <cellStyle name="Note 3 5 36" xfId="17880" xr:uid="{BC95A7EE-9748-41D0-8BAB-AAF245C97279}"/>
    <cellStyle name="Note 3 5 37" xfId="18553" xr:uid="{F8E3899A-C54F-4FD0-8684-FE3DB1E94C8F}"/>
    <cellStyle name="Note 3 5 38" xfId="17439" xr:uid="{FDB5866C-8BA1-4830-824C-2AA942E411D8}"/>
    <cellStyle name="Note 3 5 39" xfId="17436" xr:uid="{1F78D5BB-C171-4393-B9FA-BDA82D04C5A6}"/>
    <cellStyle name="Note 3 5 4" xfId="2512" xr:uid="{ABEA90FE-C125-42FC-AC09-0D8436039A41}"/>
    <cellStyle name="Note 3 5 40" xfId="20072" xr:uid="{D0EEA6A1-C8E2-4ECD-A25A-43FB3B31AA00}"/>
    <cellStyle name="Note 3 5 41" xfId="20600" xr:uid="{99A525A8-238D-43E8-95AB-812BEA84C568}"/>
    <cellStyle name="Note 3 5 42" xfId="21055" xr:uid="{C9A9C96D-B45C-441D-AA1A-603A41773FC4}"/>
    <cellStyle name="Note 3 5 43" xfId="19541" xr:uid="{3349E84F-9752-4B24-A84D-16BC25D83DAA}"/>
    <cellStyle name="Note 3 5 44" xfId="21986" xr:uid="{ED32CD85-2B84-4259-98DD-B2614B83F766}"/>
    <cellStyle name="Note 3 5 45" xfId="22417" xr:uid="{C400DFC0-9D9E-411D-90F7-706B1A890FA9}"/>
    <cellStyle name="Note 3 5 46" xfId="22187" xr:uid="{4B0E03F5-C555-4FC1-AF4F-096D726E788F}"/>
    <cellStyle name="Note 3 5 47" xfId="22555" xr:uid="{167A2DA1-84CD-452A-8105-760DE0B302BB}"/>
    <cellStyle name="Note 3 5 48" xfId="21746" xr:uid="{5CFF6B33-712D-4BD3-94B8-EAB09E249457}"/>
    <cellStyle name="Note 3 5 49" xfId="23880" xr:uid="{6B164A5F-85EB-493A-8349-FBCA1E34A816}"/>
    <cellStyle name="Note 3 5 5" xfId="1994" xr:uid="{5C47F3E8-9A8A-4922-82D0-7E4D03F85E90}"/>
    <cellStyle name="Note 3 5 50" xfId="24780" xr:uid="{3BFF05E5-0E09-4C6E-BD74-17FED4452189}"/>
    <cellStyle name="Note 3 5 51" xfId="25309" xr:uid="{4B28B9DE-2223-4474-BA94-5E87194D1B3C}"/>
    <cellStyle name="Note 3 5 52" xfId="25698" xr:uid="{93B11A63-6E00-4896-8AEF-E7E54BDFDB77}"/>
    <cellStyle name="Note 3 5 53" xfId="25252" xr:uid="{6AF44D13-9FBB-4BF5-AF1D-08DA80DE8F4B}"/>
    <cellStyle name="Note 3 5 54" xfId="26595" xr:uid="{2738AEE7-DDD4-441D-95F9-876D36610B57}"/>
    <cellStyle name="Note 3 5 55" xfId="26988" xr:uid="{E3E86FB3-D4B4-4849-AB79-DAB944733969}"/>
    <cellStyle name="Note 3 5 56" xfId="27407" xr:uid="{4A33BB3B-7DCD-4C4F-9236-119A23049A58}"/>
    <cellStyle name="Note 3 5 57" xfId="27819" xr:uid="{175B018C-5FB0-49DC-A4AC-CBDE72911409}"/>
    <cellStyle name="Note 3 5 58" xfId="28530" xr:uid="{48151E65-D8BB-4C58-9C4E-1061983A8491}"/>
    <cellStyle name="Note 3 5 59" xfId="28998" xr:uid="{78943782-DE55-43ED-BD95-F4D970C8D455}"/>
    <cellStyle name="Note 3 5 6" xfId="3402" xr:uid="{33D872B2-22A1-4ABF-9A79-6BB101CF9A27}"/>
    <cellStyle name="Note 3 5 60" xfId="29431" xr:uid="{3C2068F7-D0CA-4350-B05D-94E21CF14941}"/>
    <cellStyle name="Note 3 5 61" xfId="29788" xr:uid="{7ED8AFD2-7AFC-4102-8BFA-F735086FE3C3}"/>
    <cellStyle name="Note 3 5 62" xfId="30195" xr:uid="{6CF61B0E-1A40-46AD-84F3-7BE10A229C22}"/>
    <cellStyle name="Note 3 5 63" xfId="30610" xr:uid="{D8811A93-EF23-4C4F-A3DF-4742AD703432}"/>
    <cellStyle name="Note 3 5 64" xfId="30867" xr:uid="{E3A1001A-936D-4F74-9C3B-EF5127218AFE}"/>
    <cellStyle name="Note 3 5 65" xfId="31233" xr:uid="{41E3F4BE-2ED9-4A83-B17D-F898CE1DFE9F}"/>
    <cellStyle name="Note 3 5 7" xfId="4008" xr:uid="{8E1DA068-4AB3-44E2-9F65-F35747AFA067}"/>
    <cellStyle name="Note 3 5 8" xfId="4446" xr:uid="{0DD8A74D-E9E9-4DE4-AD8C-39063B125EDA}"/>
    <cellStyle name="Note 3 5 9" xfId="3438" xr:uid="{D98DB141-6D67-4AC5-A1A9-56680500AECA}"/>
    <cellStyle name="Note 3 50" xfId="22943" xr:uid="{8AA09E46-71F9-4520-8447-09D88D7A46C5}"/>
    <cellStyle name="Note 3 51" xfId="22720" xr:uid="{13CAF59B-215B-49BA-87CA-442FD42C7BED}"/>
    <cellStyle name="Note 3 52" xfId="23572" xr:uid="{5F06DE58-F3ED-4809-B66A-93A632CD2F7A}"/>
    <cellStyle name="Note 3 53" xfId="22647" xr:uid="{D540689F-35A9-408A-8B1C-BEAD371CF69A}"/>
    <cellStyle name="Note 3 54" xfId="24341" xr:uid="{E43626B2-50A7-43E3-A4B0-2F8225660520}"/>
    <cellStyle name="Note 3 55" xfId="25046" xr:uid="{08388028-C60A-4B26-83AB-7A22867D6D31}"/>
    <cellStyle name="Note 3 56" xfId="24152" xr:uid="{8DC8EDC0-3236-4850-AAF2-A5BCD3ACC718}"/>
    <cellStyle name="Note 3 57" xfId="26292" xr:uid="{C7FA7669-87D8-4850-8E48-99CE47CC2C98}"/>
    <cellStyle name="Note 3 58" xfId="26251" xr:uid="{2C625BDD-44DB-49D2-8704-F55585D98BE7}"/>
    <cellStyle name="Note 3 59" xfId="25299" xr:uid="{1CB0DE6B-CAE4-428A-B505-9FBD4356E6D6}"/>
    <cellStyle name="Note 3 6" xfId="934" xr:uid="{CD15529B-900C-41C6-A0AD-D45E7B2AF6F6}"/>
    <cellStyle name="Note 3 60" xfId="24578" xr:uid="{552F1B6F-D365-4E13-8C26-12EE3272CC4C}"/>
    <cellStyle name="Note 3 61" xfId="27607" xr:uid="{DF990779-3641-48B1-A99C-2CE92A282012}"/>
    <cellStyle name="Note 3 62" xfId="28114" xr:uid="{757502FC-9A4A-4B1C-9C5B-8EA9F3D361FA}"/>
    <cellStyle name="Note 3 63" xfId="27902" xr:uid="{8526F907-F166-44A1-8E63-E65DD4B52577}"/>
    <cellStyle name="Note 3 64" xfId="27977" xr:uid="{F6E49811-8620-4E2A-8021-CABE78AD97AF}"/>
    <cellStyle name="Note 3 65" xfId="28203" xr:uid="{134F0C8C-88AD-44ED-B58F-2D3DD8C6EC2C}"/>
    <cellStyle name="Note 3 66" xfId="28263" xr:uid="{E340F971-5DFF-4593-B620-7A9651304239}"/>
    <cellStyle name="Note 3 67" xfId="28762" xr:uid="{A1F0B53C-0121-4A58-B8B0-D7072FB2C190}"/>
    <cellStyle name="Note 3 68" xfId="30814" xr:uid="{13D5B62D-14BB-4E32-9078-584A3A8229F1}"/>
    <cellStyle name="Note 3 69" xfId="30906" xr:uid="{365BBB8D-849F-4ACF-A77F-0E69EA77CFCB}"/>
    <cellStyle name="Note 3 7" xfId="1593" xr:uid="{0212EE72-5E12-4B35-BD61-AD9E076388EF}"/>
    <cellStyle name="Note 3 8" xfId="2061" xr:uid="{B17FD8D9-1EA7-4FAD-819B-B5F6DC00E56A}"/>
    <cellStyle name="Note 3 9" xfId="3140" xr:uid="{7370E669-F899-48A8-9F7A-7EE11FE1CF69}"/>
    <cellStyle name="Notiz" xfId="172" xr:uid="{B7600077-6B6C-4B3F-9055-F739CF88A6FD}"/>
    <cellStyle name="Notiz 10" xfId="2100" xr:uid="{D83634CA-1772-4227-846D-9064A760B7E2}"/>
    <cellStyle name="Notiz 11" xfId="3695" xr:uid="{6C8A73D9-D321-48C6-B07E-7F5543E794BF}"/>
    <cellStyle name="Notiz 12" xfId="3564" xr:uid="{FEAAFAB2-8102-4690-8BAB-3861B2FE97A0}"/>
    <cellStyle name="Notiz 13" xfId="2330" xr:uid="{1C30548E-2773-49D9-9064-F81CA3C30F02}"/>
    <cellStyle name="Notiz 14" xfId="4837" xr:uid="{6955FF41-02B6-473F-958F-EADBB7B2510D}"/>
    <cellStyle name="Notiz 15" xfId="5951" xr:uid="{39FC75F8-DEB8-454F-AB83-F4B456E7BB98}"/>
    <cellStyle name="Notiz 16" xfId="5593" xr:uid="{0EA74677-6689-4EF1-B940-329B98989E27}"/>
    <cellStyle name="Notiz 17" xfId="6269" xr:uid="{CD58D0B2-4BC3-4E53-AFAF-D996ABE7FB7B}"/>
    <cellStyle name="Notiz 18" xfId="6906" xr:uid="{260AC715-FFD0-45FE-A3B0-3B44D715FFD1}"/>
    <cellStyle name="Notiz 19" xfId="7685" xr:uid="{6EFD2922-87F9-4802-90AD-2A74D09D873D}"/>
    <cellStyle name="Notiz 2" xfId="562" xr:uid="{D5D9CAB9-0D4D-4276-9E43-8C9AD5A481FA}"/>
    <cellStyle name="Notiz 2 10" xfId="4251" xr:uid="{36B4880F-F7D8-4313-9789-2A2AE4D5DDF8}"/>
    <cellStyle name="Notiz 2 11" xfId="5210" xr:uid="{F370DED0-C387-4662-80EC-90BD536433F9}"/>
    <cellStyle name="Notiz 2 12" xfId="5847" xr:uid="{E8B608A3-DB1A-4F23-A732-D39B9B149852}"/>
    <cellStyle name="Notiz 2 13" xfId="5564" xr:uid="{E8D2EDB0-E74D-4F8A-878D-DDCB7B0803B9}"/>
    <cellStyle name="Notiz 2 14" xfId="6577" xr:uid="{CCA5AA3F-F16D-46E9-A882-55F5B6A912B7}"/>
    <cellStyle name="Notiz 2 15" xfId="7282" xr:uid="{5C3E754C-3CF0-4968-93AA-02C70C01312B}"/>
    <cellStyle name="Notiz 2 16" xfId="6756" xr:uid="{E1523610-BC71-4918-B2E1-70D4AE5C392F}"/>
    <cellStyle name="Notiz 2 17" xfId="7211" xr:uid="{12FFE63E-3B2B-47E5-9F2C-5BCF7E1D27B2}"/>
    <cellStyle name="Notiz 2 18" xfId="7743" xr:uid="{6FA99977-C08F-407A-9FB1-445B66B34320}"/>
    <cellStyle name="Notiz 2 19" xfId="9496" xr:uid="{2BBB77A4-2E51-4E95-91CB-E44E42B152EC}"/>
    <cellStyle name="Notiz 2 2" xfId="777" xr:uid="{43484427-C5D6-4BB7-9FF9-52E2171B5E9C}"/>
    <cellStyle name="Notiz 2 2 10" xfId="5425" xr:uid="{0D803110-60DA-41A3-A419-8B1BF170AB8C}"/>
    <cellStyle name="Notiz 2 2 11" xfId="5658" xr:uid="{472FB4AF-11EC-42F8-89B8-2D71E0CFC8EB}"/>
    <cellStyle name="Notiz 2 2 12" xfId="5594" xr:uid="{F7C7E912-2621-42E0-9AFA-577CE071FC13}"/>
    <cellStyle name="Notiz 2 2 13" xfId="6468" xr:uid="{50657B12-82A1-4EEE-8F4D-DED5AEBF333A}"/>
    <cellStyle name="Notiz 2 2 14" xfId="7497" xr:uid="{871F4EEB-E8E5-4B51-9762-FB9895420676}"/>
    <cellStyle name="Notiz 2 2 15" xfId="6768" xr:uid="{1EB092FD-63CB-41CE-B333-0B98086B81D4}"/>
    <cellStyle name="Notiz 2 2 16" xfId="7763" xr:uid="{B401C472-79B7-4E54-AF88-D1A86B1C8703}"/>
    <cellStyle name="Notiz 2 2 17" xfId="8836" xr:uid="{E667FBB6-C1D9-46AA-B49A-E098CE74A17C}"/>
    <cellStyle name="Notiz 2 2 18" xfId="9711" xr:uid="{73C11E3E-E78A-4A93-8AB4-F1C9AE6BBDFB}"/>
    <cellStyle name="Notiz 2 2 19" xfId="8980" xr:uid="{B032812A-5487-4122-A5A7-B226B6CDFE0E}"/>
    <cellStyle name="Notiz 2 2 2" xfId="1251" xr:uid="{D79F057E-F6CD-4754-B716-AEBDCA751A8C}"/>
    <cellStyle name="Notiz 2 2 20" xfId="10081" xr:uid="{E15B68A9-2BCF-4DFF-93F0-251876292892}"/>
    <cellStyle name="Notiz 2 2 21" xfId="10649" xr:uid="{DF18E45B-3ED6-4E8D-AA83-D58E39195D46}"/>
    <cellStyle name="Notiz 2 2 22" xfId="11195" xr:uid="{31D8382C-27E8-4162-AA0E-2BEA073210AA}"/>
    <cellStyle name="Notiz 2 2 23" xfId="12130" xr:uid="{B3DB70E2-DB15-4249-8813-4431019DB887}"/>
    <cellStyle name="Notiz 2 2 24" xfId="12603" xr:uid="{593E0CDD-54DC-4319-A52A-3C52A81ABC2F}"/>
    <cellStyle name="Notiz 2 2 25" xfId="13037" xr:uid="{4687A0A8-55BE-45EB-B7E0-382B2597EE5E}"/>
    <cellStyle name="Notiz 2 2 26" xfId="13474" xr:uid="{DBB879A4-0356-45C0-A599-3FFE83310B9F}"/>
    <cellStyle name="Notiz 2 2 27" xfId="13614" xr:uid="{8B4FBD1F-630F-4DFE-B5BF-A1844779F623}"/>
    <cellStyle name="Notiz 2 2 28" xfId="14293" xr:uid="{DFFBB77A-F020-4DF7-95E1-33375213E9A1}"/>
    <cellStyle name="Notiz 2 2 29" xfId="12291" xr:uid="{B4E7568F-80D2-412D-BDC2-17DABA2F9B17}"/>
    <cellStyle name="Notiz 2 2 3" xfId="1428" xr:uid="{9E3E9762-AE67-4196-8A33-DF2E792C5CAC}"/>
    <cellStyle name="Notiz 2 2 30" xfId="14824" xr:uid="{138202DF-F7DF-4DA6-9C94-E6C69BDA9DC5}"/>
    <cellStyle name="Notiz 2 2 31" xfId="15516" xr:uid="{B0A8EAB0-EB10-44DF-837E-295F6F9CF904}"/>
    <cellStyle name="Notiz 2 2 32" xfId="15774" xr:uid="{9F9A5E20-369B-4F43-88DC-86EBD7FE6262}"/>
    <cellStyle name="Notiz 2 2 33" xfId="16822" xr:uid="{E5220E47-4AA4-49AE-888D-4B208F783C51}"/>
    <cellStyle name="Notiz 2 2 34" xfId="16077" xr:uid="{27D7DE58-4EB1-4650-B967-E938283D68C3}"/>
    <cellStyle name="Notiz 2 2 35" xfId="17199" xr:uid="{D02DA4EE-5ED8-43CE-9A49-144EA77EB52B}"/>
    <cellStyle name="Notiz 2 2 36" xfId="17293" xr:uid="{DD3170F8-300E-4C30-8645-FDC8CB855621}"/>
    <cellStyle name="Notiz 2 2 37" xfId="18640" xr:uid="{ABA1F434-937B-4492-BBCB-DB390DC04A73}"/>
    <cellStyle name="Notiz 2 2 38" xfId="18993" xr:uid="{8E757219-CC0B-479E-81D6-F4A35A3D1B27}"/>
    <cellStyle name="Notiz 2 2 39" xfId="19170" xr:uid="{9ABE3893-3DB7-41DE-B003-4610F613D8DE}"/>
    <cellStyle name="Notiz 2 2 4" xfId="2599" xr:uid="{8B973471-86F5-4523-94F7-0476B168380E}"/>
    <cellStyle name="Notiz 2 2 40" xfId="20159" xr:uid="{6A58BAAB-B0B9-4B1C-BFB2-A7433694699E}"/>
    <cellStyle name="Notiz 2 2 41" xfId="19410" xr:uid="{A4E6DE84-B9BB-4A33-BD45-90D3AC0E6257}"/>
    <cellStyle name="Notiz 2 2 42" xfId="19466" xr:uid="{D0E17AAB-9E01-4DC1-B186-9B942A9BE22F}"/>
    <cellStyle name="Notiz 2 2 43" xfId="21367" xr:uid="{C8D3297C-0AD4-4623-97C5-86F0E7D7A0DB}"/>
    <cellStyle name="Notiz 2 2 44" xfId="21648" xr:uid="{50D6191C-5547-4B24-A6B4-E55CF4CC05B9}"/>
    <cellStyle name="Notiz 2 2 45" xfId="21882" xr:uid="{BE5FFA0F-13A1-4AE5-920E-BC1B8FD15361}"/>
    <cellStyle name="Notiz 2 2 46" xfId="22623" xr:uid="{4D564F63-BCD6-42C9-AAC7-8C15446EE069}"/>
    <cellStyle name="Notiz 2 2 47" xfId="23276" xr:uid="{C4B64CE7-8E49-457D-9FF5-A6E4ED823E26}"/>
    <cellStyle name="Notiz 2 2 48" xfId="22859" xr:uid="{378A533B-5F72-4343-ABBA-84A683AB742F}"/>
    <cellStyle name="Notiz 2 2 49" xfId="23959" xr:uid="{12EBBD45-7B4C-437C-A4D2-458F149A292F}"/>
    <cellStyle name="Notiz 2 2 5" xfId="2781" xr:uid="{07EE2215-F432-47AD-98F0-8BD9868513B6}"/>
    <cellStyle name="Notiz 2 2 50" xfId="24867" xr:uid="{F4824E9C-7BE4-4092-BA14-67FD10B2F848}"/>
    <cellStyle name="Notiz 2 2 51" xfId="24463" xr:uid="{1CF02CD4-5BC8-447D-A73D-BC6B2034200C}"/>
    <cellStyle name="Notiz 2 2 52" xfId="25783" xr:uid="{AD8ECE77-73BB-4028-9512-C6A9DCA9E109}"/>
    <cellStyle name="Notiz 2 2 53" xfId="25095" xr:uid="{B5385B3E-D61D-4265-980D-AAFD26927A34}"/>
    <cellStyle name="Notiz 2 2 54" xfId="26516" xr:uid="{4535B07D-B8CB-40FB-9044-A06FC0AFE55F}"/>
    <cellStyle name="Notiz 2 2 55" xfId="27071" xr:uid="{2B229099-6AD3-478D-8F05-2F32A1529FE9}"/>
    <cellStyle name="Notiz 2 2 56" xfId="27490" xr:uid="{23743E2A-9372-4EE0-AB4B-F17DE880E376}"/>
    <cellStyle name="Notiz 2 2 57" xfId="26687" xr:uid="{6711F5D7-6A96-4412-80E0-6980702D7066}"/>
    <cellStyle name="Notiz 2 2 58" xfId="28617" xr:uid="{6D55A432-FAB5-471C-BCFB-D98CAFFC1D87}"/>
    <cellStyle name="Notiz 2 2 59" xfId="29084" xr:uid="{E21B2F59-8BC2-4EC3-96D4-7930AEA33F1F}"/>
    <cellStyle name="Notiz 2 2 6" xfId="2217" xr:uid="{98760151-A08A-4583-B63F-5C883BA790C9}"/>
    <cellStyle name="Notiz 2 2 60" xfId="27907" xr:uid="{629ECAAA-5FC4-4998-B60D-4FB2133DCF3A}"/>
    <cellStyle name="Notiz 2 2 61" xfId="29873" xr:uid="{B1822BC9-EC0F-47B7-BB33-9BACFD7EF237}"/>
    <cellStyle name="Notiz 2 2 62" xfId="30279" xr:uid="{DD639E48-19C2-4FEE-99B7-C54129F34622}"/>
    <cellStyle name="Notiz 2 2 63" xfId="30696" xr:uid="{E2EB80E6-BFA0-401F-915D-19E49EBDA400}"/>
    <cellStyle name="Notiz 2 2 64" xfId="29589" xr:uid="{99E526B5-AB3B-48E8-841C-102C4BB190D6}"/>
    <cellStyle name="Notiz 2 2 65" xfId="31312" xr:uid="{58FCC405-A3D1-4A80-AFFA-8551EDFC963B}"/>
    <cellStyle name="Notiz 2 2 7" xfId="4095" xr:uid="{0E50261E-5B1B-4375-8635-C2ACE27C8E0E}"/>
    <cellStyle name="Notiz 2 2 8" xfId="4532" xr:uid="{5EF11B31-680A-434E-B50B-B14BA088C7E5}"/>
    <cellStyle name="Notiz 2 2 9" xfId="2794" xr:uid="{89F582F2-432A-4417-9ECA-F591C5F52B99}"/>
    <cellStyle name="Notiz 2 20" xfId="8970" xr:uid="{400AB72D-4C90-45BE-865E-EC14B29B2031}"/>
    <cellStyle name="Notiz 2 21" xfId="10178" xr:uid="{BFAB8EF7-52C2-4CDF-96AC-681D99C3A726}"/>
    <cellStyle name="Notiz 2 22" xfId="10494" xr:uid="{9342EBB5-0BEE-4F14-A5B6-E8740708F65E}"/>
    <cellStyle name="Notiz 2 23" xfId="11223" xr:uid="{E8E4B870-55B3-44E1-BA3C-72D619E0E3C0}"/>
    <cellStyle name="Notiz 2 24" xfId="11915" xr:uid="{BE899657-CE61-44DE-8F18-3EFE1FD3A72A}"/>
    <cellStyle name="Notiz 2 25" xfId="12388" xr:uid="{2241B79A-0A8B-4BB0-9FEF-E822DA410F35}"/>
    <cellStyle name="Notiz 2 26" xfId="12822" xr:uid="{7FE30348-7663-4C3C-8A96-C65C258073EB}"/>
    <cellStyle name="Notiz 2 27" xfId="13259" xr:uid="{A281DDFF-EAF5-4F9F-980C-EEAAD4D22931}"/>
    <cellStyle name="Notiz 2 28" xfId="11707" xr:uid="{21D51897-09F0-4A85-9CBB-7ACB578894B2}"/>
    <cellStyle name="Notiz 2 29" xfId="14284" xr:uid="{333E8B3D-A370-4ED2-9CF1-3B5E4412B0A7}"/>
    <cellStyle name="Notiz 2 3" xfId="1045" xr:uid="{39530E23-E473-484F-AD53-05987A48BD1B}"/>
    <cellStyle name="Notiz 2 30" xfId="14783" xr:uid="{3860C95C-CCA0-454E-967B-DD78F0143F8A}"/>
    <cellStyle name="Notiz 2 31" xfId="14726" xr:uid="{2FCDFA32-F6BD-4BAD-A823-D9BF4DFD2AFD}"/>
    <cellStyle name="Notiz 2 32" xfId="15437" xr:uid="{53900A2A-433C-4D7A-9EC2-E762BC237313}"/>
    <cellStyle name="Notiz 2 33" xfId="15679" xr:uid="{B38480A6-3892-4E8D-9219-A6941D10D81B}"/>
    <cellStyle name="Notiz 2 34" xfId="16607" xr:uid="{65F08591-827E-4CD1-81B8-B31F7B409D75}"/>
    <cellStyle name="Notiz 2 35" xfId="16065" xr:uid="{898E6261-8D83-412B-A704-C49DBEDF875D}"/>
    <cellStyle name="Notiz 2 36" xfId="17229" xr:uid="{B4B3746C-37D6-4ACB-BF40-F2F0BE497A0B}"/>
    <cellStyle name="Notiz 2 37" xfId="17820" xr:uid="{CF720696-84F0-42ED-8207-FB328CBC0B81}"/>
    <cellStyle name="Notiz 2 38" xfId="18425" xr:uid="{DAEA26CF-3C18-4580-B9B5-DAD89EB86EC3}"/>
    <cellStyle name="Notiz 2 39" xfId="18907" xr:uid="{B10910AB-2077-4DB4-A68E-EE1717148942}"/>
    <cellStyle name="Notiz 2 4" xfId="1652" xr:uid="{A0ADFA05-63DF-4315-82F3-26FF90543F9B}"/>
    <cellStyle name="Notiz 2 40" xfId="19147" xr:uid="{3F0974A6-B9C1-4D71-A0A7-29B8C5EC6A2A}"/>
    <cellStyle name="Notiz 2 41" xfId="19944" xr:uid="{E07FC255-BC24-42CD-A2C7-1D5DEAE17B23}"/>
    <cellStyle name="Notiz 2 42" xfId="19789" xr:uid="{65FB6D93-2AB0-4C03-946A-143BCA5A700B}"/>
    <cellStyle name="Notiz 2 43" xfId="20688" xr:uid="{2345F4A2-3AA7-4E1A-96EA-594689C70D37}"/>
    <cellStyle name="Notiz 2 44" xfId="21455" xr:uid="{E0AE481B-2D7B-43FB-B62C-140E1CCDC791}"/>
    <cellStyle name="Notiz 2 45" xfId="21503" xr:uid="{2E098306-8E1D-46EB-A093-15F419FF28E7}"/>
    <cellStyle name="Notiz 2 46" xfId="21827" xr:uid="{B19CCBC5-DB7A-425E-9CAD-5CE7BB3CF2B8}"/>
    <cellStyle name="Notiz 2 47" xfId="22589" xr:uid="{B87CF173-F6A0-40C9-82F2-16923E1E0B68}"/>
    <cellStyle name="Notiz 2 48" xfId="23184" xr:uid="{F7E78309-5194-48CD-B025-9D13F1434899}"/>
    <cellStyle name="Notiz 2 49" xfId="22828" xr:uid="{DDAA4F5E-36B6-4E3E-BB7F-8A906CADC324}"/>
    <cellStyle name="Notiz 2 5" xfId="2384" xr:uid="{B7B981F4-DF57-4002-85F4-44FE7FF2F4DF}"/>
    <cellStyle name="Notiz 2 50" xfId="23753" xr:uid="{EECA624E-784A-4290-B224-47E31AD57775}"/>
    <cellStyle name="Notiz 2 51" xfId="24652" xr:uid="{459CB670-1AA7-4E63-8E87-6226F4B6064F}"/>
    <cellStyle name="Notiz 2 52" xfId="24120" xr:uid="{F2282390-9AB9-4AAA-AC84-6D4A8644D8E4}"/>
    <cellStyle name="Notiz 2 53" xfId="25570" xr:uid="{809B95F6-92D4-4E18-BE9E-9F2D2A3AEDA1}"/>
    <cellStyle name="Notiz 2 54" xfId="25009" xr:uid="{7E9F0809-9B7D-417B-8A82-1A3E8621E0F5}"/>
    <cellStyle name="Notiz 2 55" xfId="26071" xr:uid="{667F00BB-D8C2-43F0-ACE3-18D7959E12FD}"/>
    <cellStyle name="Notiz 2 56" xfId="26860" xr:uid="{AE64B8AB-F5A7-4AEC-A9CF-4B082F992354}"/>
    <cellStyle name="Notiz 2 57" xfId="27279" xr:uid="{D9198F8B-E2FE-4D4F-B626-FAC476CD2B3A}"/>
    <cellStyle name="Notiz 2 58" xfId="27693" xr:uid="{0A240B16-8261-479B-8410-9182679FC0B4}"/>
    <cellStyle name="Notiz 2 59" xfId="28402" xr:uid="{D908B800-8030-4A0F-A1A8-4771305C210C}"/>
    <cellStyle name="Notiz 2 6" xfId="2745" xr:uid="{6273044E-648C-4BF9-9C52-A21AC6646933}"/>
    <cellStyle name="Notiz 2 60" xfId="28870" xr:uid="{0D85A27D-6AE6-4746-B276-99617A79FF47}"/>
    <cellStyle name="Notiz 2 61" xfId="28169" xr:uid="{62703A29-1F88-4E99-B716-6DBBE2E53C29}"/>
    <cellStyle name="Notiz 2 62" xfId="29660" xr:uid="{8890ADDD-4A8A-49C5-88A1-2CF1489B4C41}"/>
    <cellStyle name="Notiz 2 63" xfId="30068" xr:uid="{C3855082-1925-4FB1-B20D-1210E189B15C}"/>
    <cellStyle name="Notiz 2 64" xfId="30482" xr:uid="{A2A401F9-B33B-4315-B809-CCC0CBD94209}"/>
    <cellStyle name="Notiz 2 65" xfId="29226" xr:uid="{ACE63E5C-E8A7-4854-9EA7-8D2BED8AB8DC}"/>
    <cellStyle name="Notiz 2 66" xfId="31106" xr:uid="{5173A69C-AE3A-4031-B257-44479879A8D4}"/>
    <cellStyle name="Notiz 2 7" xfId="3644" xr:uid="{1AA88912-6383-4133-B132-44BE4C0FE4C8}"/>
    <cellStyle name="Notiz 2 8" xfId="3880" xr:uid="{3BE067A3-70CE-41B7-8AF1-0E21A770DFEB}"/>
    <cellStyle name="Notiz 2 9" xfId="4318" xr:uid="{15D7DBDA-7474-440B-9A59-D5F7287A11D7}"/>
    <cellStyle name="Notiz 20" xfId="8568" xr:uid="{AAE65FE9-44AC-415C-9B2E-243B6C1DD715}"/>
    <cellStyle name="Notiz 21" xfId="8449" xr:uid="{E44CFF1B-10A4-4808-8F68-E0098EE56D1B}"/>
    <cellStyle name="Notiz 22" xfId="9119" xr:uid="{7D0510BF-A9D1-4F41-B859-231C06C743D7}"/>
    <cellStyle name="Notiz 23" xfId="9901" xr:uid="{D7C04B44-8217-4615-B6A1-354FDA26C050}"/>
    <cellStyle name="Notiz 24" xfId="10335" xr:uid="{06230CF7-B071-41D4-877F-0B0DE9186799}"/>
    <cellStyle name="Notiz 25" xfId="9057" xr:uid="{D46E5DB3-A259-4737-8B73-C75593B19533}"/>
    <cellStyle name="Notiz 26" xfId="11176" xr:uid="{0C730BB2-D0BC-486D-970B-DF3BB1838C53}"/>
    <cellStyle name="Notiz 27" xfId="11530" xr:uid="{69010959-46B8-4983-9241-20714B03328D}"/>
    <cellStyle name="Notiz 28" xfId="11515" xr:uid="{CC393AC9-6628-4203-A394-2E20192A43AF}"/>
    <cellStyle name="Notiz 29" xfId="12271" xr:uid="{71413AE6-73C7-4CA0-AA87-A6E767BF2A1E}"/>
    <cellStyle name="Notiz 3" xfId="624" xr:uid="{A59F5559-C1F4-407E-9BE8-7E990170AE0D}"/>
    <cellStyle name="Notiz 3 10" xfId="5031" xr:uid="{6E49445B-33F4-49DC-AD84-71ACA6D845AD}"/>
    <cellStyle name="Notiz 3 11" xfId="5272" xr:uid="{420B8439-C556-422C-834D-5EA245DD8F5B}"/>
    <cellStyle name="Notiz 3 12" xfId="5964" xr:uid="{2CE54535-E5B4-437D-AFAB-F73BA17788AC}"/>
    <cellStyle name="Notiz 3 13" xfId="6080" xr:uid="{78C4EB91-F3A8-4296-BD42-AFEE2F8D31B7}"/>
    <cellStyle name="Notiz 3 14" xfId="6614" xr:uid="{D4A6AA87-35B5-4C97-82F4-DBE5E4F01366}"/>
    <cellStyle name="Notiz 3 15" xfId="7344" xr:uid="{B34B4BC5-A326-4B92-AEEF-6E808632EFA2}"/>
    <cellStyle name="Notiz 3 16" xfId="7065" xr:uid="{BE3FD984-7F10-472D-BDD7-6C38F7F7881F}"/>
    <cellStyle name="Notiz 3 17" xfId="8439" xr:uid="{9A0FDCA0-40B3-4E9F-B65F-598B83C0F97D}"/>
    <cellStyle name="Notiz 3 18" xfId="8809" xr:uid="{2BF74FE9-CDF4-40F1-9EE7-89A0FCA6265E}"/>
    <cellStyle name="Notiz 3 19" xfId="9558" xr:uid="{18AC6F3D-8B01-4F3E-AEC2-C3D560A5A9F1}"/>
    <cellStyle name="Notiz 3 2" xfId="839" xr:uid="{AF81A8A4-8ED3-4571-BB97-D25922E304D2}"/>
    <cellStyle name="Notiz 3 2 10" xfId="5487" xr:uid="{09139607-270C-4905-A2E8-AA015F65996A}"/>
    <cellStyle name="Notiz 3 2 11" xfId="4702" xr:uid="{ACF88C63-CC66-44BC-A050-7B4B3078B2AA}"/>
    <cellStyle name="Notiz 3 2 12" xfId="6259" xr:uid="{C36C3D91-44B2-4B89-BD4D-F4F9EF6C3A51}"/>
    <cellStyle name="Notiz 3 2 13" xfId="5631" xr:uid="{73108BBE-1A11-4F17-B206-D59B8E755AE9}"/>
    <cellStyle name="Notiz 3 2 14" xfId="7559" xr:uid="{C48C9E66-2872-4E30-822F-3416DECB543D}"/>
    <cellStyle name="Notiz 3 2 15" xfId="6933" xr:uid="{B9BB8C16-CB2C-4DF8-AD8D-96D7CB9FE748}"/>
    <cellStyle name="Notiz 3 2 16" xfId="8475" xr:uid="{8B4E9822-A8DB-4DB5-BA71-58B61DF509B8}"/>
    <cellStyle name="Notiz 3 2 17" xfId="8659" xr:uid="{31F4BDAF-997E-4DAF-94D4-AF884DFEB332}"/>
    <cellStyle name="Notiz 3 2 18" xfId="9773" xr:uid="{DFED518E-8518-4AAA-9F32-1F4DDB5DA81B}"/>
    <cellStyle name="Notiz 3 2 19" xfId="9036" xr:uid="{EEDF8E4F-F448-4791-9E4B-F52A02E6E119}"/>
    <cellStyle name="Notiz 3 2 2" xfId="1313" xr:uid="{87B891AF-A0C9-4C4D-B850-0F605BA23707}"/>
    <cellStyle name="Notiz 3 2 20" xfId="9140" xr:uid="{C44F0B65-9436-4039-AFBF-C37111D9FEEC}"/>
    <cellStyle name="Notiz 3 2 21" xfId="10865" xr:uid="{550A103B-77F4-4085-974A-0AA714B1517E}"/>
    <cellStyle name="Notiz 3 2 22" xfId="11259" xr:uid="{ED18C3C9-EB23-4E30-84D2-18DFF9CEB2EC}"/>
    <cellStyle name="Notiz 3 2 23" xfId="12192" xr:uid="{879E5E09-68E7-4FF5-99F7-664D132238CA}"/>
    <cellStyle name="Notiz 3 2 24" xfId="12665" xr:uid="{DE44BA12-20A5-49DB-8800-613C45E208E4}"/>
    <cellStyle name="Notiz 3 2 25" xfId="13099" xr:uid="{D1766E4E-8442-49C7-BE26-A0576B5A8772}"/>
    <cellStyle name="Notiz 3 2 26" xfId="13536" xr:uid="{8C717708-4F82-470B-BCEF-D9A20E536160}"/>
    <cellStyle name="Notiz 3 2 27" xfId="13968" xr:uid="{955864B7-DAE6-4C26-A33B-4ECE443B2A77}"/>
    <cellStyle name="Notiz 3 2 28" xfId="11509" xr:uid="{58D961CE-1CB8-40A3-8193-8C3DA9AADCD8}"/>
    <cellStyle name="Notiz 3 2 29" xfId="14078" xr:uid="{50DC8E62-90E1-4ED3-A1FF-FAD05455ABAB}"/>
    <cellStyle name="Notiz 3 2 3" xfId="1762" xr:uid="{8332A57F-57FB-40D2-AF7B-496059E2BDE2}"/>
    <cellStyle name="Notiz 3 2 30" xfId="14788" xr:uid="{E1F3B226-4DD6-4DDE-92F2-1B751066CD88}"/>
    <cellStyle name="Notiz 3 2 31" xfId="15212" xr:uid="{BD8F4596-814F-4527-AA8C-3DAB146C8B38}"/>
    <cellStyle name="Notiz 3 2 32" xfId="15699" xr:uid="{3837EE92-B70B-40C2-B281-8C789A2376A3}"/>
    <cellStyle name="Notiz 3 2 33" xfId="16884" xr:uid="{4EACBDA5-A7FF-4641-9527-1E0FE1BCD82B}"/>
    <cellStyle name="Notiz 3 2 34" xfId="16251" xr:uid="{BF76E666-C2A3-46CD-84D8-675BFD27CF79}"/>
    <cellStyle name="Notiz 3 2 35" xfId="17242" xr:uid="{3589B562-8D52-4151-80B9-9EC909F38DA5}"/>
    <cellStyle name="Notiz 3 2 36" xfId="17960" xr:uid="{11E7AA0B-B0AC-4112-9C4C-EE78C6276D91}"/>
    <cellStyle name="Notiz 3 2 37" xfId="18702" xr:uid="{F25AE623-2BE3-4F83-BBC0-B92A1BE905C3}"/>
    <cellStyle name="Notiz 3 2 38" xfId="18290" xr:uid="{0647F803-F174-4FEF-82DD-CEDEC7CCB139}"/>
    <cellStyle name="Notiz 3 2 39" xfId="19197" xr:uid="{78DF98E5-9752-42DC-81E6-68E69CEE2209}"/>
    <cellStyle name="Notiz 3 2 4" xfId="2661" xr:uid="{55AAD347-4497-4094-9F73-D3AF9E04CD07}"/>
    <cellStyle name="Notiz 3 2 40" xfId="20221" xr:uid="{E10990D1-787D-4789-BE77-624682CC0756}"/>
    <cellStyle name="Notiz 3 2 41" xfId="19630" xr:uid="{B8995FA1-7B72-48A1-904A-CD02067851FD}"/>
    <cellStyle name="Notiz 3 2 42" xfId="20346" xr:uid="{2ECF60CA-87E4-4BFA-BB89-D872117F728C}"/>
    <cellStyle name="Notiz 3 2 43" xfId="20890" xr:uid="{7ED794A2-DA00-45E7-81CA-104DF8F15138}"/>
    <cellStyle name="Notiz 3 2 44" xfId="21370" xr:uid="{02A40982-B2B8-4884-870F-976E0352F9C3}"/>
    <cellStyle name="Notiz 3 2 45" xfId="21543" xr:uid="{E77D1EFC-59D4-4593-92A4-E5A6F0763CDC}"/>
    <cellStyle name="Notiz 3 2 46" xfId="22942" xr:uid="{BE626E98-D144-4B2F-93A8-9C089A486E88}"/>
    <cellStyle name="Notiz 3 2 47" xfId="22247" xr:uid="{96B0C48F-1F26-41DF-BC9F-0D4BCA5EFD79}"/>
    <cellStyle name="Notiz 3 2 48" xfId="23604" xr:uid="{E9AEA54D-AB54-4A05-8D16-D32927F47974}"/>
    <cellStyle name="Notiz 3 2 49" xfId="24021" xr:uid="{24BDC685-F9CE-438F-971A-74A0E625DE93}"/>
    <cellStyle name="Notiz 3 2 5" xfId="3138" xr:uid="{8EDFF658-9B02-4327-BBE5-9091BD96B922}"/>
    <cellStyle name="Notiz 3 2 50" xfId="24929" xr:uid="{0C9F5B49-B5EB-4A70-B3FE-FB3194DAF5F0}"/>
    <cellStyle name="Notiz 3 2 51" xfId="24346" xr:uid="{6FEA9137-435D-43F8-B9A4-C1090749E852}"/>
    <cellStyle name="Notiz 3 2 52" xfId="25845" xr:uid="{FE145D98-59DB-4463-A118-5F350309A268}"/>
    <cellStyle name="Notiz 3 2 53" xfId="26248" xr:uid="{8D66ADCC-5422-400A-BB84-75992756B07D}"/>
    <cellStyle name="Notiz 3 2 54" xfId="24438" xr:uid="{FAB341E6-6AC4-49FA-AB8B-6530685CDD22}"/>
    <cellStyle name="Notiz 3 2 55" xfId="27133" xr:uid="{84B75504-C66C-4F1F-8A61-BF0F125310D1}"/>
    <cellStyle name="Notiz 3 2 56" xfId="27552" xr:uid="{C89BC165-AE79-44E9-B1D3-86736DC71634}"/>
    <cellStyle name="Notiz 3 2 57" xfId="27801" xr:uid="{6E4DAA87-E2E4-4262-AE02-3CA779321E77}"/>
    <cellStyle name="Notiz 3 2 58" xfId="28679" xr:uid="{280EEBE4-A09A-4F99-B6BB-96B91BCADCFA}"/>
    <cellStyle name="Notiz 3 2 59" xfId="29146" xr:uid="{7BC51A94-BD28-4CD5-80BD-DFB5A8189743}"/>
    <cellStyle name="Notiz 3 2 6" xfId="2926" xr:uid="{29EA6DAB-DAEB-428F-AF9B-16033734CA7D}"/>
    <cellStyle name="Notiz 3 2 60" xfId="28314" xr:uid="{6B39604B-8248-4E34-B94E-F2C3D18BF403}"/>
    <cellStyle name="Notiz 3 2 61" xfId="29935" xr:uid="{57468826-6D1F-470A-8B1B-81778846F5A3}"/>
    <cellStyle name="Notiz 3 2 62" xfId="30341" xr:uid="{74B6578B-481B-4DBC-9836-B2F799852E26}"/>
    <cellStyle name="Notiz 3 2 63" xfId="30758" xr:uid="{1F0C998A-2EDF-4D84-A64C-2645E5876C99}"/>
    <cellStyle name="Notiz 3 2 64" xfId="29206" xr:uid="{521CF801-317D-4A9F-AD84-CEA728F1A218}"/>
    <cellStyle name="Notiz 3 2 65" xfId="31374" xr:uid="{EB0BCFD2-E19F-468A-8DBF-0E2E6893F570}"/>
    <cellStyle name="Notiz 3 2 7" xfId="4157" xr:uid="{F0601982-019A-4B72-BB72-7BA40867C88A}"/>
    <cellStyle name="Notiz 3 2 8" xfId="4594" xr:uid="{118C6DA2-57DD-4809-BD59-D7CFDF7795C7}"/>
    <cellStyle name="Notiz 3 2 9" xfId="4249" xr:uid="{3F703EA7-59CB-441B-A2AC-C0A2151819CC}"/>
    <cellStyle name="Notiz 3 20" xfId="9278" xr:uid="{FAFB7029-698E-4DC6-8214-9C844012E527}"/>
    <cellStyle name="Notiz 3 21" xfId="10020" xr:uid="{03B02995-1C3B-4E5B-912D-30A594AFBFB2}"/>
    <cellStyle name="Notiz 3 22" xfId="10760" xr:uid="{53E9B9FF-ECAA-4C5C-95BD-4B493A30CC92}"/>
    <cellStyle name="Notiz 3 23" xfId="10017" xr:uid="{84F89747-FD8F-49FD-A61D-E40D6536E17F}"/>
    <cellStyle name="Notiz 3 24" xfId="11977" xr:uid="{80D0AB73-3138-4FFD-B289-1773F3343188}"/>
    <cellStyle name="Notiz 3 25" xfId="12450" xr:uid="{5856EB7C-C669-4248-A569-267D117DC45B}"/>
    <cellStyle name="Notiz 3 26" xfId="12884" xr:uid="{C6B83689-8D3F-4168-873A-1CEF5D4231F9}"/>
    <cellStyle name="Notiz 3 27" xfId="13321" xr:uid="{A4AC4CE3-3722-4F14-BEC4-95996D083991}"/>
    <cellStyle name="Notiz 3 28" xfId="13816" xr:uid="{37A82B5B-C883-4ED8-A0BE-0850A0608CE0}"/>
    <cellStyle name="Notiz 3 29" xfId="14245" xr:uid="{4BB44AA8-C697-4E5E-894A-9BBFF4B70D9B}"/>
    <cellStyle name="Notiz 3 3" xfId="1107" xr:uid="{903AF3AD-89B6-434F-BFE8-3CE55CBCB0D6}"/>
    <cellStyle name="Notiz 3 30" xfId="14643" xr:uid="{A87B2A91-22CD-4D63-BE19-BB75E56E59B9}"/>
    <cellStyle name="Notiz 3 31" xfId="15070" xr:uid="{96FA7658-BDE2-4C88-AE53-8E09B9036D0B}"/>
    <cellStyle name="Notiz 3 32" xfId="11563" xr:uid="{AD441B70-D3AB-449E-8671-A5FC7AC047A2}"/>
    <cellStyle name="Notiz 3 33" xfId="15454" xr:uid="{6534A335-2958-4D06-ADF3-D3FB79F65C9F}"/>
    <cellStyle name="Notiz 3 34" xfId="16669" xr:uid="{A5EB01B5-21CA-415E-B525-CBEB935A851D}"/>
    <cellStyle name="Notiz 3 35" xfId="16387" xr:uid="{F3DA3DDA-FAA9-4802-87F1-A7A7488EC85E}"/>
    <cellStyle name="Notiz 3 36" xfId="17137" xr:uid="{982F0660-ACA7-4F01-9B5D-0EFDE9872FEA}"/>
    <cellStyle name="Notiz 3 37" xfId="16143" xr:uid="{63135D1F-8076-43C0-8FD4-0A58E024B0B0}"/>
    <cellStyle name="Notiz 3 38" xfId="18487" xr:uid="{07A4DFE5-8F8F-4D06-87A2-137CA2FBFC98}"/>
    <cellStyle name="Notiz 3 39" xfId="19029" xr:uid="{26A0AFE1-3AE8-49CB-B966-D61FF4BC972D}"/>
    <cellStyle name="Notiz 3 4" xfId="1370" xr:uid="{6F3500BD-1044-45D3-9993-8F37407C6B5C}"/>
    <cellStyle name="Notiz 3 40" xfId="19253" xr:uid="{94BB853A-B34A-4DA7-92DB-57ED4359BA78}"/>
    <cellStyle name="Notiz 3 41" xfId="20006" xr:uid="{4F5453C2-F8D7-404C-97D3-493A314E471B}"/>
    <cellStyle name="Notiz 3 42" xfId="19721" xr:uid="{5B3B34C8-78CF-423E-B872-659A099B091D}"/>
    <cellStyle name="Notiz 3 43" xfId="20304" xr:uid="{3E298C72-E0C4-4C5A-A0A9-8F59C24BCCDA}"/>
    <cellStyle name="Notiz 3 44" xfId="21285" xr:uid="{C661B844-A207-427F-AE40-7560DA5E6E0B}"/>
    <cellStyle name="Notiz 3 45" xfId="21366" xr:uid="{0593824E-7839-4221-B27A-3A94D70DEB43}"/>
    <cellStyle name="Notiz 3 46" xfId="20356" xr:uid="{0A06D1CD-812C-4C53-9D29-D051F4798973}"/>
    <cellStyle name="Notiz 3 47" xfId="22805" xr:uid="{0C0A3115-A947-467F-B9E5-648939F7D57D}"/>
    <cellStyle name="Notiz 3 48" xfId="23307" xr:uid="{DBE182CC-3C11-4B2A-879F-45608B5960AC}"/>
    <cellStyle name="Notiz 3 49" xfId="21299" xr:uid="{696064BB-E97B-4E83-8B1D-B48A25B404CF}"/>
    <cellStyle name="Notiz 3 5" xfId="2446" xr:uid="{1B973AAA-8750-442C-8E0E-0D9D2F57029B}"/>
    <cellStyle name="Notiz 3 50" xfId="23815" xr:uid="{DC5065DE-99CE-4AE0-97F9-9E541B66CA51}"/>
    <cellStyle name="Notiz 3 51" xfId="24714" xr:uid="{DD7CC641-883A-4517-B64C-41F246CD5889}"/>
    <cellStyle name="Notiz 3 52" xfId="24489" xr:uid="{7276D59D-21E3-4745-8E23-C6168BAD7F55}"/>
    <cellStyle name="Notiz 3 53" xfId="25632" xr:uid="{8BD23B0C-2131-4F90-BBE4-FB88C42117A3}"/>
    <cellStyle name="Notiz 3 54" xfId="26025" xr:uid="{9CD75FE8-1060-4F5E-A2F7-078551190ED4}"/>
    <cellStyle name="Notiz 3 55" xfId="26171" xr:uid="{71E4B8D7-F533-4EE2-A27C-4440173BF6F2}"/>
    <cellStyle name="Notiz 3 56" xfId="26922" xr:uid="{17514C20-F708-4811-AF2D-80BD4FD6D3F1}"/>
    <cellStyle name="Notiz 3 57" xfId="27341" xr:uid="{B62C9958-1A1E-4E1A-BB38-3F1E86D61EDA}"/>
    <cellStyle name="Notiz 3 58" xfId="27633" xr:uid="{B802EE75-886B-4EDA-B5EC-B5448920F76E}"/>
    <cellStyle name="Notiz 3 59" xfId="28464" xr:uid="{B68D3772-1F18-4D1C-8997-171C9BE6CA70}"/>
    <cellStyle name="Notiz 3 6" xfId="2982" xr:uid="{84BE2105-A15E-4F57-B27E-F753DDDE0888}"/>
    <cellStyle name="Notiz 3 60" xfId="28932" xr:uid="{AD952670-9F70-4C10-A395-21A00038A38B}"/>
    <cellStyle name="Notiz 3 61" xfId="28798" xr:uid="{BB164AD3-0E3C-4B79-B6CD-E1E82B21B6A0}"/>
    <cellStyle name="Notiz 3 62" xfId="29722" xr:uid="{8570708A-AC8A-4A56-B79D-3B4B3B967B17}"/>
    <cellStyle name="Notiz 3 63" xfId="30130" xr:uid="{D6BA7191-EC3D-492E-BC1E-D30A732B46BE}"/>
    <cellStyle name="Notiz 3 64" xfId="30544" xr:uid="{8FEE8876-0BF0-4271-AE85-CB2F3CC2ABB0}"/>
    <cellStyle name="Notiz 3 65" xfId="30931" xr:uid="{351387C3-8520-4CD7-B868-DF02C45EABFC}"/>
    <cellStyle name="Notiz 3 66" xfId="31168" xr:uid="{4FA15B35-5242-4472-BFD0-34836783E036}"/>
    <cellStyle name="Notiz 3 7" xfId="1932" xr:uid="{89C63A21-A39D-42E9-9A39-3A3638DC9D4D}"/>
    <cellStyle name="Notiz 3 8" xfId="3942" xr:uid="{0373F002-9E43-4C12-BEA5-5E181B242B28}"/>
    <cellStyle name="Notiz 3 9" xfId="4380" xr:uid="{0E798BC8-2986-4ADF-9D8B-72D04E213A46}"/>
    <cellStyle name="Notiz 30" xfId="11541" xr:uid="{D57390E0-3175-4FF3-BB93-9A44B0692AC3}"/>
    <cellStyle name="Notiz 31" xfId="12251" xr:uid="{3C6B85F7-F97B-4D79-ABD6-584C42E1D2A1}"/>
    <cellStyle name="Notiz 32" xfId="13600" xr:uid="{5B525CD9-7C2E-4D73-BA84-85B0E2E1B735}"/>
    <cellStyle name="Notiz 33" xfId="14317" xr:uid="{B1546192-49E9-46F3-9C7A-878E50D57641}"/>
    <cellStyle name="Notiz 34" xfId="15136" xr:uid="{A6D093DB-C209-4B5C-8D15-AE0439E60286}"/>
    <cellStyle name="Notiz 35" xfId="14803" xr:uid="{191AC647-3366-4A64-B0C4-E9D5D9C89D94}"/>
    <cellStyle name="Notiz 36" xfId="15715" xr:uid="{0FCA948C-E863-48EB-A7B5-A5B4DE451C48}"/>
    <cellStyle name="Notiz 37" xfId="16223" xr:uid="{B3C31B62-B22D-4089-AF87-D88CA077ED6C}"/>
    <cellStyle name="Notiz 38" xfId="17015" xr:uid="{95D04B25-2E45-41B9-9CAF-4ACFB87FAA47}"/>
    <cellStyle name="Notiz 39" xfId="17460" xr:uid="{1DAE5E6C-E07B-470B-9318-500F51A09224}"/>
    <cellStyle name="Notiz 4" xfId="593" xr:uid="{E942EFC5-DF07-4E0C-8F07-195890B5CC78}"/>
    <cellStyle name="Notiz 4 10" xfId="4734" xr:uid="{DF5AED1A-E62B-44DF-AE25-FAF740E85AF4}"/>
    <cellStyle name="Notiz 4 11" xfId="5241" xr:uid="{B73ED449-49EA-482E-AF73-ED24BF92A7AA}"/>
    <cellStyle name="Notiz 4 12" xfId="5880" xr:uid="{5A0AE0FD-69B8-4D32-A794-E5917D768C0A}"/>
    <cellStyle name="Notiz 4 13" xfId="6212" xr:uid="{6A44096D-E26B-4FA3-98E7-CADDF283CC38}"/>
    <cellStyle name="Notiz 4 14" xfId="6444" xr:uid="{62655043-C709-4DBE-BCFB-D71B4982BE7E}"/>
    <cellStyle name="Notiz 4 15" xfId="7313" xr:uid="{876CC872-114D-4455-9D85-D8FD7F9A2AF7}"/>
    <cellStyle name="Notiz 4 16" xfId="7767" xr:uid="{944C215B-BD6F-423E-9E33-7FC900908F3C}"/>
    <cellStyle name="Notiz 4 17" xfId="6891" xr:uid="{14AA0618-3673-4DE9-BF52-E30133DF8B6C}"/>
    <cellStyle name="Notiz 4 18" xfId="8605" xr:uid="{52AE547D-1352-4581-804A-A5DE99584FDF}"/>
    <cellStyle name="Notiz 4 19" xfId="9527" xr:uid="{7837FCEC-B1E7-43AE-BC2F-3E6D81E62FA3}"/>
    <cellStyle name="Notiz 4 2" xfId="808" xr:uid="{79018637-3A4F-4E8E-A064-9525EBA8A2AF}"/>
    <cellStyle name="Notiz 4 2 10" xfId="5456" xr:uid="{9A91E2EE-8EB0-4D38-90E9-992379E62A2D}"/>
    <cellStyle name="Notiz 4 2 11" xfId="5869" xr:uid="{EA9F4B93-8CBB-4877-8BBE-5E5A277A1471}"/>
    <cellStyle name="Notiz 4 2 12" xfId="5715" xr:uid="{A4D109EF-63C8-42DD-A9A1-D0261F367748}"/>
    <cellStyle name="Notiz 4 2 13" xfId="6653" xr:uid="{A2754584-E19E-49E1-81D0-A431405A4417}"/>
    <cellStyle name="Notiz 4 2 14" xfId="7528" xr:uid="{44152CA4-6868-45DE-86FD-EE452F12C813}"/>
    <cellStyle name="Notiz 4 2 15" xfId="7037" xr:uid="{7DAA2198-3D7C-42D8-944F-0DE5A4D6050E}"/>
    <cellStyle name="Notiz 4 2 16" xfId="7848" xr:uid="{01D24D45-4A33-4242-A82C-8577ECDB09F6}"/>
    <cellStyle name="Notiz 4 2 17" xfId="8460" xr:uid="{E8D3731C-1D31-4F21-8D9F-CADEF9F0F038}"/>
    <cellStyle name="Notiz 4 2 18" xfId="9742" xr:uid="{81FE96E4-EF6B-4473-8FAE-9F7191FC5F80}"/>
    <cellStyle name="Notiz 4 2 19" xfId="9250" xr:uid="{7764B9B4-2396-4C7F-94C0-7BFE4E66D065}"/>
    <cellStyle name="Notiz 4 2 2" xfId="1282" xr:uid="{87BE61D7-8705-4470-B1CE-33400A9FA117}"/>
    <cellStyle name="Notiz 4 2 20" xfId="9942" xr:uid="{F60DAB4E-84AE-4C27-8617-2E0CBA83F32D}"/>
    <cellStyle name="Notiz 4 2 21" xfId="10911" xr:uid="{108F737A-7EEB-4322-8D03-DDF38FFE9247}"/>
    <cellStyle name="Notiz 4 2 22" xfId="10113" xr:uid="{A01E7897-E832-4FED-80F4-9304E28F1B6D}"/>
    <cellStyle name="Notiz 4 2 23" xfId="12161" xr:uid="{D458E612-19B4-406B-86DE-E54B145BF6F1}"/>
    <cellStyle name="Notiz 4 2 24" xfId="12634" xr:uid="{0F5FBCC4-24CA-48E4-A35C-3651D98E6489}"/>
    <cellStyle name="Notiz 4 2 25" xfId="13068" xr:uid="{01C03B51-F87F-47C9-8324-2CEDBEFF7056}"/>
    <cellStyle name="Notiz 4 2 26" xfId="13505" xr:uid="{EE8E940F-A49C-4688-A8F2-CC34EAF1EB30}"/>
    <cellStyle name="Notiz 4 2 27" xfId="13865" xr:uid="{324C85DF-8F6C-4A1C-9A38-7AB7821C668F}"/>
    <cellStyle name="Notiz 4 2 28" xfId="13751" xr:uid="{42A6CFD9-A7CE-421E-8DF3-22AF0A44CE50}"/>
    <cellStyle name="Notiz 4 2 29" xfId="14266" xr:uid="{4D74B37A-C744-4D0F-8A69-93624DA309D1}"/>
    <cellStyle name="Notiz 4 2 3" xfId="1423" xr:uid="{1BBE9F9A-22F9-4398-98EA-22A21B2BE9CE}"/>
    <cellStyle name="Notiz 4 2 30" xfId="14306" xr:uid="{AE7A64B2-6A38-462D-ADE5-CAFA190D6DA2}"/>
    <cellStyle name="Notiz 4 2 31" xfId="15683" xr:uid="{C8C6A368-2C97-41FB-A002-5D73FE59B47D}"/>
    <cellStyle name="Notiz 4 2 32" xfId="15247" xr:uid="{967BEF6A-A8D6-47AE-A40F-F49950A96E79}"/>
    <cellStyle name="Notiz 4 2 33" xfId="16853" xr:uid="{012F2BED-54F6-4E0C-AB3C-2326E32025A9}"/>
    <cellStyle name="Notiz 4 2 34" xfId="16360" xr:uid="{BD79492C-C1FC-4078-851D-1DE02E038A50}"/>
    <cellStyle name="Notiz 4 2 35" xfId="17056" xr:uid="{E9044354-555A-494E-AC5C-4C0A56B2E6C7}"/>
    <cellStyle name="Notiz 4 2 36" xfId="17656" xr:uid="{F75827B4-E0FF-497C-9C41-F544207C236F}"/>
    <cellStyle name="Notiz 4 2 37" xfId="18671" xr:uid="{FA4A9576-C67D-4BE0-8E29-B31E6FB5A544}"/>
    <cellStyle name="Notiz 4 2 38" xfId="18056" xr:uid="{46B67972-B980-476C-A5FF-1DDF44F0C470}"/>
    <cellStyle name="Notiz 4 2 39" xfId="19276" xr:uid="{1D8C0F02-0BF9-48DA-A1B5-1BE9638D71B4}"/>
    <cellStyle name="Notiz 4 2 4" xfId="2630" xr:uid="{051C8CC2-A194-4A77-B7A8-C1945B1A8DC0}"/>
    <cellStyle name="Notiz 4 2 40" xfId="20190" xr:uid="{625C32A6-4D57-48B8-88AA-E2F7BEC3C0A5}"/>
    <cellStyle name="Notiz 4 2 41" xfId="19693" xr:uid="{47737479-C22F-49C8-8550-0E8F72843522}"/>
    <cellStyle name="Notiz 4 2 42" xfId="20279" xr:uid="{9A2545CE-EA64-438D-8F84-CB5888331DE6}"/>
    <cellStyle name="Notiz 4 2 43" xfId="20718" xr:uid="{53805F3E-CF69-44CE-8865-351AEB3A47F2}"/>
    <cellStyle name="Notiz 4 2 44" xfId="20590" xr:uid="{EB2DA6D4-4DA2-4476-A551-B067ACC6BEB0}"/>
    <cellStyle name="Notiz 4 2 45" xfId="21856" xr:uid="{7F6C7792-957B-4D13-B8F6-7714D8126B3A}"/>
    <cellStyle name="Notiz 4 2 46" xfId="22848" xr:uid="{8891E540-2B5D-4E75-BF73-3E516E66FD40}"/>
    <cellStyle name="Notiz 4 2 47" xfId="22826" xr:uid="{E67B1F0B-C830-4686-8575-0E74F17C49A5}"/>
    <cellStyle name="Notiz 4 2 48" xfId="23480" xr:uid="{0F19627C-AEC4-4C3C-ADC0-9BEEAACF3373}"/>
    <cellStyle name="Notiz 4 2 49" xfId="23990" xr:uid="{9B5A7673-5261-4214-9DA9-F776461C104A}"/>
    <cellStyle name="Notiz 4 2 5" xfId="3031" xr:uid="{6342F6D1-EA75-4A68-AE26-820DA38008B1}"/>
    <cellStyle name="Notiz 4 2 50" xfId="24898" xr:uid="{3E4DE7CD-36C2-4C24-9620-90D37CE244B4}"/>
    <cellStyle name="Notiz 4 2 51" xfId="24408" xr:uid="{26DB6E2D-95B6-443B-86A9-5165806F76D0}"/>
    <cellStyle name="Notiz 4 2 52" xfId="25814" xr:uid="{42061143-1E1B-4C53-A420-8CEB89020A3A}"/>
    <cellStyle name="Notiz 4 2 53" xfId="25086" xr:uid="{B62A1BF0-CF23-4E57-872C-8340F39A0BC3}"/>
    <cellStyle name="Notiz 4 2 54" xfId="26577" xr:uid="{035769E6-14C1-4E45-A29D-9577B8F04E98}"/>
    <cellStyle name="Notiz 4 2 55" xfId="27102" xr:uid="{DF8F86B5-34EE-4EE5-8FA3-58DB9BE3841F}"/>
    <cellStyle name="Notiz 4 2 56" xfId="27521" xr:uid="{F362D88D-142B-4C14-B69E-D73713CB1187}"/>
    <cellStyle name="Notiz 4 2 57" xfId="26698" xr:uid="{97D684B5-554A-4BDE-A70E-9B4CF2541CF4}"/>
    <cellStyle name="Notiz 4 2 58" xfId="28648" xr:uid="{2F3B43F6-3E50-4616-BE02-7529FCB3B35A}"/>
    <cellStyle name="Notiz 4 2 59" xfId="29115" xr:uid="{1DA567E1-C8C6-4B9F-9E54-C81DF1D6D569}"/>
    <cellStyle name="Notiz 4 2 6" xfId="3562" xr:uid="{399E1CDB-C63C-46E3-87AC-2B5130ABC355}"/>
    <cellStyle name="Notiz 4 2 60" xfId="28794" xr:uid="{16DA0FCA-E4AE-4DA1-83D8-E57BAC2D4648}"/>
    <cellStyle name="Notiz 4 2 61" xfId="29904" xr:uid="{7B543A08-3093-408A-B6BE-223F8ED22240}"/>
    <cellStyle name="Notiz 4 2 62" xfId="30310" xr:uid="{173F3A90-E864-4141-B213-9FDECFA02CDD}"/>
    <cellStyle name="Notiz 4 2 63" xfId="30727" xr:uid="{72760BE4-367C-4F6B-9114-B65DA6683F4C}"/>
    <cellStyle name="Notiz 4 2 64" xfId="30412" xr:uid="{D4BE8236-5A5D-4227-85F4-A1270CE1B753}"/>
    <cellStyle name="Notiz 4 2 65" xfId="31343" xr:uid="{9EF406A4-585B-485F-AD65-EABFB1378EAF}"/>
    <cellStyle name="Notiz 4 2 7" xfId="4126" xr:uid="{C79272D2-9F46-48DB-A32E-7E65FCF54A2A}"/>
    <cellStyle name="Notiz 4 2 8" xfId="4563" xr:uid="{DC2877B1-3B0B-429C-9166-89835DC0A3F5}"/>
    <cellStyle name="Notiz 4 2 9" xfId="2307" xr:uid="{4FDF5D07-3EF7-424C-A8AA-259917816F4B}"/>
    <cellStyle name="Notiz 4 20" xfId="9980" xr:uid="{DDA4477D-1349-44CF-88C3-4DC30AA2F068}"/>
    <cellStyle name="Notiz 4 21" xfId="10407" xr:uid="{8CBAEBF8-22C9-4952-BB31-5255CA561170}"/>
    <cellStyle name="Notiz 4 22" xfId="10917" xr:uid="{2F63AB34-76C3-44D5-B7C6-3A27F08477C3}"/>
    <cellStyle name="Notiz 4 23" xfId="11145" xr:uid="{3C14F567-450E-47A1-919E-E0316656C996}"/>
    <cellStyle name="Notiz 4 24" xfId="11946" xr:uid="{2834ACC5-36D1-4148-91EB-BCF34F4FE29F}"/>
    <cellStyle name="Notiz 4 25" xfId="12419" xr:uid="{02C6D6FA-D4ED-4149-ABA8-E6493CDBAB66}"/>
    <cellStyle name="Notiz 4 26" xfId="12853" xr:uid="{76436F77-5308-4E29-9D5F-2EF1F67ED73E}"/>
    <cellStyle name="Notiz 4 27" xfId="13290" xr:uid="{5B5E5268-7699-4523-A1E4-F928EBD536AB}"/>
    <cellStyle name="Notiz 4 28" xfId="13774" xr:uid="{D2A3FE85-0E10-47AA-93D3-62B7D6FC72E3}"/>
    <cellStyle name="Notiz 4 29" xfId="14403" xr:uid="{69EC813B-293B-4712-BE2C-E596A7FBDA84}"/>
    <cellStyle name="Notiz 4 3" xfId="1076" xr:uid="{EBB92E02-80B6-40EB-AD20-3FF92FA9D05C}"/>
    <cellStyle name="Notiz 4 30" xfId="14657" xr:uid="{85BB316E-E97C-4677-BAFA-E243241CBB2E}"/>
    <cellStyle name="Notiz 4 31" xfId="14900" xr:uid="{9D6D85F2-735A-4B69-A853-4611B5E60EC4}"/>
    <cellStyle name="Notiz 4 32" xfId="14515" xr:uid="{750CD918-F9B8-4E48-ADED-5AB4F7022911}"/>
    <cellStyle name="Notiz 4 33" xfId="15841" xr:uid="{BF9587AB-F222-4BB7-B838-C28641524E6F}"/>
    <cellStyle name="Notiz 4 34" xfId="16638" xr:uid="{49C59D92-8669-4B6A-AC52-D42437573809}"/>
    <cellStyle name="Notiz 4 35" xfId="17095" xr:uid="{A619DA07-3AFF-45B7-BC32-84DE48ACD4A5}"/>
    <cellStyle name="Notiz 4 36" xfId="17543" xr:uid="{C2681894-EA22-4ACE-9B8E-2662BD13BDDA}"/>
    <cellStyle name="Notiz 4 37" xfId="17437" xr:uid="{6F2138D2-79F2-46A3-86D2-376F07A81DC0}"/>
    <cellStyle name="Notiz 4 38" xfId="18456" xr:uid="{CB5C0183-C50C-4B8A-88E1-8C480D12D560}"/>
    <cellStyle name="Notiz 4 39" xfId="19068" xr:uid="{EA82BB0B-2E24-40C5-8019-D19D9A862EF9}"/>
    <cellStyle name="Notiz 4 4" xfId="1730" xr:uid="{10BDF7F3-F4AE-45E7-9570-40406806187E}"/>
    <cellStyle name="Notiz 4 40" xfId="19296" xr:uid="{3BD4F408-9FDF-4E43-B59E-0964FD4586C4}"/>
    <cellStyle name="Notiz 4 41" xfId="19975" xr:uid="{2D0CDB43-3DA5-4873-B3C4-60DE1627DB13}"/>
    <cellStyle name="Notiz 4 42" xfId="20449" xr:uid="{0DD3A702-2F35-4B0C-BFD8-35519C05BC78}"/>
    <cellStyle name="Notiz 4 43" xfId="20901" xr:uid="{4DDEEF07-BD0C-4386-90B2-C788B86E19F0}"/>
    <cellStyle name="Notiz 4 44" xfId="21147" xr:uid="{79C956AD-8FC7-4F2E-8EB0-3BB8045CDFEA}"/>
    <cellStyle name="Notiz 4 45" xfId="21831" xr:uid="{D2E6DB8C-6E7D-4AB0-BE16-FFA57FAB8BE7}"/>
    <cellStyle name="Notiz 4 46" xfId="22267" xr:uid="{71B669BB-9522-4972-BECE-9D968A307871}"/>
    <cellStyle name="Notiz 4 47" xfId="22767" xr:uid="{52A775D1-24FD-499C-9ABF-9A3029750AA5}"/>
    <cellStyle name="Notiz 4 48" xfId="23343" xr:uid="{276CED05-F924-4B46-AB42-F84115089279}"/>
    <cellStyle name="Notiz 4 49" xfId="23485" xr:uid="{CEF8CCC6-A579-4CA9-AE73-B203558668B6}"/>
    <cellStyle name="Notiz 4 5" xfId="2415" xr:uid="{1F1DF65F-0F30-4917-A533-27CE1A6BEE55}"/>
    <cellStyle name="Notiz 4 50" xfId="23784" xr:uid="{C20534C0-8042-4530-9F80-5EBC0FC7311C}"/>
    <cellStyle name="Notiz 4 51" xfId="24683" xr:uid="{51AF0B2A-F741-43B1-8FDD-49A5274566C8}"/>
    <cellStyle name="Notiz 4 52" xfId="25156" xr:uid="{5CD8C8CA-ECE4-4991-A9B2-4151F80E1CF0}"/>
    <cellStyle name="Notiz 4 53" xfId="25601" xr:uid="{42D294B1-694C-45C0-A5FD-4AE77CB1D606}"/>
    <cellStyle name="Notiz 4 54" xfId="26072" xr:uid="{2E2A957E-E843-4BA8-B274-7B9E27FE8C61}"/>
    <cellStyle name="Notiz 4 55" xfId="26524" xr:uid="{28BF00D0-CC65-4D9E-BC8E-1E16043B70F1}"/>
    <cellStyle name="Notiz 4 56" xfId="26891" xr:uid="{879889E7-0370-4AC4-950C-E29FE2AD4BF6}"/>
    <cellStyle name="Notiz 4 57" xfId="27310" xr:uid="{E9E8764C-ED27-4F98-B9B7-7663B725C294}"/>
    <cellStyle name="Notiz 4 58" xfId="27805" xr:uid="{6F9F441A-FB59-42FD-9A00-8F9634880855}"/>
    <cellStyle name="Notiz 4 59" xfId="28433" xr:uid="{D0C7CB53-BCC7-4FEF-8F9E-D76C78BAA015}"/>
    <cellStyle name="Notiz 4 6" xfId="2941" xr:uid="{533E196A-1197-4927-B322-56768CA94712}"/>
    <cellStyle name="Notiz 4 60" xfId="28901" xr:uid="{ED0FF8B9-DF7A-4B45-A723-887CD16E8100}"/>
    <cellStyle name="Notiz 4 61" xfId="29306" xr:uid="{904A5D3B-0EA5-4325-BD26-1B8D95F974D0}"/>
    <cellStyle name="Notiz 4 62" xfId="29691" xr:uid="{1023C61B-9ABD-485F-88D9-154BB0E7B26E}"/>
    <cellStyle name="Notiz 4 63" xfId="30099" xr:uid="{A486FC16-2E15-47FA-9929-372E3BFDA739}"/>
    <cellStyle name="Notiz 4 64" xfId="30513" xr:uid="{644440B5-6F52-471F-AAD7-A05C3DDABF10}"/>
    <cellStyle name="Notiz 4 65" xfId="29441" xr:uid="{979AF03D-09CB-423A-808B-0CF8B790013F}"/>
    <cellStyle name="Notiz 4 66" xfId="31137" xr:uid="{2E2505FD-C584-46B6-825C-60F16DBA1EE3}"/>
    <cellStyle name="Notiz 4 7" xfId="3642" xr:uid="{53174182-ADB3-4732-8747-BBBD27EECE63}"/>
    <cellStyle name="Notiz 4 8" xfId="3911" xr:uid="{86BFB37D-9388-4F6F-AE11-F3629F267986}"/>
    <cellStyle name="Notiz 4 9" xfId="4349" xr:uid="{B32BD73E-1CB4-46C6-94EE-5C48953509C4}"/>
    <cellStyle name="Notiz 40" xfId="18146" xr:uid="{6F8AB78B-D83A-41B7-80FD-EBC02E5BCABB}"/>
    <cellStyle name="Notiz 41" xfId="18235" xr:uid="{8FB4E729-91DA-4DF1-B279-F148E38F35A6}"/>
    <cellStyle name="Notiz 42" xfId="18291" xr:uid="{EEDE0312-4FF6-450B-8E4A-932B9EA27A00}"/>
    <cellStyle name="Notiz 43" xfId="18884" xr:uid="{CE849FAA-DAE3-4F77-8553-C51DC9F04970}"/>
    <cellStyle name="Notiz 44" xfId="19556" xr:uid="{00AAE1E4-9B14-4CDC-9C04-351D704FDDF6}"/>
    <cellStyle name="Notiz 45" xfId="20364" xr:uid="{C066A62A-26D6-449E-B3CE-711C974C06F0}"/>
    <cellStyle name="Notiz 46" xfId="20819" xr:uid="{504C7B9B-B1CC-47F4-892B-01EF09079044}"/>
    <cellStyle name="Notiz 47" xfId="20614" xr:uid="{50B0AA8A-52C4-4CB2-A3CC-632E9E7566E1}"/>
    <cellStyle name="Notiz 48" xfId="21750" xr:uid="{2973AA7E-703E-4FA5-BDE8-85B33639F87E}"/>
    <cellStyle name="Notiz 49" xfId="22189" xr:uid="{589ACB6D-A2A7-4B34-A73A-23B9F2008E78}"/>
    <cellStyle name="Notiz 5" xfId="685" xr:uid="{B3A5177A-D8C9-45F6-9546-313626CBB132}"/>
    <cellStyle name="Notiz 5 10" xfId="5333" xr:uid="{7D7A5623-C3E2-44C6-9A04-6B2AABEEA7B0}"/>
    <cellStyle name="Notiz 5 11" xfId="5824" xr:uid="{9BD844F6-7F3D-450A-A444-2087D42DD915}"/>
    <cellStyle name="Notiz 5 12" xfId="4876" xr:uid="{46EB111D-C3DD-40EE-8E07-52555D0BACC7}"/>
    <cellStyle name="Notiz 5 13" xfId="6283" xr:uid="{D026D339-9442-44A0-AA2F-015AF9EFF344}"/>
    <cellStyle name="Notiz 5 14" xfId="7405" xr:uid="{91A0F35E-062A-4DB3-94CE-CCC3BC32F5E8}"/>
    <cellStyle name="Notiz 5 15" xfId="7831" xr:uid="{0AFF40A2-0F9F-4575-9F6A-78E53853EAB3}"/>
    <cellStyle name="Notiz 5 16" xfId="6805" xr:uid="{BCA181CC-EA88-4FED-8DB5-3C2D985AAD7C}"/>
    <cellStyle name="Notiz 5 17" xfId="8821" xr:uid="{1AC86335-625D-4F5B-BF1F-DDE75B1AA33D}"/>
    <cellStyle name="Notiz 5 18" xfId="9619" xr:uid="{312A73FB-EF8E-4D32-A8EE-A855B1EFCE31}"/>
    <cellStyle name="Notiz 5 19" xfId="10043" xr:uid="{047310DF-CC6F-4040-AEEF-2B2BED80BD06}"/>
    <cellStyle name="Notiz 5 2" xfId="1167" xr:uid="{A3FB22DE-5F5B-42E5-9476-4ADB0C2AFC36}"/>
    <cellStyle name="Notiz 5 20" xfId="10463" xr:uid="{F28025FE-F674-4E14-A052-DFC032A131CC}"/>
    <cellStyle name="Notiz 5 21" xfId="10915" xr:uid="{EFF79983-D29D-43A6-A7E6-C75B8F003E31}"/>
    <cellStyle name="Notiz 5 22" xfId="10164" xr:uid="{10552461-69AD-4BA4-9BD2-0F216A1468A8}"/>
    <cellStyle name="Notiz 5 23" xfId="12038" xr:uid="{6E9A0989-A527-4ED5-A3EC-AE6ED37A217B}"/>
    <cellStyle name="Notiz 5 24" xfId="12511" xr:uid="{FB25221B-FAD6-4CCD-9D17-77A77A33E791}"/>
    <cellStyle name="Notiz 5 25" xfId="12945" xr:uid="{CEAD597A-0BC0-4357-A65B-69EA297062A2}"/>
    <cellStyle name="Notiz 5 26" xfId="13382" xr:uid="{C6FCC066-CAA8-434B-9CCB-52323B6FC9F7}"/>
    <cellStyle name="Notiz 5 27" xfId="12496" xr:uid="{4FADADF4-F7FD-486D-A961-653D61BBA1F3}"/>
    <cellStyle name="Notiz 5 28" xfId="14301" xr:uid="{96D5FBD3-97D2-422A-9863-F32FBBB3296B}"/>
    <cellStyle name="Notiz 5 29" xfId="14697" xr:uid="{DE4D6299-CCCB-45DA-9F3E-9941EEFED96F}"/>
    <cellStyle name="Notiz 5 3" xfId="1682" xr:uid="{B2F0E43F-853B-4E41-A6A3-7A9E8D557983}"/>
    <cellStyle name="Notiz 5 30" xfId="14571" xr:uid="{61F3EDEA-7EF6-454F-9983-899F67DC2D5C}"/>
    <cellStyle name="Notiz 5 31" xfId="15519" xr:uid="{B771F10B-F271-4535-828A-788D83B262B4}"/>
    <cellStyle name="Notiz 5 32" xfId="15876" xr:uid="{A7F572B8-A27A-49E3-91F4-031F07A7D9BA}"/>
    <cellStyle name="Notiz 5 33" xfId="16730" xr:uid="{8FB7F0B5-F596-461A-8475-BAF341B850BC}"/>
    <cellStyle name="Notiz 5 34" xfId="17161" xr:uid="{981FC570-0199-4059-8109-D65783623B08}"/>
    <cellStyle name="Notiz 5 35" xfId="17606" xr:uid="{B110C33E-1144-48E4-94DE-D25AEC66626E}"/>
    <cellStyle name="Notiz 5 36" xfId="17468" xr:uid="{0A62B20C-DB85-43E4-8131-4C467D406F29}"/>
    <cellStyle name="Notiz 5 37" xfId="18548" xr:uid="{7234A2FA-23DC-416A-8E5A-635CDA1A543C}"/>
    <cellStyle name="Notiz 5 38" xfId="18956" xr:uid="{FB146BCC-E647-482E-918A-8751D342D939}"/>
    <cellStyle name="Notiz 5 39" xfId="19204" xr:uid="{3589E0B6-F632-4B3C-AA9D-AC2E0CE34CD7}"/>
    <cellStyle name="Notiz 5 4" xfId="2507" xr:uid="{256C5C34-251F-4CEE-9970-CAB2C69F0475}"/>
    <cellStyle name="Notiz 5 40" xfId="20067" xr:uid="{3DC43C1F-2AAA-471F-9B01-BFD97D8CCE39}"/>
    <cellStyle name="Notiz 5 41" xfId="20513" xr:uid="{3FE2244A-18A8-4F98-B79E-F87BE536179B}"/>
    <cellStyle name="Notiz 5 42" xfId="20966" xr:uid="{6D1085AC-9227-4343-90F0-149D975E01AB}"/>
    <cellStyle name="Notiz 5 43" xfId="21324" xr:uid="{610B55B7-5E2A-48A4-88D4-0CBC0D3CFAD0}"/>
    <cellStyle name="Notiz 5 44" xfId="21897" xr:uid="{94072791-7628-488F-8C27-320CA3DB6213}"/>
    <cellStyle name="Notiz 5 45" xfId="22333" xr:uid="{A1CE1010-DDE4-4FD8-9697-DB1A51FE41C9}"/>
    <cellStyle name="Notiz 5 46" xfId="21883" xr:uid="{6B8B777F-467F-481D-91AF-B8F59B4C1134}"/>
    <cellStyle name="Notiz 5 47" xfId="23244" xr:uid="{A4A7E019-544B-4D17-B36C-22A358B5D940}"/>
    <cellStyle name="Notiz 5 48" xfId="23483" xr:uid="{77D4A9E9-70A7-44B8-94CD-49BA13E58BF2}"/>
    <cellStyle name="Notiz 5 49" xfId="23875" xr:uid="{23488837-1671-43E7-B3B4-9F1620B61F06}"/>
    <cellStyle name="Notiz 5 5" xfId="1906" xr:uid="{BF3467ED-573E-4F7B-82D4-F2479037C912}"/>
    <cellStyle name="Notiz 5 50" xfId="24775" xr:uid="{C4930F1D-21CE-4392-9DD0-A4AAA8D785A1}"/>
    <cellStyle name="Notiz 5 51" xfId="25222" xr:uid="{97C9436A-E896-45EC-8980-EE6002CEFF29}"/>
    <cellStyle name="Notiz 5 52" xfId="25693" xr:uid="{76562F05-1A24-4D0E-BE00-66D13CC46F2F}"/>
    <cellStyle name="Notiz 5 53" xfId="24598" xr:uid="{2CD4640C-87D0-442E-B1F3-DC88AF5F26B2}"/>
    <cellStyle name="Notiz 5 54" xfId="26136" xr:uid="{39AA504E-03E5-4332-896D-188A505EE7D5}"/>
    <cellStyle name="Notiz 5 55" xfId="26983" xr:uid="{FE8D1710-5F09-4B87-AFCC-45B3428B031B}"/>
    <cellStyle name="Notiz 5 56" xfId="27402" xr:uid="{7DCC0344-3551-4BD4-B117-E2387EDCCF8D}"/>
    <cellStyle name="Notiz 5 57" xfId="27621" xr:uid="{F71B97E0-BB68-4353-B179-C24E4AD2EBF3}"/>
    <cellStyle name="Notiz 5 58" xfId="28525" xr:uid="{78C69C87-395A-46EF-A558-3D697A1EB57E}"/>
    <cellStyle name="Notiz 5 59" xfId="28993" xr:uid="{83BE8492-F1B3-4375-8A15-D02CA0986322}"/>
    <cellStyle name="Notiz 5 6" xfId="2961" xr:uid="{DCDB1402-DD1E-47E3-807E-84DCF6402CB0}"/>
    <cellStyle name="Notiz 5 60" xfId="29363" xr:uid="{12EBAA1F-7D63-414E-89D6-BEE8D80F6F7F}"/>
    <cellStyle name="Notiz 5 61" xfId="29783" xr:uid="{324BD779-94FF-4018-81A2-2B0EB01BC720}"/>
    <cellStyle name="Notiz 5 62" xfId="30190" xr:uid="{B4F7EE62-D3E3-45D2-9765-E6EDC0CBEF2A}"/>
    <cellStyle name="Notiz 5 63" xfId="30605" xr:uid="{1DD96716-C136-4B4E-B90C-DB4E130C3ABA}"/>
    <cellStyle name="Notiz 5 64" xfId="30998" xr:uid="{6E2E4689-3990-40BF-9777-B16390429055}"/>
    <cellStyle name="Notiz 5 65" xfId="31228" xr:uid="{1AB5875C-78C7-4D8F-9172-0E7DEE009133}"/>
    <cellStyle name="Notiz 5 7" xfId="4003" xr:uid="{1D04C36B-825D-4152-B079-41DB75437E9D}"/>
    <cellStyle name="Notiz 5 8" xfId="4441" xr:uid="{28CA3185-F94F-4C16-A1F6-45B878D83079}"/>
    <cellStyle name="Notiz 5 9" xfId="2801" xr:uid="{477A0A8A-27B6-411B-BD07-8B922910021B}"/>
    <cellStyle name="Notiz 50" xfId="22453" xr:uid="{07CCFBC7-95D7-4FF2-BCAF-213BCCD6CE66}"/>
    <cellStyle name="Notiz 51" xfId="22763" xr:uid="{8476A51B-6092-4A2A-BE46-C0310E953075}"/>
    <cellStyle name="Notiz 52" xfId="23229" xr:uid="{900266BB-A5BE-43D6-85F1-92CCAFFBE99C}"/>
    <cellStyle name="Notiz 53" xfId="23119" xr:uid="{D6A1EF9A-6E59-47BA-BE5F-065D07FFB232}"/>
    <cellStyle name="Notiz 54" xfId="24277" xr:uid="{568A11BC-5778-4576-8CB7-49FF038F4199}"/>
    <cellStyle name="Notiz 55" xfId="24480" xr:uid="{4057F1B6-F794-483B-BAF6-65AE71730ED9}"/>
    <cellStyle name="Notiz 56" xfId="24167" xr:uid="{C8B88F9A-8E9A-43DE-A5D5-83E60E88A985}"/>
    <cellStyle name="Notiz 57" xfId="24268" xr:uid="{3BB748CB-8B39-4625-AD27-16F5D55C93D6}"/>
    <cellStyle name="Notiz 58" xfId="26515" xr:uid="{7F46E96A-91DC-4152-A196-E7A85E48FFBC}"/>
    <cellStyle name="Notiz 59" xfId="25934" xr:uid="{759D5604-3F74-4048-9D79-AFCCE1B31C0F}"/>
    <cellStyle name="Notiz 6" xfId="928" xr:uid="{B37EE614-921A-410C-A661-CA200826F188}"/>
    <cellStyle name="Notiz 60" xfId="26774" xr:uid="{C134CF03-ADA5-48A1-9CA7-25DAC7E5223A}"/>
    <cellStyle name="Notiz 61" xfId="27610" xr:uid="{0FD26F0F-66E4-4DEC-B1CE-7947AA2FE4B2}"/>
    <cellStyle name="Notiz 62" xfId="28057" xr:uid="{D54A4F57-56C3-4C1C-8E2B-967075A36211}"/>
    <cellStyle name="Notiz 63" xfId="28045" xr:uid="{F68E4B24-F12C-4373-8B4C-E3B95AD96505}"/>
    <cellStyle name="Notiz 64" xfId="29233" xr:uid="{ADD4E2E2-EFB6-4527-909E-FA992E2AAFB1}"/>
    <cellStyle name="Notiz 65" xfId="28090" xr:uid="{4D9BFBEE-7E45-44A5-B084-E2C6CBC6E2EA}"/>
    <cellStyle name="Notiz 66" xfId="29472" xr:uid="{D334D8B4-8B7A-4A09-AB3A-ACB48416D8BE}"/>
    <cellStyle name="Notiz 67" xfId="29541" xr:uid="{06BAA373-9889-44FF-8112-D3A24484B10D}"/>
    <cellStyle name="Notiz 68" xfId="30819" xr:uid="{119FEE65-DD6B-4B12-A797-77226D3773E8}"/>
    <cellStyle name="Notiz 69" xfId="30940" xr:uid="{3B61C3F5-3E71-4456-886C-C01681E3A815}"/>
    <cellStyle name="Notiz 7" xfId="1595" xr:uid="{00B112B4-D5E0-4663-B4A0-415DD8B4D1ED}"/>
    <cellStyle name="Notiz 8" xfId="1999" xr:uid="{94C8227F-DBB5-43A0-BE6A-A888BA9846E6}"/>
    <cellStyle name="Notiz 9" xfId="1881" xr:uid="{2757A987-B64C-427F-877F-92AAC4D65AD2}"/>
    <cellStyle name="Output 2" xfId="173" xr:uid="{54E5C78E-FA75-4A1A-A773-E6D794C17B4C}"/>
    <cellStyle name="Output 2 10" xfId="3704" xr:uid="{758769B9-9E81-420B-94EC-16776FA7EFFF}"/>
    <cellStyle name="Output 2 11" xfId="2814" xr:uid="{A191694F-CF1E-4FA9-A2B7-16D5B172EE81}"/>
    <cellStyle name="Output 2 12" xfId="6907" xr:uid="{1751B2E2-C52A-4B84-A686-B4A681BF5B93}"/>
    <cellStyle name="Output 2 13" xfId="6837" xr:uid="{E8EB5741-AFE9-40BB-A462-87F07FDA2703}"/>
    <cellStyle name="Output 2 14" xfId="8254" xr:uid="{AD709863-C200-40E9-B9EF-ACD362320B5C}"/>
    <cellStyle name="Output 2 15" xfId="9120" xr:uid="{6375D6F2-B860-461E-A917-7BD8B184B956}"/>
    <cellStyle name="Output 2 16" xfId="9160" xr:uid="{04AF8DFF-C4D7-4B18-91B3-3E6BD12074D0}"/>
    <cellStyle name="Output 2 17" xfId="11531" xr:uid="{B0C8E407-B34D-49B4-9B47-8FA362FA3111}"/>
    <cellStyle name="Output 2 18" xfId="12274" xr:uid="{3AE4DC00-3DB3-48C5-941A-31A2A8A5D3B9}"/>
    <cellStyle name="Output 2 19" xfId="11783" xr:uid="{4163664B-ACA0-4FC7-A115-55E0A30425B4}"/>
    <cellStyle name="Output 2 2" xfId="563" xr:uid="{08525963-92DB-4CDB-940B-4F323842C13E}"/>
    <cellStyle name="Output 2 2 10" xfId="4872" xr:uid="{6622B35A-36EF-4F0C-B8BE-AA49D1863BE0}"/>
    <cellStyle name="Output 2 2 11" xfId="5211" xr:uid="{85BF37C7-E277-4C79-8E46-D644FCE3FA8C}"/>
    <cellStyle name="Output 2 2 12" xfId="5004" xr:uid="{82C2CA9E-C084-49EB-9513-7BB93B13108F}"/>
    <cellStyle name="Output 2 2 13" xfId="6263" xr:uid="{C9D8AACD-B894-4E6F-9533-1631A1DCF630}"/>
    <cellStyle name="Output 2 2 14" xfId="6110" xr:uid="{CFF71B36-AFC8-48BB-9087-A0880EBC5950}"/>
    <cellStyle name="Output 2 2 15" xfId="7283" xr:uid="{DE4DDDD6-CAE0-4F4A-9CF6-408147EF5FB3}"/>
    <cellStyle name="Output 2 2 16" xfId="7880" xr:uid="{AD7084CA-00F9-4ABB-B8F7-DDECDCDD8D67}"/>
    <cellStyle name="Output 2 2 17" xfId="8409" xr:uid="{600C9EFA-DA1F-490B-B928-3D09D5B01375}"/>
    <cellStyle name="Output 2 2 18" xfId="8555" xr:uid="{1BD15EC4-6D9D-4965-8BE6-40E8E2CBE929}"/>
    <cellStyle name="Output 2 2 19" xfId="9497" xr:uid="{18763CC5-1B15-4C31-8E71-BB1A7809FCBB}"/>
    <cellStyle name="Output 2 2 2" xfId="778" xr:uid="{3EA29027-84D7-4A9C-9CD6-6816CE5EF1EF}"/>
    <cellStyle name="Output 2 2 2 10" xfId="5426" xr:uid="{BBD9079B-C5BB-4874-8317-8433AF26A9B8}"/>
    <cellStyle name="Output 2 2 2 11" xfId="5608" xr:uid="{34295B09-5187-4817-9D98-E685288BFB35}"/>
    <cellStyle name="Output 2 2 2 12" xfId="5158" xr:uid="{05C3E35E-438D-4A12-805B-603310343CD0}"/>
    <cellStyle name="Output 2 2 2 13" xfId="6647" xr:uid="{BEE13D67-1655-47A1-A3CA-BBD765FE9A93}"/>
    <cellStyle name="Output 2 2 2 14" xfId="7498" xr:uid="{D6C394F2-C405-472D-9F84-28B8C89B7013}"/>
    <cellStyle name="Output 2 2 2 15" xfId="7199" xr:uid="{1EBBB384-8E12-4929-9705-B5DDDCD46A03}"/>
    <cellStyle name="Output 2 2 2 16" xfId="6971" xr:uid="{F7FC266A-1082-405F-BFD4-60F6F4E1A1AD}"/>
    <cellStyle name="Output 2 2 2 17" xfId="8805" xr:uid="{79BB9085-82F2-493D-BFB9-E9B1EA1B8041}"/>
    <cellStyle name="Output 2 2 2 18" xfId="9712" xr:uid="{DE4FC0F8-00E5-4988-B81B-2C0C82355155}"/>
    <cellStyle name="Output 2 2 2 19" xfId="9412" xr:uid="{B32971E2-5381-4826-8F65-1A030135FFA9}"/>
    <cellStyle name="Output 2 2 2 2" xfId="1252" xr:uid="{1D18125A-CCF5-42E4-8299-411F8A0B6FA8}"/>
    <cellStyle name="Output 2 2 2 20" xfId="9828" xr:uid="{F331E680-92AF-49EB-8D14-543B655FF7C6}"/>
    <cellStyle name="Output 2 2 2 21" xfId="10330" xr:uid="{02C96584-5298-411D-8882-B41BF766B3E4}"/>
    <cellStyle name="Output 2 2 2 22" xfId="11184" xr:uid="{789A5859-6FB9-495F-A566-88BBE43D8172}"/>
    <cellStyle name="Output 2 2 2 23" xfId="12131" xr:uid="{7986CFBB-9F87-4416-98A8-0CCFFB1E2CEB}"/>
    <cellStyle name="Output 2 2 2 24" xfId="12604" xr:uid="{E311312D-A380-435C-881B-AC039AE4908C}"/>
    <cellStyle name="Output 2 2 2 25" xfId="13038" xr:uid="{C6C11F51-1938-4D03-9FB8-82A8F4CE54C1}"/>
    <cellStyle name="Output 2 2 2 26" xfId="13475" xr:uid="{2C0628AE-91F3-4D7D-9807-2732FB6A1CED}"/>
    <cellStyle name="Output 2 2 2 27" xfId="13693" xr:uid="{ED3AA01B-334D-489D-BCC5-024EA4E3379D}"/>
    <cellStyle name="Output 2 2 2 28" xfId="14460" xr:uid="{E2CD5B5A-48DE-46B3-BF65-E06F58A820DC}"/>
    <cellStyle name="Output 2 2 2 29" xfId="14450" xr:uid="{462B342D-58EE-467D-969C-6CDEB1CF0868}"/>
    <cellStyle name="Output 2 2 2 3" xfId="1481" xr:uid="{D2A67954-6624-4BE7-AD0C-DDDCA7482C8E}"/>
    <cellStyle name="Output 2 2 2 30" xfId="14947" xr:uid="{000FA8D2-6C31-4E05-83F8-31EE5FF83D24}"/>
    <cellStyle name="Output 2 2 2 31" xfId="15361" xr:uid="{ED0BEE5C-62CA-4647-8E17-6CF702FDA583}"/>
    <cellStyle name="Output 2 2 2 32" xfId="15493" xr:uid="{BADB9766-0B53-432F-8D54-39E5CB46CDE6}"/>
    <cellStyle name="Output 2 2 2 33" xfId="16823" xr:uid="{3F2922BF-CEF1-4A11-A3DF-AF483B420646}"/>
    <cellStyle name="Output 2 2 2 34" xfId="16521" xr:uid="{01A4EB43-8E5D-4B9B-901E-8EA0278B8087}"/>
    <cellStyle name="Output 2 2 2 35" xfId="16941" xr:uid="{A367850A-1AF2-400C-AC8F-6EADBB14967B}"/>
    <cellStyle name="Output 2 2 2 36" xfId="17111" xr:uid="{2F555DC8-2898-4D64-B897-60096157A282}"/>
    <cellStyle name="Output 2 2 2 37" xfId="18641" xr:uid="{F1A7A61B-AD89-4DDA-BB9F-41C71FEB6821}"/>
    <cellStyle name="Output 2 2 2 38" xfId="18881" xr:uid="{EA688963-543F-49D1-BC1B-7B7427C9FC31}"/>
    <cellStyle name="Output 2 2 2 39" xfId="19201" xr:uid="{6FE4964E-D99C-4365-ACAC-922E4BEA3F3C}"/>
    <cellStyle name="Output 2 2 2 4" xfId="2600" xr:uid="{F2E0CAC8-9809-487A-BFBC-9FEC238EF510}"/>
    <cellStyle name="Output 2 2 2 40" xfId="20160" xr:uid="{137D97B3-D8C0-4108-A2E8-8A54CBCDBDD3}"/>
    <cellStyle name="Output 2 2 2 41" xfId="19857" xr:uid="{69C2E6A1-1609-44DE-AF3A-9592674D7B4A}"/>
    <cellStyle name="Output 2 2 2 42" xfId="20404" xr:uid="{CC5C6CDC-53CC-47EA-8D96-8B18A4AEBA98}"/>
    <cellStyle name="Output 2 2 2 43" xfId="21616" xr:uid="{0CE9FBF9-7A38-478B-9240-765338CB9395}"/>
    <cellStyle name="Output 2 2 2 44" xfId="20349" xr:uid="{2EE53F94-516C-4434-9E7B-B6A6B721A35A}"/>
    <cellStyle name="Output 2 2 2 45" xfId="21142" xr:uid="{D5E3843E-90AB-48E4-98CC-2A76E5F64D67}"/>
    <cellStyle name="Output 2 2 2 46" xfId="22690" xr:uid="{73B60C8E-46F5-4CCB-B9B4-63DABAA3A886}"/>
    <cellStyle name="Output 2 2 2 47" xfId="23156" xr:uid="{10F5FC92-EC7A-4706-9686-3280CFD2E712}"/>
    <cellStyle name="Output 2 2 2 48" xfId="22729" xr:uid="{149E01EB-65D4-4365-9231-2EBA95B5FD0A}"/>
    <cellStyle name="Output 2 2 2 49" xfId="23960" xr:uid="{0CF35896-1495-4386-930F-3EC3B89AC3CF}"/>
    <cellStyle name="Output 2 2 2 5" xfId="2858" xr:uid="{726746ED-4266-4640-82DD-134AD7EA95A9}"/>
    <cellStyle name="Output 2 2 2 50" xfId="24868" xr:uid="{6E88AA00-6FBE-4407-8D7E-7BE187E1B2E3}"/>
    <cellStyle name="Output 2 2 2 51" xfId="24563" xr:uid="{5F4C6D62-E5B3-4873-AB70-74CBCE6FB789}"/>
    <cellStyle name="Output 2 2 2 52" xfId="25784" xr:uid="{F6BDD7BA-066A-4AC4-AB7C-021E04AFB621}"/>
    <cellStyle name="Output 2 2 2 53" xfId="24272" xr:uid="{82E70C82-1ADF-44BE-8381-BEB02CC8518F}"/>
    <cellStyle name="Output 2 2 2 54" xfId="26641" xr:uid="{3FE70390-5AD8-4646-BDA4-67FA6853636A}"/>
    <cellStyle name="Output 2 2 2 55" xfId="27072" xr:uid="{27EE5371-96C3-4BF6-9B45-3261724170BC}"/>
    <cellStyle name="Output 2 2 2 56" xfId="27491" xr:uid="{00DE32D0-FAE2-4E10-94A9-F6658F3DCE94}"/>
    <cellStyle name="Output 2 2 2 57" xfId="27201" xr:uid="{1B45F83E-8F8C-4708-A7D9-DEBE410552D1}"/>
    <cellStyle name="Output 2 2 2 58" xfId="28618" xr:uid="{43B77AA5-6032-4937-9B75-B0B97BD96E4F}"/>
    <cellStyle name="Output 2 2 2 59" xfId="29085" xr:uid="{F3B6B809-2957-4CF6-8430-5BE5CB08597B}"/>
    <cellStyle name="Output 2 2 2 6" xfId="3326" xr:uid="{757A6556-5CDB-4E2D-BBEE-6875D1832DD2}"/>
    <cellStyle name="Output 2 2 2 60" xfId="28792" xr:uid="{D3087B7B-0EC9-4B88-A5FC-8AAC49A0FE12}"/>
    <cellStyle name="Output 2 2 2 61" xfId="29874" xr:uid="{A5428BBE-04B7-49B2-940F-F7D6583769F6}"/>
    <cellStyle name="Output 2 2 2 62" xfId="30280" xr:uid="{B542E5B9-070B-4448-A97E-F35A63C1D6E6}"/>
    <cellStyle name="Output 2 2 2 63" xfId="30697" xr:uid="{7D3EA1C0-C238-4E22-8E52-5E95B4FD8A9E}"/>
    <cellStyle name="Output 2 2 2 64" xfId="28186" xr:uid="{BADA5025-AB19-4A32-B94D-7310045F8316}"/>
    <cellStyle name="Output 2 2 2 65" xfId="31313" xr:uid="{B35C63C2-DE8E-4605-98CA-D5259607ADE8}"/>
    <cellStyle name="Output 2 2 2 7" xfId="4096" xr:uid="{5A028C78-7896-43EB-BA41-C2CCFC336C19}"/>
    <cellStyle name="Output 2 2 2 8" xfId="4533" xr:uid="{52946D6C-D0D1-4CBC-9D1A-9212706F576F}"/>
    <cellStyle name="Output 2 2 2 9" xfId="4881" xr:uid="{4ED702F5-5E75-4E90-AC16-39ABFB342440}"/>
    <cellStyle name="Output 2 2 20" xfId="10094" xr:uid="{030B6C3E-79FE-4297-919C-0E92E80DF58D}"/>
    <cellStyle name="Output 2 2 21" xfId="10509" xr:uid="{6A4C2528-1A01-41A6-BE0A-AD6B533567A3}"/>
    <cellStyle name="Output 2 2 22" xfId="10966" xr:uid="{791782B5-0DD5-4302-96E9-100B071083F4}"/>
    <cellStyle name="Output 2 2 23" xfId="10799" xr:uid="{7623AA97-731B-452B-A163-A586262E77C6}"/>
    <cellStyle name="Output 2 2 24" xfId="11916" xr:uid="{743A5753-484B-4C50-9334-D05375B9F744}"/>
    <cellStyle name="Output 2 2 25" xfId="12389" xr:uid="{B83079DF-E27F-48F0-9296-D813AB4D33CD}"/>
    <cellStyle name="Output 2 2 26" xfId="12823" xr:uid="{A5BFCB01-D681-4A96-AAA0-F197CF33F502}"/>
    <cellStyle name="Output 2 2 27" xfId="13260" xr:uid="{FFFFA12A-B90B-41DC-9FFD-471C7403BD06}"/>
    <cellStyle name="Output 2 2 28" xfId="11575" xr:uid="{665B14B9-1B97-4201-94C5-B14B8D89FA0B}"/>
    <cellStyle name="Output 2 2 29" xfId="14456" xr:uid="{C2A1A0C6-5E64-414D-8B4F-33C1068CAC81}"/>
    <cellStyle name="Output 2 2 3" xfId="1046" xr:uid="{7C9F6CE8-5B5A-4BAA-8D36-66304C3137A7}"/>
    <cellStyle name="Output 2 2 30" xfId="14581" xr:uid="{E2298406-8681-43AC-8B3A-BFDA80FDA692}"/>
    <cellStyle name="Output 2 2 31" xfId="14600" xr:uid="{65C3ED52-5B49-4854-BDB5-5B522160A498}"/>
    <cellStyle name="Output 2 2 32" xfId="15528" xr:uid="{A2B3569B-7AC1-4351-B7A2-A402BB6DB703}"/>
    <cellStyle name="Output 2 2 33" xfId="15905" xr:uid="{1B232A8A-8005-40FA-ADE1-4C003A3BBB42}"/>
    <cellStyle name="Output 2 2 34" xfId="16608" xr:uid="{D02A63C9-A9C3-4A3C-92E8-819B9A22381C}"/>
    <cellStyle name="Output 2 2 35" xfId="17212" xr:uid="{EFADE917-5895-4675-BB20-63A7C45E82A6}"/>
    <cellStyle name="Output 2 2 36" xfId="17658" xr:uid="{1454E8F3-DA94-468A-B592-46E487C21EC0}"/>
    <cellStyle name="Output 2 2 37" xfId="17881" xr:uid="{B4A75DF5-8533-45D6-B9E1-F085EB5501F6}"/>
    <cellStyle name="Output 2 2 38" xfId="18426" xr:uid="{622BC2CA-B85B-4460-998D-DEF5C5011F8E}"/>
    <cellStyle name="Output 2 2 39" xfId="18209" xr:uid="{BB8E72E4-0CFE-487B-AB57-C8008D80EF97}"/>
    <cellStyle name="Output 2 2 4" xfId="1385" xr:uid="{097DCFE7-BDA3-487C-A867-6D890CAE3609}"/>
    <cellStyle name="Output 2 2 40" xfId="19272" xr:uid="{D9F30A25-B7E3-4116-8FB1-167E716E0D33}"/>
    <cellStyle name="Output 2 2 41" xfId="19945" xr:uid="{8594CC49-CBB8-4004-BF52-48D61195F607}"/>
    <cellStyle name="Output 2 2 42" xfId="20565" xr:uid="{15FDE477-E5BE-466A-82C6-644067EB6CED}"/>
    <cellStyle name="Output 2 2 43" xfId="21018" xr:uid="{806DC700-2B08-46E9-B969-3005BDF18D75}"/>
    <cellStyle name="Output 2 2 44" xfId="20357" xr:uid="{C517D565-6E67-4A9F-94A0-76EA9F10CA02}"/>
    <cellStyle name="Output 2 2 45" xfId="21949" xr:uid="{39106496-9F89-4B8C-91F2-32BE99757B71}"/>
    <cellStyle name="Output 2 2 46" xfId="22380" xr:uid="{489F4323-4BC6-48F7-8362-F2801860E8F2}"/>
    <cellStyle name="Output 2 2 47" xfId="22179" xr:uid="{6398A951-1571-44FA-A7CB-D9F68BF5E053}"/>
    <cellStyle name="Output 2 2 48" xfId="21352" xr:uid="{495AE178-9AD7-49C2-84C0-5E091796CA8C}"/>
    <cellStyle name="Output 2 2 49" xfId="23522" xr:uid="{BB15037A-CE1F-434E-AC4F-06906B102B13}"/>
    <cellStyle name="Output 2 2 5" xfId="2385" xr:uid="{8DB56C1E-8606-4497-8410-2D76BED0C1AE}"/>
    <cellStyle name="Output 2 2 50" xfId="23754" xr:uid="{E3BAE5CE-6199-4D6E-9EE8-8750A7E8FB51}"/>
    <cellStyle name="Output 2 2 51" xfId="24653" xr:uid="{311755D2-5B6F-4DE4-B67F-A64DED7E3B4B}"/>
    <cellStyle name="Output 2 2 52" xfId="25273" xr:uid="{C8E7C2F6-9FFE-4FDD-A733-91AC14439D3C}"/>
    <cellStyle name="Output 2 2 53" xfId="25571" xr:uid="{A0EFBA8B-0B57-48AC-87E9-F6E54217B612}"/>
    <cellStyle name="Output 2 2 54" xfId="24105" xr:uid="{7FD838A8-330C-4A8F-8CDE-E6A297182747}"/>
    <cellStyle name="Output 2 2 55" xfId="24347" xr:uid="{C5361AC3-2D27-40B4-BC5F-1314D006A92D}"/>
    <cellStyle name="Output 2 2 56" xfId="26861" xr:uid="{71ECCEE4-7561-4D92-A8DC-A6DA3CB26113}"/>
    <cellStyle name="Output 2 2 57" xfId="27280" xr:uid="{6D85603A-D96A-47D8-A662-9F743DB159AC}"/>
    <cellStyle name="Output 2 2 58" xfId="27752" xr:uid="{5EAE8E76-BF5F-44E2-9013-8D3D08E1C75F}"/>
    <cellStyle name="Output 2 2 59" xfId="28403" xr:uid="{00ED8FF3-C308-425B-BEBD-CD032F7CB6F2}"/>
    <cellStyle name="Output 2 2 6" xfId="2219" xr:uid="{23FB8010-FF63-499D-A5F5-7C2BF6D92B75}"/>
    <cellStyle name="Output 2 2 60" xfId="28871" xr:uid="{D5A8F902-5025-42B4-850A-BFCD3BD3D7C5}"/>
    <cellStyle name="Output 2 2 61" xfId="29402" xr:uid="{9DC83E3B-350E-4994-883D-0C4B808D3745}"/>
    <cellStyle name="Output 2 2 62" xfId="29661" xr:uid="{9F89746F-F7B3-47BA-9193-A6A293A5FB4E}"/>
    <cellStyle name="Output 2 2 63" xfId="30069" xr:uid="{53E78184-03A5-483A-88E0-1864C9F6E311}"/>
    <cellStyle name="Output 2 2 64" xfId="30483" xr:uid="{DD04D5EC-B274-404D-9B89-EC6506B6EECF}"/>
    <cellStyle name="Output 2 2 65" xfId="30395" xr:uid="{8B006F1F-B0BD-4AF1-88B5-DC06BC801225}"/>
    <cellStyle name="Output 2 2 66" xfId="31107" xr:uid="{0348B3B7-2E70-41EB-AED4-288454B9B8EC}"/>
    <cellStyle name="Output 2 2 7" xfId="2998" xr:uid="{DEF63B08-A8DC-4372-8190-95E1C0E2C19C}"/>
    <cellStyle name="Output 2 2 8" xfId="3881" xr:uid="{D54632CF-85C1-41A1-B362-65A8EF3144B1}"/>
    <cellStyle name="Output 2 2 9" xfId="4319" xr:uid="{008F8796-8C84-40E2-8EDA-E0CF87841336}"/>
    <cellStyle name="Output 2 20" xfId="16224" xr:uid="{5C8AF056-1196-45EB-9BBD-C805B5AFC1A1}"/>
    <cellStyle name="Output 2 21" xfId="16151" xr:uid="{6D10BCF3-E64E-4993-BC6C-1CC1FDE5352B}"/>
    <cellStyle name="Output 2 22" xfId="18200" xr:uid="{F8D539FD-1895-47A9-BB99-936A6C2BB928}"/>
    <cellStyle name="Output 2 23" xfId="16327" xr:uid="{C16A7429-F3A9-4786-8501-92BEE7EFBD70}"/>
    <cellStyle name="Output 2 24" xfId="19557" xr:uid="{60074F28-8257-467D-BC3F-63A2952A767C}"/>
    <cellStyle name="Output 2 25" xfId="22022" xr:uid="{19E9256D-BA26-4A33-B16D-24CE3B5B4A7D}"/>
    <cellStyle name="Output 2 26" xfId="23187" xr:uid="{8944AF69-287A-4506-9976-37274DEF2A64}"/>
    <cellStyle name="Output 2 27" xfId="24278" xr:uid="{3BD30A6D-6D20-4A45-AF6E-DA666E209712}"/>
    <cellStyle name="Output 2 28" xfId="24403" xr:uid="{DFC863F0-53B7-420D-8DFF-7C7FE70C6DD6}"/>
    <cellStyle name="Output 2 29" xfId="25506" xr:uid="{3D550B8B-83F4-4CF5-B7EB-84EB01DDEAF8}"/>
    <cellStyle name="Output 2 3" xfId="659" xr:uid="{27A32375-7753-42FD-AE1D-CB75B303F014}"/>
    <cellStyle name="Output 2 3 10" xfId="4785" xr:uid="{8B13331F-3833-477B-9285-FC9998421DA7}"/>
    <cellStyle name="Output 2 3 11" xfId="5307" xr:uid="{D8D9490D-1FFE-4E19-9A5F-FE9C62DE0443}"/>
    <cellStyle name="Output 2 3 12" xfId="5660" xr:uid="{CF3F86AD-CBE5-477B-8BD0-A76973BE5293}"/>
    <cellStyle name="Output 2 3 13" xfId="3747" xr:uid="{B6E2EAB6-39A3-460E-8CDA-95C864F10DA2}"/>
    <cellStyle name="Output 2 3 14" xfId="3802" xr:uid="{085A69BB-53A2-48BD-B461-C5339546BFA9}"/>
    <cellStyle name="Output 2 3 15" xfId="7379" xr:uid="{28E716E6-4B93-4934-A9E7-5AE8409DECB7}"/>
    <cellStyle name="Output 2 3 16" xfId="7974" xr:uid="{3BCAA8BB-BDD5-494E-8ABE-4FFCBDD99756}"/>
    <cellStyle name="Output 2 3 17" xfId="7632" xr:uid="{62ACB0B4-D5BF-4488-87F1-78F982F2436B}"/>
    <cellStyle name="Output 2 3 18" xfId="8031" xr:uid="{A2B6F195-D8C4-46DD-942E-ADC0522D9264}"/>
    <cellStyle name="Output 2 3 19" xfId="9593" xr:uid="{C2EA0D16-13AC-4BCD-B055-EC2604ED576B}"/>
    <cellStyle name="Output 2 3 2" xfId="874" xr:uid="{E2A57AB1-580D-42D5-9A2F-83423A3F7D16}"/>
    <cellStyle name="Output 2 3 2 10" xfId="5522" xr:uid="{E48194D5-5CC3-4F7D-89EC-D1CE7D05AE41}"/>
    <cellStyle name="Output 2 3 2 11" xfId="6016" xr:uid="{02298221-DD1C-495C-A8E1-63BAD107158F}"/>
    <cellStyle name="Output 2 3 2 12" xfId="6375" xr:uid="{EC3E5FD3-B3E3-4758-9465-B00865CD8BDD}"/>
    <cellStyle name="Output 2 3 2 13" xfId="6713" xr:uid="{D17B7513-7375-49CC-A596-053926DFDCBD}"/>
    <cellStyle name="Output 2 3 2 14" xfId="7594" xr:uid="{DFAE2CDD-26EF-43D1-A919-1625D9FA8BEE}"/>
    <cellStyle name="Output 2 3 2 15" xfId="8058" xr:uid="{4752F9CB-C81D-4CA0-9C76-E83B693FCE06}"/>
    <cellStyle name="Output 2 3 2 16" xfId="8667" xr:uid="{706DCB12-3108-4C46-9908-4DD4895931FE}"/>
    <cellStyle name="Output 2 3 2 17" xfId="8926" xr:uid="{CBADF946-6ADD-4B61-B6E5-39DF734A56FD}"/>
    <cellStyle name="Output 2 3 2 18" xfId="9808" xr:uid="{2F443CFE-AFBE-4390-AAF8-34134F0466E8}"/>
    <cellStyle name="Output 2 3 2 19" xfId="10277" xr:uid="{6AD0FA21-67C6-4CC6-B05A-04CB8BC83D0C}"/>
    <cellStyle name="Output 2 3 2 2" xfId="1348" xr:uid="{0EB6305E-9475-4864-A36C-1BDF2A4931F7}"/>
    <cellStyle name="Output 2 3 2 20" xfId="10671" xr:uid="{244D3F31-A264-4219-A177-E524DEDD7E5D}"/>
    <cellStyle name="Output 2 3 2 21" xfId="11020" xr:uid="{566B8B02-0B58-41A5-929C-1676844A16B5}"/>
    <cellStyle name="Output 2 3 2 22" xfId="11330" xr:uid="{E855934E-8F0C-4971-B945-E26442E9598E}"/>
    <cellStyle name="Output 2 3 2 23" xfId="12227" xr:uid="{39208D4F-3BEB-44A1-802A-8F535188FB35}"/>
    <cellStyle name="Output 2 3 2 24" xfId="12700" xr:uid="{2CDDD564-E58B-42AA-AC8E-D116759F271B}"/>
    <cellStyle name="Output 2 3 2 25" xfId="13134" xr:uid="{D7761F94-4B89-49BA-8989-AF3DA4B373CC}"/>
    <cellStyle name="Output 2 3 2 26" xfId="13571" xr:uid="{CB3862BE-A52A-4185-B311-9BFC6BB8B34E}"/>
    <cellStyle name="Output 2 3 2 27" xfId="14043" xr:uid="{BDB64357-0E19-4180-9ECC-6D9AF7C7C5DB}"/>
    <cellStyle name="Output 2 3 2 28" xfId="14490" xr:uid="{F3C369DF-E0BB-41CD-B288-E99CE914B98A}"/>
    <cellStyle name="Output 2 3 2 29" xfId="14924" xr:uid="{5C613BFF-AD16-46E6-94C4-356FDDD2546E}"/>
    <cellStyle name="Output 2 3 2 3" xfId="1797" xr:uid="{4B012913-E5A0-4144-B419-05FB86EF270E}"/>
    <cellStyle name="Output 2 3 2 30" xfId="15394" xr:uid="{29FF699C-9ED4-44F2-8FAF-2D58F9BC5B96}"/>
    <cellStyle name="Output 2 3 2 31" xfId="15784" xr:uid="{75F53D3D-6614-4EF8-941F-D88FF9643497}"/>
    <cellStyle name="Output 2 3 2 32" xfId="16006" xr:uid="{270FDACB-89B0-46EA-B781-42AD885C5B12}"/>
    <cellStyle name="Output 2 3 2 33" xfId="16919" xr:uid="{AF0E13BD-1D47-4D83-9BF3-73107A926ADF}"/>
    <cellStyle name="Output 2 3 2 34" xfId="17400" xr:uid="{820E2641-DB7A-44C0-AB6B-24133692C3DD}"/>
    <cellStyle name="Output 2 3 2 35" xfId="17841" xr:uid="{2BC0539D-BCC2-48CD-8DAA-B8B3F7506305}"/>
    <cellStyle name="Output 2 3 2 36" xfId="18316" xr:uid="{FB1968AC-7D30-4A6E-B3AD-D497118E3EF9}"/>
    <cellStyle name="Output 2 3 2 37" xfId="18737" xr:uid="{726334D7-C463-4BF7-9219-D59F41258F2B}"/>
    <cellStyle name="Output 2 3 2 38" xfId="19124" xr:uid="{202B1AE9-9201-4EFF-9CF1-CDD563417985}"/>
    <cellStyle name="Output 2 3 2 39" xfId="19354" xr:uid="{11E1F2F5-0FDF-42A7-A78B-A6A5199CAECA}"/>
    <cellStyle name="Output 2 3 2 4" xfId="2696" xr:uid="{71D7F9DB-37BE-4146-AFCD-A6932D85E1C4}"/>
    <cellStyle name="Output 2 3 2 40" xfId="20256" xr:uid="{896E1D76-8B30-4DC2-8BF2-F677FF79E8D6}"/>
    <cellStyle name="Output 2 3 2 41" xfId="20749" xr:uid="{3B8964F0-AC69-49B0-AADA-26F3A5B07E79}"/>
    <cellStyle name="Output 2 3 2 42" xfId="21208" xr:uid="{D4FEA220-DDC9-441A-AE71-D241ED55C847}"/>
    <cellStyle name="Output 2 3 2 43" xfId="21700" xr:uid="{2774DCC3-EB26-4FE8-8A41-212CC793F7D4}"/>
    <cellStyle name="Output 2 3 2 44" xfId="22139" xr:uid="{C56BD87C-6407-4A33-AF9A-AABC04448C20}"/>
    <cellStyle name="Output 2 3 2 45" xfId="22566" xr:uid="{C39A3BBC-8B41-492A-968C-94F96E91EC14}"/>
    <cellStyle name="Output 2 3 2 46" xfId="23011" xr:uid="{FD94438A-A24C-4EA2-A170-DA51E5008050}"/>
    <cellStyle name="Output 2 3 2 47" xfId="23413" xr:uid="{C17D437D-9B8C-4480-B595-178588526244}"/>
    <cellStyle name="Output 2 3 2 48" xfId="23676" xr:uid="{DF76D7E1-55EA-4DA9-8B37-B19357A38C77}"/>
    <cellStyle name="Output 2 3 2 49" xfId="24056" xr:uid="{2EAACC30-E00F-4575-A467-6F93865F1641}"/>
    <cellStyle name="Output 2 3 2 5" xfId="3216" xr:uid="{891BC3B7-78C7-4AED-B6B9-2C07CDB89624}"/>
    <cellStyle name="Output 2 3 2 50" xfId="24964" xr:uid="{3C5D5BDB-A6C8-4337-B75D-5D17DCE19CEC}"/>
    <cellStyle name="Output 2 3 2 51" xfId="25452" xr:uid="{87CA8C9C-68AF-486D-A83D-96A03BD9FE67}"/>
    <cellStyle name="Output 2 3 2 52" xfId="25880" xr:uid="{F8918119-E0B9-4E6A-B8C0-8A95B297EFEE}"/>
    <cellStyle name="Output 2 3 2 53" xfId="26318" xr:uid="{35C797AC-A47C-4108-BE30-285883DEAD08}"/>
    <cellStyle name="Output 2 3 2 54" xfId="26747" xr:uid="{98D0EDC8-D4DF-4A41-B08F-421513A7F457}"/>
    <cellStyle name="Output 2 3 2 55" xfId="27168" xr:uid="{34FA2E14-973D-4533-96D9-DD933D2C169C}"/>
    <cellStyle name="Output 2 3 2 56" xfId="27587" xr:uid="{6D3F2B67-8C5D-4959-A732-4D2B0C3886DF}"/>
    <cellStyle name="Output 2 3 2 57" xfId="25703" xr:uid="{0D5285E2-E11A-42D0-8234-B043A5FAED4E}"/>
    <cellStyle name="Output 2 3 2 58" xfId="28714" xr:uid="{A5038ECC-FF62-4578-9CE9-FF69061CB9F0}"/>
    <cellStyle name="Output 2 3 2 59" xfId="29181" xr:uid="{730C93B9-40F1-4BAD-B0B5-500236E4B0D6}"/>
    <cellStyle name="Output 2 3 2 6" xfId="3771" xr:uid="{3F505281-2DE6-43CF-9F28-2FF2D39C4300}"/>
    <cellStyle name="Output 2 3 2 60" xfId="29563" xr:uid="{8D0E6D56-5F79-40E2-A937-8711D44A6D47}"/>
    <cellStyle name="Output 2 3 2 61" xfId="29970" xr:uid="{3199B128-1BE4-422E-B9B7-B49C68C79DC7}"/>
    <cellStyle name="Output 2 3 2 62" xfId="30376" xr:uid="{A081248D-4B26-4142-A73E-571276B69221}"/>
    <cellStyle name="Output 2 3 2 63" xfId="30793" xr:uid="{7F1929F5-A106-4C63-A82A-FD530FC0F739}"/>
    <cellStyle name="Output 2 3 2 64" xfId="31038" xr:uid="{E6809B74-A98B-4A23-A75C-23CB7BFE3D55}"/>
    <cellStyle name="Output 2 3 2 65" xfId="31409" xr:uid="{181B9B42-B269-4A1A-970F-7430E3408C22}"/>
    <cellStyle name="Output 2 3 2 7" xfId="4192" xr:uid="{6D529D2C-190C-4175-ADFD-6FB13C4AB921}"/>
    <cellStyle name="Output 2 3 2 8" xfId="4629" xr:uid="{854E8751-52BA-4AC4-BFDB-BCE16679BAA8}"/>
    <cellStyle name="Output 2 3 2 9" xfId="5075" xr:uid="{56D2688D-6BFA-43FC-8B30-9CC2A5B79548}"/>
    <cellStyle name="Output 2 3 20" xfId="10190" xr:uid="{94735939-8747-4D09-9F99-1C3BC0FC09B3}"/>
    <cellStyle name="Output 2 3 21" xfId="10595" xr:uid="{7B6F60F5-DB86-4EB4-B4D6-639FFBEFCD35}"/>
    <cellStyle name="Output 2 3 22" xfId="10252" xr:uid="{D75530FB-276F-4265-99F6-95DC8CBAF57E}"/>
    <cellStyle name="Output 2 3 23" xfId="11278" xr:uid="{C644B6C5-FDAC-41C3-A680-4788C9AB3CAB}"/>
    <cellStyle name="Output 2 3 24" xfId="12012" xr:uid="{5B104D4C-9D9E-4BCA-A350-C4815257B956}"/>
    <cellStyle name="Output 2 3 25" xfId="12485" xr:uid="{9B5886A3-6AE3-40E6-850E-CB6B39D5EE05}"/>
    <cellStyle name="Output 2 3 26" xfId="12919" xr:uid="{CA3B6335-3FF2-4EAC-943A-7CF923202BFA}"/>
    <cellStyle name="Output 2 3 27" xfId="13356" xr:uid="{AF9C60C8-4728-496B-B6B9-C724572190D6}"/>
    <cellStyle name="Output 2 3 28" xfId="11573" xr:uid="{3EB4B814-ED60-4CE9-A14A-AE3B3A231889}"/>
    <cellStyle name="Output 2 3 29" xfId="13689" xr:uid="{2114DA7E-506E-4514-B0BD-50518D32A6FE}"/>
    <cellStyle name="Output 2 3 3" xfId="1142" xr:uid="{B952B48F-825E-4A1C-BB14-BF9AFFA9C9DB}"/>
    <cellStyle name="Output 2 3 30" xfId="14841" xr:uid="{266477BC-CC20-4B46-BE5D-6787B164F2F3}"/>
    <cellStyle name="Output 2 3 31" xfId="15176" xr:uid="{CA73BB62-3130-41ED-B514-1D35F08198B8}"/>
    <cellStyle name="Output 2 3 32" xfId="15384" xr:uid="{B74F3746-E51B-41DD-BCB4-80DFFBCB8AA2}"/>
    <cellStyle name="Output 2 3 33" xfId="15955" xr:uid="{6EC9EEF4-F59C-4DBE-BB1A-45ADA08D864C}"/>
    <cellStyle name="Output 2 3 34" xfId="16704" xr:uid="{DDB75469-4A49-464B-87C1-37F70E7C3B7B}"/>
    <cellStyle name="Output 2 3 35" xfId="17311" xr:uid="{42D92190-1EB5-4221-AE4F-1D642EA003B8}"/>
    <cellStyle name="Output 2 3 36" xfId="17754" xr:uid="{D9B2417C-7590-41CC-B26B-D83596605E18}"/>
    <cellStyle name="Output 2 3 37" xfId="17443" xr:uid="{7D800637-BF6E-43BD-8FAC-F6349C6C6335}"/>
    <cellStyle name="Output 2 3 38" xfId="18522" xr:uid="{4D84C676-EE93-4808-A271-9FA6F5C8D0B1}"/>
    <cellStyle name="Output 2 3 39" xfId="17896" xr:uid="{0889D64F-0A90-4EF1-8D32-BFBEB99477C6}"/>
    <cellStyle name="Output 2 3 4" xfId="1683" xr:uid="{C0E13313-AD8F-4E95-AC56-E5743872D1B0}"/>
    <cellStyle name="Output 2 3 40" xfId="18844" xr:uid="{94FEC605-8624-4181-BC0A-9247A921F07D}"/>
    <cellStyle name="Output 2 3 41" xfId="20041" xr:uid="{A2525D45-45C1-4202-927F-3CEC0DB690A9}"/>
    <cellStyle name="Output 2 3 42" xfId="20662" xr:uid="{A7B31BD2-780C-4DB7-B27F-4D9A0A1DE29B}"/>
    <cellStyle name="Output 2 3 43" xfId="21118" xr:uid="{CBA092BA-DD92-4565-8785-A048C4C325CA}"/>
    <cellStyle name="Output 2 3 44" xfId="21238" xr:uid="{E02EA71A-6184-404E-9283-B6FC5FFE6F42}"/>
    <cellStyle name="Output 2 3 45" xfId="22050" xr:uid="{4FE191BF-BF7F-4AC0-B17D-D132E5C90CEC}"/>
    <cellStyle name="Output 2 3 46" xfId="22478" xr:uid="{71890AC7-2C7B-4257-B5A7-883B61624424}"/>
    <cellStyle name="Output 2 3 47" xfId="20769" xr:uid="{AD8349B0-B410-4063-B454-989E5A555A4E}"/>
    <cellStyle name="Output 2 3 48" xfId="22591" xr:uid="{5A580343-F6B3-4A47-BF52-ED1308D287B9}"/>
    <cellStyle name="Output 2 3 49" xfId="23352" xr:uid="{47F17B7A-0397-4C84-A27F-87F8EF35907D}"/>
    <cellStyle name="Output 2 3 5" xfId="2481" xr:uid="{7C1DDF80-3179-4C0E-80E8-8025CF5FCB45}"/>
    <cellStyle name="Output 2 3 50" xfId="23850" xr:uid="{5890C27B-BF91-46C8-A029-94B0B1A2A742}"/>
    <cellStyle name="Output 2 3 51" xfId="24749" xr:uid="{281829DE-B452-43D8-A3F8-CFD448CACB7C}"/>
    <cellStyle name="Output 2 3 52" xfId="25365" xr:uid="{714597D2-1B77-4C88-9DB3-984953424BC2}"/>
    <cellStyle name="Output 2 3 53" xfId="25667" xr:uid="{97E48D22-234F-48A4-9E82-E49925948FA5}"/>
    <cellStyle name="Output 2 3 54" xfId="24794" xr:uid="{C412A723-BAC6-49B0-9B15-046A4ACD316D}"/>
    <cellStyle name="Output 2 3 55" xfId="25067" xr:uid="{2B3F1282-7095-4C8C-82D6-5B24526961E8}"/>
    <cellStyle name="Output 2 3 56" xfId="26957" xr:uid="{85F9594C-9967-44C9-ACD9-02DF086038C6}"/>
    <cellStyle name="Output 2 3 57" xfId="27376" xr:uid="{62AFCDCE-A4BA-4C8D-A240-4318D422D1F4}"/>
    <cellStyle name="Output 2 3 58" xfId="26629" xr:uid="{F9776330-DD35-4534-AF22-1EF0A82B07D3}"/>
    <cellStyle name="Output 2 3 59" xfId="28499" xr:uid="{5CAA7D15-DC4E-495A-9A5C-DEED94C59ED6}"/>
    <cellStyle name="Output 2 3 6" xfId="1968" xr:uid="{AD822047-CE3F-4F1A-B165-ADD2AD979116}"/>
    <cellStyle name="Output 2 3 60" xfId="28967" xr:uid="{C8E9EBA3-7794-498E-B3E4-CF8ABA69D287}"/>
    <cellStyle name="Output 2 3 61" xfId="29488" xr:uid="{49770CCF-72A9-476B-BFDC-A082271D95FA}"/>
    <cellStyle name="Output 2 3 62" xfId="29757" xr:uid="{F19C4526-C936-43DF-9607-2B044C8223EE}"/>
    <cellStyle name="Output 2 3 63" xfId="30165" xr:uid="{2763CD6E-8EC2-4363-A2B6-D303ACEB1183}"/>
    <cellStyle name="Output 2 3 64" xfId="30579" xr:uid="{EFCE41FB-01DF-4438-8C82-A03D2B3810FD}"/>
    <cellStyle name="Output 2 3 65" xfId="28122" xr:uid="{C38E4D3D-E3D8-4014-B73D-4A5A00169ECA}"/>
    <cellStyle name="Output 2 3 66" xfId="31203" xr:uid="{47B54C9F-CD7E-46D6-A18D-F7F763646195}"/>
    <cellStyle name="Output 2 3 7" xfId="3279" xr:uid="{1D76DF80-37B3-4FEF-97E6-B17C908D7BB5}"/>
    <cellStyle name="Output 2 3 8" xfId="3977" xr:uid="{152CF72F-B75F-47F5-B995-5F1567D0BC8F}"/>
    <cellStyle name="Output 2 3 9" xfId="4415" xr:uid="{DEAA0357-CF68-4832-8162-37A893044A6D}"/>
    <cellStyle name="Output 2 30" xfId="25229" xr:uid="{5C96B417-1A16-402A-9BC8-0B09A45B8E79}"/>
    <cellStyle name="Output 2 31" xfId="28058" xr:uid="{5B543451-A30C-4327-B4D8-8D4F3B207856}"/>
    <cellStyle name="Output 2 32" xfId="29791" xr:uid="{249C8708-E081-4249-AE72-695EB56D7972}"/>
    <cellStyle name="Output 2 33" xfId="29389" xr:uid="{72BCFB58-23BE-4357-BFE1-9873EC0FCED9}"/>
    <cellStyle name="Output 2 4" xfId="686" xr:uid="{8C5A7EFF-9BC0-436C-A5A3-5C24A99E73B3}"/>
    <cellStyle name="Output 2 4 10" xfId="5334" xr:uid="{07C0792B-96D0-4D1E-B10A-0156FA51CED1}"/>
    <cellStyle name="Output 2 4 11" xfId="5902" xr:uid="{70E06470-456A-454F-A63E-4E98F3A551A9}"/>
    <cellStyle name="Output 2 4 12" xfId="5978" xr:uid="{9188EDA5-F226-4051-8D0C-31C35B29297C}"/>
    <cellStyle name="Output 2 4 13" xfId="6437" xr:uid="{82E268EC-566C-4C66-B33C-F9B39B473787}"/>
    <cellStyle name="Output 2 4 14" xfId="7406" xr:uid="{E982924D-43A8-4F41-8064-BEF6F13AAA80}"/>
    <cellStyle name="Output 2 4 15" xfId="7983" xr:uid="{92AEAC49-84E5-4D45-90D1-BC16E6053BA2}"/>
    <cellStyle name="Output 2 4 16" xfId="7661" xr:uid="{8AC16992-6EFF-4C82-B823-E4F31891AA81}"/>
    <cellStyle name="Output 2 4 17" xfId="8856" xr:uid="{EDC31780-F20C-499C-9178-18CAA88BF8CD}"/>
    <cellStyle name="Output 2 4 18" xfId="9620" xr:uid="{FAD07811-E2D2-4DA4-A33D-CC8E788A3001}"/>
    <cellStyle name="Output 2 4 19" xfId="10199" xr:uid="{41B13678-FD9E-438F-BE0E-25A9438F332C}"/>
    <cellStyle name="Output 2 4 2" xfId="1168" xr:uid="{DFA585E9-62F1-4A9D-A1FD-6DBCB285A43A}"/>
    <cellStyle name="Output 2 4 20" xfId="10603" xr:uid="{8B49F2F7-B740-4A55-9B3F-D3F0BDF43BFD}"/>
    <cellStyle name="Output 2 4 21" xfId="9915" xr:uid="{A14B73A6-A5B8-4D9A-9BF7-4C8B2FD4F19E}"/>
    <cellStyle name="Output 2 4 22" xfId="11047" xr:uid="{AE1B0F09-9F09-4331-8D5C-D2E4CA0F8598}"/>
    <cellStyle name="Output 2 4 23" xfId="12039" xr:uid="{2179A379-1CC8-4FD1-A1B3-B3B82C0AABB7}"/>
    <cellStyle name="Output 2 4 24" xfId="12512" xr:uid="{1994A233-256B-414E-A3EA-FC4442F964BF}"/>
    <cellStyle name="Output 2 4 25" xfId="12946" xr:uid="{D716E6CA-5157-489A-B58F-0D6FB07F8FF8}"/>
    <cellStyle name="Output 2 4 26" xfId="13383" xr:uid="{6761E212-E0F3-4DB6-9FEC-1FEB54FE1A97}"/>
    <cellStyle name="Output 2 4 27" xfId="11564" xr:uid="{57B25E9E-6D07-4CFA-8CE6-0407AB56EF46}"/>
    <cellStyle name="Output 2 4 28" xfId="14394" xr:uid="{4B3DD257-DC97-43EB-9172-8BF869D88DA3}"/>
    <cellStyle name="Output 2 4 29" xfId="14849" xr:uid="{C0B9DDDD-50C3-44A0-A270-C83317AD0124}"/>
    <cellStyle name="Output 2 4 3" xfId="1696" xr:uid="{09F2364E-775A-4549-B9C5-AD7D63B9C70B}"/>
    <cellStyle name="Output 2 4 30" xfId="15062" xr:uid="{26B98CBF-D2EA-4DC2-B477-5AC4C1EDB3D4}"/>
    <cellStyle name="Output 2 4 31" xfId="15584" xr:uid="{7C3E4601-AF43-4850-AD52-4FAE46E98DE2}"/>
    <cellStyle name="Output 2 4 32" xfId="15962" xr:uid="{759F0796-ACA0-46EB-ACFE-172457B52E04}"/>
    <cellStyle name="Output 2 4 33" xfId="16731" xr:uid="{1EB99227-0325-4C8B-8DEB-3D32F04116E7}"/>
    <cellStyle name="Output 2 4 34" xfId="17320" xr:uid="{EB8E06D1-7CD1-4414-8ED1-368576B26021}"/>
    <cellStyle name="Output 2 4 35" xfId="17763" xr:uid="{6AF33328-35B3-4E47-8984-5D4301C97EC4}"/>
    <cellStyle name="Output 2 4 36" xfId="17017" xr:uid="{572931D9-80B4-4A13-B88A-404B65E8586C}"/>
    <cellStyle name="Output 2 4 37" xfId="18549" xr:uid="{462FDE3D-E107-415E-B5CD-836B38FCAC8E}"/>
    <cellStyle name="Output 2 4 38" xfId="19018" xr:uid="{12C04650-C2B8-4361-8A12-ACEC1B4EE1AD}"/>
    <cellStyle name="Output 2 4 39" xfId="18108" xr:uid="{4D231DF8-2FD1-4B35-AAF4-341A1469162F}"/>
    <cellStyle name="Output 2 4 4" xfId="2508" xr:uid="{A0005709-15AF-4DC6-9316-E7F968F05457}"/>
    <cellStyle name="Output 2 4 40" xfId="20068" xr:uid="{FA2F9AC9-73DD-463B-B82D-A0E256661C81}"/>
    <cellStyle name="Output 2 4 41" xfId="20671" xr:uid="{D093627B-A24B-4B13-BCE9-6434A73F70A4}"/>
    <cellStyle name="Output 2 4 42" xfId="21127" xr:uid="{E6D96823-FB6C-4177-B205-F1309BDCA3A1}"/>
    <cellStyle name="Output 2 4 43" xfId="21277" xr:uid="{9C1922D7-63FE-4955-8A6B-9B5926B04B43}"/>
    <cellStyle name="Output 2 4 44" xfId="22059" xr:uid="{ED241001-5DE3-41BC-BE73-969BDB9AEC7D}"/>
    <cellStyle name="Output 2 4 45" xfId="22487" xr:uid="{621F3E48-280D-4ECF-9C1E-4D939473F6A2}"/>
    <cellStyle name="Output 2 4 46" xfId="22366" xr:uid="{27810088-2FE4-4798-8E3E-F630B4E2FAFD}"/>
    <cellStyle name="Output 2 4 47" xfId="23297" xr:uid="{6B042F76-B93F-40B6-90C3-283443F8A5A8}"/>
    <cellStyle name="Output 2 4 48" xfId="23388" xr:uid="{26CC6221-DC52-4717-9A62-DA79609C34AE}"/>
    <cellStyle name="Output 2 4 49" xfId="23876" xr:uid="{D2BD888A-8FAE-4CD6-8B56-25FF1524D257}"/>
    <cellStyle name="Output 2 4 5" xfId="2133" xr:uid="{80ACA569-4E5F-4B3F-9608-FCAE0190965A}"/>
    <cellStyle name="Output 2 4 50" xfId="24776" xr:uid="{0A220A09-56F7-48DE-847A-A2386E7A241F}"/>
    <cellStyle name="Output 2 4 51" xfId="25374" xr:uid="{B03183BB-3D97-4D27-A1DE-B1952DA88E97}"/>
    <cellStyle name="Output 2 4 52" xfId="25694" xr:uid="{B76EEBEE-3D41-4D49-9BAD-4F5C7C756915}"/>
    <cellStyle name="Output 2 4 53" xfId="25068" xr:uid="{86CE3046-1632-4825-A073-2973BEFED872}"/>
    <cellStyle name="Output 2 4 54" xfId="26578" xr:uid="{23441886-81CF-4FFB-8718-216C7CCC79E4}"/>
    <cellStyle name="Output 2 4 55" xfId="26984" xr:uid="{23C3CF52-B936-4E66-BCE4-7DBF2A320226}"/>
    <cellStyle name="Output 2 4 56" xfId="27403" xr:uid="{607761CD-1924-4C8C-ACB1-705DDA3A1894}"/>
    <cellStyle name="Output 2 4 57" xfId="25985" xr:uid="{632A4D67-CF2C-4B8A-932B-A394E093BB1A}"/>
    <cellStyle name="Output 2 4 58" xfId="28526" xr:uid="{CA315B24-130D-4E40-A278-DF15CF8B9F04}"/>
    <cellStyle name="Output 2 4 59" xfId="28994" xr:uid="{5F560A38-CC54-48C6-9C3B-0246BF02F072}"/>
    <cellStyle name="Output 2 4 6" xfId="3426" xr:uid="{23EFCD73-ACF8-409D-9AD0-FC8CA0BF0DE1}"/>
    <cellStyle name="Output 2 4 60" xfId="29496" xr:uid="{2E6E05F2-5ACA-48BC-B3B8-6BC7E1B2F93D}"/>
    <cellStyle name="Output 2 4 61" xfId="29784" xr:uid="{3BE80A75-25D6-461B-BCF5-559A2584A016}"/>
    <cellStyle name="Output 2 4 62" xfId="30191" xr:uid="{F6D8E818-3476-4CD7-8B1D-753F1A04ED5C}"/>
    <cellStyle name="Output 2 4 63" xfId="30606" xr:uid="{5BA4FE1C-D939-4442-B839-C6FD304DBFC2}"/>
    <cellStyle name="Output 2 4 64" xfId="30881" xr:uid="{79EB7408-C852-4244-AD60-3115A39B8409}"/>
    <cellStyle name="Output 2 4 65" xfId="31229" xr:uid="{FA1FC24B-E82C-41D5-A969-CB5C2A6A2754}"/>
    <cellStyle name="Output 2 4 7" xfId="4004" xr:uid="{9AC3D4D2-A4E3-4746-9A64-135BBF5091CD}"/>
    <cellStyle name="Output 2 4 8" xfId="4442" xr:uid="{28F9CABA-84E1-499F-A25C-8C9E1B1AC775}"/>
    <cellStyle name="Output 2 4 9" xfId="4889" xr:uid="{C90328CC-D819-424C-8730-A5958E590931}"/>
    <cellStyle name="Output 2 5" xfId="929" xr:uid="{43D0CF7D-28DA-4E3E-A257-017893CAF9DC}"/>
    <cellStyle name="Output 2 6" xfId="2000" xr:uid="{9C0AC079-B074-484F-BE65-6E54C2323C28}"/>
    <cellStyle name="Output 2 7" xfId="2721" xr:uid="{0A269069-DD70-4352-B883-B61FFC6405DF}"/>
    <cellStyle name="Output 2 8" xfId="3693" xr:uid="{4FC1DD7A-EC3D-4C64-9AC6-5A978F8BAA0C}"/>
    <cellStyle name="Output 2 9" xfId="2211" xr:uid="{3483E081-00BB-47CD-A76C-D086CF28EBEE}"/>
    <cellStyle name="Output 3" xfId="237" xr:uid="{6030A89D-1943-4334-B908-3C8A125CF3D0}"/>
    <cellStyle name="Output 3 10" xfId="3007" xr:uid="{11D234DF-5E84-47EA-B347-743A404DF1FE}"/>
    <cellStyle name="Output 3 11" xfId="2854" xr:uid="{EA1A6A1D-911A-4818-89B6-379404D17D6D}"/>
    <cellStyle name="Output 3 12" xfId="6968" xr:uid="{84289001-6DEC-40D5-BD50-3BAB01736428}"/>
    <cellStyle name="Output 3 13" xfId="7657" xr:uid="{8873F660-9BC1-468F-B566-069ECF95D81C}"/>
    <cellStyle name="Output 3 14" xfId="8289" xr:uid="{C8B256B0-9D52-412A-A2EA-85EF8EC5276E}"/>
    <cellStyle name="Output 3 15" xfId="9181" xr:uid="{DAEE006F-D419-4C46-8B91-C8EE923EED77}"/>
    <cellStyle name="Output 3 16" xfId="9868" xr:uid="{EC40BCBF-40BE-423F-8D43-6567F1F12337}"/>
    <cellStyle name="Output 3 17" xfId="11593" xr:uid="{4A90C4EE-21AD-4F08-9F27-7CB097356489}"/>
    <cellStyle name="Output 3 18" xfId="11453" xr:uid="{E7E71D78-47F5-435D-8B05-D82159E2017E}"/>
    <cellStyle name="Output 3 19" xfId="14015" xr:uid="{386EDF57-8531-4DFD-A960-1B38E775C48F}"/>
    <cellStyle name="Output 3 2" xfId="590" xr:uid="{423FA8AA-F2F3-4AB9-BC6E-E56B2CA070E7}"/>
    <cellStyle name="Output 3 2 10" xfId="4954" xr:uid="{4628B56F-4DD2-4A4A-A13D-6B05958C619E}"/>
    <cellStyle name="Output 3 2 11" xfId="5238" xr:uid="{66F1D8B6-A0D0-456C-994A-33B2C6DC4377}"/>
    <cellStyle name="Output 3 2 12" xfId="4687" xr:uid="{407B0A34-9612-4405-8385-05810328492C}"/>
    <cellStyle name="Output 3 2 13" xfId="5576" xr:uid="{66AB58E0-8408-47D7-867A-CD92E5215F04}"/>
    <cellStyle name="Output 3 2 14" xfId="6619" xr:uid="{D3E77901-C423-4076-B801-D5319372684A}"/>
    <cellStyle name="Output 3 2 15" xfId="7310" xr:uid="{8051D630-6C87-42B8-963C-9AB0DD709EFD}"/>
    <cellStyle name="Output 3 2 16" xfId="7954" xr:uid="{F9A30CCF-0D3E-4DBF-9549-89F618D6CB46}"/>
    <cellStyle name="Output 3 2 17" xfId="8349" xr:uid="{A01AF00D-ACC0-4BE1-9A94-E89C0FE5A3A6}"/>
    <cellStyle name="Output 3 2 18" xfId="8288" xr:uid="{832C4FD8-17D7-4C2F-9FC8-539887184977}"/>
    <cellStyle name="Output 3 2 19" xfId="9524" xr:uid="{E4F458A3-E088-4B72-83A6-BF5DE2F75AC0}"/>
    <cellStyle name="Output 3 2 2" xfId="805" xr:uid="{C42722FE-26E5-4F1B-A9C4-3DDC165BDF0B}"/>
    <cellStyle name="Output 3 2 2 10" xfId="5453" xr:uid="{04D239AE-278A-45C8-9A0C-E3E1A470E5A3}"/>
    <cellStyle name="Output 3 2 2 11" xfId="5636" xr:uid="{06D9F356-D2F1-427F-911E-6A39D9A5831E}"/>
    <cellStyle name="Output 3 2 2 12" xfId="5585" xr:uid="{0C4793FC-05CD-4F77-9D56-72E504876C7E}"/>
    <cellStyle name="Output 3 2 2 13" xfId="6354" xr:uid="{287A63F8-BE4F-4D17-B08F-16863FD0926D}"/>
    <cellStyle name="Output 3 2 2 14" xfId="7525" xr:uid="{BEDFC9C8-A027-4D23-9C68-1A20745DC642}"/>
    <cellStyle name="Output 3 2 2 15" xfId="7071" xr:uid="{8D94F36F-C936-48D9-970A-342947A1FBD6}"/>
    <cellStyle name="Output 3 2 2 16" xfId="8159" xr:uid="{998CD5F5-A439-4CFB-84CF-448A8B45346E}"/>
    <cellStyle name="Output 3 2 2 17" xfId="8799" xr:uid="{06335D10-5FDA-4A6F-8F47-30ACF8B73F69}"/>
    <cellStyle name="Output 3 2 2 18" xfId="9739" xr:uid="{CBEC4471-DBD3-4390-8E9A-51B9A69EBF09}"/>
    <cellStyle name="Output 3 2 2 19" xfId="9284" xr:uid="{9ED9920E-A5E8-4466-9C72-A057C7CB3559}"/>
    <cellStyle name="Output 3 2 2 2" xfId="1279" xr:uid="{A490CB1E-C4C0-41A5-BF81-6A90A89F6E86}"/>
    <cellStyle name="Output 3 2 2 20" xfId="10235" xr:uid="{3AF6CB4E-81F6-4D95-AC3E-079D4135E716}"/>
    <cellStyle name="Output 3 2 2 21" xfId="10699" xr:uid="{5FF46646-E5F0-48B9-A1BB-C05EADD904F5}"/>
    <cellStyle name="Output 3 2 2 22" xfId="11075" xr:uid="{ABE124D1-5BAF-43EC-B76E-096299E5E1C6}"/>
    <cellStyle name="Output 3 2 2 23" xfId="12158" xr:uid="{08C69DCC-4AF3-40D0-896D-FCD0DA581245}"/>
    <cellStyle name="Output 3 2 2 24" xfId="12631" xr:uid="{A6DF6BFF-44BA-47D1-9F70-9AF2C99A25A4}"/>
    <cellStyle name="Output 3 2 2 25" xfId="13065" xr:uid="{48044C4B-5A32-4D9F-9D6D-1A97FD49173C}"/>
    <cellStyle name="Output 3 2 2 26" xfId="13502" xr:uid="{C569E1A9-09F2-47C0-A159-AF7C96FBDA0E}"/>
    <cellStyle name="Output 3 2 2 27" xfId="13611" xr:uid="{535451D4-A1C8-4DB6-B676-5B211595432A}"/>
    <cellStyle name="Output 3 2 2 28" xfId="13773" xr:uid="{145A6FDD-9051-49B6-8330-5C7CFA9104B9}"/>
    <cellStyle name="Output 3 2 2 29" xfId="11471" xr:uid="{749D88F4-46EE-420C-B250-B6BD8B8A141E}"/>
    <cellStyle name="Output 3 2 2 3" xfId="1605" xr:uid="{67DC460F-76FF-4092-A0FC-E7DCFF67382E}"/>
    <cellStyle name="Output 3 2 2 30" xfId="12289" xr:uid="{97D2B19B-74EE-4965-915A-F1742E186A47}"/>
    <cellStyle name="Output 3 2 2 31" xfId="15606" xr:uid="{7E3C13DC-5BF4-404C-975E-8000BB409685}"/>
    <cellStyle name="Output 3 2 2 32" xfId="15674" xr:uid="{4439BABA-25D6-4924-B681-5381190AB105}"/>
    <cellStyle name="Output 3 2 2 33" xfId="16850" xr:uid="{0A29ED61-33BB-4B78-AC2B-27D8B9ED76CE}"/>
    <cellStyle name="Output 3 2 2 34" xfId="16392" xr:uid="{78310304-0445-4FF2-9B41-5A668754C1AF}"/>
    <cellStyle name="Output 3 2 2 35" xfId="17356" xr:uid="{80571DB6-53E5-4E71-B9EF-773E37CBC1E2}"/>
    <cellStyle name="Output 3 2 2 36" xfId="17965" xr:uid="{44D836C9-D5AB-4B2E-A09E-5D79001D92E2}"/>
    <cellStyle name="Output 3 2 2 37" xfId="18668" xr:uid="{3CD15287-AAA5-4A79-BF09-38E71FEB2300}"/>
    <cellStyle name="Output 3 2 2 38" xfId="18224" xr:uid="{53D34AC2-C91A-4C0B-9742-A1F93A093800}"/>
    <cellStyle name="Output 3 2 2 39" xfId="19167" xr:uid="{25FA7341-6C95-421A-A571-63D3C7F2158C}"/>
    <cellStyle name="Output 3 2 2 4" xfId="2627" xr:uid="{A52D5B87-9C1C-4429-9715-0129B740B828}"/>
    <cellStyle name="Output 3 2 2 40" xfId="20187" xr:uid="{6AC8781F-765B-4118-B738-38137782CCD0}"/>
    <cellStyle name="Output 3 2 2 41" xfId="19727" xr:uid="{3F1CD477-C0DF-4EF9-A3C8-27658BFF4AA1}"/>
    <cellStyle name="Output 3 2 2 42" xfId="20426" xr:uid="{97F7F39E-C803-4E38-9F2D-99D4F2062BDA}"/>
    <cellStyle name="Output 3 2 2 43" xfId="21515" xr:uid="{03191D88-722A-4804-95B9-5C0D99F3CCD0}"/>
    <cellStyle name="Output 3 2 2 44" xfId="20477" xr:uid="{646829AB-FA64-4FCE-9FD3-83A299B10E8C}"/>
    <cellStyle name="Output 3 2 2 45" xfId="21604" xr:uid="{B2AC6A36-5EAA-4CBB-9DCA-3FA2B85366B8}"/>
    <cellStyle name="Output 3 2 2 46" xfId="22620" xr:uid="{46EA591C-76C0-4CF7-8FED-378F2BE3E0D0}"/>
    <cellStyle name="Output 3 2 2 47" xfId="22210" xr:uid="{BE1B6DBA-CF3A-43DF-9214-9418C49995E0}"/>
    <cellStyle name="Output 3 2 2 48" xfId="23393" xr:uid="{D71CE597-CEEF-4867-98A7-D7BE8FE5F10F}"/>
    <cellStyle name="Output 3 2 2 49" xfId="23987" xr:uid="{63A9B837-002F-4254-B9A3-CB3215085D65}"/>
    <cellStyle name="Output 3 2 2 5" xfId="2778" xr:uid="{4D351CD7-6AF6-4DFB-A7E0-7DCA3C7744F5}"/>
    <cellStyle name="Output 3 2 2 50" xfId="24895" xr:uid="{F0B0E59F-8DD3-4C1C-980D-4D208681DE77}"/>
    <cellStyle name="Output 3 2 2 51" xfId="24245" xr:uid="{72E5166C-3202-4AF4-A2E2-FCC0FEA185B2}"/>
    <cellStyle name="Output 3 2 2 52" xfId="25811" xr:uid="{1980D441-DC4F-4601-84C7-070A9F6CAD30}"/>
    <cellStyle name="Output 3 2 2 53" xfId="25926" xr:uid="{87726234-2C27-42A1-8D2D-B74CA81314FA}"/>
    <cellStyle name="Output 3 2 2 54" xfId="26661" xr:uid="{D5F17B8D-3A43-44C3-BBFA-40F562614EEF}"/>
    <cellStyle name="Output 3 2 2 55" xfId="27099" xr:uid="{310E9BAF-E217-4E4A-8F0A-6181B9683D6D}"/>
    <cellStyle name="Output 3 2 2 56" xfId="27518" xr:uid="{02E24F20-1D4A-4EB8-A48F-72938B2331E7}"/>
    <cellStyle name="Output 3 2 2 57" xfId="27800" xr:uid="{3AB1F9C4-DBA3-4B89-B382-7B6A077D3076}"/>
    <cellStyle name="Output 3 2 2 58" xfId="28645" xr:uid="{52E0198B-EE10-4500-AF35-17D1E5DD5BE7}"/>
    <cellStyle name="Output 3 2 2 59" xfId="29112" xr:uid="{722A2078-0FEC-44DE-9DEA-BCE4D4CCF91D}"/>
    <cellStyle name="Output 3 2 2 6" xfId="2967" xr:uid="{04B8DB05-3F38-4900-AF88-28673B73B168}"/>
    <cellStyle name="Output 3 2 2 60" xfId="28089" xr:uid="{6E1DFC35-7565-45E9-A569-CD860D85F8C1}"/>
    <cellStyle name="Output 3 2 2 61" xfId="29901" xr:uid="{E459A718-4FCD-477A-B2C0-BA512D6753FB}"/>
    <cellStyle name="Output 3 2 2 62" xfId="30307" xr:uid="{0E5034FE-474C-48E4-903F-BA1A733B3A4C}"/>
    <cellStyle name="Output 3 2 2 63" xfId="30724" xr:uid="{104440F5-18A5-4D75-9467-90A96EABDECE}"/>
    <cellStyle name="Output 3 2 2 64" xfId="29277" xr:uid="{D15874F9-B7F7-4AD8-A245-10EF947D278D}"/>
    <cellStyle name="Output 3 2 2 65" xfId="31340" xr:uid="{2489435C-F797-40A9-99AF-109584FBFB35}"/>
    <cellStyle name="Output 3 2 2 7" xfId="4123" xr:uid="{A150E516-C81D-442E-A743-1BF32ECD3786}"/>
    <cellStyle name="Output 3 2 2 8" xfId="4560" xr:uid="{3C3B0D11-EB3D-4BC1-A03A-3A8851EFF656}"/>
    <cellStyle name="Output 3 2 2 9" xfId="3376" xr:uid="{2778BBEF-91D5-4215-AA20-817534D27EC4}"/>
    <cellStyle name="Output 3 2 20" xfId="10169" xr:uid="{537AE06C-F5CD-4A48-B95E-BD8903F19C3E}"/>
    <cellStyle name="Output 3 2 21" xfId="10576" xr:uid="{F300DC2C-D70B-48EE-BB21-4B0C81ED257A}"/>
    <cellStyle name="Output 3 2 22" xfId="9371" xr:uid="{41E1A8E7-64DD-4792-A29F-FBB73E9DE83B}"/>
    <cellStyle name="Output 3 2 23" xfId="10745" xr:uid="{4003E73A-F2CD-4D98-8DBC-AE5A15FA9958}"/>
    <cellStyle name="Output 3 2 24" xfId="11943" xr:uid="{274FDA44-EF07-4541-AD5B-0AEB69AEC309}"/>
    <cellStyle name="Output 3 2 25" xfId="12416" xr:uid="{2C18C9D2-95AB-495F-B0D7-645A99C5FBD9}"/>
    <cellStyle name="Output 3 2 26" xfId="12850" xr:uid="{748336D1-9F82-4C9E-8132-CE4A94FFDA75}"/>
    <cellStyle name="Output 3 2 27" xfId="13287" xr:uid="{61A88C32-A17E-45EE-8F9F-9D8DC14E56FB}"/>
    <cellStyle name="Output 3 2 28" xfId="11386" xr:uid="{2E7992BC-A3CD-46FF-92AC-CDC3019B4D6E}"/>
    <cellStyle name="Output 3 2 29" xfId="14169" xr:uid="{1E001216-880A-4321-9197-0CA800A67A1D}"/>
    <cellStyle name="Output 3 2 3" xfId="1073" xr:uid="{B719A36A-E547-4517-A9C9-92B5333206E9}"/>
    <cellStyle name="Output 3 2 30" xfId="14835" xr:uid="{62566170-4C21-4ACC-9285-0F5DC1F9EE07}"/>
    <cellStyle name="Output 3 2 31" xfId="14310" xr:uid="{E1830186-79B1-4FA4-BC7A-EDC1B5B7EDFD}"/>
    <cellStyle name="Output 3 2 32" xfId="15264" xr:uid="{CEDE5576-67F5-4264-A394-DEFF29E28099}"/>
    <cellStyle name="Output 3 2 33" xfId="15944" xr:uid="{2304BDD5-1BDD-4A93-902A-CE075CC8BCF5}"/>
    <cellStyle name="Output 3 2 34" xfId="16635" xr:uid="{12540EA3-6D05-44FC-83D3-273C296325E9}"/>
    <cellStyle name="Output 3 2 35" xfId="17289" xr:uid="{CBC4400E-8F4A-4571-B53A-A503B278ADA2}"/>
    <cellStyle name="Output 3 2 36" xfId="17732" xr:uid="{C3321456-B4B6-40E1-BDD1-41F362406537}"/>
    <cellStyle name="Output 3 2 37" xfId="18021" xr:uid="{E81C36BC-A6FC-4F8A-815A-71C418637D81}"/>
    <cellStyle name="Output 3 2 38" xfId="18453" xr:uid="{A43B77FB-D455-4F83-B28B-E87976CB542B}"/>
    <cellStyle name="Output 3 2 39" xfId="16351" xr:uid="{9B800975-345F-4E29-B2C4-93446E280EA6}"/>
    <cellStyle name="Output 3 2 4" xfId="1621" xr:uid="{B1F9CEF9-6F34-4F00-9EEA-C79C2BA1E30F}"/>
    <cellStyle name="Output 3 2 40" xfId="19063" xr:uid="{D63EDAF5-6E68-4433-A626-4BE4DDB6DA3E}"/>
    <cellStyle name="Output 3 2 41" xfId="19972" xr:uid="{DD422B1C-663B-4B3A-8848-1817C0960004}"/>
    <cellStyle name="Output 3 2 42" xfId="20639" xr:uid="{1C8680A3-D6E3-4058-95E4-868758EBC1AB}"/>
    <cellStyle name="Output 3 2 43" xfId="21095" xr:uid="{A8B91627-EA09-46AE-9D09-E85E8A33AECF}"/>
    <cellStyle name="Output 3 2 44" xfId="20782" xr:uid="{D82FA0C7-23CC-4F91-81FE-346C39CC5AB4}"/>
    <cellStyle name="Output 3 2 45" xfId="22026" xr:uid="{224E8CF3-08DE-4C1F-8F99-B2F763F9BF74}"/>
    <cellStyle name="Output 3 2 46" xfId="22456" xr:uid="{64A36C14-97EF-427E-82CF-6FAEE5746E80}"/>
    <cellStyle name="Output 3 2 47" xfId="21549" xr:uid="{EE3E0253-06EE-40FE-8141-73DF35BA1430}"/>
    <cellStyle name="Output 3 2 48" xfId="22557" xr:uid="{0F46014F-C5DE-4A8F-8961-9BC49AF8EEB9}"/>
    <cellStyle name="Output 3 2 49" xfId="23060" xr:uid="{CD3573C6-A3F7-480C-AC1B-D9A4EF1548C1}"/>
    <cellStyle name="Output 3 2 5" xfId="2412" xr:uid="{1B3FFC9E-EC16-4C6D-840C-35BE6442EDC1}"/>
    <cellStyle name="Output 3 2 50" xfId="23781" xr:uid="{4496B6A6-4A3D-417A-8AC2-6FEC5449FDBF}"/>
    <cellStyle name="Output 3 2 51" xfId="24680" xr:uid="{C390F993-831B-4678-8269-4A1EDDFFC411}"/>
    <cellStyle name="Output 3 2 52" xfId="25343" xr:uid="{57691F8A-11C0-4834-BD33-81C8A0409670}"/>
    <cellStyle name="Output 3 2 53" xfId="25598" xr:uid="{69C53BDF-D0C1-4E27-95A4-2BB5CCE1D8DD}"/>
    <cellStyle name="Output 3 2 54" xfId="24302" xr:uid="{7B27B668-244E-4DCC-BB2D-22A7EA71E8AF}"/>
    <cellStyle name="Output 3 2 55" xfId="26336" xr:uid="{ECFCC648-292A-428B-9ED8-8875559A1011}"/>
    <cellStyle name="Output 3 2 56" xfId="26888" xr:uid="{A057C59D-121D-49A2-8909-A450A84487AB}"/>
    <cellStyle name="Output 3 2 57" xfId="27307" xr:uid="{E56683A5-FFDB-445A-8E04-2D118A9ACCBE}"/>
    <cellStyle name="Output 3 2 58" xfId="27787" xr:uid="{7464083C-AE9A-4325-8BA2-AA7DD63A1DC9}"/>
    <cellStyle name="Output 3 2 59" xfId="28430" xr:uid="{3E950EAD-4340-47A4-B28F-532E1070AF14}"/>
    <cellStyle name="Output 3 2 6" xfId="1948" xr:uid="{498B0DC5-3074-4129-85EF-3D1201CDEEFF}"/>
    <cellStyle name="Output 3 2 60" xfId="28898" xr:uid="{72C4CAC9-6B0E-4FEC-883F-B91112C9FF2B}"/>
    <cellStyle name="Output 3 2 61" xfId="29467" xr:uid="{44440C83-8C37-4C3F-8340-E22B72DB9805}"/>
    <cellStyle name="Output 3 2 62" xfId="29688" xr:uid="{8315E976-D31A-4DA2-9A88-3CC4D3A9986F}"/>
    <cellStyle name="Output 3 2 63" xfId="30096" xr:uid="{A9C19219-0087-4B92-960D-7B41D6826A06}"/>
    <cellStyle name="Output 3 2 64" xfId="30510" xr:uid="{CCD77F8F-CDA8-4543-8907-87DBCC29B8D6}"/>
    <cellStyle name="Output 3 2 65" xfId="30826" xr:uid="{C862E285-F5A2-4AD5-8D9C-89D8CA134717}"/>
    <cellStyle name="Output 3 2 66" xfId="31134" xr:uid="{E7DC010B-0799-4AEA-9226-A79BFF08944D}"/>
    <cellStyle name="Output 3 2 7" xfId="3041" xr:uid="{0B2610ED-35ED-4A46-82F1-FD1DD82F1B5D}"/>
    <cellStyle name="Output 3 2 8" xfId="3908" xr:uid="{D8B13DCB-1DC9-486F-8276-571EAF19462A}"/>
    <cellStyle name="Output 3 2 9" xfId="4346" xr:uid="{BCED6452-BE0C-4CC9-B76E-9F28CD780CAB}"/>
    <cellStyle name="Output 3 20" xfId="16288" xr:uid="{16184F60-746D-43F6-A175-BE7902F43EAE}"/>
    <cellStyle name="Output 3 21" xfId="16983" xr:uid="{EBFF976E-C1F4-4FFA-9389-6D7E8A0BBB43}"/>
    <cellStyle name="Output 3 22" xfId="17453" xr:uid="{0610841A-60C7-4AA2-9D2A-F5F54AA44E34}"/>
    <cellStyle name="Output 3 23" xfId="19104" xr:uid="{61C0329A-DA32-49DB-8E83-9E683FC53061}"/>
    <cellStyle name="Output 3 24" xfId="19621" xr:uid="{06C7D926-C579-4B2D-B060-D3EA796BE946}"/>
    <cellStyle name="Output 3 25" xfId="22157" xr:uid="{8CBCC189-D46C-46AF-8B8D-B052A1907F2E}"/>
    <cellStyle name="Output 3 26" xfId="22832" xr:uid="{34F003B0-5BA1-4A2D-93BE-2099360F1903}"/>
    <cellStyle name="Output 3 27" xfId="24342" xr:uid="{07EFC5BC-CC50-49A2-937C-E1DDFC0D5553}"/>
    <cellStyle name="Output 3 28" xfId="25158" xr:uid="{EDDE165F-431F-4A10-95DC-42521B344A5D}"/>
    <cellStyle name="Output 3 29" xfId="24399" xr:uid="{DF5C6767-907C-47B4-9E26-94310153C43A}"/>
    <cellStyle name="Output 3 3" xfId="641" xr:uid="{4A9E61E5-174B-495A-9B84-54DB221B5E53}"/>
    <cellStyle name="Output 3 3 10" xfId="4263" xr:uid="{2755C4DF-C1FD-4292-8A15-CB05146B7A25}"/>
    <cellStyle name="Output 3 3 11" xfId="5289" xr:uid="{954E0002-981C-47A0-8336-114BEAB8E681}"/>
    <cellStyle name="Output 3 3 12" xfId="1873" xr:uid="{C7D99F21-E1D2-49F8-8D3A-7EFFE7DE0416}"/>
    <cellStyle name="Output 3 3 13" xfId="6223" xr:uid="{64F82A67-213F-41D8-AE60-964C716437FA}"/>
    <cellStyle name="Output 3 3 14" xfId="5121" xr:uid="{3EDFF7B2-C7BE-4508-A1BF-55A1FF37DB32}"/>
    <cellStyle name="Output 3 3 15" xfId="7361" xr:uid="{ADA64CD9-B8B9-4E0F-8B7F-CCEB21346C8C}"/>
    <cellStyle name="Output 3 3 16" xfId="7786" xr:uid="{60591F77-1FA0-4F0E-A2D0-DFA0F7849059}"/>
    <cellStyle name="Output 3 3 17" xfId="8444" xr:uid="{F184C365-2260-445B-A037-9D50CCFE0585}"/>
    <cellStyle name="Output 3 3 18" xfId="7893" xr:uid="{11CC9294-878C-4B7B-966D-F150C43FF021}"/>
    <cellStyle name="Output 3 3 19" xfId="9575" xr:uid="{4B7A3177-6267-4FDD-B3D9-4C3E5E5D4173}"/>
    <cellStyle name="Output 3 3 2" xfId="856" xr:uid="{3465A469-8AAB-416F-8CB8-65B597F6DADD}"/>
    <cellStyle name="Output 3 3 2 10" xfId="5504" xr:uid="{DFF06DD2-B7CE-4B8A-9F59-73A5E5AC4A73}"/>
    <cellStyle name="Output 3 3 2 11" xfId="5001" xr:uid="{39262AD0-9EBC-4660-BF66-F644B54BF155}"/>
    <cellStyle name="Output 3 3 2 12" xfId="5657" xr:uid="{663D939B-BF6F-4FD7-96C8-AFD1552A12BE}"/>
    <cellStyle name="Output 3 3 2 13" xfId="4727" xr:uid="{B528FA0C-4007-4DEA-85FD-03C0A90F21A9}"/>
    <cellStyle name="Output 3 3 2 14" xfId="7576" xr:uid="{068A0D15-683E-4F2E-B8F4-2C3C14D16527}"/>
    <cellStyle name="Output 3 3 2 15" xfId="7140" xr:uid="{F69A6F6E-AB1A-4EDC-BBBC-75791ABF61FB}"/>
    <cellStyle name="Output 3 3 2 16" xfId="8256" xr:uid="{3BD4EFEE-86B2-450E-A938-40E090FECA5F}"/>
    <cellStyle name="Output 3 3 2 17" xfId="8764" xr:uid="{028DCC3D-8EE2-45FA-BAFC-13D2EDB46D86}"/>
    <cellStyle name="Output 3 3 2 18" xfId="9790" xr:uid="{B079BC8A-B05A-439C-888A-93337D895182}"/>
    <cellStyle name="Output 3 3 2 19" xfId="9443" xr:uid="{75DF2558-D07E-41B0-BED3-304C49B425F6}"/>
    <cellStyle name="Output 3 3 2 2" xfId="1330" xr:uid="{888AC1CF-3F96-4839-9E2D-4A3CA7FC0CF1}"/>
    <cellStyle name="Output 3 3 2 20" xfId="9850" xr:uid="{F1D5F25D-02E4-4BED-A128-B43F6847671A}"/>
    <cellStyle name="Output 3 3 2 21" xfId="10173" xr:uid="{CBAB710B-B56F-4371-9561-558EB80508F6}"/>
    <cellStyle name="Output 3 3 2 22" xfId="10974" xr:uid="{E97C3CA9-D2C6-4383-8D8A-2731C2F9933F}"/>
    <cellStyle name="Output 3 3 2 23" xfId="12209" xr:uid="{5689757F-332F-4FEC-868B-BD0F9D589910}"/>
    <cellStyle name="Output 3 3 2 24" xfId="12682" xr:uid="{F7BC19EC-C5B8-41E2-B385-78FFA961D8B2}"/>
    <cellStyle name="Output 3 3 2 25" xfId="13116" xr:uid="{A4927D0D-BC96-4BDA-917A-41517FBB5FF4}"/>
    <cellStyle name="Output 3 3 2 26" xfId="13553" xr:uid="{BF8E0D3B-7A7A-4A81-9899-02348F2CC7DB}"/>
    <cellStyle name="Output 3 3 2 27" xfId="13598" xr:uid="{017430B2-B9C2-4048-8652-65FB543FFCB3}"/>
    <cellStyle name="Output 3 3 2 28" xfId="14472" xr:uid="{2ADB0F98-8CB9-40B3-8560-45D6D616B4CE}"/>
    <cellStyle name="Output 3 3 2 29" xfId="14341" xr:uid="{7DDC9B15-18BC-4BDF-881A-089B1B34B034}"/>
    <cellStyle name="Output 3 3 2 3" xfId="1779" xr:uid="{74B42DA5-80CC-4BB3-BD78-884EC4049451}"/>
    <cellStyle name="Output 3 3 2 30" xfId="14016" xr:uid="{D6DF9309-D34B-45EE-933C-FF7B55115AE6}"/>
    <cellStyle name="Output 3 3 2 31" xfId="11546" xr:uid="{400E622E-8B84-4DE0-BDE6-CFD7D0636948}"/>
    <cellStyle name="Output 3 3 2 32" xfId="15250" xr:uid="{66231811-8A76-496C-980B-632C4970726A}"/>
    <cellStyle name="Output 3 3 2 33" xfId="16901" xr:uid="{1456C2BB-9070-436C-BCA7-C918658F2525}"/>
    <cellStyle name="Output 3 3 2 34" xfId="16463" xr:uid="{D586447A-E268-4D2F-93E8-470818596689}"/>
    <cellStyle name="Output 3 3 2 35" xfId="16966" xr:uid="{FD1F93CD-7779-4326-B97A-A55E5DDCF026}"/>
    <cellStyle name="Output 3 3 2 36" xfId="18186" xr:uid="{01ACF8C0-595B-44F4-840A-7FCE68F75214}"/>
    <cellStyle name="Output 3 3 2 37" xfId="18719" xr:uid="{62DDC024-801A-4780-8DF2-B920C94591E8}"/>
    <cellStyle name="Output 3 3 2 38" xfId="18895" xr:uid="{2B71937C-6850-44FA-A9DA-AB2263D6AC87}"/>
    <cellStyle name="Output 3 3 2 39" xfId="19161" xr:uid="{B920957D-6615-415E-9E3D-07C0859913B3}"/>
    <cellStyle name="Output 3 3 2 4" xfId="2678" xr:uid="{A6460622-1BEB-46D0-AF70-409410F36E1C}"/>
    <cellStyle name="Output 3 3 2 40" xfId="20238" xr:uid="{40F44A03-9018-4E2A-9995-4273A3982E83}"/>
    <cellStyle name="Output 3 3 2 41" xfId="19625" xr:uid="{2111D779-1697-45E2-9B1C-169C7BCB4B87}"/>
    <cellStyle name="Output 3 3 2 42" xfId="19886" xr:uid="{AE6CCCB3-2294-464A-8223-99DB6B67B527}"/>
    <cellStyle name="Output 3 3 2 43" xfId="21432" xr:uid="{5FF0CFFC-44BB-4AE8-9D23-2600083C0F21}"/>
    <cellStyle name="Output 3 3 2 44" xfId="21087" xr:uid="{4AF0B47D-AB51-4FCD-A6A7-2739EEB15904}"/>
    <cellStyle name="Output 3 3 2 45" xfId="21772" xr:uid="{6203E770-D3E7-4236-BAE8-69B95B59B40B}"/>
    <cellStyle name="Output 3 3 2 46" xfId="22607" xr:uid="{59F18D0A-1402-46C7-8FA7-3725C19DB27F}"/>
    <cellStyle name="Output 3 3 2 47" xfId="23171" xr:uid="{D7627EB4-460B-4B14-B992-16071F504849}"/>
    <cellStyle name="Output 3 3 2 48" xfId="22873" xr:uid="{9E1FAA6D-6CE9-474D-B375-982B291E6036}"/>
    <cellStyle name="Output 3 3 2 49" xfId="24038" xr:uid="{A0FEDA9E-5058-4B0A-87DB-B5AE5D4FC3E4}"/>
    <cellStyle name="Output 3 3 2 5" xfId="2764" xr:uid="{CE829F09-A3AF-4FB6-8521-279EB141191D}"/>
    <cellStyle name="Output 3 3 2 50" xfId="24946" xr:uid="{1D61B59B-57CE-41C9-B7FF-1242A9262313}"/>
    <cellStyle name="Output 3 3 2 51" xfId="24461" xr:uid="{6A9CA3EE-81FD-4FB7-B05C-DD76D6E88D63}"/>
    <cellStyle name="Output 3 3 2 52" xfId="25862" xr:uid="{85D52CFB-2BAE-44EC-84F8-AB320B7DF65A}"/>
    <cellStyle name="Output 3 3 2 53" xfId="25069" xr:uid="{6DC158BF-1B1D-4B38-8B6E-6ACB2EE78FDE}"/>
    <cellStyle name="Output 3 3 2 54" xfId="26729" xr:uid="{4A75517B-6241-4BE6-8296-8038C3F12848}"/>
    <cellStyle name="Output 3 3 2 55" xfId="27150" xr:uid="{0158F943-0B20-4DBC-89EC-1D3BFF5C42BD}"/>
    <cellStyle name="Output 3 3 2 56" xfId="27569" xr:uid="{95298A5F-72BC-4EAF-B2A9-122CC6CE757A}"/>
    <cellStyle name="Output 3 3 2 57" xfId="26504" xr:uid="{6DF99B40-87B0-4A7E-866D-DB6813CD790C}"/>
    <cellStyle name="Output 3 3 2 58" xfId="28696" xr:uid="{815A0140-7405-44D1-97B9-3AD0277760EB}"/>
    <cellStyle name="Output 3 3 2 59" xfId="29163" xr:uid="{310256BC-8AF4-4B3D-9BB5-5133A791A688}"/>
    <cellStyle name="Output 3 3 2 6" xfId="3413" xr:uid="{E05FB145-6E7A-4938-B70A-31EE6B20DD94}"/>
    <cellStyle name="Output 3 3 2 60" xfId="28220" xr:uid="{32BF92DD-3162-4896-98AE-502FAA3C023B}"/>
    <cellStyle name="Output 3 3 2 61" xfId="29952" xr:uid="{174D837E-6958-4C02-998A-432C54C785C1}"/>
    <cellStyle name="Output 3 3 2 62" xfId="30358" xr:uid="{95E4888E-2EB1-4AA0-A65A-EDC116FBE517}"/>
    <cellStyle name="Output 3 3 2 63" xfId="30775" xr:uid="{98CDC8CB-A52E-427C-AA6F-009AE5C1D6FF}"/>
    <cellStyle name="Output 3 3 2 64" xfId="28172" xr:uid="{7530C871-C846-419E-8AC0-2FE365DDD229}"/>
    <cellStyle name="Output 3 3 2 65" xfId="31391" xr:uid="{0C73D17B-BCDD-429B-BFAE-F37E39920830}"/>
    <cellStyle name="Output 3 3 2 7" xfId="4174" xr:uid="{FE2E96FD-0022-4C8C-9A1E-30EEA1759C8B}"/>
    <cellStyle name="Output 3 3 2 8" xfId="4611" xr:uid="{B1BB7884-E534-4F73-835D-83FA64781BF0}"/>
    <cellStyle name="Output 3 3 2 9" xfId="5057" xr:uid="{AD651968-847E-4014-880D-E07EF03678C4}"/>
    <cellStyle name="Output 3 3 20" xfId="9999" xr:uid="{7F34B836-DF1C-4033-80E7-376EA53DD6F9}"/>
    <cellStyle name="Output 3 3 21" xfId="10424" xr:uid="{EA719D01-F9E3-4F25-B696-1060D440925C}"/>
    <cellStyle name="Output 3 3 22" xfId="10469" xr:uid="{C57F125B-58ED-42F3-AEFC-F3572369F064}"/>
    <cellStyle name="Output 3 3 23" xfId="10404" xr:uid="{049E4855-3D35-464E-A479-C8D4EDA47449}"/>
    <cellStyle name="Output 3 3 24" xfId="11994" xr:uid="{1A09BCA8-2B06-41F0-8437-94DCBDFD92D5}"/>
    <cellStyle name="Output 3 3 25" xfId="12467" xr:uid="{8A3F460C-2DF5-4A77-9B29-B87F57F7CC28}"/>
    <cellStyle name="Output 3 3 26" xfId="12901" xr:uid="{12831DB2-A732-4253-AB44-8653A612B2A5}"/>
    <cellStyle name="Output 3 3 27" xfId="13338" xr:uid="{9D2853AE-1012-40E7-ADA4-ABD016B96D34}"/>
    <cellStyle name="Output 3 3 28" xfId="13892" xr:uid="{C30F97FA-799C-4E24-906B-0F801A051A0E}"/>
    <cellStyle name="Output 3 3 29" xfId="13167" xr:uid="{393941B2-3EFB-443A-8AC9-9C5C51715197}"/>
    <cellStyle name="Output 3 3 3" xfId="1124" xr:uid="{806F3166-880B-404C-9311-F46914E1A6D4}"/>
    <cellStyle name="Output 3 3 30" xfId="14754" xr:uid="{A45977A3-51E5-4989-B06E-3BDBF414AEA8}"/>
    <cellStyle name="Output 3 3 31" xfId="15064" xr:uid="{8FA171B6-221A-4855-8179-027BC9EC7F37}"/>
    <cellStyle name="Output 3 3 32" xfId="15491" xr:uid="{D7D2BDF9-2354-4F59-A1B5-01D8B52FA965}"/>
    <cellStyle name="Output 3 3 33" xfId="15854" xr:uid="{5A37E4D4-00CB-409F-9C5A-52559E9FBCDD}"/>
    <cellStyle name="Output 3 3 34" xfId="16686" xr:uid="{D202E81E-D39F-490F-BDDC-0E70950E9823}"/>
    <cellStyle name="Output 3 3 35" xfId="17115" xr:uid="{9757125F-2DEC-4C54-B328-AA547CA94A0A}"/>
    <cellStyle name="Output 3 3 36" xfId="17562" xr:uid="{FBB6C50A-D9AD-426F-A311-69AF4CE5E5AD}"/>
    <cellStyle name="Output 3 3 37" xfId="16988" xr:uid="{4D4E38E9-2B3A-4336-8EA4-CF454693E48A}"/>
    <cellStyle name="Output 3 3 38" xfId="18504" xr:uid="{ABC0BF2D-7D04-4480-9324-73D8CBE8C80A}"/>
    <cellStyle name="Output 3 3 39" xfId="17737" xr:uid="{47E8ACF9-D469-4324-BD71-1FB2FB2DF929}"/>
    <cellStyle name="Output 3 3 4" xfId="1596" xr:uid="{3570092E-EE76-4FAD-8040-B1C11BBFAB5A}"/>
    <cellStyle name="Output 3 3 40" xfId="16403" xr:uid="{DE80795C-2A87-4CA0-B386-86599DA85EF5}"/>
    <cellStyle name="Output 3 3 41" xfId="20023" xr:uid="{8A58970A-CFCD-49E3-A355-30451E385F85}"/>
    <cellStyle name="Output 3 3 42" xfId="20468" xr:uid="{DB4592E2-6FE6-4B2D-A432-39C9E51EC6B5}"/>
    <cellStyle name="Output 3 3 43" xfId="20921" xr:uid="{3B2626A6-BB36-4C46-921F-E5E5570D954F}"/>
    <cellStyle name="Output 3 3 44" xfId="21005" xr:uid="{3D9B79F5-1535-4914-A58F-D7D38EEFEDD0}"/>
    <cellStyle name="Output 3 3 45" xfId="21850" xr:uid="{93010D4E-06A1-4EE8-8225-79E164E7B342}"/>
    <cellStyle name="Output 3 3 46" xfId="22287" xr:uid="{6C1AA5D4-073D-4303-A0B8-92861DE5AD09}"/>
    <cellStyle name="Output 3 3 47" xfId="22872" xr:uid="{932BA0AA-2023-40E9-86DB-15F2B0317072}"/>
    <cellStyle name="Output 3 3 48" xfId="22636" xr:uid="{39AA9608-6A8C-40D7-A831-315B6594E1F6}"/>
    <cellStyle name="Output 3 3 49" xfId="22477" xr:uid="{B1F6BD50-9BCD-4C78-9A5D-80A1BB382CFC}"/>
    <cellStyle name="Output 3 3 5" xfId="2463" xr:uid="{941A1369-B951-4E3C-B9C5-4E1A0D27BE42}"/>
    <cellStyle name="Output 3 3 50" xfId="23832" xr:uid="{3E4799B6-4006-43D6-A07E-C6CFB8A6812F}"/>
    <cellStyle name="Output 3 3 51" xfId="24731" xr:uid="{75576C53-3CA2-498A-9FA2-70BF14623876}"/>
    <cellStyle name="Output 3 3 52" xfId="25176" xr:uid="{3D10C625-2A68-4731-8DEE-5E5E93CA8C18}"/>
    <cellStyle name="Output 3 3 53" xfId="25649" xr:uid="{1222FE94-1628-44AF-8840-BA5BBC7E9CCC}"/>
    <cellStyle name="Output 3 3 54" xfId="26178" xr:uid="{9EB8B8A3-5114-44A6-AA5A-FF4DBA8725BD}"/>
    <cellStyle name="Output 3 3 55" xfId="25047" xr:uid="{8DFD4093-A2FA-461B-ABE9-0F93F0F447FB}"/>
    <cellStyle name="Output 3 3 56" xfId="26939" xr:uid="{3CB4A2EA-B382-42C0-8643-E85C81E41919}"/>
    <cellStyle name="Output 3 3 57" xfId="27358" xr:uid="{9386C380-4CC5-4999-A96A-488BB70F3113}"/>
    <cellStyle name="Output 3 3 58" xfId="27776" xr:uid="{2F042F3A-F423-4950-8601-B79DDB4EDF29}"/>
    <cellStyle name="Output 3 3 59" xfId="28481" xr:uid="{4404F458-5F8A-4C2E-87B5-597A00827D51}"/>
    <cellStyle name="Output 3 3 6" xfId="3060" xr:uid="{57C3B601-9428-4A10-8E4A-4A0984C72383}"/>
    <cellStyle name="Output 3 3 60" xfId="28949" xr:uid="{504312A4-9B19-4782-806B-5E6BBF5C33B1}"/>
    <cellStyle name="Output 3 3 61" xfId="29323" xr:uid="{0965AC5C-ADF2-4738-BFAE-4C6159A745F3}"/>
    <cellStyle name="Output 3 3 62" xfId="29739" xr:uid="{412339F3-E402-4316-8AE0-4F60CB8A0746}"/>
    <cellStyle name="Output 3 3 63" xfId="30147" xr:uid="{3F570088-9755-4C0E-82CB-2EA7DC8D1E6F}"/>
    <cellStyle name="Output 3 3 64" xfId="30561" xr:uid="{6889E30D-58D3-4B2A-8292-DFCE457CD208}"/>
    <cellStyle name="Output 3 3 65" xfId="29551" xr:uid="{38581375-1AD8-4E0E-BCE1-00E69A5B2322}"/>
    <cellStyle name="Output 3 3 66" xfId="31185" xr:uid="{3145E6CD-C209-4655-87A8-35709379CD15}"/>
    <cellStyle name="Output 3 3 7" xfId="3442" xr:uid="{DAF8D3B4-E776-4002-AE87-F6285361E967}"/>
    <cellStyle name="Output 3 3 8" xfId="3959" xr:uid="{82FFB977-3961-450C-9ECA-B7CD021435E6}"/>
    <cellStyle name="Output 3 3 9" xfId="4397" xr:uid="{98A5631F-25E2-4F38-8303-C0D82A4F27D3}"/>
    <cellStyle name="Output 3 30" xfId="26436" xr:uid="{AF25552C-6215-48DC-8822-E83D7F82CDB8}"/>
    <cellStyle name="Output 3 31" xfId="28115" xr:uid="{2400C38E-13D4-430C-A7CE-C30C32354A6F}"/>
    <cellStyle name="Output 3 32" xfId="29003" xr:uid="{F3485597-C89B-4A76-9589-447C936CF829}"/>
    <cellStyle name="Output 3 33" xfId="28132" xr:uid="{D9F38FA1-3663-4E6E-8D79-C57183B03D53}"/>
    <cellStyle name="Output 3 4" xfId="691" xr:uid="{9563BF86-73C8-44B9-B504-B29B1E7CA669}"/>
    <cellStyle name="Output 3 4 10" xfId="5339" xr:uid="{AC081AEF-FAFC-4442-83A5-4DA6AF995906}"/>
    <cellStyle name="Output 3 4 11" xfId="4426" xr:uid="{E79F6A10-D525-449C-ADAA-08F4D8606161}"/>
    <cellStyle name="Output 3 4 12" xfId="6187" xr:uid="{0B25093F-2C90-4AD3-ADDE-5B71295FBB75}"/>
    <cellStyle name="Output 3 4 13" xfId="6533" xr:uid="{9A7A823C-00C4-4BDC-92C9-6F642E4FC22F}"/>
    <cellStyle name="Output 3 4 14" xfId="7411" xr:uid="{6BB7F5EC-852E-4F9C-94E9-94AAF6CD9DEE}"/>
    <cellStyle name="Output 3 4 15" xfId="7711" xr:uid="{C160C82A-2F56-4E3F-893A-FA0FF5F7AC77}"/>
    <cellStyle name="Output 3 4 16" xfId="8168" xr:uid="{70CC1222-F5E5-40C4-9B59-30FC248DDBEF}"/>
    <cellStyle name="Output 3 4 17" xfId="8826" xr:uid="{3C1AE0E1-7255-4A2E-A60E-02CB768FE187}"/>
    <cellStyle name="Output 3 4 18" xfId="9625" xr:uid="{3AE0E177-DD17-4E4C-9D5D-303176C7B53B}"/>
    <cellStyle name="Output 3 4 19" xfId="9925" xr:uid="{78C4376B-3AEA-4579-8B73-0A895B1A6145}"/>
    <cellStyle name="Output 3 4 2" xfId="1173" xr:uid="{426BB4B5-E641-48CB-BB0A-F6D3ED746AAC}"/>
    <cellStyle name="Output 3 4 20" xfId="10356" xr:uid="{D2F926FF-88F6-4902-BDF8-8BC796D919C1}"/>
    <cellStyle name="Output 3 4 21" xfId="10747" xr:uid="{53CDF690-D0BA-4C85-9093-513E7C8BF3C1}"/>
    <cellStyle name="Output 3 4 22" xfId="11275" xr:uid="{379B1F3A-E0CC-4D5A-9654-DB35430AF4BE}"/>
    <cellStyle name="Output 3 4 23" xfId="12044" xr:uid="{7ED7166A-1164-4C8B-801C-8C5B563D2A55}"/>
    <cellStyle name="Output 3 4 24" xfId="12517" xr:uid="{8F04606C-B7D3-40D2-9896-8B24ABA52133}"/>
    <cellStyle name="Output 3 4 25" xfId="12951" xr:uid="{E9207937-7110-4054-AD6D-DD1FCF3866D8}"/>
    <cellStyle name="Output 3 4 26" xfId="13388" xr:uid="{974AA0B4-2B83-4C18-8957-3BA987E719A1}"/>
    <cellStyle name="Output 3 4 27" xfId="13803" xr:uid="{252EF118-FB91-462E-9100-975A6AB3B329}"/>
    <cellStyle name="Output 3 4 28" xfId="13657" xr:uid="{6D854ECE-90D0-4C94-9A00-196799FDACCD}"/>
    <cellStyle name="Output 3 4 29" xfId="14577" xr:uid="{92B69138-1AD0-43BB-B3B0-BA226FF20D04}"/>
    <cellStyle name="Output 3 4 3" xfId="1757" xr:uid="{D596CE98-846E-44F8-B0DB-893D8A034E64}"/>
    <cellStyle name="Output 3 4 30" xfId="15039" xr:uid="{F1309325-5E1A-4359-9734-E700D523BEE0}"/>
    <cellStyle name="Output 3 4 31" xfId="15520" xr:uid="{77A1371F-3403-49B6-B2C7-AB923752E794}"/>
    <cellStyle name="Output 3 4 32" xfId="15813" xr:uid="{D6B73C5A-BD6A-4F48-9470-5B5F9BD939A7}"/>
    <cellStyle name="Output 3 4 33" xfId="16736" xr:uid="{4A59429B-C234-4642-B29B-E36345759353}"/>
    <cellStyle name="Output 3 4 34" xfId="17039" xr:uid="{420AD695-CC1F-497D-8E00-F934D1E0C5C8}"/>
    <cellStyle name="Output 3 4 35" xfId="17487" xr:uid="{48240F93-7BF9-4AEE-9251-B7D37B8A039D}"/>
    <cellStyle name="Output 3 4 36" xfId="18151" xr:uid="{34A24D4F-BD25-4ED2-8703-689EF6A98B10}"/>
    <cellStyle name="Output 3 4 37" xfId="18554" xr:uid="{CDB916D7-010E-47AF-986B-C6424C232124}"/>
    <cellStyle name="Output 3 4 38" xfId="18867" xr:uid="{5D9DFEAA-A57C-4996-A6E0-CCC2548C577C}"/>
    <cellStyle name="Output 3 4 39" xfId="19283" xr:uid="{8B03C3E5-F163-4AC1-9DEE-41541EBE7AE4}"/>
    <cellStyle name="Output 3 4 4" xfId="2513" xr:uid="{B3418533-46C1-44EC-801D-6083B94C2ED1}"/>
    <cellStyle name="Output 3 4 40" xfId="20073" xr:uid="{BCF36DD1-CD09-4F0C-BC81-4FF087F0884B}"/>
    <cellStyle name="Output 3 4 41" xfId="20391" xr:uid="{A3F9360A-D1C3-4E57-8ABA-558865CC7725}"/>
    <cellStyle name="Output 3 4 42" xfId="20844" xr:uid="{5F49A6E8-E99B-4C28-8DA6-762A36E55B9D}"/>
    <cellStyle name="Output 3 4 43" xfId="20809" xr:uid="{CD9820CB-43AD-45E4-924B-6F3D2BAFB1B9}"/>
    <cellStyle name="Output 3 4 44" xfId="21777" xr:uid="{1FBC0B05-1167-434C-B0C6-2A74F57C0436}"/>
    <cellStyle name="Output 3 4 45" xfId="22214" xr:uid="{40906EFD-174C-4C0C-8BE5-7D71F1586B01}"/>
    <cellStyle name="Output 3 4 46" xfId="22793" xr:uid="{D34D44A1-268B-4225-A335-0AD3426764C5}"/>
    <cellStyle name="Output 3 4 47" xfId="23143" xr:uid="{E0F1C92F-E83A-455D-8E91-BBF5BE7DA36C}"/>
    <cellStyle name="Output 3 4 48" xfId="23554" xr:uid="{B19EEE89-2B34-414B-A0E1-C3C59932C511}"/>
    <cellStyle name="Output 3 4 49" xfId="23881" xr:uid="{9452D79D-3882-4321-A9CD-023496306E3D}"/>
    <cellStyle name="Output 3 4 5" xfId="2970" xr:uid="{EBE0A3B1-14DA-480A-8403-8ED6268C4462}"/>
    <cellStyle name="Output 3 4 50" xfId="24781" xr:uid="{DCAA76B9-5219-4FEF-B9D1-4F809993CB35}"/>
    <cellStyle name="Output 3 4 51" xfId="25101" xr:uid="{C7023A6A-5DE9-46B7-A576-945E7E9DD710}"/>
    <cellStyle name="Output 3 4 52" xfId="25699" xr:uid="{F4261E24-E80A-4899-88C3-0B05DD9DDA77}"/>
    <cellStyle name="Output 3 4 53" xfId="26096" xr:uid="{BDDC0D87-4659-4B83-B6BB-B4B218E671AB}"/>
    <cellStyle name="Output 3 4 54" xfId="26062" xr:uid="{C28E0709-17C0-439B-AA3C-932E45F8ED3B}"/>
    <cellStyle name="Output 3 4 55" xfId="26989" xr:uid="{B57E312E-1768-4D36-BDE0-4D55317AF875}"/>
    <cellStyle name="Output 3 4 56" xfId="27408" xr:uid="{DCC82483-30D5-475C-8458-F725F2158FB9}"/>
    <cellStyle name="Output 3 4 57" xfId="27695" xr:uid="{A2D13787-4854-47E7-9025-D68052DE7A6B}"/>
    <cellStyle name="Output 3 4 58" xfId="28531" xr:uid="{7198E535-FCCC-49F7-B6D7-CFB7009CA603}"/>
    <cellStyle name="Output 3 4 59" xfId="28999" xr:uid="{270771D3-37AC-4139-A17A-C3F1A61D9674}"/>
    <cellStyle name="Output 3 4 6" xfId="3184" xr:uid="{3AC34191-9A80-4DF6-B59B-CDA94143C505}"/>
    <cellStyle name="Output 3 4 60" xfId="29255" xr:uid="{7C23F2F5-C11B-4B75-9777-F23A31CE6776}"/>
    <cellStyle name="Output 3 4 61" xfId="29789" xr:uid="{BFEC1267-D03B-4588-89B1-065F87F6DF6E}"/>
    <cellStyle name="Output 3 4 62" xfId="30196" xr:uid="{79AD7C04-8931-4A19-BC38-81F19ACEF194}"/>
    <cellStyle name="Output 3 4 63" xfId="30611" xr:uid="{8C8F87A3-C389-44CD-BF55-70806F306BE4}"/>
    <cellStyle name="Output 3 4 64" xfId="28120" xr:uid="{FD704286-8EF5-4A0C-9840-74E7E3ABECB2}"/>
    <cellStyle name="Output 3 4 65" xfId="31234" xr:uid="{842CAC08-94DF-4EA1-8C89-04E22C362CDE}"/>
    <cellStyle name="Output 3 4 7" xfId="4009" xr:uid="{ACC82143-242C-4DFB-8730-31C556BA843E}"/>
    <cellStyle name="Output 3 4 8" xfId="4447" xr:uid="{E0B72656-A1D2-4D0C-A16E-36313918900E}"/>
    <cellStyle name="Output 3 4 9" xfId="3425" xr:uid="{C8C768D5-5B0E-4493-85C5-6F97D38F851A}"/>
    <cellStyle name="Output 3 5" xfId="935" xr:uid="{2F4F0F2D-9865-4198-9F35-6E1C61E0A860}"/>
    <cellStyle name="Output 3 6" xfId="2062" xr:uid="{DB02E8ED-B80D-455D-B72A-F5E1BEDA8D3F}"/>
    <cellStyle name="Output 3 7" xfId="3187" xr:uid="{EC73B93B-C47D-4B56-B1FC-5B48F7D582F3}"/>
    <cellStyle name="Output 3 8" xfId="3358" xr:uid="{2A59364A-2D24-4141-AC92-4105E2923C1F}"/>
    <cellStyle name="Output 3 9" xfId="2750" xr:uid="{22BD5F03-13B9-41AF-B1D8-AABA920A3D78}"/>
    <cellStyle name="Pattern" xfId="174" xr:uid="{43AD4B32-8041-43FE-80A7-7E4D7C18747D}"/>
    <cellStyle name="Pattern 2" xfId="434" xr:uid="{28A81C50-ED86-4269-872B-8A60548A4DFA}"/>
    <cellStyle name="Pattern 2 2" xfId="577" xr:uid="{44629451-40B4-4BC4-A58B-1232DF6452CB}"/>
    <cellStyle name="Pattern 2 2 10" xfId="4751" xr:uid="{22F65779-71D4-4610-8EE9-15E3AF42C126}"/>
    <cellStyle name="Pattern 2 2 11" xfId="5225" xr:uid="{2E22DAFA-6227-45DA-BEED-3D89497E1750}"/>
    <cellStyle name="Pattern 2 2 12" xfId="4809" xr:uid="{86963A18-DE17-48B7-A6FC-3128AE21208A}"/>
    <cellStyle name="Pattern 2 2 13" xfId="5104" xr:uid="{89538E1A-EA15-4365-B1AC-F01CDFED25EE}"/>
    <cellStyle name="Pattern 2 2 14" xfId="6100" xr:uid="{EBB0A8DC-07D5-47B8-8DB3-95ABA92DFE13}"/>
    <cellStyle name="Pattern 2 2 15" xfId="7297" xr:uid="{A98E0377-4178-4A1E-8ABF-BF22E80C389A}"/>
    <cellStyle name="Pattern 2 2 16" xfId="7870" xr:uid="{D0312C8A-FF24-4A88-BF02-AA3415E4D812}"/>
    <cellStyle name="Pattern 2 2 17" xfId="8649" xr:uid="{72737C38-BED3-4C77-9EE4-1627C9C142BD}"/>
    <cellStyle name="Pattern 2 2 18" xfId="7801" xr:uid="{A3BC6709-82DA-482E-AB73-143233DD0B5C}"/>
    <cellStyle name="Pattern 2 2 19" xfId="9511" xr:uid="{BAA5894A-91DC-4836-BD77-7FCC5108CF12}"/>
    <cellStyle name="Pattern 2 2 2" xfId="792" xr:uid="{1917EC5F-F2C0-4538-A8B5-FA66D1AD2078}"/>
    <cellStyle name="Pattern 2 2 2 10" xfId="5440" xr:uid="{B1F0CF33-C677-4D21-B4A3-629BAFED27F8}"/>
    <cellStyle name="Pattern 2 2 2 11" xfId="5915" xr:uid="{B8C3DEA8-10E8-4393-BEB7-A109EECB936D}"/>
    <cellStyle name="Pattern 2 2 2 12" xfId="6008" xr:uid="{9FACA6E9-81AB-463E-B92A-66800F217EF8}"/>
    <cellStyle name="Pattern 2 2 2 13" xfId="6588" xr:uid="{D2B96537-C1A7-4583-8814-81C3650197A2}"/>
    <cellStyle name="Pattern 2 2 2 14" xfId="7512" xr:uid="{3697B746-1F98-4B25-BBE6-9EAE6EE8E493}"/>
    <cellStyle name="Pattern 2 2 2 15" xfId="7879" xr:uid="{A075BC1A-2A06-4C50-801F-E3519D02AB94}"/>
    <cellStyle name="Pattern 2 2 2 16" xfId="8653" xr:uid="{3041C8AF-4B55-4E52-BE71-15568B57E27F}"/>
    <cellStyle name="Pattern 2 2 2 17" xfId="8610" xr:uid="{5D92158D-DB3D-4A34-A47B-8C640BC6B1B4}"/>
    <cellStyle name="Pattern 2 2 2 18" xfId="9726" xr:uid="{7AD247FD-E8EF-4BA1-B6C7-222D8019B4E8}"/>
    <cellStyle name="Pattern 2 2 2 19" xfId="10093" xr:uid="{2B675B0B-15C9-42C9-834B-D00A366153E4}"/>
    <cellStyle name="Pattern 2 2 2 2" xfId="1266" xr:uid="{8FAAE054-AB6F-426F-BB49-B7EF1D9B27EE}"/>
    <cellStyle name="Pattern 2 2 2 20" xfId="10508" xr:uid="{E8E7B06B-24DF-45CB-969E-EB6DE3157B44}"/>
    <cellStyle name="Pattern 2 2 2 21" xfId="10662" xr:uid="{91B989D2-A37A-461E-82C2-F88A50B0950E}"/>
    <cellStyle name="Pattern 2 2 2 22" xfId="10991" xr:uid="{2A54D89E-09DF-4281-A5F8-9D74871ACB78}"/>
    <cellStyle name="Pattern 2 2 2 23" xfId="12145" xr:uid="{26381034-5F13-4E50-9A47-7D24126B86AC}"/>
    <cellStyle name="Pattern 2 2 2 24" xfId="12618" xr:uid="{4E4367C4-ADE5-442B-99B6-887AE318CB3F}"/>
    <cellStyle name="Pattern 2 2 2 25" xfId="13052" xr:uid="{E3DA371A-52E2-4A6D-8AF8-4468FEF95F68}"/>
    <cellStyle name="Pattern 2 2 2 26" xfId="13489" xr:uid="{E8094709-E092-484A-BC5A-2E4469A5436D}"/>
    <cellStyle name="Pattern 2 2 2 27" xfId="13173" xr:uid="{BD94DF1C-E1FE-4D4D-8E94-72FA28BB066C}"/>
    <cellStyle name="Pattern 2 2 2 28" xfId="11734" xr:uid="{071B838F-B469-4D4C-B15A-10AD654C8D87}"/>
    <cellStyle name="Pattern 2 2 2 29" xfId="14743" xr:uid="{864DBD44-CA97-433B-981B-880C2F2FFBCA}"/>
    <cellStyle name="Pattern 2 2 2 3" xfId="1506" xr:uid="{C86FE937-D75B-427F-9463-D1060F7B01AE}"/>
    <cellStyle name="Pattern 2 2 2 30" xfId="14068" xr:uid="{2B0A8589-4847-40EE-9198-8383EA68B099}"/>
    <cellStyle name="Pattern 2 2 2 31" xfId="14969" xr:uid="{34024DF9-1D98-402C-AD6A-DEF034179428}"/>
    <cellStyle name="Pattern 2 2 2 32" xfId="15904" xr:uid="{6ABF62A3-3905-45E6-81A5-290DABA14E41}"/>
    <cellStyle name="Pattern 2 2 2 33" xfId="16837" xr:uid="{6A97F1A4-4F9D-4410-B282-77EE1D156A44}"/>
    <cellStyle name="Pattern 2 2 2 34" xfId="17211" xr:uid="{AFEE6609-9F15-4395-8AE7-9744C965E2F2}"/>
    <cellStyle name="Pattern 2 2 2 35" xfId="17657" xr:uid="{63007AC9-3EE4-4523-891D-70A91D278210}"/>
    <cellStyle name="Pattern 2 2 2 36" xfId="17231" xr:uid="{F92D6F57-E274-44B1-B16C-82FADFBD788E}"/>
    <cellStyle name="Pattern 2 2 2 37" xfId="18655" xr:uid="{024023C3-2A52-47B5-B3D4-A11EA4826B48}"/>
    <cellStyle name="Pattern 2 2 2 38" xfId="18361" xr:uid="{D4A0E2D6-30A0-4C6B-B84B-161ABC14BEDB}"/>
    <cellStyle name="Pattern 2 2 2 39" xfId="19236" xr:uid="{DA7C099E-A348-45D8-BB5F-2A74811393B0}"/>
    <cellStyle name="Pattern 2 2 2 4" xfId="2614" xr:uid="{EDBE560B-C4FC-4ACF-8EC3-112B3B28790B}"/>
    <cellStyle name="Pattern 2 2 2 40" xfId="20174" xr:uid="{DAEA42A6-FD53-4CEB-A54A-47C618E7C031}"/>
    <cellStyle name="Pattern 2 2 2 41" xfId="20564" xr:uid="{036C2120-449E-462E-B137-829D8EDCAB3D}"/>
    <cellStyle name="Pattern 2 2 2 42" xfId="21017" xr:uid="{7EB8260E-CCB0-4DAB-AF63-529C3C9AEF4B}"/>
    <cellStyle name="Pattern 2 2 2 43" xfId="21588" xr:uid="{5492C074-E095-4034-8719-0B9970B27083}"/>
    <cellStyle name="Pattern 2 2 2 44" xfId="21948" xr:uid="{2AC126C4-0C9B-4E24-B157-01F88DF55DD2}"/>
    <cellStyle name="Pattern 2 2 2 45" xfId="22379" xr:uid="{B832F95E-54CB-4666-B2DC-3B854747032B}"/>
    <cellStyle name="Pattern 2 2 2 46" xfId="22405" xr:uid="{E1542211-7801-4633-B52B-2D3FD200AFBF}"/>
    <cellStyle name="Pattern 2 2 2 47" xfId="22644" xr:uid="{18667390-5F83-471A-B436-2B6511A29ED5}"/>
    <cellStyle name="Pattern 2 2 2 48" xfId="23638" xr:uid="{A7D2054C-28B8-4A93-B5B5-CEB4A48E9CCF}"/>
    <cellStyle name="Pattern 2 2 2 49" xfId="23974" xr:uid="{2FE98AA2-1F6C-472A-8E59-5A51D335D176}"/>
    <cellStyle name="Pattern 2 2 2 5" xfId="2284" xr:uid="{C2E9ADEF-E72B-4006-BA2E-6142B33DA7A1}"/>
    <cellStyle name="Pattern 2 2 2 50" xfId="24882" xr:uid="{7C11619E-A24A-4EC5-8FAB-F65B5918B3D9}"/>
    <cellStyle name="Pattern 2 2 2 51" xfId="25272" xr:uid="{C07854C1-164B-4084-B1BA-37E3A67734B5}"/>
    <cellStyle name="Pattern 2 2 2 52" xfId="25798" xr:uid="{BAC2907D-E195-4BFB-9C65-F6A918AA6B43}"/>
    <cellStyle name="Pattern 2 2 2 53" xfId="25484" xr:uid="{3ED138BC-6BC7-48BF-886B-8B1865DE3553}"/>
    <cellStyle name="Pattern 2 2 2 54" xfId="26200" xr:uid="{D4DAD9A3-BF9D-4600-8285-B54580E19B2B}"/>
    <cellStyle name="Pattern 2 2 2 55" xfId="27086" xr:uid="{2EDA1D2B-BD18-4F87-AF4C-BAE919F9BF20}"/>
    <cellStyle name="Pattern 2 2 2 56" xfId="27505" xr:uid="{F824AD77-9AE6-4C77-808F-A293ED65504C}"/>
    <cellStyle name="Pattern 2 2 2 57" xfId="26790" xr:uid="{C7CF4341-2954-48C2-89BB-90A6B409A737}"/>
    <cellStyle name="Pattern 2 2 2 58" xfId="28632" xr:uid="{EA25D33B-D041-444F-97E6-05FACD17DCA4}"/>
    <cellStyle name="Pattern 2 2 2 59" xfId="29099" xr:uid="{B5FA6B78-D08C-4E1C-86B7-8D05F0D9DED7}"/>
    <cellStyle name="Pattern 2 2 2 6" xfId="3755" xr:uid="{039CB618-BC0E-42A9-AF21-FBADC5325BA7}"/>
    <cellStyle name="Pattern 2 2 2 60" xfId="29401" xr:uid="{73AE1AD4-1062-4F83-A063-758F4ADF4522}"/>
    <cellStyle name="Pattern 2 2 2 61" xfId="29888" xr:uid="{D95699F7-94DA-4D67-ACBF-6255D7115B7F}"/>
    <cellStyle name="Pattern 2 2 2 62" xfId="30294" xr:uid="{4E9882F6-1892-47A9-B37E-DDA7D42BD559}"/>
    <cellStyle name="Pattern 2 2 2 63" xfId="30711" xr:uid="{91A0CCAC-2933-4EE0-ABFB-FFA1F9DCAA9C}"/>
    <cellStyle name="Pattern 2 2 2 64" xfId="30000" xr:uid="{3E41C1CC-35AD-4892-8E79-BEE0E7ED8F5B}"/>
    <cellStyle name="Pattern 2 2 2 65" xfId="31327" xr:uid="{0157F210-C751-4918-B202-F97F1C02C2C3}"/>
    <cellStyle name="Pattern 2 2 2 7" xfId="4110" xr:uid="{E078C2F5-DF0A-4B1D-B6E7-04B3C6A629CB}"/>
    <cellStyle name="Pattern 2 2 2 8" xfId="4547" xr:uid="{E5A833DF-5D9F-4A57-BD2D-B829545CDD0E}"/>
    <cellStyle name="Pattern 2 2 2 9" xfId="3701" xr:uid="{7835EFAC-608B-4802-9CBC-14EEDE7ACA96}"/>
    <cellStyle name="Pattern 2 2 20" xfId="10084" xr:uid="{AA6270AF-9212-420E-9804-05D75C40AF39}"/>
    <cellStyle name="Pattern 2 2 21" xfId="10499" xr:uid="{7D0B0671-3643-47B1-BC14-CD40DB022527}"/>
    <cellStyle name="Pattern 2 2 22" xfId="10107" xr:uid="{C9CF43F9-4858-4BBF-AB60-2B1E334D3613}"/>
    <cellStyle name="Pattern 2 2 23" xfId="11080" xr:uid="{45FD7275-9470-4E56-966E-7777F8A35F66}"/>
    <cellStyle name="Pattern 2 2 24" xfId="11930" xr:uid="{2487743B-DCEF-43B6-99F1-05C1EAD60D0E}"/>
    <cellStyle name="Pattern 2 2 25" xfId="12403" xr:uid="{17642DF1-37A8-4588-9E59-079284F23E05}"/>
    <cellStyle name="Pattern 2 2 26" xfId="12837" xr:uid="{97414513-7249-43E3-8535-B09635D7EFCF}"/>
    <cellStyle name="Pattern 2 2 27" xfId="13274" xr:uid="{352BF4E2-42A6-4D14-ADC9-92A1868A4724}"/>
    <cellStyle name="Pattern 2 2 28" xfId="13894" xr:uid="{9EA20B57-B36B-4469-9AD1-E3D582E4B596}"/>
    <cellStyle name="Pattern 2 2 29" xfId="14383" xr:uid="{C2D3A135-D20D-4BBD-B56D-E18677E265E6}"/>
    <cellStyle name="Pattern 2 2 3" xfId="1060" xr:uid="{7CEF78BC-6BE5-4ADD-8119-D008B1678014}"/>
    <cellStyle name="Pattern 2 2 30" xfId="14707" xr:uid="{6923F1EA-18D9-4CEA-BD9D-0A89959CBA41}"/>
    <cellStyle name="Pattern 2 2 31" xfId="14868" xr:uid="{6F184706-6ECF-4E4B-A848-B41663D78524}"/>
    <cellStyle name="Pattern 2 2 32" xfId="15500" xr:uid="{0A757D32-029A-42A9-9E05-63A69FD42236}"/>
    <cellStyle name="Pattern 2 2 33" xfId="15899" xr:uid="{706A5F30-A03C-4C7F-B5B5-42F5480A32BA}"/>
    <cellStyle name="Pattern 2 2 34" xfId="16622" xr:uid="{DD8F99B3-0784-4CD8-82ED-B13B64312E09}"/>
    <cellStyle name="Pattern 2 2 35" xfId="17202" xr:uid="{9EEA7BEE-0C5A-4271-ABD8-8C9C7A20FAAD}"/>
    <cellStyle name="Pattern 2 2 36" xfId="17648" xr:uid="{B61657E9-50BD-4438-9E69-28673361B587}"/>
    <cellStyle name="Pattern 2 2 37" xfId="16390" xr:uid="{6CDBEBCC-23ED-40CC-85CF-AFA77B51269E}"/>
    <cellStyle name="Pattern 2 2 38" xfId="18440" xr:uid="{1B978ABB-1D2D-4C3C-95CC-158A23C2BD7B}"/>
    <cellStyle name="Pattern 2 2 39" xfId="17346" xr:uid="{C8A67E6C-0941-4FF5-B20E-582072BBEB0D}"/>
    <cellStyle name="Pattern 2 2 4" xfId="1372" xr:uid="{B0141B5C-150F-4901-AF82-605C161216F9}"/>
    <cellStyle name="Pattern 2 2 40" xfId="19266" xr:uid="{49CD1DEC-1659-4220-BE0C-28A44C73A0E0}"/>
    <cellStyle name="Pattern 2 2 41" xfId="19959" xr:uid="{6C019FDE-55F9-4ACF-9F1F-39BB62F57421}"/>
    <cellStyle name="Pattern 2 2 42" xfId="20555" xr:uid="{656B862A-DA5C-4F87-A822-B9C6542FFA26}"/>
    <cellStyle name="Pattern 2 2 43" xfId="21008" xr:uid="{53C0F7FE-5E00-400E-B8F4-09D61412DF47}"/>
    <cellStyle name="Pattern 2 2 44" xfId="21164" xr:uid="{42D41256-BF26-4152-9542-D7FDD8C251ED}"/>
    <cellStyle name="Pattern 2 2 45" xfId="21939" xr:uid="{79CC7218-4EC5-4724-BF08-48ECA9248009}"/>
    <cellStyle name="Pattern 2 2 46" xfId="22371" xr:uid="{45F9CA33-F34B-4A9F-ADBD-CA29690413A0}"/>
    <cellStyle name="Pattern 2 2 47" xfId="22874" xr:uid="{377AC099-8F6B-4991-894B-FF651252E390}"/>
    <cellStyle name="Pattern 2 2 48" xfId="21931" xr:uid="{CA0870E1-F1A3-4E33-BB1B-5EF82AA48FD3}"/>
    <cellStyle name="Pattern 2 2 49" xfId="23560" xr:uid="{9C092350-822D-49C2-ABCE-52B55ADBC75D}"/>
    <cellStyle name="Pattern 2 2 5" xfId="2399" xr:uid="{7F6C593F-921A-4E55-B40A-053EB3E7B993}"/>
    <cellStyle name="Pattern 2 2 50" xfId="23768" xr:uid="{B376F879-AF31-4619-8A46-E1F3ADB5F848}"/>
    <cellStyle name="Pattern 2 2 51" xfId="24667" xr:uid="{14CDEDF6-AFC7-43E1-B8C7-A9F8D4A884BE}"/>
    <cellStyle name="Pattern 2 2 52" xfId="25263" xr:uid="{44464BED-4442-465D-B249-2A1128A94082}"/>
    <cellStyle name="Pattern 2 2 53" xfId="25585" xr:uid="{1982989A-E464-46E2-8C1E-04B80A3FF172}"/>
    <cellStyle name="Pattern 2 2 54" xfId="26180" xr:uid="{38A11B5C-2527-4C12-90B0-83F53CD7DFAA}"/>
    <cellStyle name="Pattern 2 2 55" xfId="25952" xr:uid="{9F8C26DF-4B76-4041-BE8A-DCAEB9B44F6A}"/>
    <cellStyle name="Pattern 2 2 56" xfId="26875" xr:uid="{0DC11FFD-40C0-4C1B-B2CC-D571930DEC21}"/>
    <cellStyle name="Pattern 2 2 57" xfId="27294" xr:uid="{1ABA7B5E-7E08-40C3-9E11-885F9676A944}"/>
    <cellStyle name="Pattern 2 2 58" xfId="27188" xr:uid="{B11F5C0A-4DA5-45B5-B92B-BBB890BDDDE7}"/>
    <cellStyle name="Pattern 2 2 59" xfId="28417" xr:uid="{5A3D5AF9-3427-4F65-9A19-602A29F4C363}"/>
    <cellStyle name="Pattern 2 2 6" xfId="3062" xr:uid="{322E5B16-D464-413D-94B9-0BF6F86BCD8A}"/>
    <cellStyle name="Pattern 2 2 60" xfId="28885" xr:uid="{A1E26C37-8256-4436-800A-3EE527C6A8DC}"/>
    <cellStyle name="Pattern 2 2 61" xfId="29394" xr:uid="{D3A29C51-BFA9-47BA-B40C-A82FDF3D6564}"/>
    <cellStyle name="Pattern 2 2 62" xfId="29675" xr:uid="{02E3CFE7-627F-40A4-8ABA-E60886CF1862}"/>
    <cellStyle name="Pattern 2 2 63" xfId="30083" xr:uid="{9A025346-EBF1-4BB7-801A-C2CA965B230E}"/>
    <cellStyle name="Pattern 2 2 64" xfId="30497" xr:uid="{8A4E9A8A-3960-4C10-B88A-D01CD5DB4007}"/>
    <cellStyle name="Pattern 2 2 65" xfId="31006" xr:uid="{2159B402-B57D-406D-9620-E47E8BABEAC5}"/>
    <cellStyle name="Pattern 2 2 66" xfId="31121" xr:uid="{B0F7184C-41D2-4599-89DD-6A8374E57336}"/>
    <cellStyle name="Pattern 2 2 7" xfId="3751" xr:uid="{1113A08A-1AB3-4825-AB08-F3FF796B4762}"/>
    <cellStyle name="Pattern 2 2 8" xfId="3895" xr:uid="{C02B95F3-6728-4366-9423-6A969016F951}"/>
    <cellStyle name="Pattern 2 2 9" xfId="4333" xr:uid="{92331102-953E-489D-A94C-B6762095DFEE}"/>
    <cellStyle name="Pattern 2 3" xfId="723" xr:uid="{516B13C1-0007-4BE0-9978-789860D87416}"/>
    <cellStyle name="Pattern 2 3 10" xfId="5371" xr:uid="{6B5BF5FF-027E-48C0-AE63-FE5C4D258C9F}"/>
    <cellStyle name="Pattern 2 3 11" xfId="5695" xr:uid="{C7134BE2-F838-47AA-A6B2-7C2B5F035D34}"/>
    <cellStyle name="Pattern 2 3 12" xfId="6081" xr:uid="{88694CA8-032D-4D51-BAC9-2622135FCA77}"/>
    <cellStyle name="Pattern 2 3 13" xfId="5672" xr:uid="{D7F1EACC-F5E7-4A11-87F3-7425E2AD73AD}"/>
    <cellStyle name="Pattern 2 3 14" xfId="7443" xr:uid="{D9999909-F33B-4741-8107-8DC80C438A5C}"/>
    <cellStyle name="Pattern 2 3 15" xfId="7847" xr:uid="{511E8283-A1DB-40A9-B857-5B9B661E5F99}"/>
    <cellStyle name="Pattern 2 3 16" xfId="8184" xr:uid="{960254F7-503D-47B6-A828-2FFC1A6E00AF}"/>
    <cellStyle name="Pattern 2 3 17" xfId="8791" xr:uid="{76A2A682-7F5F-4BCF-8243-4FF65046BE9D}"/>
    <cellStyle name="Pattern 2 3 18" xfId="9657" xr:uid="{85B1B3B6-C4D6-4935-AF98-4C4B371434DC}"/>
    <cellStyle name="Pattern 2 3 19" xfId="10059" xr:uid="{8C498E79-3120-414E-B8B1-4EEC7C12770B}"/>
    <cellStyle name="Pattern 2 3 2" xfId="1197" xr:uid="{3982BEE2-44F8-49E5-A76C-6CA08F54DA20}"/>
    <cellStyle name="Pattern 2 3 20" xfId="10478" xr:uid="{809A7E81-90AF-48D8-99CB-8A463F8E73F0}"/>
    <cellStyle name="Pattern 2 3 21" xfId="10793" xr:uid="{FF1A1F93-1C6C-4383-9216-44AF5FBFDC4D}"/>
    <cellStyle name="Pattern 2 3 22" xfId="10965" xr:uid="{7BDC98A5-9EF4-4685-8F21-F17EC8B27D79}"/>
    <cellStyle name="Pattern 2 3 23" xfId="12076" xr:uid="{F945E6C2-5FBD-4A17-A512-424CFB987F21}"/>
    <cellStyle name="Pattern 2 3 24" xfId="12549" xr:uid="{D59F5A24-38BA-43E9-AF06-0DFBBB4C7996}"/>
    <cellStyle name="Pattern 2 3 25" xfId="12983" xr:uid="{5525AE92-66C8-40D8-A298-34CA6020ADC1}"/>
    <cellStyle name="Pattern 2 3 26" xfId="13420" xr:uid="{625AC0EF-1F03-4E3D-9F3B-D96E6F089A97}"/>
    <cellStyle name="Pattern 2 3 27" xfId="13659" xr:uid="{D4F28D93-7857-4643-9179-32DA3FB8847B}"/>
    <cellStyle name="Pattern 2 3 28" xfId="13777" xr:uid="{B79DAB7A-EB88-4635-B0D2-35D59FE35705}"/>
    <cellStyle name="Pattern 2 3 29" xfId="14713" xr:uid="{B908546E-39F4-4548-9995-D9BD0A8E90F9}"/>
    <cellStyle name="Pattern 2 3 3" xfId="1494" xr:uid="{B11243C5-FF74-445F-83C1-648170AFC5B5}"/>
    <cellStyle name="Pattern 2 3 30" xfId="15336" xr:uid="{E342227A-5196-46AD-BFE0-F07B2FFDE9DC}"/>
    <cellStyle name="Pattern 2 3 31" xfId="13963" xr:uid="{C163CB48-5B38-4075-B982-3A68F90F3DCC}"/>
    <cellStyle name="Pattern 2 3 32" xfId="15888" xr:uid="{E058F32B-95F7-467D-A4AE-76BA90590159}"/>
    <cellStyle name="Pattern 2 3 33" xfId="16768" xr:uid="{D9CE98B9-A728-42D6-933D-5F50C8CDF60F}"/>
    <cellStyle name="Pattern 2 3 34" xfId="17177" xr:uid="{DFE681D7-546E-4FD2-8347-3994581DDF98}"/>
    <cellStyle name="Pattern 2 3 35" xfId="17622" xr:uid="{7A7BFB1A-12F7-495E-ADA7-E9E2B81BAAF1}"/>
    <cellStyle name="Pattern 2 3 36" xfId="16058" xr:uid="{A10A5B41-6F18-4290-8A1E-4BD653F101E8}"/>
    <cellStyle name="Pattern 2 3 37" xfId="18586" xr:uid="{9C8C9BA5-2202-412D-9FBE-73A90020D084}"/>
    <cellStyle name="Pattern 2 3 38" xfId="18922" xr:uid="{B8E1021E-70EC-402B-86C2-5B70124EDABB}"/>
    <cellStyle name="Pattern 2 3 39" xfId="18908" xr:uid="{299DC1E6-3625-43FD-B592-B33D9CCDBDBE}"/>
    <cellStyle name="Pattern 2 3 4" xfId="2545" xr:uid="{380C8EB6-F741-4414-B92A-0F11449F342E}"/>
    <cellStyle name="Pattern 2 3 40" xfId="20105" xr:uid="{B0EEE63E-BDF4-421D-9CB2-0A364A28B5B8}"/>
    <cellStyle name="Pattern 2 3 41" xfId="20529" xr:uid="{8D240E91-2BAF-4F1C-BDF1-7AC3347B432B}"/>
    <cellStyle name="Pattern 2 3 42" xfId="20982" xr:uid="{62D13698-956B-4BBA-B78D-28CA0B72F8EE}"/>
    <cellStyle name="Pattern 2 3 43" xfId="21514" xr:uid="{7F67F32A-6CAC-40B4-87EE-ECD8A885E815}"/>
    <cellStyle name="Pattern 2 3 44" xfId="21913" xr:uid="{5BE47EA8-BD1B-4ECE-826E-A18C75AA8D8D}"/>
    <cellStyle name="Pattern 2 3 45" xfId="22347" xr:uid="{24391C5D-C872-47B4-A261-6A026624246D}"/>
    <cellStyle name="Pattern 2 3 46" xfId="22662" xr:uid="{66EAB466-0D82-423D-8963-813D0EB9620D}"/>
    <cellStyle name="Pattern 2 3 47" xfId="23204" xr:uid="{5B0662B2-A6A6-4B82-8C9C-6BD4ACED4810}"/>
    <cellStyle name="Pattern 2 3 48" xfId="23294" xr:uid="{86A14511-4805-4E20-B0E4-5FCCAD8FC0BE}"/>
    <cellStyle name="Pattern 2 3 49" xfId="23905" xr:uid="{0CED9E4A-4C9F-4D92-8189-F17C0A29C8BB}"/>
    <cellStyle name="Pattern 2 3 5" xfId="2825" xr:uid="{FBC66005-5A04-44D4-909E-7B42F5D03127}"/>
    <cellStyle name="Pattern 2 3 50" xfId="24813" xr:uid="{4CF41899-28C3-48A7-93D3-AD338CABAD1B}"/>
    <cellStyle name="Pattern 2 3 51" xfId="25238" xr:uid="{90BA989F-7683-4C05-B91D-F757EB1811C9}"/>
    <cellStyle name="Pattern 2 3 52" xfId="25729" xr:uid="{52B8E280-9A07-4C02-9655-9FD3861CB95B}"/>
    <cellStyle name="Pattern 2 3 53" xfId="25965" xr:uid="{808543E8-F96E-4E0F-9EA3-45D99203A9D9}"/>
    <cellStyle name="Pattern 2 3 54" xfId="26242" xr:uid="{66334C94-5229-44C3-A147-946FF6A50002}"/>
    <cellStyle name="Pattern 2 3 55" xfId="27017" xr:uid="{B385060B-57B2-4665-AB16-10ED68758C7A}"/>
    <cellStyle name="Pattern 2 3 56" xfId="27436" xr:uid="{33A1BE1E-F49C-4180-A2EE-91C7D9559D70}"/>
    <cellStyle name="Pattern 2 3 57" xfId="25966" xr:uid="{3D78C1E9-0676-426D-A47F-ECFD6B8E514F}"/>
    <cellStyle name="Pattern 2 3 58" xfId="28563" xr:uid="{BF70C956-15E5-4924-BB4F-8F833BC2BE9A}"/>
    <cellStyle name="Pattern 2 3 59" xfId="29030" xr:uid="{B8251BEA-2473-4326-AF5F-0CB63D8967AF}"/>
    <cellStyle name="Pattern 2 3 6" xfId="3164" xr:uid="{03E547EC-3136-4198-B6D3-9578473B0828}"/>
    <cellStyle name="Pattern 2 3 60" xfId="29377" xr:uid="{3BBF4D87-F5AE-4312-9542-02D8D8EEBD6B}"/>
    <cellStyle name="Pattern 2 3 61" xfId="29819" xr:uid="{09F67DEF-E992-412C-81C2-2A35E3E43108}"/>
    <cellStyle name="Pattern 2 3 62" xfId="30225" xr:uid="{B18A76B7-D416-40D5-ABFE-4BE5D4C14F2E}"/>
    <cellStyle name="Pattern 2 3 63" xfId="30642" xr:uid="{1F04AF83-469C-4ED4-A309-25371E456AAF}"/>
    <cellStyle name="Pattern 2 3 64" xfId="30400" xr:uid="{3C7CE05E-F85E-4C3D-9860-462744CC7B3A}"/>
    <cellStyle name="Pattern 2 3 65" xfId="31258" xr:uid="{41E18A00-1AE5-4719-A418-8667190B5A42}"/>
    <cellStyle name="Pattern 2 3 7" xfId="4041" xr:uid="{A84925E4-339B-4389-8600-6A9B0A3247D0}"/>
    <cellStyle name="Pattern 2 3 8" xfId="4478" xr:uid="{D81F2487-9212-4886-9A1D-D529D92D3AA3}"/>
    <cellStyle name="Pattern 2 3 9" xfId="3167" xr:uid="{33C23327-81CE-4799-9FAA-24820CC9C9F0}"/>
    <cellStyle name="Pattern 3" xfId="283" xr:uid="{95F310EC-6A0B-4EB0-AFA2-652727A84B79}"/>
    <cellStyle name="Pattern 3 10" xfId="3123" xr:uid="{EDF917C8-CD11-4771-A01B-E5A39539308C}"/>
    <cellStyle name="Pattern 3 11" xfId="3573" xr:uid="{165EF7D5-DE07-4AA7-872E-F4A9B76CFBC4}"/>
    <cellStyle name="Pattern 3 12" xfId="3538" xr:uid="{F6E8C036-FCBD-48F2-8887-E8DE4EF328AE}"/>
    <cellStyle name="Pattern 3 13" xfId="3288" xr:uid="{9561A022-461D-4F97-A13D-19796BB2BF1E}"/>
    <cellStyle name="Pattern 3 14" xfId="5616" xr:uid="{DCEF9C72-288A-434F-8660-46E9287D2F2D}"/>
    <cellStyle name="Pattern 3 15" xfId="4666" xr:uid="{E707398B-1F7E-4FBA-82CA-D371329862D6}"/>
    <cellStyle name="Pattern 3 16" xfId="6672" xr:uid="{5AF8122E-F6F2-4163-B16A-C7BFFF1A926E}"/>
    <cellStyle name="Pattern 3 17" xfId="7013" xr:uid="{005A47D9-7001-406C-8366-EE12A7F3FA6C}"/>
    <cellStyle name="Pattern 3 18" xfId="7637" xr:uid="{638F2E37-0482-4B1D-BAAC-8F86DDFBC5A7}"/>
    <cellStyle name="Pattern 3 19" xfId="8595" xr:uid="{E163BC0C-7EC2-4202-B67F-2B1AC4A4BAF3}"/>
    <cellStyle name="Pattern 3 2" xfId="620" xr:uid="{4B970A8F-1440-4B39-8030-1B00BCE2384E}"/>
    <cellStyle name="Pattern 3 2 10" xfId="4778" xr:uid="{2EA051A8-57F9-4A0A-8EA9-78EA485DD1C5}"/>
    <cellStyle name="Pattern 3 2 11" xfId="5268" xr:uid="{94002FF4-43DE-41E1-A943-4B227600789F}"/>
    <cellStyle name="Pattern 3 2 12" xfId="4671" xr:uid="{73EF1A69-4699-447D-919B-6E9FCCA6F8CF}"/>
    <cellStyle name="Pattern 3 2 13" xfId="6288" xr:uid="{9F50F104-8FA6-4688-B7BB-214B7656CA19}"/>
    <cellStyle name="Pattern 3 2 14" xfId="6630" xr:uid="{A9D3D63B-2D0D-42C4-82CA-0ACF18F45261}"/>
    <cellStyle name="Pattern 3 2 15" xfId="7340" xr:uid="{99FE8634-580A-4764-9A0C-EB0FEB1F8168}"/>
    <cellStyle name="Pattern 3 2 16" xfId="7102" xr:uid="{A4590655-27AF-4036-A428-0A369026DCF5}"/>
    <cellStyle name="Pattern 3 2 17" xfId="8519" xr:uid="{43F28699-010D-4125-A44A-0968A4675DAA}"/>
    <cellStyle name="Pattern 3 2 18" xfId="8685" xr:uid="{18B6EC27-44D2-4428-9DBA-5AA8E66C9FF0}"/>
    <cellStyle name="Pattern 3 2 19" xfId="9554" xr:uid="{2ED96BB7-AC72-49A7-A2DC-C539B95BDC9D}"/>
    <cellStyle name="Pattern 3 2 2" xfId="835" xr:uid="{7D56EC9A-8220-44E4-A6D9-BFC453021884}"/>
    <cellStyle name="Pattern 3 2 2 10" xfId="5483" xr:uid="{26DE78B8-9520-497F-B53F-D83597064202}"/>
    <cellStyle name="Pattern 3 2 2 11" xfId="3146" xr:uid="{67489DFA-04C5-4E54-AA58-32D2D0E9E1F8}"/>
    <cellStyle name="Pattern 3 2 2 12" xfId="5736" xr:uid="{52236FBD-474E-4673-B334-D1A657A30951}"/>
    <cellStyle name="Pattern 3 2 2 13" xfId="6406" xr:uid="{775CE348-8032-4CBB-A6F1-B53B156A2036}"/>
    <cellStyle name="Pattern 3 2 2 14" xfId="7555" xr:uid="{AFC710D8-F8A4-48CA-87F2-317C13D71F99}"/>
    <cellStyle name="Pattern 3 2 2 15" xfId="6988" xr:uid="{5F076851-2392-457F-AED3-E91B630BDAAE}"/>
    <cellStyle name="Pattern 3 2 2 16" xfId="8459" xr:uid="{0D9B0A22-6D6D-408E-BA06-E176DE65FA6A}"/>
    <cellStyle name="Pattern 3 2 2 17" xfId="8119" xr:uid="{98ED5C36-D319-423B-B8C5-927C0B1AD796}"/>
    <cellStyle name="Pattern 3 2 2 18" xfId="9769" xr:uid="{E710F9B5-0E41-4D18-B2AA-B5084BBC69AE}"/>
    <cellStyle name="Pattern 3 2 2 19" xfId="9329" xr:uid="{F140E997-DEC4-421F-A58F-22E8982A0049}"/>
    <cellStyle name="Pattern 3 2 2 2" xfId="1309" xr:uid="{DAB5B3AB-540D-4B42-A893-CBCDBEB85C82}"/>
    <cellStyle name="Pattern 3 2 2 20" xfId="9048" xr:uid="{39B2CEEE-F959-49EC-A866-651A85F75C0E}"/>
    <cellStyle name="Pattern 3 2 2 21" xfId="10322" xr:uid="{8A086434-5C10-4537-9276-6CE624896806}"/>
    <cellStyle name="Pattern 3 2 2 22" xfId="11073" xr:uid="{1529EF8D-A205-4446-847F-9CBF60F1B7E9}"/>
    <cellStyle name="Pattern 3 2 2 23" xfId="12188" xr:uid="{D7525FAC-7D72-4E74-81A0-D28B91157119}"/>
    <cellStyle name="Pattern 3 2 2 24" xfId="12661" xr:uid="{0044A64B-E373-464F-9A29-9DC277335B02}"/>
    <cellStyle name="Pattern 3 2 2 25" xfId="13095" xr:uid="{86378495-994F-4643-BAEE-1D53C740E9CD}"/>
    <cellStyle name="Pattern 3 2 2 26" xfId="13532" xr:uid="{0A8C9F1E-1446-4C18-BAF3-403C47FC121D}"/>
    <cellStyle name="Pattern 3 2 2 27" xfId="13937" xr:uid="{2B6A6C09-7DEC-42C1-A16F-ECFA9DDF49E4}"/>
    <cellStyle name="Pattern 3 2 2 28" xfId="13902" xr:uid="{2A3A8880-57CD-4D62-9A19-F8509F239591}"/>
    <cellStyle name="Pattern 3 2 2 29" xfId="11837" xr:uid="{516ECE55-CCB0-4082-BDCA-B3DA5277C7C2}"/>
    <cellStyle name="Pattern 3 2 2 3" xfId="1383" xr:uid="{B571DE90-D120-4EF7-B136-A57EB44413EC}"/>
    <cellStyle name="Pattern 3 2 2 30" xfId="14816" xr:uid="{97B886E4-42AA-422C-BB48-31941E820F93}"/>
    <cellStyle name="Pattern 3 2 2 31" xfId="11452" xr:uid="{2A21809A-0B44-4918-AE8A-A85DC799BC6D}"/>
    <cellStyle name="Pattern 3 2 2 32" xfId="15712" xr:uid="{651FDEE7-3BC7-4881-81D6-D81687923FA1}"/>
    <cellStyle name="Pattern 3 2 2 33" xfId="16880" xr:uid="{A5CF7FB1-BB7A-4189-AE5A-B070D3ADF811}"/>
    <cellStyle name="Pattern 3 2 2 34" xfId="16308" xr:uid="{64AF6D19-C181-4818-8033-3E64360ADBE1}"/>
    <cellStyle name="Pattern 3 2 2 35" xfId="16285" xr:uid="{3D65D9B5-4D35-4A4F-9429-5A6F8FFA7B18}"/>
    <cellStyle name="Pattern 3 2 2 36" xfId="17703" xr:uid="{55A75E8C-C3A6-4E7C-9AFD-5BB5C90FD72A}"/>
    <cellStyle name="Pattern 3 2 2 37" xfId="18698" xr:uid="{EB2804C6-A320-46AC-8CF3-025401761DA8}"/>
    <cellStyle name="Pattern 3 2 2 38" xfId="17640" xr:uid="{5E75EF01-4A46-43AF-84A7-B5063C7B81FF}"/>
    <cellStyle name="Pattern 3 2 2 39" xfId="18860" xr:uid="{EE429C45-C0F3-4D9B-A56E-768C089FC216}"/>
    <cellStyle name="Pattern 3 2 2 4" xfId="2657" xr:uid="{60650FC8-A25F-4E46-9FC5-74F7651A1A88}"/>
    <cellStyle name="Pattern 3 2 2 40" xfId="20217" xr:uid="{6E790E94-7BF6-4E66-81A8-90FB02A1BD6C}"/>
    <cellStyle name="Pattern 3 2 2 41" xfId="19638" xr:uid="{22417472-1D13-4C62-86A4-00A1C4E6B138}"/>
    <cellStyle name="Pattern 3 2 2 42" xfId="19639" xr:uid="{8349C792-DB6C-4583-B03B-1246BB814E1B}"/>
    <cellStyle name="Pattern 3 2 2 43" xfId="20824" xr:uid="{759DCA5B-EBE9-4496-BB3D-0695ABF9BE00}"/>
    <cellStyle name="Pattern 3 2 2 44" xfId="20903" xr:uid="{4D3AB358-D82A-4A55-8156-6A60E55BA959}"/>
    <cellStyle name="Pattern 3 2 2 45" xfId="21246" xr:uid="{3E57F932-9BF4-44ED-A205-474DF7D2554D}"/>
    <cellStyle name="Pattern 3 2 2 46" xfId="22912" xr:uid="{36C80DCB-D4AE-431F-AA79-4D0A9822560C}"/>
    <cellStyle name="Pattern 3 2 2 47" xfId="22883" xr:uid="{21855C52-4521-4246-95F2-B995FC206F1E}"/>
    <cellStyle name="Pattern 3 2 2 48" xfId="23300" xr:uid="{337575A9-D2ED-46F9-B177-CB8328237B36}"/>
    <cellStyle name="Pattern 3 2 2 49" xfId="24017" xr:uid="{7285F12C-6AA5-4E7F-B2A0-D2ECD980B053}"/>
    <cellStyle name="Pattern 3 2 2 5" xfId="3105" xr:uid="{CCF44B65-8F5D-4086-92D0-BE3F5E86E8AB}"/>
    <cellStyle name="Pattern 3 2 2 50" xfId="24925" xr:uid="{82AC2196-13C1-4F95-8E54-25B232C6EF94}"/>
    <cellStyle name="Pattern 3 2 2 51" xfId="24108" xr:uid="{214F5CD9-D134-458B-8B72-6A1DC4381085}"/>
    <cellStyle name="Pattern 3 2 2 52" xfId="25841" xr:uid="{853F0E19-D62B-489A-8240-0934EB0E2569}"/>
    <cellStyle name="Pattern 3 2 2 53" xfId="26217" xr:uid="{084F0B04-4A2D-42BD-A39F-867F661BA836}"/>
    <cellStyle name="Pattern 3 2 2 54" xfId="25241" xr:uid="{C39B5A7B-7F8B-4283-A837-A43B5AD84118}"/>
    <cellStyle name="Pattern 3 2 2 55" xfId="27129" xr:uid="{484DE458-204B-4CFB-A1A2-0C14561C6739}"/>
    <cellStyle name="Pattern 3 2 2 56" xfId="27548" xr:uid="{0D913F47-2C19-4E46-9004-834BC965900C}"/>
    <cellStyle name="Pattern 3 2 2 57" xfId="26274" xr:uid="{97D83253-F88A-4D68-8892-D245BCCC51F6}"/>
    <cellStyle name="Pattern 3 2 2 58" xfId="28675" xr:uid="{7F50286F-C515-4687-B614-3EB7C8897773}"/>
    <cellStyle name="Pattern 3 2 2 59" xfId="29142" xr:uid="{37F3E791-9B79-4F7A-BBCD-A5F6F44A082A}"/>
    <cellStyle name="Pattern 3 2 2 6" xfId="2956" xr:uid="{6FA3DF9A-C858-457C-918A-3AABA0EE9274}"/>
    <cellStyle name="Pattern 3 2 2 60" xfId="27912" xr:uid="{B70564BE-F7DC-46C4-AD97-7B19EFE1FDB1}"/>
    <cellStyle name="Pattern 3 2 2 61" xfId="29931" xr:uid="{15AB891E-52FD-487B-824D-C53DEDF011ED}"/>
    <cellStyle name="Pattern 3 2 2 62" xfId="30337" xr:uid="{DAD169DE-2DB5-41E2-A36A-8ACBC16D62C8}"/>
    <cellStyle name="Pattern 3 2 2 63" xfId="30754" xr:uid="{4E84898D-4316-4ECB-A7EA-17156DBD4A2E}"/>
    <cellStyle name="Pattern 3 2 2 64" xfId="29221" xr:uid="{74281E89-EA77-425F-8759-AE7F64AE4912}"/>
    <cellStyle name="Pattern 3 2 2 65" xfId="31370" xr:uid="{2E2D53AF-ECCD-4E32-BA57-71C4C6D8BC4C}"/>
    <cellStyle name="Pattern 3 2 2 7" xfId="4153" xr:uid="{98FCF3E9-3FA4-4C3D-8267-038A47F8B6D8}"/>
    <cellStyle name="Pattern 3 2 2 8" xfId="4590" xr:uid="{5D2F78C8-D381-4985-859A-8CB44600037C}"/>
    <cellStyle name="Pattern 3 2 2 9" xfId="3730" xr:uid="{5B97478C-B153-42DD-B32F-125ED2FAC85B}"/>
    <cellStyle name="Pattern 3 2 20" xfId="9188" xr:uid="{BB002783-4D2F-4088-BEA1-45108C9947D4}"/>
    <cellStyle name="Pattern 3 2 21" xfId="9171" xr:uid="{156B4545-B314-46BD-BF1C-35EFA47EF532}"/>
    <cellStyle name="Pattern 3 2 22" xfId="10928" xr:uid="{12E40BAF-EF10-4C77-BD3B-D13C513AEE8D}"/>
    <cellStyle name="Pattern 3 2 23" xfId="10814" xr:uid="{566DADC5-852C-4322-A70C-A9995B2B0F97}"/>
    <cellStyle name="Pattern 3 2 24" xfId="11973" xr:uid="{A490BA78-7CC0-4430-BE9B-DF1286F040A4}"/>
    <cellStyle name="Pattern 3 2 25" xfId="12446" xr:uid="{63E4C3CD-520D-4299-8841-0E9A7A671C20}"/>
    <cellStyle name="Pattern 3 2 26" xfId="12880" xr:uid="{96C4F925-E679-4E1F-95A5-ADF5BB57036E}"/>
    <cellStyle name="Pattern 3 2 27" xfId="13317" xr:uid="{1722733E-4B7D-4F35-8AF5-978F71E0CC4E}"/>
    <cellStyle name="Pattern 3 2 28" xfId="12730" xr:uid="{D97AF37A-0E09-4B5B-9993-88F6E38C4741}"/>
    <cellStyle name="Pattern 3 2 29" xfId="11647" xr:uid="{CAA8E9AB-B9DC-43CA-B67E-507E4A8222CC}"/>
    <cellStyle name="Pattern 3 2 3" xfId="1103" xr:uid="{5048DFC5-F5F4-4405-9C32-266304474144}"/>
    <cellStyle name="Pattern 3 2 30" xfId="14345" xr:uid="{2736B292-BFF2-4FEA-A580-E74F28073821}"/>
    <cellStyle name="Pattern 3 2 31" xfId="14962" xr:uid="{98997E90-5429-497C-9032-C73B7E64010F}"/>
    <cellStyle name="Pattern 3 2 32" xfId="15255" xr:uid="{B1C44083-C6A7-498B-AA8E-2DC2F11E8F69}"/>
    <cellStyle name="Pattern 3 2 33" xfId="15626" xr:uid="{CA697145-E3BD-4778-9DA5-64E378BA3389}"/>
    <cellStyle name="Pattern 3 2 34" xfId="16665" xr:uid="{A456942E-DA67-44BF-A43F-4F8CEC1803A0}"/>
    <cellStyle name="Pattern 3 2 35" xfId="16424" xr:uid="{18D70F59-7F77-4127-A1D9-B339839CC0DF}"/>
    <cellStyle name="Pattern 3 2 36" xfId="16975" xr:uid="{ACD245C4-D2E9-474A-8B64-E72A17179F79}"/>
    <cellStyle name="Pattern 3 2 37" xfId="17162" xr:uid="{14175AB8-943F-4D2A-A2FB-CF262971F0F0}"/>
    <cellStyle name="Pattern 3 2 38" xfId="18483" xr:uid="{C02F6110-3B50-420E-95C7-2D32BE12A20B}"/>
    <cellStyle name="Pattern 3 2 39" xfId="17627" xr:uid="{7299ED3E-D087-46B9-8F6C-3A185571D445}"/>
    <cellStyle name="Pattern 3 2 4" xfId="1744" xr:uid="{EDB8C6CC-FEC6-40F4-A646-E01D047D51F3}"/>
    <cellStyle name="Pattern 3 2 40" xfId="19207" xr:uid="{515A8405-CAC4-48AF-BF96-87E7034BBF7C}"/>
    <cellStyle name="Pattern 3 2 41" xfId="20002" xr:uid="{7CA0EE4E-E213-48CF-959D-D310B27A37F7}"/>
    <cellStyle name="Pattern 3 2 42" xfId="20274" xr:uid="{C935D6CB-93B1-4890-9FB3-79D868D3D3B8}"/>
    <cellStyle name="Pattern 3 2 43" xfId="19684" xr:uid="{4EA8EF29-58DC-4174-84E4-888C2E0DE037}"/>
    <cellStyle name="Pattern 3 2 44" xfId="20929" xr:uid="{AC0B147A-23EB-49AB-8EBD-B2E52E7A008C}"/>
    <cellStyle name="Pattern 3 2 45" xfId="20589" xr:uid="{48798E96-94AA-4D1A-BFA2-72F7CD169771}"/>
    <cellStyle name="Pattern 3 2 46" xfId="21869" xr:uid="{B5242DFB-F12C-4D97-82A2-9C75F1EF7FA6}"/>
    <cellStyle name="Pattern 3 2 47" xfId="22236" xr:uid="{37358DE1-156B-4856-9270-CAFA13586C38}"/>
    <cellStyle name="Pattern 3 2 48" xfId="22802" xr:uid="{79A353C9-C632-4534-B7EF-831C83FD3C64}"/>
    <cellStyle name="Pattern 3 2 49" xfId="23494" xr:uid="{E199458D-50AC-44A7-87F1-E97FE9ED0689}"/>
    <cellStyle name="Pattern 3 2 5" xfId="2442" xr:uid="{CA18A47B-8E55-448C-B1AD-5A13C8CF98B2}"/>
    <cellStyle name="Pattern 3 2 50" xfId="23811" xr:uid="{22014BCD-AD40-42AA-B6C5-ECFC28D76430}"/>
    <cellStyle name="Pattern 3 2 51" xfId="24710" xr:uid="{F70AA568-85CA-43B5-B6FB-625238012C47}"/>
    <cellStyle name="Pattern 3 2 52" xfId="24990" xr:uid="{D9278580-DC68-4DA4-A923-0DE6AE2F951F}"/>
    <cellStyle name="Pattern 3 2 53" xfId="25628" xr:uid="{D7A366AA-D950-4689-8551-413AB638B1E7}"/>
    <cellStyle name="Pattern 3 2 54" xfId="25239" xr:uid="{81EAFB7D-7386-47CB-9E32-7FEB2D55FEB7}"/>
    <cellStyle name="Pattern 3 2 55" xfId="25492" xr:uid="{490ACF7C-4619-4407-99CF-35C929946127}"/>
    <cellStyle name="Pattern 3 2 56" xfId="26918" xr:uid="{95F8CBB8-629D-41CF-9F39-0F41D74A544D}"/>
    <cellStyle name="Pattern 3 2 57" xfId="27337" xr:uid="{60203A80-7972-4836-AF6A-ADF43B593246}"/>
    <cellStyle name="Pattern 3 2 58" xfId="27712" xr:uid="{340B80C1-ABF6-4551-9591-E088DBDD7DA7}"/>
    <cellStyle name="Pattern 3 2 59" xfId="28460" xr:uid="{5C165703-F8CA-47F5-8A1B-FF0312271300}"/>
    <cellStyle name="Pattern 3 2 6" xfId="2227" xr:uid="{46836922-B375-4661-99CC-005CE7C09F26}"/>
    <cellStyle name="Pattern 3 2 60" xfId="28928" xr:uid="{EBA5CFAA-E17F-439D-87C7-0B6410020F63}"/>
    <cellStyle name="Pattern 3 2 61" xfId="28323" xr:uid="{A0D16419-20C8-4EE3-AFA8-E766EB532826}"/>
    <cellStyle name="Pattern 3 2 62" xfId="29718" xr:uid="{B4C70C9C-48F7-41BC-8202-2A873611E773}"/>
    <cellStyle name="Pattern 3 2 63" xfId="30126" xr:uid="{646CD70C-A8F2-4163-BEBD-B9BC36125F11}"/>
    <cellStyle name="Pattern 3 2 64" xfId="30540" xr:uid="{8D74D9EB-98F7-4136-B458-64EB67AD2B6F}"/>
    <cellStyle name="Pattern 3 2 65" xfId="30844" xr:uid="{07526B91-34CB-4670-873E-8AE3E3D39EFD}"/>
    <cellStyle name="Pattern 3 2 66" xfId="31164" xr:uid="{DEC066D6-80D0-4AA2-B306-C5D26FBF41B2}"/>
    <cellStyle name="Pattern 3 2 7" xfId="3576" xr:uid="{2CDF63C6-77C8-49AE-8247-EC7BDA7989A1}"/>
    <cellStyle name="Pattern 3 2 8" xfId="3938" xr:uid="{045C99D6-26AB-423D-A45B-9188EB467C77}"/>
    <cellStyle name="Pattern 3 2 9" xfId="4376" xr:uid="{572A77D4-EBC9-4C37-8213-04171FC4704D}"/>
    <cellStyle name="Pattern 3 20" xfId="8552" xr:uid="{3AAFB717-D2F7-4D4B-99E4-5C91397223D8}"/>
    <cellStyle name="Pattern 3 21" xfId="9226" xr:uid="{5078E6AA-006F-43D0-B38B-ADB15B93C500}"/>
    <cellStyle name="Pattern 3 22" xfId="9847" xr:uid="{3ED8BC55-F8BD-433E-8D10-57EBB9EC7A15}"/>
    <cellStyle name="Pattern 3 23" xfId="9862" xr:uid="{D749BC5D-9E02-4480-B5AB-BC6F2FE1AE2A}"/>
    <cellStyle name="Pattern 3 24" xfId="10727" xr:uid="{3C8B44BF-8ED5-4D1D-AB61-E6AF8EE1D381}"/>
    <cellStyle name="Pattern 3 25" xfId="11289" xr:uid="{79D51E2C-531C-46D2-8E15-CE5937BB15CF}"/>
    <cellStyle name="Pattern 3 26" xfId="11639" xr:uid="{8B403853-8FBA-432B-A1A6-4F30F16F5B83}"/>
    <cellStyle name="Pattern 3 27" xfId="11373" xr:uid="{7D7BFE4F-2CF5-46FB-9C12-9459A2C8B3D8}"/>
    <cellStyle name="Pattern 3 28" xfId="11375" xr:uid="{EF5B7E05-FEDE-463D-93A1-84F825D366A7}"/>
    <cellStyle name="Pattern 3 29" xfId="11362" xr:uid="{FE05A007-A8F1-4B3E-9384-604E91EA23A6}"/>
    <cellStyle name="Pattern 3 3" xfId="519" xr:uid="{76FF1343-BB3F-41F4-AB10-9B2BE976112C}"/>
    <cellStyle name="Pattern 3 3 10" xfId="4874" xr:uid="{493C4B25-75B0-4E7B-917F-8A0E3E4C42F6}"/>
    <cellStyle name="Pattern 3 3 11" xfId="5167" xr:uid="{29C1B2AB-3AA9-4BE0-AC82-1174000034DF}"/>
    <cellStyle name="Pattern 3 3 12" xfId="5573" xr:uid="{30AA432B-D4AE-48F3-AA5B-6B475C468F9A}"/>
    <cellStyle name="Pattern 3 3 13" xfId="6227" xr:uid="{D5A8DA98-A8C1-4CCD-BF1C-67EABE13CC21}"/>
    <cellStyle name="Pattern 3 3 14" xfId="5783" xr:uid="{64FE40EB-2E38-4288-8ABC-2FF47F2DBC3A}"/>
    <cellStyle name="Pattern 3 3 15" xfId="7239" xr:uid="{01538E61-C83F-4438-A083-6AD3B7D78A64}"/>
    <cellStyle name="Pattern 3 3 16" xfId="7719" xr:uid="{DD7A8183-C646-41AC-8B7F-4EDE37264A87}"/>
    <cellStyle name="Pattern 3 3 17" xfId="8241" xr:uid="{EC19CA4E-B845-43DA-9A01-9A7DF921EF73}"/>
    <cellStyle name="Pattern 3 3 18" xfId="8576" xr:uid="{93802F43-C44D-416E-B2F9-EF4ED01165B7}"/>
    <cellStyle name="Pattern 3 3 19" xfId="9453" xr:uid="{F0CF116F-AC26-4A60-B9AF-B8A3772AFE13}"/>
    <cellStyle name="Pattern 3 3 2" xfId="734" xr:uid="{B3D461E9-C8EF-4DBB-AC48-55AB09C671A8}"/>
    <cellStyle name="Pattern 3 3 2 10" xfId="5382" xr:uid="{3DB98A96-9E8E-4491-934E-A81C6C136E28}"/>
    <cellStyle name="Pattern 3 3 2 11" xfId="5571" xr:uid="{6C378F2E-6FAF-4051-BFA5-2889251EF2D3}"/>
    <cellStyle name="Pattern 3 3 2 12" xfId="6134" xr:uid="{056CF446-8241-473B-B8BD-8D4A2A200C86}"/>
    <cellStyle name="Pattern 3 3 2 13" xfId="6562" xr:uid="{5A7CE08A-38D8-486B-BE69-3A188CDCE6AB}"/>
    <cellStyle name="Pattern 3 3 2 14" xfId="7454" xr:uid="{12C194AA-8311-4A6F-9D32-E61F4DD43CAB}"/>
    <cellStyle name="Pattern 3 3 2 15" xfId="7117" xr:uid="{47526601-3440-4157-8012-A984E8A0EBAF}"/>
    <cellStyle name="Pattern 3 3 2 16" xfId="8554" xr:uid="{87353225-9297-464E-B51B-14D68FBB2364}"/>
    <cellStyle name="Pattern 3 3 2 17" xfId="8501" xr:uid="{EA80ECE8-E133-4062-BAAE-04223E72ABC0}"/>
    <cellStyle name="Pattern 3 3 2 18" xfId="9668" xr:uid="{A9412F17-5A9B-4F69-B4FE-4278FD8B6E67}"/>
    <cellStyle name="Pattern 3 3 2 19" xfId="9203" xr:uid="{202256DE-4F0D-4BE0-82E5-332CFB841B62}"/>
    <cellStyle name="Pattern 3 3 2 2" xfId="1208" xr:uid="{95A0779C-D773-42F4-92F4-9FAFDC0BF3CE}"/>
    <cellStyle name="Pattern 3 3 2 20" xfId="9107" xr:uid="{AA542D39-DF2E-4ED4-9E92-3C3BE83256EF}"/>
    <cellStyle name="Pattern 3 3 2 21" xfId="10785" xr:uid="{25612C40-111B-47A3-84D2-A77630D838E9}"/>
    <cellStyle name="Pattern 3 3 2 22" xfId="11148" xr:uid="{15773841-1267-4DAE-A343-F956648B8A96}"/>
    <cellStyle name="Pattern 3 3 2 23" xfId="12087" xr:uid="{3C4CF8BD-79AB-4896-BE9C-CEB73B99D82A}"/>
    <cellStyle name="Pattern 3 3 2 24" xfId="12560" xr:uid="{161451E3-F89F-4468-B633-FD1AE8698850}"/>
    <cellStyle name="Pattern 3 3 2 25" xfId="12994" xr:uid="{E8CD8868-CCB6-49D4-ABE6-A8FA136E9379}"/>
    <cellStyle name="Pattern 3 3 2 26" xfId="13431" xr:uid="{09F2E938-FC72-46C7-91D2-6148AC97294F}"/>
    <cellStyle name="Pattern 3 3 2 27" xfId="13748" xr:uid="{E48286C5-9D33-416E-80E9-58CD0761B4B4}"/>
    <cellStyle name="Pattern 3 3 2 28" xfId="13798" xr:uid="{A93647A8-E808-484E-AB52-ABD98ECFEDA2}"/>
    <cellStyle name="Pattern 3 3 2 29" xfId="12300" xr:uid="{75D175D0-A71F-4F6E-A689-FDC4D309D551}"/>
    <cellStyle name="Pattern 3 3 2 3" xfId="1490" xr:uid="{566A04AF-50A2-4B12-A924-0323E155042D}"/>
    <cellStyle name="Pattern 3 3 2 30" xfId="14590" xr:uid="{156D3A7D-C4E9-4A57-9B63-099937FCD67B}"/>
    <cellStyle name="Pattern 3 3 2 31" xfId="14425" xr:uid="{8951E81E-773E-4D08-808C-E6A348BB7EC0}"/>
    <cellStyle name="Pattern 3 3 2 32" xfId="15530" xr:uid="{65C92D8B-CFA9-4DB5-B508-252477492F45}"/>
    <cellStyle name="Pattern 3 3 2 33" xfId="16779" xr:uid="{42D8E35A-0BE8-4E11-B1C7-9FAEDE7823B6}"/>
    <cellStyle name="Pattern 3 3 2 34" xfId="16439" xr:uid="{42EDF1A3-72B0-43C6-905F-8E150AC9BCC6}"/>
    <cellStyle name="Pattern 3 3 2 35" xfId="16468" xr:uid="{37EBB1C2-CBE9-4102-858D-55F24A6A411C}"/>
    <cellStyle name="Pattern 3 3 2 36" xfId="17689" xr:uid="{9ED3C653-1456-463B-8ACF-8594F98D6933}"/>
    <cellStyle name="Pattern 3 3 2 37" xfId="18597" xr:uid="{DCD0FC82-DDED-4798-8684-E2646953D2FA}"/>
    <cellStyle name="Pattern 3 3 2 38" xfId="19035" xr:uid="{286BE14C-6B9D-418A-A1BB-0E9593C1B249}"/>
    <cellStyle name="Pattern 3 3 2 39" xfId="19309" xr:uid="{A33AF4CB-16E1-4CBB-B6E3-72FD378E11B9}"/>
    <cellStyle name="Pattern 3 3 2 4" xfId="2556" xr:uid="{A4012D7B-B3D1-4025-98FF-35CA3D3ADC50}"/>
    <cellStyle name="Pattern 3 3 2 40" xfId="20116" xr:uid="{33ECFE6C-3CF4-47B9-B718-688DB8B97703}"/>
    <cellStyle name="Pattern 3 3 2 41" xfId="19771" xr:uid="{E865BD3D-08E4-4B66-B16F-DB678118C42F}"/>
    <cellStyle name="Pattern 3 3 2 42" xfId="19618" xr:uid="{E2E2D0BC-A2DD-41E7-BEC2-580C558B7CF8}"/>
    <cellStyle name="Pattern 3 3 2 43" xfId="20342" xr:uid="{CD6E9E3D-FE49-4348-97A8-80F7733624A4}"/>
    <cellStyle name="Pattern 3 3 2 44" xfId="20482" xr:uid="{81DBC9A0-2F9A-4A70-8A38-BCE5E0B65B17}"/>
    <cellStyle name="Pattern 3 3 2 45" xfId="22011" xr:uid="{65206B6C-347B-4C85-AFE0-988EB3588BAB}"/>
    <cellStyle name="Pattern 3 3 2 46" xfId="22743" xr:uid="{F75BA7B3-EA0F-4D34-8DAD-E755AF92156B}"/>
    <cellStyle name="Pattern 3 3 2 47" xfId="23312" xr:uid="{C01EDC3F-A9B4-4A68-B5FC-7D8044DC8E10}"/>
    <cellStyle name="Pattern 3 3 2 48" xfId="22822" xr:uid="{FB230F74-C8A7-4B62-B797-169F64241EB8}"/>
    <cellStyle name="Pattern 3 3 2 49" xfId="23916" xr:uid="{622D085C-3E54-4DC1-814F-E4FE60D72AB2}"/>
    <cellStyle name="Pattern 3 3 2 5" xfId="2914" xr:uid="{9A33320F-07E6-4818-A02C-D2F929EB15AF}"/>
    <cellStyle name="Pattern 3 3 2 50" xfId="24824" xr:uid="{5142CFF8-5201-405F-80CB-999F8D59FE36}"/>
    <cellStyle name="Pattern 3 3 2 51" xfId="24201" xr:uid="{E35CCCE7-C943-4CD5-9599-6340C49FB18E}"/>
    <cellStyle name="Pattern 3 3 2 52" xfId="25740" xr:uid="{860D35FD-7E5D-47A9-B0BC-96756C30DA3B}"/>
    <cellStyle name="Pattern 3 3 2 53" xfId="26048" xr:uid="{165736A7-F891-43FB-A3FB-8267D9F51924}"/>
    <cellStyle name="Pattern 3 3 2 54" xfId="24497" xr:uid="{46832705-572B-4FC4-9DF0-436112A2137B}"/>
    <cellStyle name="Pattern 3 3 2 55" xfId="27028" xr:uid="{23D360DF-2088-4A99-8F34-B56E31DFFAF4}"/>
    <cellStyle name="Pattern 3 3 2 56" xfId="27447" xr:uid="{36234DF0-BFBB-4BDF-A0B4-01F9A42FB14C}"/>
    <cellStyle name="Pattern 3 3 2 57" xfId="25387" xr:uid="{07A26788-C529-48C5-BE01-129623D674CB}"/>
    <cellStyle name="Pattern 3 3 2 58" xfId="28574" xr:uid="{BCB09F60-3B62-4BBC-9B75-DB865827F109}"/>
    <cellStyle name="Pattern 3 3 2 59" xfId="29041" xr:uid="{EAA1624D-A8D8-4B0C-A6AB-3FDB16DA9F43}"/>
    <cellStyle name="Pattern 3 3 2 6" xfId="3256" xr:uid="{A75428A8-916D-4E8F-96AA-B19CC8598C36}"/>
    <cellStyle name="Pattern 3 3 2 60" xfId="27940" xr:uid="{D88C2E2C-2C0F-4FE0-A2AB-7B26AA281A82}"/>
    <cellStyle name="Pattern 3 3 2 61" xfId="29830" xr:uid="{E7B679FF-4FF6-4D52-A78E-A90357371A6A}"/>
    <cellStyle name="Pattern 3 3 2 62" xfId="30236" xr:uid="{41948208-BDC3-499F-BE8C-40B6FA8AF9C1}"/>
    <cellStyle name="Pattern 3 3 2 63" xfId="30653" xr:uid="{8BC27344-ADA4-4A6C-BA1A-838E52B0B5A3}"/>
    <cellStyle name="Pattern 3 3 2 64" xfId="29210" xr:uid="{BB3E5C3F-B880-4D0C-81B9-1531ABE7E099}"/>
    <cellStyle name="Pattern 3 3 2 65" xfId="31269" xr:uid="{974C3843-73A2-4141-AEFF-DB02E51DED34}"/>
    <cellStyle name="Pattern 3 3 2 7" xfId="4052" xr:uid="{24290223-9938-4E8E-99B1-BC49EB5F1A24}"/>
    <cellStyle name="Pattern 3 3 2 8" xfId="4489" xr:uid="{65ABDBF5-B26E-498B-B83D-D97A455AE1EC}"/>
    <cellStyle name="Pattern 3 3 2 9" xfId="4232" xr:uid="{ACBF85AF-8BB2-4AF7-BC3E-F7E97193FFCD}"/>
    <cellStyle name="Pattern 3 3 20" xfId="9933" xr:uid="{DD34A9A1-BDF0-43C5-B906-0B2FDE53EB0D}"/>
    <cellStyle name="Pattern 3 3 21" xfId="10364" xr:uid="{381978DE-D2D6-4207-A617-E010966E8928}"/>
    <cellStyle name="Pattern 3 3 22" xfId="10403" xr:uid="{0BDD4901-8161-4378-8A59-6DC50EDD15AC}"/>
    <cellStyle name="Pattern 3 3 23" xfId="11162" xr:uid="{1FBC389E-38D2-4049-904F-4AE4A2BEF002}"/>
    <cellStyle name="Pattern 3 3 24" xfId="11872" xr:uid="{4617DA1C-2B62-4406-BDDC-53C8129BF296}"/>
    <cellStyle name="Pattern 3 3 25" xfId="12345" xr:uid="{AC94D67B-E680-4D29-A453-BCDE63A9FA0E}"/>
    <cellStyle name="Pattern 3 3 26" xfId="12779" xr:uid="{9E9060C6-A58B-45A0-97DB-D0EF10FBDB00}"/>
    <cellStyle name="Pattern 3 3 27" xfId="13216" xr:uid="{3B1E8656-491F-45C6-99C0-EF5AC53C80B6}"/>
    <cellStyle name="Pattern 3 3 28" xfId="13890" xr:uid="{88707D23-7ABC-4F43-894C-F57733B82110}"/>
    <cellStyle name="Pattern 3 3 29" xfId="14356" xr:uid="{853E4613-59C1-4E6B-A026-5591A2B691B8}"/>
    <cellStyle name="Pattern 3 3 3" xfId="1002" xr:uid="{BE847B21-6492-4BD8-9670-B5EAC015839B}"/>
    <cellStyle name="Pattern 3 3 30" xfId="14676" xr:uid="{E8C8D3E8-C997-4B16-AF39-8D8896EF35A1}"/>
    <cellStyle name="Pattern 3 3 31" xfId="15289" xr:uid="{87E4D969-8F01-4781-A1DA-14D277B4F583}"/>
    <cellStyle name="Pattern 3 3 32" xfId="12051" xr:uid="{7889BD4D-B53F-4AA8-B43F-679C9A9E5C7A}"/>
    <cellStyle name="Pattern 3 3 33" xfId="15819" xr:uid="{F70A9AD2-C2BB-4731-95DE-1C88B1E2F1E2}"/>
    <cellStyle name="Pattern 3 3 34" xfId="16564" xr:uid="{B3C3D485-342D-4D5E-8BCA-830FD56479FA}"/>
    <cellStyle name="Pattern 3 3 35" xfId="17047" xr:uid="{0B1A36C9-C00E-487D-9175-52B69CD8B6B8}"/>
    <cellStyle name="Pattern 3 3 36" xfId="17494" xr:uid="{C0823F99-A828-449B-AEFE-35F85E6C5979}"/>
    <cellStyle name="Pattern 3 3 37" xfId="17862" xr:uid="{7558FEC2-9474-4134-87F2-A38DEE17A374}"/>
    <cellStyle name="Pattern 3 3 38" xfId="18382" xr:uid="{77ABAC29-3DF1-4F17-B011-D7BFA7ECA799}"/>
    <cellStyle name="Pattern 3 3 39" xfId="17636" xr:uid="{BEAB829C-8514-41AA-A812-6F57A570D463}"/>
    <cellStyle name="Pattern 3 3 4" xfId="1619" xr:uid="{F5B11F07-B612-420E-9A84-00FF13C4A4E7}"/>
    <cellStyle name="Pattern 3 3 40" xfId="19226" xr:uid="{05AF824B-BAD6-4F6E-A592-015B8EBAC4C6}"/>
    <cellStyle name="Pattern 3 3 41" xfId="19901" xr:uid="{CB4F0E6C-01CD-4E1E-987D-5947E58BBCDE}"/>
    <cellStyle name="Pattern 3 3 42" xfId="20399" xr:uid="{8DEB4618-4F3E-498E-A870-D00AA26D67EB}"/>
    <cellStyle name="Pattern 3 3 43" xfId="20852" xr:uid="{A7B7A86D-D02C-4F4D-9B3F-E10597B52AA4}"/>
    <cellStyle name="Pattern 3 3 44" xfId="20592" xr:uid="{AD419D3C-8898-48B1-A3EC-7DDBD95F3F84}"/>
    <cellStyle name="Pattern 3 3 45" xfId="21785" xr:uid="{D0C1E04A-A8C6-47B5-9534-9C7498DF2BD4}"/>
    <cellStyle name="Pattern 3 3 46" xfId="22222" xr:uid="{C13637A4-77EC-4C38-84D2-00F2DFFF95C7}"/>
    <cellStyle name="Pattern 3 3 47" xfId="22870" xr:uid="{628D7D79-DC6F-4953-97F2-69FA904ABD29}"/>
    <cellStyle name="Pattern 3 3 48" xfId="22821" xr:uid="{422D225B-BC5D-4908-B534-0C8B3E961DDB}"/>
    <cellStyle name="Pattern 3 3 49" xfId="23557" xr:uid="{2009CBD8-134A-475A-9411-9999084C45E3}"/>
    <cellStyle name="Pattern 3 3 5" xfId="2341" xr:uid="{21583FAA-E740-4B4A-9EC2-C20F10525D81}"/>
    <cellStyle name="Pattern 3 3 50" xfId="23710" xr:uid="{1DB19608-D1CF-4A69-80DC-5DB90CF73729}"/>
    <cellStyle name="Pattern 3 3 51" xfId="24609" xr:uid="{EE0094A5-4520-40BE-8C2F-A6A2F31A2A8B}"/>
    <cellStyle name="Pattern 3 3 52" xfId="25108" xr:uid="{EF1CBB88-7A49-4E3B-9CC2-9F1538703731}"/>
    <cellStyle name="Pattern 3 3 53" xfId="25527" xr:uid="{5F33F582-26D6-466D-8046-EFF61F489EF3}"/>
    <cellStyle name="Pattern 3 3 54" xfId="26176" xr:uid="{825628C8-39E7-4694-A1B1-3DFA01E98C43}"/>
    <cellStyle name="Pattern 3 3 55" xfId="25362" xr:uid="{A4AFDE46-5893-4E03-AB43-DAEE44CF4CB0}"/>
    <cellStyle name="Pattern 3 3 56" xfId="26817" xr:uid="{5A1F79F6-8502-48AC-8072-8FF97BF0DDE9}"/>
    <cellStyle name="Pattern 3 3 57" xfId="27236" xr:uid="{951D17CA-A1B2-4EC5-9D48-7116CC273412}"/>
    <cellStyle name="Pattern 3 3 58" xfId="27689" xr:uid="{6F1B85BA-EBC5-414C-91BC-D15D9E622A9E}"/>
    <cellStyle name="Pattern 3 3 59" xfId="28359" xr:uid="{235BAA96-2148-4E82-9450-1B1DE60374C2}"/>
    <cellStyle name="Pattern 3 3 6" xfId="3058" xr:uid="{4465535E-1588-4ADA-B7F9-7FE43933C22A}"/>
    <cellStyle name="Pattern 3 3 60" xfId="28827" xr:uid="{402C8706-6758-48E6-B48C-34A035DA3313}"/>
    <cellStyle name="Pattern 3 3 61" xfId="29263" xr:uid="{70B91C16-A3C6-48E2-91AE-51A130A04B2A}"/>
    <cellStyle name="Pattern 3 3 62" xfId="29617" xr:uid="{BB9E7C18-3B00-4DCF-A358-1CC7C6AE5D7D}"/>
    <cellStyle name="Pattern 3 3 63" xfId="30025" xr:uid="{6F7AAECA-CF75-4A71-9117-83AFB164E3F5}"/>
    <cellStyle name="Pattern 3 3 64" xfId="30439" xr:uid="{D0514548-4F31-4E7D-9752-C9B021D5DCED}"/>
    <cellStyle name="Pattern 3 3 65" xfId="31024" xr:uid="{51BD1665-7316-4BB5-A949-5D703EB9A58E}"/>
    <cellStyle name="Pattern 3 3 66" xfId="31063" xr:uid="{78F942DF-5226-484F-A829-EC35BF597F3D}"/>
    <cellStyle name="Pattern 3 3 7" xfId="3404" xr:uid="{1B6ED762-1142-4AFD-8A12-74089C953F32}"/>
    <cellStyle name="Pattern 3 3 8" xfId="3837" xr:uid="{6BBDCF34-4299-4DE3-98E2-2EE08A5FC87A}"/>
    <cellStyle name="Pattern 3 3 9" xfId="4275" xr:uid="{47CD59DC-222C-4A9F-B278-A363FA701B28}"/>
    <cellStyle name="Pattern 3 30" xfId="12277" xr:uid="{0B1B751B-64F3-4458-A87E-69A8DEBDAC5A}"/>
    <cellStyle name="Pattern 3 31" xfId="12734" xr:uid="{7994D1E7-B044-4F06-A5C4-14FA2A00135E}"/>
    <cellStyle name="Pattern 3 32" xfId="14424" xr:uid="{B87617A1-8029-4462-A35D-36E4D85F1C82}"/>
    <cellStyle name="Pattern 3 33" xfId="13170" xr:uid="{905BEE16-B18C-4A37-B1B4-8B3D92A4A744}"/>
    <cellStyle name="Pattern 3 34" xfId="15701" xr:uid="{024F00F5-0BCE-4144-95C3-1DE88C50630C}"/>
    <cellStyle name="Pattern 3 35" xfId="15286" xr:uid="{B5F63A5D-C7F9-4910-A684-B1365F9FD3AB}"/>
    <cellStyle name="Pattern 3 36" xfId="16334" xr:uid="{23C85AA2-6CBA-4AF0-9196-7C3E00B27A3B}"/>
    <cellStyle name="Pattern 3 37" xfId="16963" xr:uid="{BEFB939F-792D-45FB-BB48-B4315727A50F}"/>
    <cellStyle name="Pattern 3 38" xfId="16501" xr:uid="{D53DD7CD-AA4E-40A5-8E9F-F1C44EBAEF37}"/>
    <cellStyle name="Pattern 3 39" xfId="18201" xr:uid="{BE9CA194-C20F-4C6B-84F7-278186750CE1}"/>
    <cellStyle name="Pattern 3 4" xfId="633" xr:uid="{D4D8FBC0-B757-4787-A75D-CF8D80B18774}"/>
    <cellStyle name="Pattern 3 4 10" xfId="4230" xr:uid="{0C963BD1-80E3-4FA7-88EF-C1490237C4B0}"/>
    <cellStyle name="Pattern 3 4 11" xfId="5281" xr:uid="{9E0DCF85-552D-41CC-8C50-ED90908A4E03}"/>
    <cellStyle name="Pattern 3 4 12" xfId="4797" xr:uid="{483B3D0C-D83B-4676-A236-9D037790A993}"/>
    <cellStyle name="Pattern 3 4 13" xfId="6157" xr:uid="{71726292-BB7B-4A29-B0E1-2B48AA87D294}"/>
    <cellStyle name="Pattern 3 4 14" xfId="6549" xr:uid="{CBB27EB7-0826-437B-854E-9F82180C4892}"/>
    <cellStyle name="Pattern 3 4 15" xfId="7353" xr:uid="{3F2A571C-4A2B-4A25-ADA0-F5925F29B022}"/>
    <cellStyle name="Pattern 3 4 16" xfId="7979" xr:uid="{437C5818-511F-42DE-A93D-B560F678EFEA}"/>
    <cellStyle name="Pattern 3 4 17" xfId="7717" xr:uid="{C9EDEB49-06CB-4012-B1D4-AF6A06ABB2DD}"/>
    <cellStyle name="Pattern 3 4 18" xfId="7699" xr:uid="{7D4D34EC-787D-478B-9F26-674302E081D2}"/>
    <cellStyle name="Pattern 3 4 19" xfId="9567" xr:uid="{06965069-D131-4922-A4E6-4D8939ECB906}"/>
    <cellStyle name="Pattern 3 4 2" xfId="848" xr:uid="{4A280688-D9FE-4798-8FF8-F3CC04CFC5A2}"/>
    <cellStyle name="Pattern 3 4 2 10" xfId="5496" xr:uid="{455353C2-C645-4831-8FCD-A90D6C4AED97}"/>
    <cellStyle name="Pattern 3 4 2 11" xfId="5037" xr:uid="{A0038670-8675-49BC-95C5-F723BD69D60F}"/>
    <cellStyle name="Pattern 3 4 2 12" xfId="6048" xr:uid="{F1C71351-2BD6-4F18-A013-9A3197681398}"/>
    <cellStyle name="Pattern 3 4 2 13" xfId="6062" xr:uid="{1907F837-B856-4DBA-B63D-88988C8E43E0}"/>
    <cellStyle name="Pattern 3 4 2 14" xfId="7568" xr:uid="{4FA4CAA3-CECB-485B-A0C2-DC4089A86A62}"/>
    <cellStyle name="Pattern 3 4 2 15" xfId="7145" xr:uid="{5D0EF2DB-951F-4242-BB56-D2C1EC928529}"/>
    <cellStyle name="Pattern 3 4 2 16" xfId="8259" xr:uid="{03B5F7E7-ACD1-4684-878C-2BCFCB36EA20}"/>
    <cellStyle name="Pattern 3 4 2 17" xfId="8354" xr:uid="{7E19FDB3-B8A9-46C4-BB20-02D0E0D3D487}"/>
    <cellStyle name="Pattern 3 4 2 18" xfId="9782" xr:uid="{9D956036-1244-4D7B-B59C-63D00C059A62}"/>
    <cellStyle name="Pattern 3 4 2 19" xfId="9360" xr:uid="{17A45F3C-5C6C-4076-9B53-2619C282C6A4}"/>
    <cellStyle name="Pattern 3 4 2 2" xfId="1322" xr:uid="{37FC5582-076D-45C1-A998-14C7835AC0CF}"/>
    <cellStyle name="Pattern 3 4 2 20" xfId="10050" xr:uid="{AFF7194B-2349-417E-9A51-BD731F0B668C}"/>
    <cellStyle name="Pattern 3 4 2 21" xfId="10701" xr:uid="{9FEA34B5-CDEE-4BEF-9781-B5BF926D5A8C}"/>
    <cellStyle name="Pattern 3 4 2 22" xfId="10801" xr:uid="{F1C83AEB-364F-4971-8692-75E028BDA5F9}"/>
    <cellStyle name="Pattern 3 4 2 23" xfId="12201" xr:uid="{73887302-EBA5-4A05-8321-CF1C23B36E77}"/>
    <cellStyle name="Pattern 3 4 2 24" xfId="12674" xr:uid="{5AAF0E12-DEEA-45EE-B2A5-8C24634C7BAE}"/>
    <cellStyle name="Pattern 3 4 2 25" xfId="13108" xr:uid="{38E78808-2D27-4E36-9E8E-E6CEA70DD995}"/>
    <cellStyle name="Pattern 3 4 2 26" xfId="13545" xr:uid="{21C826AD-7C00-41A4-B4B1-6C9AD581329B}"/>
    <cellStyle name="Pattern 3 4 2 27" xfId="13618" xr:uid="{DBAA5751-7E09-4A36-95F5-C1B20BA34A51}"/>
    <cellStyle name="Pattern 3 4 2 28" xfId="13884" xr:uid="{26301C20-595F-40A2-AAD1-039BDE9B060F}"/>
    <cellStyle name="Pattern 3 4 2 29" xfId="14115" xr:uid="{AB93E55D-90CC-4DBE-8132-AE477FF611F3}"/>
    <cellStyle name="Pattern 3 4 2 3" xfId="1771" xr:uid="{A2892F87-BF44-4CA0-BDE2-84459D24A4FB}"/>
    <cellStyle name="Pattern 3 4 2 30" xfId="15043" xr:uid="{A35621E5-B5FD-433F-AAC5-FA193BF651D9}"/>
    <cellStyle name="Pattern 3 4 2 31" xfId="15721" xr:uid="{9751B0A2-ABD0-49E4-A706-CA364FDB417E}"/>
    <cellStyle name="Pattern 3 4 2 32" xfId="14813" xr:uid="{25225D32-D7E5-463A-A70F-D1D384D56C14}"/>
    <cellStyle name="Pattern 3 4 2 33" xfId="16893" xr:uid="{99369434-5191-4DD6-ACB6-C38EA6772443}"/>
    <cellStyle name="Pattern 3 4 2 34" xfId="16467" xr:uid="{A263AA9F-1BB1-4063-AFBA-CEAB1E85CBA6}"/>
    <cellStyle name="Pattern 3 4 2 35" xfId="17168" xr:uid="{99FBBB5F-6BAC-44EB-9B9C-86BE09CC7A94}"/>
    <cellStyle name="Pattern 3 4 2 36" xfId="16948" xr:uid="{7B461169-1A73-4EC0-9E89-21260F0B8918}"/>
    <cellStyle name="Pattern 3 4 2 37" xfId="18711" xr:uid="{F656C0C4-346E-4295-80A1-D293AF312062}"/>
    <cellStyle name="Pattern 3 4 2 38" xfId="19039" xr:uid="{5A13A43C-6EAE-48C4-B66F-5E3939F5ADC9}"/>
    <cellStyle name="Pattern 3 4 2 39" xfId="19174" xr:uid="{F91DB748-4B30-4F65-AE80-1413247ABB3D}"/>
    <cellStyle name="Pattern 3 4 2 4" xfId="2670" xr:uid="{25DC6370-3B9F-4C42-AB89-BF333195E563}"/>
    <cellStyle name="Pattern 3 4 2 40" xfId="20230" xr:uid="{E7ACAD23-3600-40C7-93A9-15B5FCE04934}"/>
    <cellStyle name="Pattern 3 4 2 41" xfId="19803" xr:uid="{5E16674F-B28B-4A3D-A79D-9B0AE4D9E294}"/>
    <cellStyle name="Pattern 3 4 2 42" xfId="20737" xr:uid="{48C50978-AEC2-4BB1-AFA8-E80EBBBE3B0B}"/>
    <cellStyle name="Pattern 3 4 2 43" xfId="21545" xr:uid="{C260ACBE-FF6A-4125-9496-8C5A5E28EB4E}"/>
    <cellStyle name="Pattern 3 4 2 44" xfId="21674" xr:uid="{A42F0593-591D-4FBF-B162-FE5238FF5549}"/>
    <cellStyle name="Pattern 3 4 2 45" xfId="22112" xr:uid="{4194E312-F79C-4AC5-9844-3EA77BC543A6}"/>
    <cellStyle name="Pattern 3 4 2 46" xfId="22627" xr:uid="{3AB823E8-07DA-4254-93F3-08FA9B9646C5}"/>
    <cellStyle name="Pattern 3 4 2 47" xfId="23316" xr:uid="{25F51D80-C51F-4E85-BCDF-55BCBE3D7FBE}"/>
    <cellStyle name="Pattern 3 4 2 48" xfId="23443" xr:uid="{2DDE23DF-F555-4D88-B173-E6A681D639D0}"/>
    <cellStyle name="Pattern 3 4 2 49" xfId="24030" xr:uid="{4D3845B4-FD01-444A-B80F-8B5F1E28F2C0}"/>
    <cellStyle name="Pattern 3 4 2 5" xfId="2785" xr:uid="{840E37A0-5BF8-4A59-9B33-32042E5670A6}"/>
    <cellStyle name="Pattern 3 4 2 50" xfId="24938" xr:uid="{105AD3D6-00A4-4EFB-B99B-F71B80C7752D}"/>
    <cellStyle name="Pattern 3 4 2 51" xfId="24442" xr:uid="{A7D0ECE9-44D8-4FCD-BD3D-209E5C5F89F5}"/>
    <cellStyle name="Pattern 3 4 2 52" xfId="25854" xr:uid="{BAD60452-C9F5-4F1B-A43D-A78A5F036B63}"/>
    <cellStyle name="Pattern 3 4 2 53" xfId="24473" xr:uid="{FD25CD6F-03FA-4211-B46E-0BC590A99BD4}"/>
    <cellStyle name="Pattern 3 4 2 54" xfId="26519" xr:uid="{4EA807D1-2636-4A06-9E27-E3820F7FDAF4}"/>
    <cellStyle name="Pattern 3 4 2 55" xfId="27142" xr:uid="{20D1D9A8-9473-4D2C-8E41-1685A1880D95}"/>
    <cellStyle name="Pattern 3 4 2 56" xfId="27561" xr:uid="{D787B3E9-711C-4E55-BDBE-B88EF0282010}"/>
    <cellStyle name="Pattern 3 4 2 57" xfId="26644" xr:uid="{98B7F960-19D0-42D9-9383-9137C4399594}"/>
    <cellStyle name="Pattern 3 4 2 58" xfId="28688" xr:uid="{FFCD4A6E-97EC-46B5-A730-601F71679162}"/>
    <cellStyle name="Pattern 3 4 2 59" xfId="29155" xr:uid="{AF7AF105-EB7C-4ADB-B817-C8C4B977031A}"/>
    <cellStyle name="Pattern 3 4 2 6" xfId="3337" xr:uid="{1681B2CA-31B3-4369-8558-E92621778FCB}"/>
    <cellStyle name="Pattern 3 4 2 60" xfId="28082" xr:uid="{AC3DE506-B7A5-4E4D-B849-81C6FF2BCF0D}"/>
    <cellStyle name="Pattern 3 4 2 61" xfId="29944" xr:uid="{569BE16F-CD0F-4EEE-8A20-38188AD8B236}"/>
    <cellStyle name="Pattern 3 4 2 62" xfId="30350" xr:uid="{30852E33-38BC-440B-8268-64F13B69C8E8}"/>
    <cellStyle name="Pattern 3 4 2 63" xfId="30767" xr:uid="{CDD4F08D-419E-4978-9F3A-15C9F70EDC37}"/>
    <cellStyle name="Pattern 3 4 2 64" xfId="28044" xr:uid="{DC5997B2-5992-46AF-888A-B25819E33C69}"/>
    <cellStyle name="Pattern 3 4 2 65" xfId="31383" xr:uid="{A05601EF-1695-4E20-852F-7F69639DA5F0}"/>
    <cellStyle name="Pattern 3 4 2 7" xfId="4166" xr:uid="{55EB7A40-F9A5-44BF-BBA4-C4E6579645ED}"/>
    <cellStyle name="Pattern 3 4 2 8" xfId="4603" xr:uid="{C1395CDD-3BD2-4482-9B34-27D12215CDC0}"/>
    <cellStyle name="Pattern 3 4 2 9" xfId="3207" xr:uid="{5CB8F5E4-513C-4E00-AE2C-91279D119CB8}"/>
    <cellStyle name="Pattern 3 4 20" xfId="10195" xr:uid="{1DDEF20A-DE1D-4728-894F-AEA564BB56A9}"/>
    <cellStyle name="Pattern 3 4 21" xfId="10599" xr:uid="{2A73608D-5927-4A2C-8318-F87E01820466}"/>
    <cellStyle name="Pattern 3 4 22" xfId="9155" xr:uid="{AEDD5EEA-18CA-4623-8C7B-E1F4609EAD41}"/>
    <cellStyle name="Pattern 3 4 23" xfId="11222" xr:uid="{3B3140A3-E7FE-4697-9A89-3E107011D16F}"/>
    <cellStyle name="Pattern 3 4 24" xfId="11986" xr:uid="{55CFD4DC-D989-4F08-BD9B-B0F82ADAB88B}"/>
    <cellStyle name="Pattern 3 4 25" xfId="12459" xr:uid="{ED5A1B94-A68B-46F7-A2EB-3FC5F0F46BC6}"/>
    <cellStyle name="Pattern 3 4 26" xfId="12893" xr:uid="{CA41FA77-DDBE-44FC-A57B-970BDF6E9AD3}"/>
    <cellStyle name="Pattern 3 4 27" xfId="13330" xr:uid="{FEADCD2B-5666-477E-BEF8-C6EF05B86BA4}"/>
    <cellStyle name="Pattern 3 4 28" xfId="11576" xr:uid="{AEB044A4-AFC8-4865-BF67-03F9488E1867}"/>
    <cellStyle name="Pattern 3 4 29" xfId="11683" xr:uid="{45DA09FB-AF89-4B79-B1EB-9C85B4B04A0B}"/>
    <cellStyle name="Pattern 3 4 3" xfId="1116" xr:uid="{DEA36F18-F908-4B6D-BBF9-61263C26B28B}"/>
    <cellStyle name="Pattern 3 4 30" xfId="14082" xr:uid="{3E4526D6-CCB5-418D-9389-BF31BA83E943}"/>
    <cellStyle name="Pattern 3 4 31" xfId="15002" xr:uid="{E741E855-D4D0-414B-AFFA-4FDF94158C3A}"/>
    <cellStyle name="Pattern 3 4 32" xfId="13893" xr:uid="{2E534EE7-693E-4D90-9070-46EC1F6F041C}"/>
    <cellStyle name="Pattern 3 4 33" xfId="15958" xr:uid="{1F961009-DA86-46A7-AA7F-9051AD2C097C}"/>
    <cellStyle name="Pattern 3 4 34" xfId="16678" xr:uid="{86954631-2ACD-478E-A316-ACBCCCC1A49A}"/>
    <cellStyle name="Pattern 3 4 35" xfId="17316" xr:uid="{92F11274-DD01-4832-82E1-C7C49D3C8FE7}"/>
    <cellStyle name="Pattern 3 4 36" xfId="17759" xr:uid="{A8D570E3-0988-4F26-B436-1A3A8FEB5306}"/>
    <cellStyle name="Pattern 3 4 37" xfId="17190" xr:uid="{25F4AFB9-33D8-47DA-81EB-BF5F5B7961DB}"/>
    <cellStyle name="Pattern 3 4 38" xfId="18496" xr:uid="{E57E5597-B4C5-4924-8FD5-0174CEE7565D}"/>
    <cellStyle name="Pattern 3 4 39" xfId="17955" xr:uid="{1DCCC027-DBB8-429F-A59F-529315DE52D6}"/>
    <cellStyle name="Pattern 3 4 4" xfId="1520" xr:uid="{F2710DF2-74E6-4E2E-BA08-B1DFB53BF273}"/>
    <cellStyle name="Pattern 3 4 40" xfId="19141" xr:uid="{BADBED18-CCDE-49AE-8215-2ADE87C01535}"/>
    <cellStyle name="Pattern 3 4 41" xfId="20015" xr:uid="{86EC2053-B7B5-43F9-9957-96B5C4D99979}"/>
    <cellStyle name="Pattern 3 4 42" xfId="20667" xr:uid="{B8F73E80-48F1-44C9-AD77-3FB2A2B9B7EF}"/>
    <cellStyle name="Pattern 3 4 43" xfId="21123" xr:uid="{1D8ABD1B-B99F-4A66-AE64-9ADF1095BC5D}"/>
    <cellStyle name="Pattern 3 4 44" xfId="21380" xr:uid="{1A550A66-6CF8-4171-8BB4-4675FCC1BE2D}"/>
    <cellStyle name="Pattern 3 4 45" xfId="22055" xr:uid="{172D6DEF-DC2A-4DCF-A09C-C5E9544063AE}"/>
    <cellStyle name="Pattern 3 4 46" xfId="22483" xr:uid="{792623BD-6556-4E3E-8B13-D1F64E469AAE}"/>
    <cellStyle name="Pattern 3 4 47" xfId="21563" xr:uid="{48564371-DB07-4085-9378-9BF8174F45FB}"/>
    <cellStyle name="Pattern 3 4 48" xfId="22629" xr:uid="{948182A7-72CE-4261-A403-739C9E51088E}"/>
    <cellStyle name="Pattern 3 4 49" xfId="22794" xr:uid="{9B7212A3-6414-4170-9594-3D0AB9BC7136}"/>
    <cellStyle name="Pattern 3 4 5" xfId="2455" xr:uid="{4010F75E-178F-4124-A258-71548F58A086}"/>
    <cellStyle name="Pattern 3 4 50" xfId="23824" xr:uid="{520BB48A-4A7C-40A9-9906-E5D01AE88167}"/>
    <cellStyle name="Pattern 3 4 51" xfId="24723" xr:uid="{4DAD604F-635F-4CB6-8C75-F58553F335E1}"/>
    <cellStyle name="Pattern 3 4 52" xfId="25370" xr:uid="{6D59FE67-0C30-4DA9-A3D1-E354E697219F}"/>
    <cellStyle name="Pattern 3 4 53" xfId="25641" xr:uid="{BADBA8DE-DE9C-4081-963F-CF0B0A0C3631}"/>
    <cellStyle name="Pattern 3 4 54" xfId="24540" xr:uid="{CD5FF0D5-6E2E-4E82-9C9D-144CA05CCDB9}"/>
    <cellStyle name="Pattern 3 4 55" xfId="26459" xr:uid="{DDFF0153-9061-4BC1-A0C0-47699172772C}"/>
    <cellStyle name="Pattern 3 4 56" xfId="26931" xr:uid="{FCA94D13-B56F-4BDF-B476-CB056B710D1F}"/>
    <cellStyle name="Pattern 3 4 57" xfId="27350" xr:uid="{169E7068-1B8F-429B-955B-DD15CACD7B7A}"/>
    <cellStyle name="Pattern 3 4 58" xfId="27775" xr:uid="{F8197381-6B36-4FD7-9E3C-977EE80D1422}"/>
    <cellStyle name="Pattern 3 4 59" xfId="28473" xr:uid="{68F949CA-6E94-418F-8815-21725D0DDA52}"/>
    <cellStyle name="Pattern 3 4 6" xfId="2292" xr:uid="{1A42E386-3B92-47E8-8DF9-1A51F6176E56}"/>
    <cellStyle name="Pattern 3 4 60" xfId="28941" xr:uid="{06A02E4B-84C7-4EC0-8200-73BF1E467CC4}"/>
    <cellStyle name="Pattern 3 4 61" xfId="29492" xr:uid="{56D74136-217C-4FEA-9194-BC1534B341F0}"/>
    <cellStyle name="Pattern 3 4 62" xfId="29731" xr:uid="{C396F9A3-7461-4514-AF7C-8878B4D2AD6C}"/>
    <cellStyle name="Pattern 3 4 63" xfId="30139" xr:uid="{96C77C5F-0157-4E03-8EF7-D96D710D2EAE}"/>
    <cellStyle name="Pattern 3 4 64" xfId="30553" xr:uid="{767A87D8-339E-4065-8CC9-6699C9ABF0E3}"/>
    <cellStyle name="Pattern 3 4 65" xfId="30871" xr:uid="{A66B4D3B-357A-45B2-9154-C7C4CC93CED2}"/>
    <cellStyle name="Pattern 3 4 66" xfId="31177" xr:uid="{2E1FF9DA-9540-4491-A3B0-B94D54F2E87A}"/>
    <cellStyle name="Pattern 3 4 7" xfId="2199" xr:uid="{50DD4EB1-F16C-4B1B-ABC7-6816C628F8A4}"/>
    <cellStyle name="Pattern 3 4 8" xfId="3951" xr:uid="{63000D21-CA7E-4B16-831D-28AE2E2EAED5}"/>
    <cellStyle name="Pattern 3 4 9" xfId="4389" xr:uid="{6CBD404A-D860-4C26-9156-2C7B1B27B52A}"/>
    <cellStyle name="Pattern 3 40" xfId="16272" xr:uid="{A52ABEBD-92EF-4D30-9727-9BA9AE32B42B}"/>
    <cellStyle name="Pattern 3 41" xfId="18365" xr:uid="{A9F1AB1D-D07D-4EF7-9169-AB6E83DABD5B}"/>
    <cellStyle name="Pattern 3 42" xfId="19274" xr:uid="{C904C6F0-FF53-4B9E-A74D-C81BDC54BF1D}"/>
    <cellStyle name="Pattern 3 43" xfId="19667" xr:uid="{29BA1FA3-E606-4283-B712-25B166735884}"/>
    <cellStyle name="Pattern 3 44" xfId="20310" xr:uid="{5EBA7DCC-E8B4-449B-8EC4-7645364A863C}"/>
    <cellStyle name="Pattern 3 45" xfId="19781" xr:uid="{C27BC85E-9954-43A8-A135-4C2A428770E4}"/>
    <cellStyle name="Pattern 3 46" xfId="20820" xr:uid="{AB5736FB-E968-4D11-B53D-D462AC0C18C4}"/>
    <cellStyle name="Pattern 3 47" xfId="21392" xr:uid="{A3DD8164-4B06-42F5-A3CD-13F3A4C295B3}"/>
    <cellStyle name="Pattern 3 48" xfId="21735" xr:uid="{89FEA0C1-AA32-4C1C-B4E5-FC66A5D9D4EA}"/>
    <cellStyle name="Pattern 3 49" xfId="22507" xr:uid="{5EE46BFC-31FA-44CC-9B52-B9B401ECF5DC}"/>
    <cellStyle name="Pattern 3 5" xfId="958" xr:uid="{5D613BE5-53BE-4354-B5F1-9465314F12CF}"/>
    <cellStyle name="Pattern 3 50" xfId="22839" xr:uid="{B2B1AEA2-4E99-4C71-96F4-EAB38577A34E}"/>
    <cellStyle name="Pattern 3 51" xfId="23616" xr:uid="{EECB5F89-82D3-44AA-8E0C-767A68EAB929}"/>
    <cellStyle name="Pattern 3 52" xfId="23242" xr:uid="{CF636219-CB5B-483F-9A0B-47306E9C3088}"/>
    <cellStyle name="Pattern 3 53" xfId="24387" xr:uid="{6131783F-AA13-44C6-8EA6-A584E13BF56F}"/>
    <cellStyle name="Pattern 3 54" xfId="24322" xr:uid="{E0C6B378-2CD7-4A4D-B2E7-8454587F921D}"/>
    <cellStyle name="Pattern 3 55" xfId="25025" xr:uid="{1E95968A-6C80-47A2-A902-13732E7A8B3C}"/>
    <cellStyle name="Pattern 3 56" xfId="25471" xr:uid="{9FAD77AE-97CC-4A34-A015-E5815A274CD4}"/>
    <cellStyle name="Pattern 3 57" xfId="26279" xr:uid="{9086FC0B-AE6F-4E6D-A821-F76C0F460F8D}"/>
    <cellStyle name="Pattern 3 58" xfId="26693" xr:uid="{7EF182DF-76C8-4149-A697-25E2AE30A488}"/>
    <cellStyle name="Pattern 3 59" xfId="26574" xr:uid="{E3B5FEA7-EA18-402D-8255-EEF9D2484D45}"/>
    <cellStyle name="Pattern 3 6" xfId="1384" xr:uid="{9D206C02-CF61-4E4A-8F8D-B1B90B358BAA}"/>
    <cellStyle name="Pattern 3 60" xfId="26796" xr:uid="{79E25753-2E61-4522-A119-C45D7A67AD85}"/>
    <cellStyle name="Pattern 3 61" xfId="28158" xr:uid="{4A15663F-96F2-4589-994C-FD22E3BA239B}"/>
    <cellStyle name="Pattern 3 62" xfId="27903" xr:uid="{FB494055-B460-42E3-88B3-937F264CFD56}"/>
    <cellStyle name="Pattern 3 63" xfId="27905" xr:uid="{5EA269A8-1A4E-4004-8950-A10958FA4FAA}"/>
    <cellStyle name="Pattern 3 64" xfId="29480" xr:uid="{81F8F131-AA37-40CB-92E8-DA78178C5DB3}"/>
    <cellStyle name="Pattern 3 65" xfId="29302" xr:uid="{0890E351-CB8E-452D-A279-CE6DC249CE91}"/>
    <cellStyle name="Pattern 3 66" xfId="28804" xr:uid="{2DB1F09D-C28D-43C9-904D-3333F6AAB906}"/>
    <cellStyle name="Pattern 3 67" xfId="29593" xr:uid="{0AC70B20-D5EF-4213-BBD8-66AEC163617B}"/>
    <cellStyle name="Pattern 3 68" xfId="28121" xr:uid="{CC03236F-A221-4FB3-8DF5-E4326D665A9E}"/>
    <cellStyle name="Pattern 3 7" xfId="2107" xr:uid="{9C26256E-4F82-49A0-A680-617A8A86BD21}"/>
    <cellStyle name="Pattern 3 8" xfId="1889" xr:uid="{9E0B53A7-67B0-438D-ADBA-27581B9AC043}"/>
    <cellStyle name="Pattern 3 9" xfId="2869" xr:uid="{B13DE4BB-F19C-4E19-9FF8-424469EA5078}"/>
    <cellStyle name="Percent 2" xfId="175" xr:uid="{5743DA0F-FD0A-4792-A1D8-702270D51E3A}"/>
    <cellStyle name="Percent 2 2" xfId="435" xr:uid="{9898A8BF-9052-4EE4-8718-F167827272E7}"/>
    <cellStyle name="Percent 2 2 2" xfId="2257" xr:uid="{7C01D562-FA6D-4D52-9E2C-90B262FA18B6}"/>
    <cellStyle name="Percent 2 3" xfId="2002" xr:uid="{D1147FC1-4E6A-45E5-8F4C-D9A2FDB19B21}"/>
    <cellStyle name="RowLevel_1 2" xfId="78" xr:uid="{32D02178-2ABF-40CB-8BFF-70A017243365}"/>
    <cellStyle name="Schlecht" xfId="176" xr:uid="{C538C48A-AC38-4EDB-BC2F-3D853080F0EE}"/>
    <cellStyle name="Shade" xfId="23" xr:uid="{E849B8D0-F8A7-44FE-ACC3-0642C34264C7}"/>
    <cellStyle name="Shade 2" xfId="177" xr:uid="{D0628454-8EAA-4B99-915A-B1E53E243572}"/>
    <cellStyle name="Shade 2 2" xfId="437" xr:uid="{70935452-8F65-48B8-AC4B-3A6DCB6B4AC6}"/>
    <cellStyle name="Shade 2 2 2" xfId="522" xr:uid="{0B819C83-97BE-49A0-AD1E-1A6C19D3D3CE}"/>
    <cellStyle name="Shade 2 2 2 10" xfId="4934" xr:uid="{45C01A22-DB36-415A-8D92-B22BCD40EE6F}"/>
    <cellStyle name="Shade 2 2 2 11" xfId="5170" xr:uid="{E69CFFAF-A6DE-4AE5-8088-95654525AA52}"/>
    <cellStyle name="Shade 2 2 2 12" xfId="5889" xr:uid="{673B81A9-705A-41E1-9AEF-794C63C28F14}"/>
    <cellStyle name="Shade 2 2 2 13" xfId="6171" xr:uid="{84ADB26C-935A-4076-90EF-6CC90648AA46}"/>
    <cellStyle name="Shade 2 2 2 14" xfId="6308" xr:uid="{D41C2D7F-4FBC-4616-8996-5135D670C91E}"/>
    <cellStyle name="Shade 2 2 2 15" xfId="7242" xr:uid="{19733E4A-FE26-4AA0-BBCA-BD11E35A178A}"/>
    <cellStyle name="Shade 2 2 2 16" xfId="7935" xr:uid="{92294D3B-89AD-4341-9054-96F004A0AD56}"/>
    <cellStyle name="Shade 2 2 2 17" xfId="7018" xr:uid="{E39CD652-F9ED-4F1A-9E92-A513B7885648}"/>
    <cellStyle name="Shade 2 2 2 18" xfId="8261" xr:uid="{D172AEA3-76D3-4D48-A1D8-3260766B0504}"/>
    <cellStyle name="Shade 2 2 2 19" xfId="9456" xr:uid="{24FE00FD-20EA-4D5F-9C06-76C01E919DAA}"/>
    <cellStyle name="Shade 2 2 2 2" xfId="737" xr:uid="{32C5B6C7-8F5C-4A75-82BD-F2AC474600CF}"/>
    <cellStyle name="Shade 2 2 2 2 10" xfId="5385" xr:uid="{53FF9DD0-D5CE-4820-B327-5F44608055CB}"/>
    <cellStyle name="Shade 2 2 2 2 11" xfId="4864" xr:uid="{9ED4A25F-8632-44CB-8DB5-49E67141BCBC}"/>
    <cellStyle name="Shade 2 2 2 2 12" xfId="5682" xr:uid="{90BBAC15-C338-47CD-9182-5ED72FFE1F15}"/>
    <cellStyle name="Shade 2 2 2 2 13" xfId="6299" xr:uid="{4C5EEB94-6824-4611-A156-BEC819AB2E22}"/>
    <cellStyle name="Shade 2 2 2 2 14" xfId="7457" xr:uid="{42E81123-AC29-426A-A543-6568F647037D}"/>
    <cellStyle name="Shade 2 2 2 2 15" xfId="6777" xr:uid="{B9C26ECE-79AC-4842-8468-BAE2BF5814B6}"/>
    <cellStyle name="Shade 2 2 2 2 16" xfId="8291" xr:uid="{E47E8C0F-C847-4317-9AF3-75BCDF69F5B2}"/>
    <cellStyle name="Shade 2 2 2 2 17" xfId="8749" xr:uid="{9EDE4590-96D5-43F5-88B5-6F52DC882B74}"/>
    <cellStyle name="Shade 2 2 2 2 18" xfId="9671" xr:uid="{A8091E99-1A55-4A42-A902-DA50420352D3}"/>
    <cellStyle name="Shade 2 2 2 2 19" xfId="8989" xr:uid="{803352BB-F7E5-402A-9219-F338604A5D59}"/>
    <cellStyle name="Shade 2 2 2 2 2" xfId="1211" xr:uid="{823AD568-E753-4F70-AB34-0D283B4979B4}"/>
    <cellStyle name="Shade 2 2 2 2 20" xfId="9970" xr:uid="{1B0AC6EC-68A1-460A-98D3-14FB479D1698}"/>
    <cellStyle name="Shade 2 2 2 2 21" xfId="9341" xr:uid="{AF448713-9443-4CF0-8F86-3C56F454213C}"/>
    <cellStyle name="Shade 2 2 2 2 22" xfId="10893" xr:uid="{55C259B7-4933-41CE-98F5-C818CB1065F8}"/>
    <cellStyle name="Shade 2 2 2 2 23" xfId="12090" xr:uid="{1E63E739-6BAE-4469-8B29-B560780A111B}"/>
    <cellStyle name="Shade 2 2 2 2 24" xfId="12563" xr:uid="{2F4878CD-E363-4A9C-A35E-1EB2767B3A02}"/>
    <cellStyle name="Shade 2 2 2 2 25" xfId="12997" xr:uid="{A24B469B-2C42-47CF-9AC0-1DF09519266B}"/>
    <cellStyle name="Shade 2 2 2 2 26" xfId="13434" xr:uid="{0D168154-0056-448C-A114-73CADA52EA15}"/>
    <cellStyle name="Shade 2 2 2 2 27" xfId="11768" xr:uid="{00111D1E-EC19-4D98-80A7-7B56DC21FBBE}"/>
    <cellStyle name="Shade 2 2 2 2 28" xfId="11838" xr:uid="{DAA87F2F-A5BA-46D3-A05A-9D489C4A97D1}"/>
    <cellStyle name="Shade 2 2 2 2 29" xfId="13975" xr:uid="{E106FD70-77E2-4D8B-8B83-5E2C5B6677E6}"/>
    <cellStyle name="Shade 2 2 2 2 3" xfId="1438" xr:uid="{735706EC-6C0D-4F7C-9FC7-5402C0799FAF}"/>
    <cellStyle name="Shade 2 2 2 2 30" xfId="14685" xr:uid="{38CED65A-6280-45A3-866C-5A53E4F10DF6}"/>
    <cellStyle name="Shade 2 2 2 2 31" xfId="15077" xr:uid="{973EF699-E936-4D50-8C52-D598F1DD1CD0}"/>
    <cellStyle name="Shade 2 2 2 2 32" xfId="15040" xr:uid="{D215B7F5-FF9A-4DD1-B217-573567237BC8}"/>
    <cellStyle name="Shade 2 2 2 2 33" xfId="16782" xr:uid="{67DB1B99-FE85-45D1-AC48-A6C8E45E7713}"/>
    <cellStyle name="Shade 2 2 2 2 34" xfId="16086" xr:uid="{DB9D39F1-40B2-48EF-B29A-A14849694AB3}"/>
    <cellStyle name="Shade 2 2 2 2 35" xfId="17086" xr:uid="{59FFFDE8-70C8-417A-A726-F5ACD816BEEF}"/>
    <cellStyle name="Shade 2 2 2 2 36" xfId="17705" xr:uid="{8C351C5C-4366-4E57-A075-038C4335B255}"/>
    <cellStyle name="Shade 2 2 2 2 37" xfId="18600" xr:uid="{1ECF0031-41F9-41BA-BA66-50E20FD4A081}"/>
    <cellStyle name="Shade 2 2 2 2 38" xfId="18847" xr:uid="{2E882217-CB84-4DFE-AC71-FF0A344E3247}"/>
    <cellStyle name="Shade 2 2 2 2 39" xfId="17749" xr:uid="{BB15FE80-B3F1-4A08-B245-9FC98FF2480F}"/>
    <cellStyle name="Shade 2 2 2 2 4" xfId="2559" xr:uid="{997DC743-2B4D-4DD9-A562-4504ED241546}"/>
    <cellStyle name="Shade 2 2 2 2 40" xfId="20119" xr:uid="{ABE40BF6-86AB-4050-87FE-3A03A1BE6394}"/>
    <cellStyle name="Shade 2 2 2 2 41" xfId="19419" xr:uid="{8E7C8C79-7995-4AD7-9D0C-A3EB4A6046F3}"/>
    <cellStyle name="Shade 2 2 2 2 42" xfId="19788" xr:uid="{85563389-ED4B-4AAF-A8E2-1F9799C7CBDF}"/>
    <cellStyle name="Shade 2 2 2 2 43" xfId="21109" xr:uid="{224720E3-F066-490F-9A2E-463D9FE0540F}"/>
    <cellStyle name="Shade 2 2 2 2 44" xfId="20940" xr:uid="{CD3699DF-5E0E-4EC5-BF03-1A7B6A69063B}"/>
    <cellStyle name="Shade 2 2 2 2 45" xfId="21823" xr:uid="{6C903667-78C2-4D15-B07A-0F37F516BB29}"/>
    <cellStyle name="Shade 2 2 2 2 46" xfId="21769" xr:uid="{9325D3B8-18E2-4B0E-BA8A-FA6895ECA5F0}"/>
    <cellStyle name="Shade 2 2 2 2 47" xfId="23123" xr:uid="{AE70593D-8169-4C89-897B-4293C061DEAE}"/>
    <cellStyle name="Shade 2 2 2 2 48" xfId="20904" xr:uid="{8DB1D398-9F3A-45AB-B46A-A1861AE6AB3F}"/>
    <cellStyle name="Shade 2 2 2 2 49" xfId="23919" xr:uid="{FE903D9A-5F47-4C57-A937-A39061DF934F}"/>
    <cellStyle name="Shade 2 2 2 2 5" xfId="2165" xr:uid="{FB24C879-0317-4767-800D-5B6E34C309B9}"/>
    <cellStyle name="Shade 2 2 2 2 50" xfId="24827" xr:uid="{8EA0B86E-985B-45CD-B8A8-506A9811CBC6}"/>
    <cellStyle name="Shade 2 2 2 2 51" xfId="24143" xr:uid="{1144A1F2-0616-41CB-918E-4E50DB2EADB7}"/>
    <cellStyle name="Shade 2 2 2 2 52" xfId="25743" xr:uid="{30E2FE8A-14CA-47EE-BF0F-E8C1168981B2}"/>
    <cellStyle name="Shade 2 2 2 2 53" xfId="24450" xr:uid="{1DEE39DD-9D6F-4AD4-BB14-2DC2EBF04808}"/>
    <cellStyle name="Shade 2 2 2 2 54" xfId="24525" xr:uid="{EFDECE70-273B-4A8A-8BF2-606DB3440AE2}"/>
    <cellStyle name="Shade 2 2 2 2 55" xfId="27031" xr:uid="{05D1A550-45D0-4359-8430-37B499503A4A}"/>
    <cellStyle name="Shade 2 2 2 2 56" xfId="27450" xr:uid="{F18C433D-0297-4AC0-A3F7-0C5B0A930EFE}"/>
    <cellStyle name="Shade 2 2 2 2 57" xfId="27647" xr:uid="{0F0BF782-EB21-48AF-9E8F-1B326A0DDA0B}"/>
    <cellStyle name="Shade 2 2 2 2 58" xfId="28577" xr:uid="{459AF642-0DAF-4C15-8215-C0EF32FBA67B}"/>
    <cellStyle name="Shade 2 2 2 2 59" xfId="29044" xr:uid="{2B7A86C7-6AD0-432C-A57F-492E76382F52}"/>
    <cellStyle name="Shade 2 2 2 2 6" xfId="3424" xr:uid="{51517E79-92C8-4999-A55C-022CC6FC4A95}"/>
    <cellStyle name="Shade 2 2 2 2 60" xfId="28207" xr:uid="{5F6D5984-BE03-435B-BA75-3701A662B67D}"/>
    <cellStyle name="Shade 2 2 2 2 61" xfId="29833" xr:uid="{351C86C5-2CBE-4053-B213-30798BFF81FE}"/>
    <cellStyle name="Shade 2 2 2 2 62" xfId="30239" xr:uid="{3972FC75-BA4D-465E-A346-D9584356AE90}"/>
    <cellStyle name="Shade 2 2 2 2 63" xfId="30656" xr:uid="{403A5CFE-D619-4E43-B7DB-F0F07843096D}"/>
    <cellStyle name="Shade 2 2 2 2 64" xfId="28763" xr:uid="{9A2F796C-32BB-457D-8656-9C2FD018A90D}"/>
    <cellStyle name="Shade 2 2 2 2 65" xfId="31272" xr:uid="{FDA7755E-5B2E-484B-B352-BCCACE42E7FD}"/>
    <cellStyle name="Shade 2 2 2 2 7" xfId="4055" xr:uid="{20C350F3-A6E9-4545-B013-3ED4D6036660}"/>
    <cellStyle name="Shade 2 2 2 2 8" xfId="4492" xr:uid="{EF5DFFF5-7905-4308-B46A-6468E72C064E}"/>
    <cellStyle name="Shade 2 2 2 2 9" xfId="3603" xr:uid="{9B681C4C-E351-438F-8F1C-E1A627A12A52}"/>
    <cellStyle name="Shade 2 2 2 20" xfId="10148" xr:uid="{D5685A5A-7D28-45FD-9635-8164B2953711}"/>
    <cellStyle name="Shade 2 2 2 21" xfId="10558" xr:uid="{6BC328FD-BFF8-436B-8F03-EEEDEAA1127C}"/>
    <cellStyle name="Shade 2 2 2 22" xfId="10363" xr:uid="{62F2E97F-E545-450C-8C45-2CAED9DE55EA}"/>
    <cellStyle name="Shade 2 2 2 23" xfId="11258" xr:uid="{1E469C33-CC17-45F9-B1F8-0A6BC4AB2DB8}"/>
    <cellStyle name="Shade 2 2 2 24" xfId="11875" xr:uid="{21BEC675-B8EA-4EAD-8541-6B12A67923E7}"/>
    <cellStyle name="Shade 2 2 2 25" xfId="12348" xr:uid="{B7540CB0-FFC4-42AD-BA67-CDCC030D87BB}"/>
    <cellStyle name="Shade 2 2 2 26" xfId="12782" xr:uid="{CB1DA998-32BA-49D2-8E0B-A856C283489D}"/>
    <cellStyle name="Shade 2 2 2 27" xfId="13219" xr:uid="{013273A7-1DB6-425A-A0BF-D704F3399BCB}"/>
    <cellStyle name="Shade 2 2 2 28" xfId="12736" xr:uid="{6044157B-046E-4587-8209-CC09BCF5A4D4}"/>
    <cellStyle name="Shade 2 2 2 29" xfId="14149" xr:uid="{5AF15689-6B52-4D5D-924B-6083AF11782E}"/>
    <cellStyle name="Shade 2 2 2 3" xfId="1005" xr:uid="{3F94DDC7-9DBE-4922-ABC3-000480373E63}"/>
    <cellStyle name="Shade 2 2 2 30" xfId="13971" xr:uid="{5255E5DC-DDF0-4126-B1B8-8113F44AA09D}"/>
    <cellStyle name="Shade 2 2 2 31" xfId="14619" xr:uid="{56A01D62-4E89-40ED-A3DD-422FF1FF8374}"/>
    <cellStyle name="Shade 2 2 2 32" xfId="14842" xr:uid="{10C32813-34BC-4B90-A966-6421ECF2EBAD}"/>
    <cellStyle name="Shade 2 2 2 33" xfId="15937" xr:uid="{85088D96-2E0D-40A3-A438-86B88199E93D}"/>
    <cellStyle name="Shade 2 2 2 34" xfId="16567" xr:uid="{A9E53572-B394-421F-85AE-F0D1B75EFD6C}"/>
    <cellStyle name="Shade 2 2 2 35" xfId="17268" xr:uid="{1A53C6FC-7792-4CF7-81B2-E98F8A6D9C08}"/>
    <cellStyle name="Shade 2 2 2 36" xfId="17712" xr:uid="{2237C856-3207-484C-B028-D3E720EF3C70}"/>
    <cellStyle name="Shade 2 2 2 37" xfId="18118" xr:uid="{AD034AF0-8213-421A-88F8-352B59F4149F}"/>
    <cellStyle name="Shade 2 2 2 38" xfId="18385" xr:uid="{5EC8F5C2-D27E-4C41-BAF1-4E516D98E483}"/>
    <cellStyle name="Shade 2 2 2 39" xfId="18182" xr:uid="{8B9E61C1-5C97-4DC1-9142-0527F0927ABB}"/>
    <cellStyle name="Shade 2 2 2 4" xfId="1747" xr:uid="{F52CBB5B-9513-4964-B6D3-10CA62DEDD63}"/>
    <cellStyle name="Shade 2 2 2 40" xfId="16947" xr:uid="{51B936C7-4758-4A4C-B792-39A111927327}"/>
    <cellStyle name="Shade 2 2 2 41" xfId="19904" xr:uid="{2A8A072C-E796-4EC3-B35C-7701E781C70A}"/>
    <cellStyle name="Shade 2 2 2 42" xfId="20618" xr:uid="{32E80FC3-F528-4155-80D9-B6E1476EFF67}"/>
    <cellStyle name="Shade 2 2 2 43" xfId="21073" xr:uid="{D24B17B0-0838-480A-B832-8FC7931A220C}"/>
    <cellStyle name="Shade 2 2 2 44" xfId="20643" xr:uid="{539F2F7E-C811-495D-81D6-A25BED1BA064}"/>
    <cellStyle name="Shade 2 2 2 45" xfId="22004" xr:uid="{A2896130-D99B-4177-8366-57A66F10D36D}"/>
    <cellStyle name="Shade 2 2 2 46" xfId="22435" xr:uid="{2B33AC72-1C2A-4E91-A2AA-812D2BE662A4}"/>
    <cellStyle name="Shade 2 2 2 47" xfId="21733" xr:uid="{C55FDA42-D1A7-40BB-B7B6-5240A13B3C24}"/>
    <cellStyle name="Shade 2 2 2 48" xfId="22875" xr:uid="{7B590065-4845-4AD1-9928-760B58DA52A9}"/>
    <cellStyle name="Shade 2 2 2 49" xfId="23045" xr:uid="{1EB018C5-A324-4E3E-BB20-3116BCD06F60}"/>
    <cellStyle name="Shade 2 2 2 5" xfId="2344" xr:uid="{33AAF958-78E1-4365-B354-719BA38A913D}"/>
    <cellStyle name="Shade 2 2 2 50" xfId="23713" xr:uid="{A7B0B4C6-F28A-499D-9E5D-7CC8E057F501}"/>
    <cellStyle name="Shade 2 2 2 51" xfId="24612" xr:uid="{DCB14B7A-187B-4420-ACE1-C303C47DE974}"/>
    <cellStyle name="Shade 2 2 2 52" xfId="25324" xr:uid="{69032EFD-56C7-476F-B75D-27F2E7D24D96}"/>
    <cellStyle name="Shade 2 2 2 53" xfId="25530" xr:uid="{385D4AAD-43FC-4C86-87F9-CB83DE703979}"/>
    <cellStyle name="Shade 2 2 2 54" xfId="25017" xr:uid="{00039FF4-6DE4-484E-9906-885A629EBF3A}"/>
    <cellStyle name="Shade 2 2 2 55" xfId="25258" xr:uid="{A06579C6-DA0B-49A8-B8AB-230D5539B28E}"/>
    <cellStyle name="Shade 2 2 2 56" xfId="26820" xr:uid="{FA633365-3A76-4C3E-A88B-50EF9A9D0B3F}"/>
    <cellStyle name="Shade 2 2 2 57" xfId="27239" xr:uid="{40F5E43F-DA0E-4097-A7A4-E9EE8EC98E59}"/>
    <cellStyle name="Shade 2 2 2 58" xfId="27771" xr:uid="{C307AA65-B366-4951-B566-293EEF5C6F26}"/>
    <cellStyle name="Shade 2 2 2 59" xfId="28362" xr:uid="{4665B3E7-145E-4D31-B407-43274C8B2823}"/>
    <cellStyle name="Shade 2 2 2 6" xfId="2223" xr:uid="{F53AA942-2334-4F38-9151-632227041AF0}"/>
    <cellStyle name="Shade 2 2 2 60" xfId="28830" xr:uid="{E756AAC8-536B-4178-BCD0-0C4C0D46EC02}"/>
    <cellStyle name="Shade 2 2 2 61" xfId="29447" xr:uid="{DA33DD1A-F523-4ECC-BE5A-929B0EE5CD79}"/>
    <cellStyle name="Shade 2 2 2 62" xfId="29620" xr:uid="{19B9292A-071F-4871-9654-7F9713290969}"/>
    <cellStyle name="Shade 2 2 2 63" xfId="30028" xr:uid="{B25D9F72-7B28-43EC-9127-0C1BA6D2D92F}"/>
    <cellStyle name="Shade 2 2 2 64" xfId="30442" xr:uid="{543462B5-2355-447A-9C79-912CD86F10C9}"/>
    <cellStyle name="Shade 2 2 2 65" xfId="30899" xr:uid="{D714DCDC-C0A5-4B21-B96D-496A71FF97C3}"/>
    <cellStyle name="Shade 2 2 2 66" xfId="31066" xr:uid="{AF9F7F26-4D08-422D-9FE1-A3C13BB30465}"/>
    <cellStyle name="Shade 2 2 2 7" xfId="3205" xr:uid="{4AE1AEA1-9A1C-4FA9-958A-3216E15FFB0C}"/>
    <cellStyle name="Shade 2 2 2 8" xfId="3840" xr:uid="{8512E6A8-98EB-4D38-ACDF-860A412738FD}"/>
    <cellStyle name="Shade 2 2 2 9" xfId="4278" xr:uid="{05ABBA2A-8A53-49B8-ADC2-EBE4DB07F956}"/>
    <cellStyle name="Shade 2 2 3" xfId="725" xr:uid="{E5236990-8CE1-465B-92BB-6236E274B5D3}"/>
    <cellStyle name="Shade 2 2 3 10" xfId="5373" xr:uid="{017193EC-DE31-429D-B332-03A3A37CE1B8}"/>
    <cellStyle name="Shade 2 2 3 11" xfId="5669" xr:uid="{E9C2E64C-B5BD-4CF6-8B5D-CCA6A7772F82}"/>
    <cellStyle name="Shade 2 2 3 12" xfId="5991" xr:uid="{D008472F-492F-434F-A02B-5EAF66AE28E0}"/>
    <cellStyle name="Shade 2 2 3 13" xfId="5895" xr:uid="{3E298C1F-A17E-4B99-B3AC-3988788AE605}"/>
    <cellStyle name="Shade 2 2 3 14" xfId="7445" xr:uid="{D1772CB6-B5F7-43E8-8C28-B4F24685A76B}"/>
    <cellStyle name="Shade 2 2 3 15" xfId="7780" xr:uid="{1C550313-2165-4D70-A97B-E7A544479166}"/>
    <cellStyle name="Shade 2 2 3 16" xfId="8583" xr:uid="{6763E3D8-32BE-4559-B457-E7B48534D2EE}"/>
    <cellStyle name="Shade 2 2 3 17" xfId="8731" xr:uid="{9D774F12-60B6-435F-A04E-B5A7777907DD}"/>
    <cellStyle name="Shade 2 2 3 18" xfId="9659" xr:uid="{90780A45-6A0B-4006-B01C-E91318B1256A}"/>
    <cellStyle name="Shade 2 2 3 19" xfId="9993" xr:uid="{CC14B75D-C686-44D0-A8AA-2922F1C99B97}"/>
    <cellStyle name="Shade 2 2 3 2" xfId="1199" xr:uid="{39404AB0-5B6B-4E18-AB7E-26ACAC84A92B}"/>
    <cellStyle name="Shade 2 2 3 20" xfId="10418" xr:uid="{1F01FB29-7B64-4EA7-B80A-0FA1CFAEF77A}"/>
    <cellStyle name="Shade 2 2 3 21" xfId="10919" xr:uid="{286AB448-2F2A-436F-8E15-CC557CB8AB61}"/>
    <cellStyle name="Shade 2 2 3 22" xfId="10774" xr:uid="{04738168-4E4F-4393-9BE1-4A789303A7AF}"/>
    <cellStyle name="Shade 2 2 3 23" xfId="12078" xr:uid="{DA101CD3-9D33-4277-BD52-80B08BF620F7}"/>
    <cellStyle name="Shade 2 2 3 24" xfId="12551" xr:uid="{BA8D399E-2B38-4A67-A790-E32BE367D141}"/>
    <cellStyle name="Shade 2 2 3 25" xfId="12985" xr:uid="{BD22AA7D-EFBC-439E-AE6D-C9E8ECC7719F}"/>
    <cellStyle name="Shade 2 2 3 26" xfId="13422" xr:uid="{17867912-C7A8-4257-BCFB-CD2594D3D9DE}"/>
    <cellStyle name="Shade 2 2 3 27" xfId="11698" xr:uid="{301DBC5D-65C8-49BF-8D50-8426DABC00C3}"/>
    <cellStyle name="Shade 2 2 3 28" xfId="13922" xr:uid="{ED27E95D-0863-4381-91F5-B328FDD4ABD8}"/>
    <cellStyle name="Shade 2 2 3 29" xfId="14647" xr:uid="{B0E90201-208F-4897-AB8A-C0E800A34A98}"/>
    <cellStyle name="Shade 2 2 3 3" xfId="1544" xr:uid="{F2036736-214C-479F-82EB-4400E1486042}"/>
    <cellStyle name="Shade 2 2 3 30" xfId="14611" xr:uid="{D614449F-374F-44FF-8430-CB89995FC2E7}"/>
    <cellStyle name="Shade 2 2 3 31" xfId="15660" xr:uid="{3F30E9A2-6B2F-4428-8026-072DA44FB5FB}"/>
    <cellStyle name="Shade 2 2 3 32" xfId="15849" xr:uid="{5137A40C-2608-48CE-86B1-EA6247579FD9}"/>
    <cellStyle name="Shade 2 2 3 33" xfId="16770" xr:uid="{250A0DEF-93E4-4341-9119-028D13AE0F2F}"/>
    <cellStyle name="Shade 2 2 3 34" xfId="17109" xr:uid="{8F0BBE45-D687-48C7-B42F-885EAE29AECE}"/>
    <cellStyle name="Shade 2 2 3 35" xfId="17556" xr:uid="{7EBC9F68-796B-400B-A752-FCCE5C7CF9E5}"/>
    <cellStyle name="Shade 2 2 3 36" xfId="17994" xr:uid="{46353925-6CE3-47A1-9407-C185A54B689E}"/>
    <cellStyle name="Shade 2 2 3 37" xfId="18588" xr:uid="{6D3AF8D6-09F7-48BB-9C26-0F907952703A}"/>
    <cellStyle name="Shade 2 2 3 38" xfId="18822" xr:uid="{649B586E-CD12-4C1F-94DA-E1446852CEE5}"/>
    <cellStyle name="Shade 2 2 3 39" xfId="19297" xr:uid="{D31303C8-E79E-4DAB-AA06-EC1125C3F63F}"/>
    <cellStyle name="Shade 2 2 3 4" xfId="2547" xr:uid="{78C4A236-7A9E-48B5-8B26-25C87343BBB4}"/>
    <cellStyle name="Shade 2 2 3 40" xfId="20107" xr:uid="{32C9ADDE-B0F3-4859-BAF8-837021FB25B1}"/>
    <cellStyle name="Shade 2 2 3 41" xfId="20462" xr:uid="{95D1D113-EBD4-47BC-AB77-E1E8E42BF98B}"/>
    <cellStyle name="Shade 2 2 3 42" xfId="20915" xr:uid="{8094E6C8-E354-4016-9081-31655BCD780E}"/>
    <cellStyle name="Shade 2 2 3 43" xfId="21548" xr:uid="{1A2A0FAF-A359-4E19-8499-5958A7FD1038}"/>
    <cellStyle name="Shade 2 2 3 44" xfId="21844" xr:uid="{16BE582F-6B26-486F-BDC6-E39A976FD135}"/>
    <cellStyle name="Shade 2 2 3 45" xfId="22281" xr:uid="{AF7724D4-7840-46C0-B8F4-3C52710D74A7}"/>
    <cellStyle name="Shade 2 2 3 46" xfId="22448" xr:uid="{D098945C-3BE9-41BF-A35D-45DC4FB0B525}"/>
    <cellStyle name="Shade 2 2 3 47" xfId="23093" xr:uid="{605F8A0A-30B9-446B-ABFC-774E3F481B25}"/>
    <cellStyle name="Shade 2 2 3 48" xfId="23487" xr:uid="{6EBB08D3-84F7-4665-A932-777E0EB70472}"/>
    <cellStyle name="Shade 2 2 3 49" xfId="23907" xr:uid="{50325F4F-F76F-4888-8BCE-B60F027D4E2A}"/>
    <cellStyle name="Shade 2 2 3 5" xfId="2286" xr:uid="{CD41FF8C-D585-4915-9BF5-D3656B5F2C7B}"/>
    <cellStyle name="Shade 2 2 3 50" xfId="24815" xr:uid="{0A8611BF-BAF4-4B31-A723-E349DFEB69F5}"/>
    <cellStyle name="Shade 2 2 3 51" xfId="25170" xr:uid="{6BCE4908-45BB-4430-B9D9-F803BFAA2FBC}"/>
    <cellStyle name="Shade 2 2 3 52" xfId="25731" xr:uid="{E37471FD-4AFB-4855-B103-2055CBA0087F}"/>
    <cellStyle name="Shade 2 2 3 53" xfId="24279" xr:uid="{3CB21167-B38D-445E-B3B2-D4A27CD36F44}"/>
    <cellStyle name="Shade 2 2 3 54" xfId="26380" xr:uid="{81801E8D-C699-4670-85D6-198080647A26}"/>
    <cellStyle name="Shade 2 2 3 55" xfId="27019" xr:uid="{E1307520-72C0-4398-B752-B8EFEB258EE3}"/>
    <cellStyle name="Shade 2 2 3 56" xfId="27438" xr:uid="{B9F25FA2-1DA0-4BCB-97B0-195B58A68698}"/>
    <cellStyle name="Shade 2 2 3 57" xfId="27744" xr:uid="{314A288C-ED02-4A9E-82EA-725564F506B9}"/>
    <cellStyle name="Shade 2 2 3 58" xfId="28565" xr:uid="{71F18B47-1788-49BA-8B6B-25BACF4C5003}"/>
    <cellStyle name="Shade 2 2 3 59" xfId="29032" xr:uid="{6BC3477F-4734-401B-B2EA-5A34A9FD4028}"/>
    <cellStyle name="Shade 2 2 3 6" xfId="3478" xr:uid="{CCFD3A29-9B65-4863-8D47-667516C9F206}"/>
    <cellStyle name="Shade 2 2 3 60" xfId="29317" xr:uid="{09EE45B2-5A4F-495E-9DD6-CF8658DB30F9}"/>
    <cellStyle name="Shade 2 2 3 61" xfId="29821" xr:uid="{723CD109-DD53-4B14-BF1E-6CFFEA56C9C6}"/>
    <cellStyle name="Shade 2 2 3 62" xfId="30227" xr:uid="{8961245D-6BCC-4C1B-914B-5A2E01048653}"/>
    <cellStyle name="Shade 2 2 3 63" xfId="30644" xr:uid="{8C6636DE-D6EB-42D3-8BBD-9371395920A6}"/>
    <cellStyle name="Shade 2 2 3 64" xfId="29285" xr:uid="{5C6256A0-C2F4-4EDD-A093-13E79A8F1EA5}"/>
    <cellStyle name="Shade 2 2 3 65" xfId="31260" xr:uid="{68BF8960-403C-4790-BCB0-8BD69ADA2A13}"/>
    <cellStyle name="Shade 2 2 3 7" xfId="4043" xr:uid="{1E410E40-D679-4EA5-BF34-09B494304832}"/>
    <cellStyle name="Shade 2 2 3 8" xfId="4480" xr:uid="{2477F1A1-3D8D-4836-8077-2AF35DBD7985}"/>
    <cellStyle name="Shade 2 2 3 9" xfId="3284" xr:uid="{D4B34946-6C6C-4E00-8E38-D4E7D5FB1E8E}"/>
    <cellStyle name="Shade 2 3" xfId="285" xr:uid="{E4062FAF-8378-44C3-B78C-03F0AFE5A677}"/>
    <cellStyle name="Shade 2 3 10" xfId="3739" xr:uid="{23986F67-F369-43EC-AE63-4BABC46BE305}"/>
    <cellStyle name="Shade 2 3 11" xfId="3762" xr:uid="{E06705AF-FCCF-4BAC-8FF8-8647271A909C}"/>
    <cellStyle name="Shade 2 3 12" xfId="3434" xr:uid="{CBFD3317-595D-4B21-BA37-F27DA7B0140D}"/>
    <cellStyle name="Shade 2 3 13" xfId="4247" xr:uid="{586A4D05-5360-44BB-8EA1-A0AD009E158E}"/>
    <cellStyle name="Shade 2 3 14" xfId="5963" xr:uid="{094C67DB-AFD6-4F84-92E4-5132F92FC268}"/>
    <cellStyle name="Shade 2 3 15" xfId="4996" xr:uid="{F3FA7159-6695-4EDE-8C24-92D2649F41C5}"/>
    <cellStyle name="Shade 2 3 16" xfId="6196" xr:uid="{A30A2372-34DD-4714-8B05-AB1E84142B2E}"/>
    <cellStyle name="Shade 2 3 17" xfId="7015" xr:uid="{70F1DA26-A30C-423F-8562-30F02E43B9EA}"/>
    <cellStyle name="Shade 2 3 18" xfId="7635" xr:uid="{17E84D31-AF38-49A6-A502-B24932B8DB15}"/>
    <cellStyle name="Shade 2 3 19" xfId="7962" xr:uid="{739C091C-FEE7-43A6-AB0F-A4250A832A52}"/>
    <cellStyle name="Shade 2 3 2" xfId="622" xr:uid="{EF1E13FE-E389-47EA-9494-E6C9757FFF12}"/>
    <cellStyle name="Shade 2 3 2 10" xfId="5045" xr:uid="{F50E2DBF-83E9-4A0F-A100-A158F3D1047B}"/>
    <cellStyle name="Shade 2 3 2 11" xfId="5270" xr:uid="{29BF830D-2E2C-4457-B207-7685DFC2236D}"/>
    <cellStyle name="Shade 2 3 2 12" xfId="4703" xr:uid="{7124BE0C-AC74-4CF6-9EF9-A52A86644565}"/>
    <cellStyle name="Shade 2 3 2 13" xfId="6107" xr:uid="{618592A0-A6FF-4F10-A18F-E8A484EA6F97}"/>
    <cellStyle name="Shade 2 3 2 14" xfId="6403" xr:uid="{86E8B37A-CDF9-4834-B249-9D8DD6B9DAA1}"/>
    <cellStyle name="Shade 2 3 2 15" xfId="7342" xr:uid="{71FF9588-01F5-442C-BF13-A2CCF5081DFA}"/>
    <cellStyle name="Shade 2 3 2 16" xfId="7161" xr:uid="{34955ABE-4904-467A-8EBE-DC35B61D5BB8}"/>
    <cellStyle name="Shade 2 3 2 17" xfId="8488" xr:uid="{E98A6324-03F3-4406-AAF6-8A4EE7829185}"/>
    <cellStyle name="Shade 2 3 2 18" xfId="8734" xr:uid="{4636F438-943A-4832-9AAA-D86E0321710F}"/>
    <cellStyle name="Shade 2 3 2 19" xfId="9556" xr:uid="{9D5E75A3-293C-4D3C-B767-1B9CF74C0FDB}"/>
    <cellStyle name="Shade 2 3 2 2" xfId="837" xr:uid="{28646B67-6634-4A8B-A55C-A7760EA577E6}"/>
    <cellStyle name="Shade 2 3 2 2 10" xfId="5485" xr:uid="{3537BF07-AA32-4E7E-BA4C-B72D8713653D}"/>
    <cellStyle name="Shade 2 3 2 2 11" xfId="4961" xr:uid="{E3F3978A-E865-49FB-AA5B-762D0CCEB26A}"/>
    <cellStyle name="Shade 2 3 2 2 12" xfId="2030" xr:uid="{23C55846-E657-4A60-84DD-042092A56204}"/>
    <cellStyle name="Shade 2 3 2 2 13" xfId="6338" xr:uid="{A6EEE4E5-7DE1-457E-866A-95B1553AF5FF}"/>
    <cellStyle name="Shade 2 3 2 2 14" xfId="7557" xr:uid="{1A14B601-80E8-41D8-BCE6-43E3E9F967FA}"/>
    <cellStyle name="Shade 2 3 2 2 15" xfId="7919" xr:uid="{34D0AB4A-E55D-48AE-B2F9-3A737EC40E0D}"/>
    <cellStyle name="Shade 2 3 2 2 16" xfId="7852" xr:uid="{DB4A1877-20A7-4430-8B56-58C75FDA42E2}"/>
    <cellStyle name="Shade 2 3 2 2 17" xfId="6910" xr:uid="{395C020E-69DB-476A-8931-FDB2A5D99523}"/>
    <cellStyle name="Shade 2 3 2 2 18" xfId="9771" xr:uid="{C0521A90-2F27-46B4-B63F-63B4A02E0599}"/>
    <cellStyle name="Shade 2 3 2 2 19" xfId="10133" xr:uid="{CCF52CC8-F920-41C5-8767-6F55AE416937}"/>
    <cellStyle name="Shade 2 3 2 2 2" xfId="1311" xr:uid="{6A6C3661-8D77-454E-A425-09DE937FC7CE}"/>
    <cellStyle name="Shade 2 3 2 2 20" xfId="10543" xr:uid="{F730244D-2030-4CB2-BA6E-CBA0B7D26ED2}"/>
    <cellStyle name="Shade 2 3 2 2 21" xfId="10326" xr:uid="{30FD75CF-2D0F-40E0-9AC1-E6143FE717A2}"/>
    <cellStyle name="Shade 2 3 2 2 22" xfId="11271" xr:uid="{23DF7B5F-AF5E-4AB4-BD5B-D43B50CC54E0}"/>
    <cellStyle name="Shade 2 3 2 2 23" xfId="12190" xr:uid="{509A2132-DCAF-46E6-8E1E-BAA7D68775C9}"/>
    <cellStyle name="Shade 2 3 2 2 24" xfId="12663" xr:uid="{71A86105-DE42-4BE3-9C35-045D4253758B}"/>
    <cellStyle name="Shade 2 3 2 2 25" xfId="13097" xr:uid="{167E9FF3-587A-4809-91C0-D0CF1FA7F022}"/>
    <cellStyle name="Shade 2 3 2 2 26" xfId="13534" xr:uid="{1F149B54-806B-4362-9675-A7D5767067C0}"/>
    <cellStyle name="Shade 2 3 2 2 27" xfId="13175" xr:uid="{595B5FD5-2FF8-40A8-BA6B-4273E1E76EE8}"/>
    <cellStyle name="Shade 2 3 2 2 28" xfId="13729" xr:uid="{A02FE319-C514-45A9-BDC3-7282290DE9D4}"/>
    <cellStyle name="Shade 2 3 2 2 29" xfId="14782" xr:uid="{198EAE70-64D4-4744-83AD-02E7C66F0F89}"/>
    <cellStyle name="Shade 2 3 2 2 3" xfId="1760" xr:uid="{AF7D528D-2843-458F-83A9-D7027448F74D}"/>
    <cellStyle name="Shade 2 3 2 2 30" xfId="15021" xr:uid="{E911ED63-7D91-4DE3-9472-ECD906440001}"/>
    <cellStyle name="Shade 2 3 2 2 31" xfId="14625" xr:uid="{D34BF55B-F651-460D-811F-685D28D56EB1}"/>
    <cellStyle name="Shade 2 3 2 2 32" xfId="15927" xr:uid="{B2CA03AC-3DEC-4D1C-9F50-3BD28FF93E6B}"/>
    <cellStyle name="Shade 2 3 2 2 33" xfId="16882" xr:uid="{1AFDB904-C806-478B-A802-B46FADD4001D}"/>
    <cellStyle name="Shade 2 3 2 2 34" xfId="17252" xr:uid="{AD44AFE2-3EDE-49CD-BF30-DE1D6CC1FDBC}"/>
    <cellStyle name="Shade 2 3 2 2 35" xfId="17696" xr:uid="{177EA29C-1E8A-4FE0-80AE-8E897CF9AB5F}"/>
    <cellStyle name="Shade 2 3 2 2 36" xfId="17893" xr:uid="{F3EB4DEC-C8CA-4A64-820E-CAD8798A7A60}"/>
    <cellStyle name="Shade 2 3 2 2 37" xfId="18700" xr:uid="{C9362E3A-6847-48D3-8B7A-8C4C830A8F58}"/>
    <cellStyle name="Shade 2 3 2 2 38" xfId="16478" xr:uid="{75CAD61D-7B23-4C79-8850-C9A17BC3AA84}"/>
    <cellStyle name="Shade 2 3 2 2 39" xfId="18230" xr:uid="{175F579E-3C0C-4D48-B48A-2227B0E1ED7C}"/>
    <cellStyle name="Shade 2 3 2 2 4" xfId="2659" xr:uid="{7F6A767B-0ED3-47EA-A53F-50DA3509190C}"/>
    <cellStyle name="Shade 2 3 2 2 40" xfId="20219" xr:uid="{4C1E7CF0-D56B-4803-A105-B2F1F342BAEE}"/>
    <cellStyle name="Shade 2 3 2 2 41" xfId="20602" xr:uid="{3C823705-E92D-427B-9236-D90727CEE92E}"/>
    <cellStyle name="Shade 2 3 2 2 42" xfId="21057" xr:uid="{7D2229C8-4B2B-4688-9236-DB154CE831D3}"/>
    <cellStyle name="Shade 2 3 2 2 43" xfId="21596" xr:uid="{265F2854-CAB1-4D8D-B4C6-E5A9A2B0A97E}"/>
    <cellStyle name="Shade 2 3 2 2 44" xfId="21988" xr:uid="{3ABBA959-DC13-42BD-9AC6-C450561890D6}"/>
    <cellStyle name="Shade 2 3 2 2 45" xfId="22419" xr:uid="{BBCD1F80-C6AD-4C07-BE3F-320B85375DAC}"/>
    <cellStyle name="Shade 2 3 2 2 46" xfId="22558" xr:uid="{553C5F6B-EE29-4247-A9D3-CD55304C8DBB}"/>
    <cellStyle name="Shade 2 3 2 2 47" xfId="22559" xr:uid="{4863DF1E-F67D-48F0-9D48-84F99BD3C978}"/>
    <cellStyle name="Shade 2 3 2 2 48" xfId="22640" xr:uid="{8224B6E6-19A8-433A-9D71-0BE745BC361C}"/>
    <cellStyle name="Shade 2 3 2 2 49" xfId="24019" xr:uid="{6D0BA4DC-1ACD-4176-80C2-352422F89C11}"/>
    <cellStyle name="Shade 2 3 2 2 5" xfId="2288" xr:uid="{9B79973E-F6E3-4825-8E60-9FB03A44AFE3}"/>
    <cellStyle name="Shade 2 3 2 2 50" xfId="24927" xr:uid="{15244D0E-329A-4471-9370-6D3C18F80DA4}"/>
    <cellStyle name="Shade 2 3 2 2 51" xfId="25311" xr:uid="{589E7453-358B-4C90-A153-A2C7733EA839}"/>
    <cellStyle name="Shade 2 3 2 2 52" xfId="25843" xr:uid="{0F455744-30D6-4259-B614-EF80D73288EF}"/>
    <cellStyle name="Shade 2 3 2 2 53" xfId="25165" xr:uid="{247DB421-0A9C-4536-B0C8-1B600B6F3B13}"/>
    <cellStyle name="Shade 2 3 2 2 54" xfId="26666" xr:uid="{59BDC81C-748E-4B1C-9C61-9A3EA32A70FA}"/>
    <cellStyle name="Shade 2 3 2 2 55" xfId="27131" xr:uid="{609DE480-3B77-44EE-A5A2-F944EF0E4C29}"/>
    <cellStyle name="Shade 2 3 2 2 56" xfId="27550" xr:uid="{943E7C21-3772-4B3E-ADA1-EB4AE4BABD86}"/>
    <cellStyle name="Shade 2 3 2 2 57" xfId="27748" xr:uid="{CBC64449-1E42-4D82-AB37-5CA2A434FFA4}"/>
    <cellStyle name="Shade 2 3 2 2 58" xfId="28677" xr:uid="{1F12F5D2-B7CB-4235-8F22-DAB78186A3AA}"/>
    <cellStyle name="Shade 2 3 2 2 59" xfId="29144" xr:uid="{D0FC9B40-DBEE-4F54-B30E-5735B708185D}"/>
    <cellStyle name="Shade 2 3 2 2 6" xfId="3445" xr:uid="{8B4C38D8-4C92-4A0F-8FF8-313D090798FF}"/>
    <cellStyle name="Shade 2 3 2 2 60" xfId="29433" xr:uid="{6F66BDE1-FB7E-43B7-BA6C-3E0B24447874}"/>
    <cellStyle name="Shade 2 3 2 2 61" xfId="29933" xr:uid="{29268408-35E3-408C-B148-B3E9102E87FE}"/>
    <cellStyle name="Shade 2 3 2 2 62" xfId="30339" xr:uid="{E7E30221-4B98-402E-AE00-612865C73245}"/>
    <cellStyle name="Shade 2 3 2 2 63" xfId="30756" xr:uid="{B4374C03-53A7-41F5-A05C-F3707ACA8335}"/>
    <cellStyle name="Shade 2 3 2 2 64" xfId="28042" xr:uid="{9B3FEA4A-91D3-456A-8FA9-1E0BA32FFE82}"/>
    <cellStyle name="Shade 2 3 2 2 65" xfId="31372" xr:uid="{A8E6E9B2-751B-4DE1-A289-D4753C0E9EC8}"/>
    <cellStyle name="Shade 2 3 2 2 7" xfId="4155" xr:uid="{6FF3E70A-6A4F-44D9-A236-95CDD5BB0D68}"/>
    <cellStyle name="Shade 2 3 2 2 8" xfId="4592" xr:uid="{15FD348E-CA85-4E53-85FB-25DD06A71DF1}"/>
    <cellStyle name="Shade 2 3 2 2 9" xfId="3076" xr:uid="{709D92AA-DA7F-4DCC-A0D2-9212CC9D8FC2}"/>
    <cellStyle name="Shade 2 3 2 20" xfId="9376" xr:uid="{6E7C4C51-652E-4800-8AAB-A85947FBBDE2}"/>
    <cellStyle name="Shade 2 3 2 21" xfId="10072" xr:uid="{F36199CC-D04B-4BBF-9C3D-A521148C7AC4}"/>
    <cellStyle name="Shade 2 3 2 22" xfId="10852" xr:uid="{71D6D19C-46DC-4F9A-AE32-57BAE252F7CA}"/>
    <cellStyle name="Shade 2 3 2 23" xfId="10952" xr:uid="{CC64666B-08F2-4485-B3C7-F37AFEADF8B1}"/>
    <cellStyle name="Shade 2 3 2 24" xfId="11975" xr:uid="{886A1286-7E8B-4CB2-B2BA-FD74F8E04CBA}"/>
    <cellStyle name="Shade 2 3 2 25" xfId="12448" xr:uid="{177AEE3D-256A-45E9-B8B5-EC6D5FB67EBF}"/>
    <cellStyle name="Shade 2 3 2 26" xfId="12882" xr:uid="{5910BDF9-245C-4BE2-B9D6-7C8EC1DCE376}"/>
    <cellStyle name="Shade 2 3 2 27" xfId="13319" xr:uid="{42C74A4D-FC63-454B-8998-B516C0E78491}"/>
    <cellStyle name="Shade 2 3 2 28" xfId="13686" xr:uid="{EC513BBC-4A41-401A-8858-FE605568D1D8}"/>
    <cellStyle name="Shade 2 3 2 29" xfId="14258" xr:uid="{84341C01-1242-4463-BA74-D56903DDC54E}"/>
    <cellStyle name="Shade 2 3 2 3" xfId="1105" xr:uid="{05507614-A412-4B9C-8D74-80EF66FE76B0}"/>
    <cellStyle name="Shade 2 3 2 30" xfId="13673" xr:uid="{F32030F5-1E9D-4996-8AFB-88719C23FCA3}"/>
    <cellStyle name="Shade 2 3 2 31" xfId="15227" xr:uid="{A5B554CB-119A-4F83-B770-FC2BD25352BF}"/>
    <cellStyle name="Shade 2 3 2 32" xfId="15445" xr:uid="{B7490865-84FB-48A1-95A1-E9089ED852C9}"/>
    <cellStyle name="Shade 2 3 2 33" xfId="13744" xr:uid="{A063AB38-5A7A-4AE2-9642-F1740A2F550D}"/>
    <cellStyle name="Shade 2 3 2 34" xfId="16667" xr:uid="{853219A4-FDF6-4447-8CD2-817E50F28357}"/>
    <cellStyle name="Shade 2 3 2 35" xfId="16482" xr:uid="{90CCDF43-0BE4-4B13-A9C2-AFD799713DF7}"/>
    <cellStyle name="Shade 2 3 2 36" xfId="17189" xr:uid="{AFA65B5B-3329-46FE-ADBE-6C1F6770DB86}"/>
    <cellStyle name="Shade 2 3 2 37" xfId="17987" xr:uid="{6F0D6EA6-B2E8-4A60-A5A8-88FC471DEC97}"/>
    <cellStyle name="Shade 2 3 2 38" xfId="18485" xr:uid="{5E94D871-EFEE-4E21-8EEF-8100AE5AD208}"/>
    <cellStyle name="Shade 2 3 2 39" xfId="18911" xr:uid="{D6ED6D11-E192-4D97-84E8-B07181EEB20E}"/>
    <cellStyle name="Shade 2 3 2 4" xfId="1579" xr:uid="{4C65000B-ED8F-488E-AD7D-F135B3D1DD4C}"/>
    <cellStyle name="Shade 2 3 2 40" xfId="19198" xr:uid="{E723E5E1-9849-4B23-BF4E-229F1F9826EC}"/>
    <cellStyle name="Shade 2 3 2 41" xfId="20004" xr:uid="{A40F446D-AC8D-4C02-96C2-7F3C7A139578}"/>
    <cellStyle name="Shade 2 3 2 42" xfId="19818" xr:uid="{73F8848B-A163-4FA0-A208-0605A3CFE549}"/>
    <cellStyle name="Shade 2 3 2 43" xfId="20273" xr:uid="{9ABEFE18-6C25-4C0D-88A7-0F9285F09077}"/>
    <cellStyle name="Shade 2 3 2 44" xfId="21295" xr:uid="{4A3C88DD-53D2-4BE2-BE48-4EF732610E68}"/>
    <cellStyle name="Shade 2 3 2 45" xfId="21497" xr:uid="{09619F65-0058-4519-9EC8-00ADC1F6FD9B}"/>
    <cellStyle name="Shade 2 3 2 46" xfId="20293" xr:uid="{42827B55-8BD8-4B85-BF85-5E9B25BD2162}"/>
    <cellStyle name="Shade 2 3 2 47" xfId="22685" xr:uid="{EF287DFF-FC17-442B-880E-7BCFA4871C8B}"/>
    <cellStyle name="Shade 2 3 2 48" xfId="23190" xr:uid="{18F189C2-7CD2-40C9-BCB1-78FA29F1277C}"/>
    <cellStyle name="Shade 2 3 2 49" xfId="23570" xr:uid="{5C74620F-2560-42C1-A979-38ED70E64F48}"/>
    <cellStyle name="Shade 2 3 2 5" xfId="2444" xr:uid="{8956678E-71A6-4EEE-88A9-AB301689A628}"/>
    <cellStyle name="Shade 2 3 2 50" xfId="23813" xr:uid="{97602776-9011-4028-8A4C-DDCEC4B7DBAF}"/>
    <cellStyle name="Shade 2 3 2 51" xfId="24712" xr:uid="{1A42A8D7-06CE-4A07-B6B9-FC288F03F185}"/>
    <cellStyle name="Shade 2 3 2 52" xfId="24529" xr:uid="{8769D418-14FE-4512-96EB-4D08390F6264}"/>
    <cellStyle name="Shade 2 3 2 53" xfId="25630" xr:uid="{A0A5E435-8B59-4B32-89C0-10914D9A3CE0}"/>
    <cellStyle name="Shade 2 3 2 54" xfId="25989" xr:uid="{C22BA31C-94AE-4581-BB51-44FEBEE5CE15}"/>
    <cellStyle name="Shade 2 3 2 55" xfId="26720" xr:uid="{322F32F4-3DF6-47AC-BE68-40B746CA304F}"/>
    <cellStyle name="Shade 2 3 2 56" xfId="26920" xr:uid="{50D0C3CD-624B-487F-9F72-25CDFB9F3951}"/>
    <cellStyle name="Shade 2 3 2 57" xfId="27339" xr:uid="{733EA8D5-959D-4BE7-875F-9E60BA1D9D08}"/>
    <cellStyle name="Shade 2 3 2 58" xfId="27644" xr:uid="{D3FBB0A1-B016-4426-879E-6D102B2CBDEB}"/>
    <cellStyle name="Shade 2 3 2 59" xfId="28462" xr:uid="{03671EF8-E95F-4621-909D-1B0AAB9A630D}"/>
    <cellStyle name="Shade 2 3 2 6" xfId="2851" xr:uid="{39ADFE2C-F747-4A4E-9E26-E2464B0E0D7D}"/>
    <cellStyle name="Shade 2 3 2 60" xfId="28930" xr:uid="{BA455F23-7ED4-4B2F-8D02-065FA55D98BE}"/>
    <cellStyle name="Shade 2 3 2 61" xfId="28083" xr:uid="{DC625661-B59A-4DE9-B22A-7C3A89917EBE}"/>
    <cellStyle name="Shade 2 3 2 62" xfId="29720" xr:uid="{B4C557BE-2E9D-4FD5-A1B6-7ABDAF4A4277}"/>
    <cellStyle name="Shade 2 3 2 63" xfId="30128" xr:uid="{D2D65601-BD01-4A27-B9B0-AFDF72E57517}"/>
    <cellStyle name="Shade 2 3 2 64" xfId="30542" xr:uid="{BC3317C0-6221-43B1-B11D-96B9693DF1D0}"/>
    <cellStyle name="Shade 2 3 2 65" xfId="30870" xr:uid="{8F6FA02F-D4BC-40AC-A460-2739D530A7DC}"/>
    <cellStyle name="Shade 2 3 2 66" xfId="31166" xr:uid="{0BC9D78B-83D0-4C90-B959-05B37240EF54}"/>
    <cellStyle name="Shade 2 3 2 7" xfId="2917" xr:uid="{C6BA2DCF-A9B6-4A2F-9E0D-59E88D4C9AFD}"/>
    <cellStyle name="Shade 2 3 2 8" xfId="3940" xr:uid="{9F40FB5A-B69D-4A1E-9C47-D3EBF95AD019}"/>
    <cellStyle name="Shade 2 3 2 9" xfId="4378" xr:uid="{9523FA40-7E03-4151-86D0-F72ACCB8BA97}"/>
    <cellStyle name="Shade 2 3 20" xfId="7734" xr:uid="{D8A4CFEB-B2D6-47A7-AB95-B0BCB6E04046}"/>
    <cellStyle name="Shade 2 3 21" xfId="9228" xr:uid="{6880A94A-9590-4B1A-8730-7AC6AF900C6D}"/>
    <cellStyle name="Shade 2 3 22" xfId="9845" xr:uid="{A965F54F-FC98-43C8-8C18-98202F7C439C}"/>
    <cellStyle name="Shade 2 3 23" xfId="9865" xr:uid="{5E32F40C-BB2E-40BA-BFDB-EE63E18437CA}"/>
    <cellStyle name="Shade 2 3 24" xfId="10863" xr:uid="{37646244-9B27-494B-BCD6-318E3E83693D}"/>
    <cellStyle name="Shade 2 3 25" xfId="11228" xr:uid="{676B99D0-F0C2-4453-B8EA-B4D83FEF6697}"/>
    <cellStyle name="Shade 2 3 26" xfId="11641" xr:uid="{C9C820D3-F88D-4524-A290-9EBBD568D91A}"/>
    <cellStyle name="Shade 2 3 27" xfId="11762" xr:uid="{94AD3DFA-E8D6-453E-B8B9-F937E0AEBFAD}"/>
    <cellStyle name="Shade 2 3 28" xfId="11661" xr:uid="{B4067898-F0FC-43A3-903A-F0403BBBE18B}"/>
    <cellStyle name="Shade 2 3 29" xfId="11549" xr:uid="{258E2C99-E87B-42DF-B67E-BC9AC951F04F}"/>
    <cellStyle name="Shade 2 3 3" xfId="651" xr:uid="{982CB720-0FA0-41A8-B92A-1551991AFA19}"/>
    <cellStyle name="Shade 2 3 3 10" xfId="5026" xr:uid="{9DDA6819-AFC5-4639-A921-80248E6FDC43}"/>
    <cellStyle name="Shade 2 3 3 11" xfId="5299" xr:uid="{7C2506F4-8DD9-43B8-98A3-DC20B912CDC4}"/>
    <cellStyle name="Shade 2 3 3 12" xfId="5771" xr:uid="{B3A801AC-811F-4F13-9EC9-F321D97B9727}"/>
    <cellStyle name="Shade 2 3 3 13" xfId="6207" xr:uid="{4EE068DD-61D6-466D-AB1A-F53938CDB62E}"/>
    <cellStyle name="Shade 2 3 3 14" xfId="6655" xr:uid="{084C2F2B-C83A-4DB3-A4D8-6E23CB6CBBE1}"/>
    <cellStyle name="Shade 2 3 3 15" xfId="7371" xr:uid="{93DB6B90-9F30-4724-A41D-82CBC5FE86A0}"/>
    <cellStyle name="Shade 2 3 3 16" xfId="6751" xr:uid="{FE3F43B6-14F1-4D58-879B-FC421BFFB737}"/>
    <cellStyle name="Shade 2 3 3 17" xfId="8350" xr:uid="{A989AF69-6BA3-4677-9CD8-82546972B28D}"/>
    <cellStyle name="Shade 2 3 3 18" xfId="8692" xr:uid="{1361AC0E-6CC3-4E81-9A75-F1A765F4B8BC}"/>
    <cellStyle name="Shade 2 3 3 19" xfId="9585" xr:uid="{D0BC01A7-5DCC-45C4-8CA1-C260AE36557F}"/>
    <cellStyle name="Shade 2 3 3 2" xfId="866" xr:uid="{F3644CB4-BCA6-4575-B09D-DEF74D7C7D9C}"/>
    <cellStyle name="Shade 2 3 3 2 10" xfId="5514" xr:uid="{09311B18-8FB7-46F9-AD60-C7348A632FBB}"/>
    <cellStyle name="Shade 2 3 3 2 11" xfId="5835" xr:uid="{CC90B0B3-3EA2-4C00-9CFE-E3B93A42CDE4}"/>
    <cellStyle name="Shade 2 3 3 2 12" xfId="5692" xr:uid="{370011C8-270F-40D6-B7E1-057F546297D0}"/>
    <cellStyle name="Shade 2 3 3 2 13" xfId="6442" xr:uid="{0FD60850-F009-48F8-A7FE-35B3E2B2FEF3}"/>
    <cellStyle name="Shade 2 3 3 2 14" xfId="7586" xr:uid="{0A848DFB-325F-458C-9CC4-7171CDB20ABC}"/>
    <cellStyle name="Shade 2 3 3 2 15" xfId="7229" xr:uid="{E4C34EBF-7A82-40AD-ACAF-2F604900E999}"/>
    <cellStyle name="Shade 2 3 3 2 16" xfId="8542" xr:uid="{70ABF9C9-4CB9-47AD-B9F6-D7A03818F0F3}"/>
    <cellStyle name="Shade 2 3 3 2 17" xfId="6870" xr:uid="{4B7760DF-84CD-4BE3-9215-960B2B9F9D1B}"/>
    <cellStyle name="Shade 2 3 3 2 18" xfId="9800" xr:uid="{96F4A5E5-445C-43AE-B43C-139690B5359B}"/>
    <cellStyle name="Shade 2 3 3 2 19" xfId="9825" xr:uid="{EAD28E43-7925-4922-AC0A-991C9A6D6B82}"/>
    <cellStyle name="Shade 2 3 3 2 2" xfId="1340" xr:uid="{1958CF68-551C-4600-8F83-B08071B275C6}"/>
    <cellStyle name="Shade 2 3 3 2 20" xfId="9260" xr:uid="{6BA843BA-662F-4150-B312-E84896AFA5CE}"/>
    <cellStyle name="Shade 2 3 3 2 21" xfId="10303" xr:uid="{7C02DF72-20BE-4C6D-9239-283EA24A3968}"/>
    <cellStyle name="Shade 2 3 3 2 22" xfId="11238" xr:uid="{EB3B67CB-F978-496F-ACA2-1C419BC5060F}"/>
    <cellStyle name="Shade 2 3 3 2 23" xfId="12219" xr:uid="{CA9D40F8-72F7-4A3E-90D3-D7BFCD88DE7C}"/>
    <cellStyle name="Shade 2 3 3 2 24" xfId="12692" xr:uid="{064C7A35-7ACF-4ECF-ACA1-523B30DC0808}"/>
    <cellStyle name="Shade 2 3 3 2 25" xfId="13126" xr:uid="{B521349B-F7F0-47A5-B6D0-A4313774981F}"/>
    <cellStyle name="Shade 2 3 3 2 26" xfId="13563" xr:uid="{17116129-9DA2-40DA-91B0-140A445A0A4E}"/>
    <cellStyle name="Shade 2 3 3 2 27" xfId="11556" xr:uid="{26213D1D-7519-42EB-9142-80787B6CF39B}"/>
    <cellStyle name="Shade 2 3 3 2 28" xfId="14482" xr:uid="{0643D310-C6D6-4286-8A50-C47F8BF0DB99}"/>
    <cellStyle name="Shade 2 3 3 2 29" xfId="14139" xr:uid="{573A44EC-19DB-496A-BCCA-BBC9CBFED29A}"/>
    <cellStyle name="Shade 2 3 3 2 3" xfId="1789" xr:uid="{657FE14C-CA52-4217-8971-CB19630D9734}"/>
    <cellStyle name="Shade 2 3 3 2 30" xfId="14370" xr:uid="{E993C955-1DAF-4DD2-B01F-34A0DD37778F}"/>
    <cellStyle name="Shade 2 3 3 2 31" xfId="15576" xr:uid="{C6CE989B-A37C-491B-BF88-82AEA8B9B895}"/>
    <cellStyle name="Shade 2 3 3 2 32" xfId="15130" xr:uid="{630F235B-13A8-42A9-96B4-958F0BF22BBB}"/>
    <cellStyle name="Shade 2 3 3 2 33" xfId="16911" xr:uid="{78BCBABB-5D7E-40A6-9E83-20FD2A7A38B6}"/>
    <cellStyle name="Shade 2 3 3 2 34" xfId="16554" xr:uid="{10FCC35A-D509-469D-B9DC-05CAFE3C64A4}"/>
    <cellStyle name="Shade 2 3 3 2 35" xfId="16369" xr:uid="{105A9D8D-9215-4FF4-A327-A5F25F8E300B}"/>
    <cellStyle name="Shade 2 3 3 2 36" xfId="16349" xr:uid="{0D31FBD1-406D-41A7-8809-003E83197E06}"/>
    <cellStyle name="Shade 2 3 3 2 37" xfId="18729" xr:uid="{72A4C2BE-3067-42DC-91AA-FDD1594CDFCA}"/>
    <cellStyle name="Shade 2 3 3 2 38" xfId="17583" xr:uid="{C9428899-8B4B-4012-BFE1-BDF047A30B36}"/>
    <cellStyle name="Shade 2 3 3 2 39" xfId="19005" xr:uid="{86AAAA5B-537E-4B65-9FAB-30ED1A9C152D}"/>
    <cellStyle name="Shade 2 3 3 2 4" xfId="2688" xr:uid="{18DF15BB-7C7B-4BDC-9AF8-CB31C3F91A41}"/>
    <cellStyle name="Shade 2 3 3 2 40" xfId="20248" xr:uid="{0E8415C2-9A56-4905-9FAE-16895BE15CA0}"/>
    <cellStyle name="Shade 2 3 3 2 41" xfId="19799" xr:uid="{3367554A-7F3B-4BCC-8A78-C041F06394CF}"/>
    <cellStyle name="Shade 2 3 3 2 42" xfId="19840" xr:uid="{A5B34CDB-04CC-41A7-945E-E0CBE2E0ED0C}"/>
    <cellStyle name="Shade 2 3 3 2 43" xfId="21267" xr:uid="{D2EB8056-9FC2-4180-9006-5740359970D7}"/>
    <cellStyle name="Shade 2 3 3 2 44" xfId="20697" xr:uid="{37AD8E58-C6E1-478F-A655-30EC6FB7ADC8}"/>
    <cellStyle name="Shade 2 3 3 2 45" xfId="21723" xr:uid="{6E246E66-B096-4452-B2C3-939B6C76E6FC}"/>
    <cellStyle name="Shade 2 3 3 2 46" xfId="20997" xr:uid="{535AC995-0505-40A1-AECF-19357C11E7F6}"/>
    <cellStyle name="Shade 2 3 3 2 47" xfId="22303" xr:uid="{E5514E2B-3777-4ADB-A786-418EF483C5F3}"/>
    <cellStyle name="Shade 2 3 3 2 48" xfId="20834" xr:uid="{89819D7F-8F7D-4B0B-9873-8A591905F072}"/>
    <cellStyle name="Shade 2 3 3 2 49" xfId="24048" xr:uid="{36587724-C03D-49A2-B2AD-151A4F682CF1}"/>
    <cellStyle name="Shade 2 3 3 2 5" xfId="1937" xr:uid="{FD4A21FB-7458-4BFB-AAE5-5D67EA9354B3}"/>
    <cellStyle name="Shade 2 3 3 2 50" xfId="24956" xr:uid="{51584260-0A6F-40AD-9584-6319891D691F}"/>
    <cellStyle name="Shade 2 3 3 2 51" xfId="24236" xr:uid="{5E288F09-0C6C-4396-AE67-CB867CD26CCE}"/>
    <cellStyle name="Shade 2 3 3 2 52" xfId="25872" xr:uid="{5DAD4F57-6488-4141-8892-71380538406F}"/>
    <cellStyle name="Shade 2 3 3 2 53" xfId="25908" xr:uid="{151940D0-B1C9-42CC-9F97-8A6DA591A435}"/>
    <cellStyle name="Shade 2 3 3 2 54" xfId="26739" xr:uid="{7FBA8101-441B-4541-AF7D-9171DF222C2D}"/>
    <cellStyle name="Shade 2 3 3 2 55" xfId="27160" xr:uid="{D8D030E0-61D8-487B-A8AE-A80D7AF06AE0}"/>
    <cellStyle name="Shade 2 3 3 2 56" xfId="27579" xr:uid="{6430B6A3-8209-4F37-947D-B0597F6D5DFA}"/>
    <cellStyle name="Shade 2 3 3 2 57" xfId="26018" xr:uid="{37F632B3-A72B-407F-B1CB-E6D0DDC28F35}"/>
    <cellStyle name="Shade 2 3 3 2 58" xfId="28706" xr:uid="{DE7EF70E-57E0-4DB4-801B-6C8C85CD93D7}"/>
    <cellStyle name="Shade 2 3 3 2 59" xfId="29173" xr:uid="{75D13378-7C51-4AAC-B09D-96346D555D78}"/>
    <cellStyle name="Shade 2 3 3 2 6" xfId="3173" xr:uid="{0AB03DE1-6D95-4FB1-B503-F861BB872610}"/>
    <cellStyle name="Shade 2 3 3 2 60" xfId="28306" xr:uid="{FD1BC1BD-2FBA-47B2-A0E1-89E9AD82B244}"/>
    <cellStyle name="Shade 2 3 3 2 61" xfId="29962" xr:uid="{D8676FD4-DE10-46B7-8E23-946F204378EB}"/>
    <cellStyle name="Shade 2 3 3 2 62" xfId="30368" xr:uid="{1446439C-0B2B-4310-B323-65F95DF6CE65}"/>
    <cellStyle name="Shade 2 3 3 2 63" xfId="30785" xr:uid="{88219DC6-4922-4923-8D72-34752AD7A57E}"/>
    <cellStyle name="Shade 2 3 3 2 64" xfId="31030" xr:uid="{C28C8153-BD6C-4194-9341-2D39DAE79AA7}"/>
    <cellStyle name="Shade 2 3 3 2 65" xfId="31401" xr:uid="{1CD70EED-ED62-418C-BB96-D7846ED16C31}"/>
    <cellStyle name="Shade 2 3 3 2 7" xfId="4184" xr:uid="{C4961D40-BB0C-4392-985D-2F963A32018A}"/>
    <cellStyle name="Shade 2 3 3 2 8" xfId="4621" xr:uid="{7E55FE11-1109-4E3E-A3F8-943E67CB3B8D}"/>
    <cellStyle name="Shade 2 3 3 2 9" xfId="5067" xr:uid="{7D027CA6-3D79-44CA-B7BA-9FF198A4BAC6}"/>
    <cellStyle name="Shade 2 3 3 20" xfId="8963" xr:uid="{52CEEB9D-830C-4D08-9276-2BE663B1A630}"/>
    <cellStyle name="Shade 2 3 3 21" xfId="10075" xr:uid="{5E7EFB77-5C97-467B-8089-2C3D020979DC}"/>
    <cellStyle name="Shade 2 3 3 22" xfId="10962" xr:uid="{43963713-BC59-4B14-925F-46C8D8FBCF66}"/>
    <cellStyle name="Shade 2 3 3 23" xfId="11100" xr:uid="{EF688F23-409C-4CB9-869C-CFF837E7311D}"/>
    <cellStyle name="Shade 2 3 3 24" xfId="12004" xr:uid="{F2812323-7D78-44DB-A96E-8C999CA8D217}"/>
    <cellStyle name="Shade 2 3 3 25" xfId="12477" xr:uid="{01B7F197-F377-4C74-A24C-7C65F4C91840}"/>
    <cellStyle name="Shade 2 3 3 26" xfId="12911" xr:uid="{9ADF66E4-A29C-45C7-B7E0-FC6553015064}"/>
    <cellStyle name="Shade 2 3 3 27" xfId="13348" xr:uid="{E4AAEACB-4902-4A68-B569-57CD66392971}"/>
    <cellStyle name="Shade 2 3 3 28" xfId="11786" xr:uid="{AD756CB6-B15E-437A-9602-D49225C38357}"/>
    <cellStyle name="Shade 2 3 3 29" xfId="14240" xr:uid="{1E06C265-7114-4BCB-9C4D-71FDB8D8D456}"/>
    <cellStyle name="Shade 2 3 3 3" xfId="1134" xr:uid="{3C606E92-9A0D-4161-92C2-3B9DA0F90AC8}"/>
    <cellStyle name="Shade 2 3 3 30" xfId="13708" xr:uid="{E9BB4291-526E-4B08-87E8-EE87C348375C}"/>
    <cellStyle name="Shade 2 3 3 31" xfId="14602" xr:uid="{25F986E6-779E-4682-8165-22C9B7F7B787}"/>
    <cellStyle name="Shade 2 3 3 32" xfId="14537" xr:uid="{B79EC5F5-4A8F-4A40-AC4E-E2DDE176DAD4}"/>
    <cellStyle name="Shade 2 3 3 33" xfId="15598" xr:uid="{28C1A6CB-4724-44D7-94F4-31C7175AEEB7}"/>
    <cellStyle name="Shade 2 3 3 34" xfId="16696" xr:uid="{B5ED0C12-589C-4C8A-9FCF-AEE493BD245E}"/>
    <cellStyle name="Shade 2 3 3 35" xfId="16060" xr:uid="{040608E4-81FE-4AA1-BC30-5811832E1B06}"/>
    <cellStyle name="Shade 2 3 3 36" xfId="17192" xr:uid="{FB6AFE08-6572-492C-85B7-AC873538560C}"/>
    <cellStyle name="Shade 2 3 3 37" xfId="17996" xr:uid="{9A7064F2-7A6F-4A93-A219-FFBB6AC36CDD}"/>
    <cellStyle name="Shade 2 3 3 38" xfId="18514" xr:uid="{E95F482A-0FDD-43A0-B589-1445DCCC729C}"/>
    <cellStyle name="Shade 2 3 3 39" xfId="18766" xr:uid="{21311E7F-B760-4452-BC53-300074D955BE}"/>
    <cellStyle name="Shade 2 3 3 4" xfId="1412" xr:uid="{5E5FA7AF-4B2E-469B-86D0-09DD5D5BBB7F}"/>
    <cellStyle name="Shade 2 3 3 40" xfId="18838" xr:uid="{A94159D8-62B2-48A5-B126-95202E5C41A3}"/>
    <cellStyle name="Shade 2 3 3 41" xfId="20033" xr:uid="{D50EA19A-A501-4B2A-B0E9-103284C5EEC2}"/>
    <cellStyle name="Shade 2 3 3 42" xfId="19393" xr:uid="{97C1025C-7BC9-4FBD-A647-B82FBAE76BEC}"/>
    <cellStyle name="Shade 2 3 3 43" xfId="20685" xr:uid="{3C6B10B9-4A50-4190-B15A-62D30CF8F1D4}"/>
    <cellStyle name="Shade 2 3 3 44" xfId="20379" xr:uid="{F943CDF3-8B69-4B71-8672-DAF17B30CC4F}"/>
    <cellStyle name="Shade 2 3 3 45" xfId="19473" xr:uid="{F9C44BA3-C017-4559-8E1A-247CA84BCAF2}"/>
    <cellStyle name="Shade 2 3 3 46" xfId="22107" xr:uid="{83BF6F2D-9743-42B2-8EE6-355265A7E8AA}"/>
    <cellStyle name="Shade 2 3 3 47" xfId="22163" xr:uid="{91823C1C-2EEA-4AB7-9077-E02156F58132}"/>
    <cellStyle name="Shade 2 3 3 48" xfId="23034" xr:uid="{E46FFA5A-4ADF-4D69-9D44-302E2263349F}"/>
    <cellStyle name="Shade 2 3 3 49" xfId="23520" xr:uid="{7C9A2BA8-A61D-445F-AC0B-97985490F067}"/>
    <cellStyle name="Shade 2 3 3 5" xfId="2473" xr:uid="{42EE0231-1914-4427-9573-00FDEF462906}"/>
    <cellStyle name="Shade 2 3 3 50" xfId="23842" xr:uid="{2C2D513A-0395-4C07-9A6F-5421C7CCDD88}"/>
    <cellStyle name="Shade 2 3 3 51" xfId="24741" xr:uid="{7089846B-D441-4C1E-84E3-A53A8E007729}"/>
    <cellStyle name="Shade 2 3 3 52" xfId="24118" xr:uid="{454461D5-64FF-4208-B651-0FFBF6EDEA25}"/>
    <cellStyle name="Shade 2 3 3 53" xfId="25659" xr:uid="{4D0B2E17-0848-4E71-86A4-EC3D76ACED12}"/>
    <cellStyle name="Shade 2 3 3 54" xfId="25112" xr:uid="{B98796A1-0518-4A75-B250-E82CE82BBB08}"/>
    <cellStyle name="Shade 2 3 3 55" xfId="24316" xr:uid="{53F928A4-2605-4737-A95B-D8AA746D2F6E}"/>
    <cellStyle name="Shade 2 3 3 56" xfId="26949" xr:uid="{48DB9754-D86C-44BD-A603-58852AFE438F}"/>
    <cellStyle name="Shade 2 3 3 57" xfId="27368" xr:uid="{F6D1E083-8F1A-4B72-A1D1-35926073D723}"/>
    <cellStyle name="Shade 2 3 3 58" xfId="27730" xr:uid="{424424DF-491D-41E3-8D22-AF7DDCCE12AC}"/>
    <cellStyle name="Shade 2 3 3 59" xfId="28491" xr:uid="{A424CEC8-8F95-452F-A038-0ABB7E9BCCC0}"/>
    <cellStyle name="Shade 2 3 3 6" xfId="1832" xr:uid="{2ECE47D1-A697-4D4B-A589-EBF991B984E8}"/>
    <cellStyle name="Shade 2 3 3 60" xfId="28959" xr:uid="{06E7B6D5-D50B-479C-9564-3BBDFE3DEA7A}"/>
    <cellStyle name="Shade 2 3 3 61" xfId="28255" xr:uid="{C9D4A643-6342-4A10-88B9-A9FFA02854CD}"/>
    <cellStyle name="Shade 2 3 3 62" xfId="29749" xr:uid="{29C689EA-3C94-4E3D-85B5-C28990C45115}"/>
    <cellStyle name="Shade 2 3 3 63" xfId="30157" xr:uid="{0C279E9A-9072-406A-BF78-6A3BDD4E08E0}"/>
    <cellStyle name="Shade 2 3 3 64" xfId="30571" xr:uid="{9E8F3D5B-3423-4BA6-ABFB-70EC83FA62A5}"/>
    <cellStyle name="Shade 2 3 3 65" xfId="30974" xr:uid="{522EB48A-17DB-4655-9A25-19AA898F7A18}"/>
    <cellStyle name="Shade 2 3 3 66" xfId="31195" xr:uid="{E96206DC-7235-43B4-83BE-07B4D5E4B256}"/>
    <cellStyle name="Shade 2 3 3 7" xfId="3539" xr:uid="{3DC69D64-DA24-4A57-88A1-64DF841A1E8B}"/>
    <cellStyle name="Shade 2 3 3 8" xfId="3969" xr:uid="{B783866C-31D9-4586-AABD-CA088796147D}"/>
    <cellStyle name="Shade 2 3 3 9" xfId="4407" xr:uid="{6AB338F7-57C2-4D0B-B0E6-BA6EDE855FBD}"/>
    <cellStyle name="Shade 2 3 30" xfId="11489" xr:uid="{49859C4A-1C89-4FCD-BB3F-FFB7A4C52019}"/>
    <cellStyle name="Shade 2 3 31" xfId="12299" xr:uid="{44C7A5B5-9027-44DF-A36F-59024FF8E335}"/>
    <cellStyle name="Shade 2 3 32" xfId="13883" xr:uid="{F90CF10F-F486-4F41-9D35-E5BBBE77BB5F}"/>
    <cellStyle name="Shade 2 3 33" xfId="15263" xr:uid="{A43D79A8-308D-4F0A-AD07-B9B9A4D79FA5}"/>
    <cellStyle name="Shade 2 3 34" xfId="15193" xr:uid="{DC8C038B-D51D-4344-9FE0-4FDAA084CB0A}"/>
    <cellStyle name="Shade 2 3 35" xfId="15459" xr:uid="{9DE85D12-9017-4791-A978-D450F5D6D719}"/>
    <cellStyle name="Shade 2 3 36" xfId="16336" xr:uid="{7E970F9A-845D-4558-AB34-6705C7E1165C}"/>
    <cellStyle name="Shade 2 3 37" xfId="16961" xr:uid="{5CD75274-8FEA-48EE-BB31-E2B5FE50375D}"/>
    <cellStyle name="Shade 2 3 38" xfId="16477" xr:uid="{EB7287FF-7D8B-4686-B7E8-A835E6D58BFA}"/>
    <cellStyle name="Shade 2 3 39" xfId="17783" xr:uid="{27B81730-F940-4380-BB00-F1719F444167}"/>
    <cellStyle name="Shade 2 3 4" xfId="565" xr:uid="{5A8B2FB8-2F84-46F7-BD32-24F7C26E37F8}"/>
    <cellStyle name="Shade 2 3 4 10" xfId="4840" xr:uid="{4277A89B-FCA9-4819-92C2-0A932EE84278}"/>
    <cellStyle name="Shade 2 3 4 11" xfId="5213" xr:uid="{7128DB0D-2A12-4D79-BFF6-EE92305DA5ED}"/>
    <cellStyle name="Shade 2 3 4 12" xfId="5696" xr:uid="{9208023C-9A54-444E-8014-7709CEB30F98}"/>
    <cellStyle name="Shade 2 3 4 13" xfId="5693" xr:uid="{AB5F36A1-36A5-40C5-8F81-ED6AA8F9F0FD}"/>
    <cellStyle name="Shade 2 3 4 14" xfId="6642" xr:uid="{1A827535-5717-4139-A2F3-A69798DC000F}"/>
    <cellStyle name="Shade 2 3 4 15" xfId="7285" xr:uid="{4D482FDC-DD5D-4044-BC00-712403B8EA48}"/>
    <cellStyle name="Shade 2 3 4 16" xfId="7715" xr:uid="{146C442B-A04D-4FD8-B5D5-21442986ECF3}"/>
    <cellStyle name="Shade 2 3 4 17" xfId="8318" xr:uid="{421AF245-8BA5-421F-9F0C-7EF2509B37EA}"/>
    <cellStyle name="Shade 2 3 4 18" xfId="8888" xr:uid="{6002307F-2FB4-4DDE-BDB6-79A9757C496E}"/>
    <cellStyle name="Shade 2 3 4 19" xfId="9499" xr:uid="{8602BF91-1803-441F-B0C4-678F85F8111E}"/>
    <cellStyle name="Shade 2 3 4 2" xfId="780" xr:uid="{870FAF4E-36B6-4876-BE56-6A7EAC43A0E2}"/>
    <cellStyle name="Shade 2 3 4 2 10" xfId="5428" xr:uid="{1DB39061-99C8-40DC-B9F6-0B2071F310D0}"/>
    <cellStyle name="Shade 2 3 4 2 11" xfId="4929" xr:uid="{DFD8AEF8-A137-4074-A5A3-BC5B00E95F6D}"/>
    <cellStyle name="Shade 2 3 4 2 12" xfId="5969" xr:uid="{A7D4623C-370D-4B27-8169-CF75807E6101}"/>
    <cellStyle name="Shade 2 3 4 2 13" xfId="6498" xr:uid="{0B9117DB-FCD6-47EE-9A25-7CB9DB2BE092}"/>
    <cellStyle name="Shade 2 3 4 2 14" xfId="7500" xr:uid="{84636A19-53AC-40BE-B8E4-E26CEAB23C87}"/>
    <cellStyle name="Shade 2 3 4 2 15" xfId="6824" xr:uid="{672578F5-00C1-494C-914B-B104183F9A9E}"/>
    <cellStyle name="Shade 2 3 4 2 16" xfId="7625" xr:uid="{39A80E1D-0201-4A96-8CB4-AC11654A355C}"/>
    <cellStyle name="Shade 2 3 4 2 17" xfId="7690" xr:uid="{3B425D0B-95CE-419F-A719-1F1261279D20}"/>
    <cellStyle name="Shade 2 3 4 2 18" xfId="9714" xr:uid="{CC98B172-1B3B-4A22-ADD8-A661F3166D4F}"/>
    <cellStyle name="Shade 2 3 4 2 19" xfId="9041" xr:uid="{8FD0B812-1DED-44CF-AE41-13D8715E4506}"/>
    <cellStyle name="Shade 2 3 4 2 2" xfId="1254" xr:uid="{6C1CDF9E-4352-45E2-8AA2-EF138E2C2D75}"/>
    <cellStyle name="Shade 2 3 4 2 20" xfId="9262" xr:uid="{8DE856E8-0A73-4344-83C0-DA3EC7BC8EA2}"/>
    <cellStyle name="Shade 2 3 4 2 21" xfId="10384" xr:uid="{26F802ED-5EC5-42AC-B24F-4F32E20F60D1}"/>
    <cellStyle name="Shade 2 3 4 2 22" xfId="10516" xr:uid="{8DB1C291-E1FE-4CAA-8D1B-601AC2729952}"/>
    <cellStyle name="Shade 2 3 4 2 23" xfId="12133" xr:uid="{73094645-30EB-4FC1-B675-137FB45D1B5F}"/>
    <cellStyle name="Shade 2 3 4 2 24" xfId="12606" xr:uid="{D70D4723-6838-4B4D-91DD-A4C738C17E89}"/>
    <cellStyle name="Shade 2 3 4 2 25" xfId="13040" xr:uid="{D6E0504C-D83D-4A5B-98FA-61D56BBC77C3}"/>
    <cellStyle name="Shade 2 3 4 2 26" xfId="13477" xr:uid="{57C27D53-A597-4D0A-86FE-102072355B3D}"/>
    <cellStyle name="Shade 2 3 4 2 27" xfId="12252" xr:uid="{EB6CD522-4872-4733-B008-68BA159CA924}"/>
    <cellStyle name="Shade 2 3 4 2 28" xfId="14380" xr:uid="{83D7EB52-9CB5-4E53-B3F1-2B6A73FF91E7}"/>
    <cellStyle name="Shade 2 3 4 2 29" xfId="14223" xr:uid="{D8F953BB-80A4-46AD-889D-4CDB93355FAC}"/>
    <cellStyle name="Shade 2 3 4 2 3" xfId="1480" xr:uid="{CF3EE04B-6E20-48A2-B5D3-B8B604738BD4}"/>
    <cellStyle name="Shade 2 3 4 2 30" xfId="14981" xr:uid="{218555A2-167D-4B83-B5FD-5D4EF2FE9AF8}"/>
    <cellStyle name="Shade 2 3 4 2 31" xfId="15411" xr:uid="{87D5491F-8F1A-4E0F-8E48-D3F5CF6CBE2D}"/>
    <cellStyle name="Shade 2 3 4 2 32" xfId="15591" xr:uid="{30ACC83B-82C6-4EFE-A431-39B11594F50A}"/>
    <cellStyle name="Shade 2 3 4 2 33" xfId="16825" xr:uid="{6B545623-0B95-4287-A12D-844E9E8CBEA5}"/>
    <cellStyle name="Shade 2 3 4 2 34" xfId="16137" xr:uid="{DCCE0CE2-C41F-4334-A66B-D10DB52152E8}"/>
    <cellStyle name="Shade 2 3 4 2 35" xfId="17005" xr:uid="{70A2640A-EA7B-4A48-A9A1-56E992686F14}"/>
    <cellStyle name="Shade 2 3 4 2 36" xfId="18241" xr:uid="{0D5DBF8F-8ED0-4190-99FE-3385574778E7}"/>
    <cellStyle name="Shade 2 3 4 2 37" xfId="18643" xr:uid="{EB26B2FA-A5C6-412D-991C-20D55FB0C29A}"/>
    <cellStyle name="Shade 2 3 4 2 38" xfId="17233" xr:uid="{AAF02BA2-B9D9-4E76-919A-24F850198873}"/>
    <cellStyle name="Shade 2 3 4 2 39" xfId="18285" xr:uid="{C3659044-B03D-4C02-A7F4-D5910A5423D9}"/>
    <cellStyle name="Shade 2 3 4 2 4" xfId="2602" xr:uid="{3043096F-EC7F-427D-AAA3-8B474074CF27}"/>
    <cellStyle name="Shade 2 3 4 2 40" xfId="20162" xr:uid="{8B3CE92A-F548-4698-BDBB-81DE35B9A5C2}"/>
    <cellStyle name="Shade 2 3 4 2 41" xfId="19586" xr:uid="{90BFB515-A2C7-429D-8417-CC898AEF3964}"/>
    <cellStyle name="Shade 2 3 4 2 42" xfId="20633" xr:uid="{EBDAF8E5-444E-4178-8228-5EFA6B8E17C5}"/>
    <cellStyle name="Shade 2 3 4 2 43" xfId="21288" xr:uid="{2E304140-EC67-4D52-B254-1076F719547A}"/>
    <cellStyle name="Shade 2 3 4 2 44" xfId="20850" xr:uid="{D7F9B010-798B-444C-AC1C-2656297BABD4}"/>
    <cellStyle name="Shade 2 3 4 2 45" xfId="21622" xr:uid="{DF3E522C-53AE-41E8-81BE-1DFE07D06708}"/>
    <cellStyle name="Shade 2 3 4 2 46" xfId="22116" xr:uid="{92ED4101-4F5E-4D6A-BC0B-36BA283DA5D9}"/>
    <cellStyle name="Shade 2 3 4 2 47" xfId="21767" xr:uid="{926F3B22-CD7F-4D27-8C33-5169ABFBD5AA}"/>
    <cellStyle name="Shade 2 3 4 2 48" xfId="23148" xr:uid="{21BD6ABF-4391-44CA-AD00-D32F7836318D}"/>
    <cellStyle name="Shade 2 3 4 2 49" xfId="23962" xr:uid="{526EC1C8-4575-41A6-BE4C-18721862D712}"/>
    <cellStyle name="Shade 2 3 4 2 5" xfId="2036" xr:uid="{9242CB2C-DF5A-4EE3-8FB2-68257B53D4A2}"/>
    <cellStyle name="Shade 2 3 4 2 50" xfId="24870" xr:uid="{35F77D16-5C36-4F11-B956-B5528D977F4A}"/>
    <cellStyle name="Shade 2 3 4 2 51" xfId="24351" xr:uid="{65FB7C5A-23E0-4419-AD06-8C356FA5F163}"/>
    <cellStyle name="Shade 2 3 4 2 52" xfId="25786" xr:uid="{6D7433A1-8EA8-4018-BB8B-2D22B8D71BE3}"/>
    <cellStyle name="Shade 2 3 4 2 53" xfId="24140" xr:uid="{958E7682-AFBF-4308-AF05-3E9B0555F943}"/>
    <cellStyle name="Shade 2 3 4 2 54" xfId="26477" xr:uid="{DC4E8A8C-D54B-43BB-A341-928BDF536014}"/>
    <cellStyle name="Shade 2 3 4 2 55" xfId="27074" xr:uid="{100A65AD-9F80-4496-A29D-851A9EBCB33C}"/>
    <cellStyle name="Shade 2 3 4 2 56" xfId="27493" xr:uid="{669A91F4-9B15-4821-88EE-F9B6BFB03933}"/>
    <cellStyle name="Shade 2 3 4 2 57" xfId="24319" xr:uid="{CB938337-B0A9-4B8E-A6A3-53DF57FED098}"/>
    <cellStyle name="Shade 2 3 4 2 58" xfId="28620" xr:uid="{7DFFB996-29D7-4646-B50C-E8FEFA87782F}"/>
    <cellStyle name="Shade 2 3 4 2 59" xfId="29087" xr:uid="{B4FD5AE6-472D-4B67-9F94-A75A99F917E8}"/>
    <cellStyle name="Shade 2 3 4 2 6" xfId="2175" xr:uid="{2A361E28-EF2A-4025-99DA-5F1E578681F9}"/>
    <cellStyle name="Shade 2 3 4 2 60" xfId="27983" xr:uid="{FEF3A10F-E82F-444F-ABD0-F3A8C6FF42A0}"/>
    <cellStyle name="Shade 2 3 4 2 61" xfId="29876" xr:uid="{16515823-FED4-4B2F-9A8B-90E77B70F4D2}"/>
    <cellStyle name="Shade 2 3 4 2 62" xfId="30282" xr:uid="{2AD73F55-D0E2-4D5D-A584-41CE419D1632}"/>
    <cellStyle name="Shade 2 3 4 2 63" xfId="30699" xr:uid="{239FDF23-8661-4C0F-93F6-4C71D9762EBC}"/>
    <cellStyle name="Shade 2 3 4 2 64" xfId="29231" xr:uid="{C2358405-5D2A-42FA-9478-DAB79987083D}"/>
    <cellStyle name="Shade 2 3 4 2 65" xfId="31315" xr:uid="{2961C81B-0C47-48FB-A4E6-DE3209466852}"/>
    <cellStyle name="Shade 2 3 4 2 7" xfId="4098" xr:uid="{F8E1A905-F531-4597-8378-1B68EFF02B70}"/>
    <cellStyle name="Shade 2 3 4 2 8" xfId="4535" xr:uid="{84D749A0-F3B9-4CD0-A99A-DD3C46C164E2}"/>
    <cellStyle name="Shade 2 3 4 2 9" xfId="4844" xr:uid="{02637EF9-DB56-49BE-8192-5D3EB9FCD422}"/>
    <cellStyle name="Shade 2 3 4 20" xfId="9929" xr:uid="{59F7DA1F-220F-4326-8BDE-9856F93CE820}"/>
    <cellStyle name="Shade 2 3 4 21" xfId="10360" xr:uid="{07B7BBCB-7375-4ED0-B447-97F3EAA6F71E}"/>
    <cellStyle name="Shade 2 3 4 22" xfId="10902" xr:uid="{DEF84164-7858-4246-BBBF-0697DEB48589}"/>
    <cellStyle name="Shade 2 3 4 23" xfId="10692" xr:uid="{897AE345-2BB9-475A-ABF3-975434DC46C3}"/>
    <cellStyle name="Shade 2 3 4 24" xfId="11918" xr:uid="{D739BC11-AC32-472D-B350-7259176E028B}"/>
    <cellStyle name="Shade 2 3 4 25" xfId="12391" xr:uid="{1A85A9D8-616C-427E-8397-B16B2B4442DF}"/>
    <cellStyle name="Shade 2 3 4 26" xfId="12825" xr:uid="{DD1A1357-B092-42D1-8E3B-9D2572C46D30}"/>
    <cellStyle name="Shade 2 3 4 27" xfId="13262" xr:uid="{0B4392F4-BDDC-4B36-9000-263E25501CF2}"/>
    <cellStyle name="Shade 2 3 4 28" xfId="13676" xr:uid="{8855D66D-F99A-4844-82F0-F7BC99E8CE44}"/>
    <cellStyle name="Shade 2 3 4 29" xfId="14437" xr:uid="{1F51FB7C-2A23-487E-ABB0-90B7BEC7E1F6}"/>
    <cellStyle name="Shade 2 3 4 3" xfId="1048" xr:uid="{F4CE9589-D9D7-48FC-9F36-8C8A2E1AC04F}"/>
    <cellStyle name="Shade 2 3 4 30" xfId="14692" xr:uid="{0E6C511A-3A15-4207-A545-27F79A4045FB}"/>
    <cellStyle name="Shade 2 3 4 31" xfId="14510" xr:uid="{7B665F45-9F45-468F-ACA2-70CD7AE0B5BF}"/>
    <cellStyle name="Shade 2 3 4 32" xfId="15633" xr:uid="{F5B98895-3D31-4D21-8382-CD072E5F652D}"/>
    <cellStyle name="Shade 2 3 4 33" xfId="15817" xr:uid="{B77290B3-9EBD-4C76-9232-12EEF864E459}"/>
    <cellStyle name="Shade 2 3 4 34" xfId="16610" xr:uid="{9F9D6A8B-C2AE-4834-BCA8-484EC6D2BC42}"/>
    <cellStyle name="Shade 2 3 4 35" xfId="17043" xr:uid="{316D808B-C411-46B7-A32C-675B58F8D84B}"/>
    <cellStyle name="Shade 2 3 4 36" xfId="17491" xr:uid="{CDCE776E-3157-45EF-A7CE-72DFB5B1AB76}"/>
    <cellStyle name="Shade 2 3 4 37" xfId="18161" xr:uid="{75348A59-6BEE-49DF-841F-F99322C9D2D2}"/>
    <cellStyle name="Shade 2 3 4 38" xfId="18428" xr:uid="{780B5F11-9F26-43A3-96DA-9953C3460028}"/>
    <cellStyle name="Shade 2 3 4 39" xfId="18954" xr:uid="{7988C0C5-D870-4139-9D6E-37F14F948DAA}"/>
    <cellStyle name="Shade 2 3 4 4" xfId="1675" xr:uid="{42AF38EB-045A-44A4-829C-D5C3ADDA29C7}"/>
    <cellStyle name="Shade 2 3 4 40" xfId="19200" xr:uid="{2288A35A-D107-4C83-861A-10B2FDB1EB42}"/>
    <cellStyle name="Shade 2 3 4 41" xfId="19947" xr:uid="{68445B78-78C7-4B0F-A771-B5FE5D880E58}"/>
    <cellStyle name="Shade 2 3 4 42" xfId="20395" xr:uid="{2B015ADA-AFA0-4833-9E3B-9860CEB4ACBD}"/>
    <cellStyle name="Shade 2 3 4 43" xfId="20848" xr:uid="{3A26D685-2515-4883-9F84-8B44414DCA58}"/>
    <cellStyle name="Shade 2 3 4 44" xfId="19887" xr:uid="{78EFFC85-2E5D-4A06-AEE7-794FA0430522}"/>
    <cellStyle name="Shade 2 3 4 45" xfId="21781" xr:uid="{45EDAF64-BF93-4C9D-905D-BA45A40F5298}"/>
    <cellStyle name="Shade 2 3 4 46" xfId="22218" xr:uid="{8CBD42F3-B5C1-4868-AE23-FE51B21A2786}"/>
    <cellStyle name="Shade 2 3 4 47" xfId="22677" xr:uid="{6527A9BC-02EB-482E-8E1A-2B6897F7699D}"/>
    <cellStyle name="Shade 2 3 4 48" xfId="23241" xr:uid="{D8AFB7D8-547A-4522-AA31-7511FA06CCC9}"/>
    <cellStyle name="Shade 2 3 4 49" xfId="23470" xr:uid="{F4D22A40-77BF-4F86-9EA8-A82788CA7820}"/>
    <cellStyle name="Shade 2 3 4 5" xfId="2387" xr:uid="{20FD4BD6-D2F5-427C-BFB1-F11F41F21C3E}"/>
    <cellStyle name="Shade 2 3 4 50" xfId="23756" xr:uid="{F2FCF3DB-441F-4D81-9FD0-3DFB0472C162}"/>
    <cellStyle name="Shade 2 3 4 51" xfId="24655" xr:uid="{4B0DB60C-3760-4309-8EE1-1E312B1F852C}"/>
    <cellStyle name="Shade 2 3 4 52" xfId="25105" xr:uid="{3553BD47-C34E-43EF-87D6-E43C26783F23}"/>
    <cellStyle name="Shade 2 3 4 53" xfId="25573" xr:uid="{8ECD0321-D6FD-46DD-9F85-2EB980E5485E}"/>
    <cellStyle name="Shade 2 3 4 54" xfId="25981" xr:uid="{CA0B0AD7-A110-4657-9672-3D8FA3E853BD}"/>
    <cellStyle name="Shade 2 3 4 55" xfId="25980" xr:uid="{88212B34-AE0F-4637-8A8C-3425293188E4}"/>
    <cellStyle name="Shade 2 3 4 56" xfId="26863" xr:uid="{2A78A5D8-0B95-4971-A6D8-33F81CB48776}"/>
    <cellStyle name="Shade 2 3 4 57" xfId="27282" xr:uid="{345D2BDA-E021-4897-B7E1-6BBD85FE4049}"/>
    <cellStyle name="Shade 2 3 4 58" xfId="27718" xr:uid="{BCB123E5-C7CF-468F-B2AD-77838991C4A0}"/>
    <cellStyle name="Shade 2 3 4 59" xfId="28405" xr:uid="{0BBA6D5A-7BCC-476A-962E-CE557AD57312}"/>
    <cellStyle name="Shade 2 3 4 6" xfId="2842" xr:uid="{7E6452D3-8B53-408C-883D-365A48471880}"/>
    <cellStyle name="Shade 2 3 4 60" xfId="28873" xr:uid="{590865C0-D953-41DA-90A4-E774B9094E47}"/>
    <cellStyle name="Shade 2 3 4 61" xfId="29259" xr:uid="{37A8715A-AC24-4049-872A-79F2370E3F23}"/>
    <cellStyle name="Shade 2 3 4 62" xfId="29663" xr:uid="{C5FEB0EA-324D-4629-8CA3-0972CF736C90}"/>
    <cellStyle name="Shade 2 3 4 63" xfId="30071" xr:uid="{72B67996-4EA5-491A-8FFF-A6B207F36AE7}"/>
    <cellStyle name="Shade 2 3 4 64" xfId="30485" xr:uid="{ECD3373C-042B-481A-87BF-8E4188A8AE07}"/>
    <cellStyle name="Shade 2 3 4 65" xfId="28231" xr:uid="{00E58418-9616-4C90-86F8-20A9A82520AE}"/>
    <cellStyle name="Shade 2 3 4 66" xfId="31109" xr:uid="{D1F8D95D-BC29-4BE8-9456-CD192B70EDC2}"/>
    <cellStyle name="Shade 2 3 4 7" xfId="3665" xr:uid="{6D6270EC-74AA-4576-AD44-AC76826385AC}"/>
    <cellStyle name="Shade 2 3 4 8" xfId="3883" xr:uid="{ADD5416F-45D3-4FB6-A9F0-B8F9B58E58FC}"/>
    <cellStyle name="Shade 2 3 4 9" xfId="4321" xr:uid="{039CBABE-A42A-4846-B447-9D9A8FEE251B}"/>
    <cellStyle name="Shade 2 3 40" xfId="18279" xr:uid="{BC3E1BDA-0B03-431B-B8B9-B8FE3EC3E4ED}"/>
    <cellStyle name="Shade 2 3 41" xfId="18903" xr:uid="{1039C000-7C16-4C75-A51A-2E7EDA9F548C}"/>
    <cellStyle name="Shade 2 3 42" xfId="18225" xr:uid="{3A8D21ED-0E05-4C49-8585-6C5A60DF8C6A}"/>
    <cellStyle name="Shade 2 3 43" xfId="19669" xr:uid="{7F790987-205A-4D66-BBCC-3CC7E822F2FC}"/>
    <cellStyle name="Shade 2 3 44" xfId="20308" xr:uid="{E15BE6F5-CC9C-4054-A41A-7696DFDF04FC}"/>
    <cellStyle name="Shade 2 3 45" xfId="19402" xr:uid="{41B5B9AA-9848-4444-8A67-4EA0B07FF883}"/>
    <cellStyle name="Shade 2 3 46" xfId="21436" xr:uid="{FC1FAA29-2DD0-4D71-8822-E10893C14D66}"/>
    <cellStyle name="Shade 2 3 47" xfId="21386" xr:uid="{EEB72B02-57A0-4B18-9BD9-8CD07869AC45}"/>
    <cellStyle name="Shade 2 3 48" xfId="21641" xr:uid="{6EF6AC49-56F9-4089-920F-24E3FC3386AB}"/>
    <cellStyle name="Shade 2 3 49" xfId="22174" xr:uid="{83775FA3-D260-4C17-8D73-9766D39E6641}"/>
    <cellStyle name="Shade 2 3 5" xfId="960" xr:uid="{5D5C02C2-1E4E-4CAE-9F41-DE8FA474D230}"/>
    <cellStyle name="Shade 2 3 50" xfId="23179" xr:uid="{088BCD10-5EC3-4211-BF86-5B9FBD5769E2}"/>
    <cellStyle name="Shade 2 3 51" xfId="23571" xr:uid="{3703EC1C-4C58-4490-8F89-FD30EDA1DB2B}"/>
    <cellStyle name="Shade 2 3 52" xfId="23455" xr:uid="{8B1C69DE-ABAE-4C78-B756-B6DA6808B22F}"/>
    <cellStyle name="Shade 2 3 53" xfId="24389" xr:uid="{C818301F-83AE-4C8A-AE56-267A0F211B52}"/>
    <cellStyle name="Shade 2 3 54" xfId="25024" xr:uid="{383FB266-C9B7-4993-B9A1-4AE5C2C41EC3}"/>
    <cellStyle name="Shade 2 3 55" xfId="25010" xr:uid="{A60F5284-E438-42A3-BBCF-A178B82BA75B}"/>
    <cellStyle name="Shade 2 3 56" xfId="25333" xr:uid="{7067AF0D-4F26-4601-AA16-129353D9A189}"/>
    <cellStyle name="Shade 2 3 57" xfId="25163" xr:uid="{3649B2D7-71CD-496C-BD98-ACE612EC2AF5}"/>
    <cellStyle name="Shade 2 3 58" xfId="26725" xr:uid="{163922B7-1163-424F-8B20-BF70DF9147C7}"/>
    <cellStyle name="Shade 2 3 59" xfId="26664" xr:uid="{97F85446-8D6E-46FD-A4EB-50D5602E0CC2}"/>
    <cellStyle name="Shade 2 3 6" xfId="1382" xr:uid="{5B00B547-BEBE-4FB1-B8C3-26C45BCA7292}"/>
    <cellStyle name="Shade 2 3 60" xfId="26294" xr:uid="{280C824B-8BCD-46A3-86F6-AC1116625423}"/>
    <cellStyle name="Shade 2 3 61" xfId="28160" xr:uid="{372E44F3-B84D-4AD2-87DA-11BEF928203E}"/>
    <cellStyle name="Shade 2 3 62" xfId="28261" xr:uid="{DA3B1FAE-43CC-47AB-8D1E-FA8F8EA45254}"/>
    <cellStyle name="Shade 2 3 63" xfId="28538" xr:uid="{106FEAFE-A7F3-4DE0-8335-4697718C744D}"/>
    <cellStyle name="Shade 2 3 64" xfId="29211" xr:uid="{1E40A4D7-2910-4F21-890D-EC1A35D0EFB5}"/>
    <cellStyle name="Shade 2 3 65" xfId="28124" xr:uid="{105A97A9-C230-4360-A478-95BC81CB8DAF}"/>
    <cellStyle name="Shade 2 3 66" xfId="28061" xr:uid="{DBD72813-3C73-472E-8BC8-86905B3F8E4E}"/>
    <cellStyle name="Shade 2 3 67" xfId="29457" xr:uid="{379C2EEA-7FD7-4684-8485-D4B4C3B014E0}"/>
    <cellStyle name="Shade 2 3 68" xfId="29278" xr:uid="{40BB14CD-EAEC-4508-BED0-159E8600E419}"/>
    <cellStyle name="Shade 2 3 7" xfId="2109" xr:uid="{4F567EF6-C0EC-48D9-B32E-3C2DEF83FE80}"/>
    <cellStyle name="Shade 2 3 8" xfId="2720" xr:uid="{5A72BC90-F2CE-4C56-AE83-88A19B079522}"/>
    <cellStyle name="Shade 2 3 9" xfId="2817" xr:uid="{348284EE-934C-4AC0-AF2C-C8EC4530300A}"/>
    <cellStyle name="Shade 3" xfId="436" xr:uid="{87BE24B7-0321-4A02-AB38-CA18B087514C}"/>
    <cellStyle name="Shade 3 2" xfId="576" xr:uid="{DDB14559-3E82-49BF-891C-72DBB00BC8B7}"/>
    <cellStyle name="Shade 3 2 10" xfId="4952" xr:uid="{95EF7102-843B-4393-9B79-181EAC0A02E6}"/>
    <cellStyle name="Shade 3 2 11" xfId="5224" xr:uid="{F48DDC2B-7466-4684-8E14-EE1A32D0F7C2}"/>
    <cellStyle name="Shade 3 2 12" xfId="5998" xr:uid="{D4A3A9A2-9233-4DBB-8670-73683B5AD70E}"/>
    <cellStyle name="Shade 3 2 13" xfId="6360" xr:uid="{9EDAD72B-D79F-4153-88FC-1A028043111A}"/>
    <cellStyle name="Shade 3 2 14" xfId="6508" xr:uid="{CC279528-95D9-41AF-A21F-C205540ECAD8}"/>
    <cellStyle name="Shade 3 2 15" xfId="7296" xr:uid="{7DE3EAE1-09AB-469D-BC3D-37AAAACC8364}"/>
    <cellStyle name="Shade 3 2 16" xfId="7020" xr:uid="{21DEAD37-1A0F-4AD2-911E-0FB3FFE5EBAF}"/>
    <cellStyle name="Shade 3 2 17" xfId="6942" xr:uid="{4AC4A7FF-13DF-4996-A017-D2D34FEFB645}"/>
    <cellStyle name="Shade 3 2 18" xfId="8642" xr:uid="{DE037509-A117-4E97-BF21-AC66725C5E0E}"/>
    <cellStyle name="Shade 3 2 19" xfId="9510" xr:uid="{E1E345BC-4376-45EE-81A1-6B3321F6145C}"/>
    <cellStyle name="Shade 3 2 2" xfId="791" xr:uid="{55347467-3273-4DBC-83C9-6C60A62C7A11}"/>
    <cellStyle name="Shade 3 2 2 10" xfId="5439" xr:uid="{4B93ABF1-72A7-4FA6-BB31-CFD6E0C2F2B7}"/>
    <cellStyle name="Shade 3 2 2 11" xfId="2984" xr:uid="{5DEFC5B8-E759-45EE-BA1B-1BE6C8B7CF02}"/>
    <cellStyle name="Shade 3 2 2 12" xfId="5987" xr:uid="{1414B203-5D90-4520-8F24-52AD4237E2F3}"/>
    <cellStyle name="Shade 3 2 2 13" xfId="6680" xr:uid="{79264452-37A5-4910-8154-9B6A0A62D0AC}"/>
    <cellStyle name="Shade 3 2 2 14" xfId="7511" xr:uid="{AFB63B15-72A0-46FB-927C-8447447E1F5E}"/>
    <cellStyle name="Shade 3 2 2 15" xfId="6730" xr:uid="{96D0C4AF-AC70-4079-8F15-176CFD50686D}"/>
    <cellStyle name="Shade 3 2 2 16" xfId="8570" xr:uid="{536FAE66-D75D-4343-AAF7-24DEF7F49063}"/>
    <cellStyle name="Shade 3 2 2 17" xfId="8784" xr:uid="{40E2E19D-658D-4AFD-A857-72BD7079588E}"/>
    <cellStyle name="Shade 3 2 2 18" xfId="9725" xr:uid="{E222934B-5BC5-4597-99FB-E0E62A48F198}"/>
    <cellStyle name="Shade 3 2 2 19" xfId="8943" xr:uid="{6E479F2A-046C-4414-BE20-455500EEB39C}"/>
    <cellStyle name="Shade 3 2 2 2" xfId="1265" xr:uid="{9AFF9EDB-6737-48EC-92AA-0B461191F339}"/>
    <cellStyle name="Shade 3 2 2 20" xfId="10115" xr:uid="{185E0D2D-021A-49B0-AD5F-5B4E7579669C}"/>
    <cellStyle name="Shade 3 2 2 21" xfId="10584" xr:uid="{9EE96438-94A5-4837-8E55-A78480AF1880}"/>
    <cellStyle name="Shade 3 2 2 22" xfId="11297" xr:uid="{23779ACF-97F7-430D-95A6-56CFE3ECDBBE}"/>
    <cellStyle name="Shade 3 2 2 23" xfId="12144" xr:uid="{7643536F-4B8F-49F8-80C1-9D286D1F93D1}"/>
    <cellStyle name="Shade 3 2 2 24" xfId="12617" xr:uid="{8065D4D8-C782-4DD3-B141-A5419962C325}"/>
    <cellStyle name="Shade 3 2 2 25" xfId="13051" xr:uid="{C3C06BD1-16A6-4D5E-B1BD-F59158D967AA}"/>
    <cellStyle name="Shade 3 2 2 26" xfId="13488" xr:uid="{FE48C984-808D-4477-964A-AFCF0DC7EEC7}"/>
    <cellStyle name="Shade 3 2 2 27" xfId="13624" xr:uid="{726BFB7D-E01F-4EF8-9760-5DBE962624B0}"/>
    <cellStyle name="Shade 3 2 2 28" xfId="13979" xr:uid="{8B4217C5-0559-4264-A1A8-8098247ADCBE}"/>
    <cellStyle name="Shade 3 2 2 29" xfId="14212" xr:uid="{1CB13259-03DA-4902-A0B4-B208A2516C69}"/>
    <cellStyle name="Shade 3 2 2 3" xfId="1559" xr:uid="{844C4E62-5B04-45F0-88C1-E2C50043CB2F}"/>
    <cellStyle name="Shade 3 2 2 30" xfId="14608" xr:uid="{614C4E2E-48FF-4934-96F5-9558F6FF6412}"/>
    <cellStyle name="Shade 3 2 2 31" xfId="15732" xr:uid="{F279B000-27FA-4C89-AEEE-FE1A3AE24392}"/>
    <cellStyle name="Shade 3 2 2 32" xfId="15739" xr:uid="{3637B170-3D50-416D-84F0-8530D76F75AD}"/>
    <cellStyle name="Shade 3 2 2 33" xfId="16836" xr:uid="{9D7D4D93-8B65-4548-BF7A-024444A3BB4B}"/>
    <cellStyle name="Shade 3 2 2 34" xfId="16038" xr:uid="{99E8A92F-167C-43EA-94E7-C3FE5251DE7E}"/>
    <cellStyle name="Shade 3 2 2 35" xfId="17234" xr:uid="{4ED229B9-0E29-48F3-B315-031E131B60E4}"/>
    <cellStyle name="Shade 3 2 2 36" xfId="17096" xr:uid="{44A3CAA1-9031-4AF5-AD65-0A8857C1E87B}"/>
    <cellStyle name="Shade 3 2 2 37" xfId="18654" xr:uid="{9C87BAC9-8DCC-4291-8FFA-0689FFE8E48A}"/>
    <cellStyle name="Shade 3 2 2 38" xfId="18846" xr:uid="{0D003BA0-9985-4FD4-AE17-4F8F5E6BE7CE}"/>
    <cellStyle name="Shade 3 2 2 39" xfId="19176" xr:uid="{33F7AE12-E25D-439C-860D-1252748B0C08}"/>
    <cellStyle name="Shade 3 2 2 4" xfId="2613" xr:uid="{F5C20AD6-FC16-4238-8CAB-D2B06082EDC8}"/>
    <cellStyle name="Shade 3 2 2 40" xfId="20173" xr:uid="{80FE053F-3DF7-4222-8334-DC4C2F0654BF}"/>
    <cellStyle name="Shade 3 2 2 41" xfId="19371" xr:uid="{DD2C53A8-F6E1-448E-83DE-43F764B245FD}"/>
    <cellStyle name="Shade 3 2 2 42" xfId="20584" xr:uid="{890CFC77-83A8-4935-9544-A543B39FCFFC}"/>
    <cellStyle name="Shade 3 2 2 43" xfId="21265" xr:uid="{D7892A76-4A54-40AF-A996-69261AF6B11B}"/>
    <cellStyle name="Shade 3 2 2 44" xfId="21557" xr:uid="{B1EA4E82-2C42-47E4-9BBC-A3DD73CCEF9D}"/>
    <cellStyle name="Shade 3 2 2 45" xfId="21663" xr:uid="{0C432727-302D-44E5-B338-0C5C654EC44E}"/>
    <cellStyle name="Shade 3 2 2 46" xfId="22632" xr:uid="{F483DD3E-B668-4A3D-9476-B9D1C28E471F}"/>
    <cellStyle name="Shade 3 2 2 47" xfId="23122" xr:uid="{E11544FD-902D-4C68-802F-620A41E08BD6}"/>
    <cellStyle name="Shade 3 2 2 48" xfId="20801" xr:uid="{367B13AE-9CC6-4532-80DB-7B6437F39BA2}"/>
    <cellStyle name="Shade 3 2 2 49" xfId="23973" xr:uid="{56465FFF-0826-4D00-8825-15A25BB9B89E}"/>
    <cellStyle name="Shade 3 2 2 5" xfId="2791" xr:uid="{25D69121-6AD9-4588-AFE6-3DD4294D67C2}"/>
    <cellStyle name="Shade 3 2 2 50" xfId="24881" xr:uid="{8CB772D4-5422-4B2B-A213-D7D43C409E5A}"/>
    <cellStyle name="Shade 3 2 2 51" xfId="24251" xr:uid="{076A2F43-5FD7-44B1-9D50-8911EA20CFB2}"/>
    <cellStyle name="Shade 3 2 2 52" xfId="25797" xr:uid="{A7FC71CC-BE61-425E-B710-095A3CBF3104}"/>
    <cellStyle name="Shade 3 2 2 53" xfId="25935" xr:uid="{132FE540-B330-4A70-9392-BC528EEC90C7}"/>
    <cellStyle name="Shade 3 2 2 54" xfId="26421" xr:uid="{3FE738FD-31B4-4395-8BC8-B1511B15E29D}"/>
    <cellStyle name="Shade 3 2 2 55" xfId="27085" xr:uid="{FE9A3487-13E6-4819-B86B-2A3AE0699944}"/>
    <cellStyle name="Shade 3 2 2 56" xfId="27504" xr:uid="{F2E107C6-C236-47C3-A2CF-3FCFB0DF4D0C}"/>
    <cellStyle name="Shade 3 2 2 57" xfId="26034" xr:uid="{EE4F1876-45A7-4C54-9BBC-B04B91D42C93}"/>
    <cellStyle name="Shade 3 2 2 58" xfId="28631" xr:uid="{A10AE747-813A-41CF-977C-FAA20A94685F}"/>
    <cellStyle name="Shade 3 2 2 59" xfId="29098" xr:uid="{B548B2FB-EDA8-4A4A-B6D5-C59C4EED4C75}"/>
    <cellStyle name="Shade 3 2 2 6" xfId="3666" xr:uid="{5F0B1F21-0373-4E0E-AE75-E2EA123113A2}"/>
    <cellStyle name="Shade 3 2 2 60" xfId="28299" xr:uid="{02F853EF-98A6-405F-AA30-0ACDB5DD4AEC}"/>
    <cellStyle name="Shade 3 2 2 61" xfId="29887" xr:uid="{FFFD09DB-FE15-4B17-889B-CEEE0A4B44DD}"/>
    <cellStyle name="Shade 3 2 2 62" xfId="30293" xr:uid="{EBFAB79C-4BAA-40F3-945F-2DF8675340F5}"/>
    <cellStyle name="Shade 3 2 2 63" xfId="30710" xr:uid="{60AFBA38-928F-4B97-9DB6-76F61BE2FB5A}"/>
    <cellStyle name="Shade 3 2 2 64" xfId="29208" xr:uid="{8016DBFF-67B1-444E-A4C3-B3D34BA16957}"/>
    <cellStyle name="Shade 3 2 2 65" xfId="31326" xr:uid="{537CAE0C-3250-4DF2-9630-41F77045E38A}"/>
    <cellStyle name="Shade 3 2 2 7" xfId="4109" xr:uid="{F4489A3E-DFE3-4232-8F14-3C6CEBFD8BD1}"/>
    <cellStyle name="Shade 3 2 2 8" xfId="4546" xr:uid="{1E1531EC-9B99-4FEC-9A4E-91CFFFCF8B8A}"/>
    <cellStyle name="Shade 3 2 2 9" xfId="3502" xr:uid="{94354236-1602-4687-A08E-5FA416967F1E}"/>
    <cellStyle name="Shade 3 2 20" xfId="9234" xr:uid="{234696F3-2BA2-4635-8FE8-B7DFA0C98835}"/>
    <cellStyle name="Shade 3 2 21" xfId="10268" xr:uid="{7F5F8AFB-1108-44F1-BFEF-69F5E8B97670}"/>
    <cellStyle name="Shade 3 2 22" xfId="10940" xr:uid="{AA90C19C-B03B-4C26-A87D-68ABB206FE97}"/>
    <cellStyle name="Shade 3 2 23" xfId="11192" xr:uid="{303EE91C-CE27-47DE-BC25-8B2FEDCA8263}"/>
    <cellStyle name="Shade 3 2 24" xfId="11929" xr:uid="{440698FB-8743-4C3E-93D4-5336D6D2E266}"/>
    <cellStyle name="Shade 3 2 25" xfId="12402" xr:uid="{404181B0-DFAD-4D4A-A9A8-271395C2BB4A}"/>
    <cellStyle name="Shade 3 2 26" xfId="12836" xr:uid="{85E44956-D6BA-4660-90A9-9F943D38C1E3}"/>
    <cellStyle name="Shade 3 2 27" xfId="13273" xr:uid="{72721C17-1522-4CD3-9550-B78211D09C6C}"/>
    <cellStyle name="Shade 3 2 28" xfId="13906" xr:uid="{C6CD7B38-8487-4002-9A89-9E732725A1B2}"/>
    <cellStyle name="Shade 3 2 29" xfId="14167" xr:uid="{D5AF5217-D968-49F4-A6D1-62E4BC00A593}"/>
    <cellStyle name="Shade 3 2 3" xfId="1059" xr:uid="{C1B64970-6266-4011-B6AB-F95BE057A5B0}"/>
    <cellStyle name="Shade 3 2 30" xfId="14905" xr:uid="{7223E762-F12E-4C11-B765-D7E82C50293D}"/>
    <cellStyle name="Shade 3 2 31" xfId="15376" xr:uid="{E4E0BC75-9F48-4F59-B46D-A10681E2FECA}"/>
    <cellStyle name="Shade 3 2 32" xfId="15637" xr:uid="{FB1F4DB4-9DC6-4C6B-AA42-4C8A9475DB11}"/>
    <cellStyle name="Shade 3 2 33" xfId="14531" xr:uid="{1954CCC5-D9DF-428E-9F1B-E1FF921E3711}"/>
    <cellStyle name="Shade 3 2 34" xfId="16621" xr:uid="{B7B46CAB-BE74-47D0-AF0B-4DDDBCD48E92}"/>
    <cellStyle name="Shade 3 2 35" xfId="16342" xr:uid="{2CEC43F1-9C15-4921-B147-AB07E2A8B1D2}"/>
    <cellStyle name="Shade 3 2 36" xfId="17391" xr:uid="{7337903E-F2FF-4DDE-8EE4-2E42F42E5B8B}"/>
    <cellStyle name="Shade 3 2 37" xfId="17949" xr:uid="{02788026-21B6-4A25-BC0D-57D510EDE746}"/>
    <cellStyle name="Shade 3 2 38" xfId="18439" xr:uid="{AA4C213A-C2E6-4FAC-8499-6513552C2CC6}"/>
    <cellStyle name="Shade 3 2 39" xfId="18138" xr:uid="{0B9FCB26-5D4F-4EC1-8EA0-E551F71C3BE5}"/>
    <cellStyle name="Shade 3 2 4" xfId="1455" xr:uid="{9B147769-AE27-4652-8E4B-ED218AB81C69}"/>
    <cellStyle name="Shade 3 2 40" xfId="19293" xr:uid="{295BA6F0-24F3-4215-8FC8-B0E215A62BD5}"/>
    <cellStyle name="Shade 3 2 41" xfId="19958" xr:uid="{908AB942-A340-4697-AF41-505BD0A10242}"/>
    <cellStyle name="Shade 3 2 42" xfId="19675" xr:uid="{75BB6A3E-E5C1-4768-8FE6-C74C6B366460}"/>
    <cellStyle name="Shade 3 2 43" xfId="20578" xr:uid="{C96D187C-1EF4-44AD-8D40-8B5932319366}"/>
    <cellStyle name="Shade 3 2 44" xfId="19685" xr:uid="{01F302EF-0E9E-4CA8-BF9A-E3E7BA94B07C}"/>
    <cellStyle name="Shade 3 2 45" xfId="21637" xr:uid="{842E74B8-6282-49C2-B2BF-975A0AA67E89}"/>
    <cellStyle name="Shade 3 2 46" xfId="19583" xr:uid="{53836D90-6AC2-49DF-8DF1-DF85D5F67278}"/>
    <cellStyle name="Shade 3 2 47" xfId="22886" xr:uid="{5261DC8E-4298-4F66-A22D-D0BAA0DE2CA4}"/>
    <cellStyle name="Shade 3 2 48" xfId="21439" xr:uid="{CDC3A184-C807-46E9-96D1-312191C2360A}"/>
    <cellStyle name="Shade 3 2 49" xfId="23501" xr:uid="{CED3906F-09D7-4BBC-961A-8AFA2309B1C3}"/>
    <cellStyle name="Shade 3 2 5" xfId="2398" xr:uid="{870B2590-F09D-473B-B6F8-7C9CDA5EB4ED}"/>
    <cellStyle name="Shade 3 2 50" xfId="23767" xr:uid="{F4D497E1-863C-4217-92A1-063EE9328E12}"/>
    <cellStyle name="Shade 3 2 51" xfId="24666" xr:uid="{90A6390D-24BD-45DB-BCAA-A0AD1EF303A1}"/>
    <cellStyle name="Shade 3 2 52" xfId="24574" xr:uid="{9F1902CF-6413-46F7-B76F-A011631D2C74}"/>
    <cellStyle name="Shade 3 2 53" xfId="25584" xr:uid="{01519D4B-680F-495C-8031-FF8EAC3A85F2}"/>
    <cellStyle name="Shade 3 2 54" xfId="26190" xr:uid="{0120E99C-9E59-4A55-B14A-24D113B3A58B}"/>
    <cellStyle name="Shade 3 2 55" xfId="26337" xr:uid="{34D80C28-03A5-4E70-A89F-C002D758E371}"/>
    <cellStyle name="Shade 3 2 56" xfId="26874" xr:uid="{03651FDB-AB55-4021-B06D-A1E6780070D8}"/>
    <cellStyle name="Shade 3 2 57" xfId="27293" xr:uid="{0A62F280-B6F1-4762-9B63-6AC65C73BEF7}"/>
    <cellStyle name="Shade 3 2 58" xfId="26655" xr:uid="{3F24F53A-8B8D-4007-B400-D93E097F343B}"/>
    <cellStyle name="Shade 3 2 59" xfId="28416" xr:uid="{98F6F324-2CCE-45BA-8A25-C5BFC9E0E4CC}"/>
    <cellStyle name="Shade 3 2 6" xfId="3074" xr:uid="{ECA2879A-D8BE-4660-B206-37E99E155F57}"/>
    <cellStyle name="Shade 3 2 60" xfId="28884" xr:uid="{CD50CD84-21E4-4F6B-8048-4368B33C73D7}"/>
    <cellStyle name="Shade 3 2 61" xfId="28805" xr:uid="{FF01A8EA-51D8-43D6-8319-2E74602C82B6}"/>
    <cellStyle name="Shade 3 2 62" xfId="29674" xr:uid="{E5AA6545-3CD2-4218-998A-A2ACAF9EB1D7}"/>
    <cellStyle name="Shade 3 2 63" xfId="30082" xr:uid="{B5A59FCB-42BC-43D7-ABF8-59E5018FFD25}"/>
    <cellStyle name="Shade 3 2 64" xfId="30496" xr:uid="{2794BBB1-0B46-46B6-BD23-3F28798D9D2B}"/>
    <cellStyle name="Shade 3 2 65" xfId="29994" xr:uid="{0A8DCD1B-1A73-41E9-A194-E2BC22733512}"/>
    <cellStyle name="Shade 3 2 66" xfId="31120" xr:uid="{D96B4C82-D33F-4E0E-A0EC-CE89A1E6AC1F}"/>
    <cellStyle name="Shade 3 2 7" xfId="3532" xr:uid="{99D09C22-9BD1-4EC9-AD7C-DB9CC8F881DA}"/>
    <cellStyle name="Shade 3 2 8" xfId="3894" xr:uid="{561BE044-2457-4D4C-8A8D-90D92A1A3916}"/>
    <cellStyle name="Shade 3 2 9" xfId="4332" xr:uid="{1A5024F0-4E8A-4FD6-A441-2152C5A5D9EC}"/>
    <cellStyle name="Shade 3 3" xfId="724" xr:uid="{483FA3A6-9F4C-4201-9FF7-CAAA5C5BF2AF}"/>
    <cellStyle name="Shade 3 3 10" xfId="5372" xr:uid="{442AB807-D00F-4E67-966C-0A9B84F1764B}"/>
    <cellStyle name="Shade 3 3 11" xfId="5775" xr:uid="{AB6DFB7B-80A0-4F09-8987-A3A4C1CAD4FC}"/>
    <cellStyle name="Shade 3 3 12" xfId="5989" xr:uid="{9EC26ECC-2763-46F5-96E3-86F96B7C7F9D}"/>
    <cellStyle name="Shade 3 3 13" xfId="6419" xr:uid="{48BE044A-DF1C-4AE0-A38A-7050267DD597}"/>
    <cellStyle name="Shade 3 3 14" xfId="7444" xr:uid="{CEB665DC-2736-4DDE-8675-5175E53313BE}"/>
    <cellStyle name="Shade 3 3 15" xfId="7982" xr:uid="{088AD41D-A0E3-4890-A4A3-73F82C55A45C}"/>
    <cellStyle name="Shade 3 3 16" xfId="7744" xr:uid="{7F149B40-0823-43AE-AA37-9D8AB20DCC1F}"/>
    <cellStyle name="Shade 3 3 17" xfId="8324" xr:uid="{58B43B77-3A30-415F-BC02-6E444C7ED632}"/>
    <cellStyle name="Shade 3 3 18" xfId="9658" xr:uid="{D6FC20AB-397C-44DA-8B68-A513E5912556}"/>
    <cellStyle name="Shade 3 3 19" xfId="10198" xr:uid="{972BB261-8447-44C1-81DE-69434999AF39}"/>
    <cellStyle name="Shade 3 3 2" xfId="1198" xr:uid="{254138AC-5EB2-4B1A-A4B2-66E018A05AC2}"/>
    <cellStyle name="Shade 3 3 20" xfId="10602" xr:uid="{CC9A3EBD-95B7-4185-9554-FEBAAE241892}"/>
    <cellStyle name="Shade 3 3 21" xfId="10524" xr:uid="{CF8F2F11-9DDB-4737-8901-55BF76AD7F9D}"/>
    <cellStyle name="Shade 3 3 22" xfId="11267" xr:uid="{494648AB-0710-4FCD-A38F-A7825CF32470}"/>
    <cellStyle name="Shade 3 3 23" xfId="12077" xr:uid="{E0D1B83B-73A2-45ED-A013-B2D26D25A9FE}"/>
    <cellStyle name="Shade 3 3 24" xfId="12550" xr:uid="{884F6518-C552-4DD3-898B-435D0A99603E}"/>
    <cellStyle name="Shade 3 3 25" xfId="12984" xr:uid="{7D5F9FCD-B368-4115-897D-4D5F87373EA1}"/>
    <cellStyle name="Shade 3 3 26" xfId="13421" xr:uid="{86D8C395-1FD6-414C-80FB-61097B8BCF63}"/>
    <cellStyle name="Shade 3 3 27" xfId="12719" xr:uid="{0D8A80C5-4E24-446B-A53F-98139BEDF4CF}"/>
    <cellStyle name="Shade 3 3 28" xfId="11861" xr:uid="{02398953-F06E-4557-B8BD-C9CF25A3A8E0}"/>
    <cellStyle name="Shade 3 3 29" xfId="14848" xr:uid="{8D97E815-BB3A-4021-8339-9BC307F26395}"/>
    <cellStyle name="Shade 3 3 3" xfId="1443" xr:uid="{F4EA68AF-55E7-47B5-95E2-110DCEF2758B}"/>
    <cellStyle name="Shade 3 3 30" xfId="15215" xr:uid="{68F3FFD1-16D4-43BF-929E-879AC1771D13}"/>
    <cellStyle name="Shade 3 3 31" xfId="15641" xr:uid="{6E359799-0B68-40AC-9997-E66E0370DE33}"/>
    <cellStyle name="Shade 3 3 32" xfId="15961" xr:uid="{51D81CA2-0056-41D8-93CE-DBB0F3B16AA6}"/>
    <cellStyle name="Shade 3 3 33" xfId="16769" xr:uid="{2BA48DBE-2B02-4E25-BB79-07098B2F70E0}"/>
    <cellStyle name="Shade 3 3 34" xfId="17319" xr:uid="{169235DC-62EC-4854-944F-C9BA0F7ED43F}"/>
    <cellStyle name="Shade 3 3 35" xfId="17762" xr:uid="{EAF9E010-6607-456C-8DC7-682BC57367F8}"/>
    <cellStyle name="Shade 3 3 36" xfId="16148" xr:uid="{0342A333-D3B5-4A5A-A3D2-57BA667D2524}"/>
    <cellStyle name="Shade 3 3 37" xfId="18587" xr:uid="{24604E26-CE27-4997-AC72-10821BADC3B4}"/>
    <cellStyle name="Shade 3 3 38" xfId="17286" xr:uid="{3D74F74C-DC5E-44BD-B606-95923D130C2B}"/>
    <cellStyle name="Shade 3 3 39" xfId="19054" xr:uid="{8FE809BA-4917-49EA-9001-E01B9F988E2F}"/>
    <cellStyle name="Shade 3 3 4" xfId="2546" xr:uid="{51CD38D4-AF88-48FE-BAB0-B6862D456047}"/>
    <cellStyle name="Shade 3 3 40" xfId="20106" xr:uid="{12207733-E8F1-4F82-8610-4A6AA95E9322}"/>
    <cellStyle name="Shade 3 3 41" xfId="20670" xr:uid="{4705AFD4-F1AA-4936-A210-D6A7A5BE4F9E}"/>
    <cellStyle name="Shade 3 3 42" xfId="21126" xr:uid="{EF5C7976-804F-4A3F-956E-73EAD6235825}"/>
    <cellStyle name="Shade 3 3 43" xfId="21236" xr:uid="{5B0DF5DF-0214-427A-927C-E40A9A13CE7C}"/>
    <cellStyle name="Shade 3 3 44" xfId="22058" xr:uid="{8D136212-069C-4291-985B-BF2EE8608032}"/>
    <cellStyle name="Shade 3 3 45" xfId="22486" xr:uid="{8B9ECD32-9C05-4548-9243-AACC1D6E0144}"/>
    <cellStyle name="Shade 3 3 46" xfId="22554" xr:uid="{74B70688-0B6F-4000-8FBB-8DC78A8D431F}"/>
    <cellStyle name="Shade 3 3 47" xfId="22030" xr:uid="{96188231-925D-4257-826B-D9D204254D67}"/>
    <cellStyle name="Shade 3 3 48" xfId="23239" xr:uid="{9142D996-AD1C-4FD4-9418-9D2F3C1B96D9}"/>
    <cellStyle name="Shade 3 3 49" xfId="23906" xr:uid="{DE9B82A7-C7E6-4F82-887E-5A62FDE5BC83}"/>
    <cellStyle name="Shade 3 3 5" xfId="1854" xr:uid="{3B24FB9E-B652-49D6-8C70-30144B34BB85}"/>
    <cellStyle name="Shade 3 3 50" xfId="24814" xr:uid="{14DBB53B-C54D-4ED7-BB06-FC2D4102F8A4}"/>
    <cellStyle name="Shade 3 3 51" xfId="25373" xr:uid="{D4C0F232-CF0C-4989-ADFA-34F9784A6D63}"/>
    <cellStyle name="Shade 3 3 52" xfId="25730" xr:uid="{AED6969C-F419-44FB-BCBA-7F4C08104135}"/>
    <cellStyle name="Shade 3 3 53" xfId="24981" xr:uid="{AA61FFFB-76FF-481E-AC42-43B6A85DD58F}"/>
    <cellStyle name="Shade 3 3 54" xfId="26544" xr:uid="{80FA0646-F4A5-47CA-9BDE-DCF40DDDCFB5}"/>
    <cellStyle name="Shade 3 3 55" xfId="27018" xr:uid="{9D96CCCA-024F-4159-BAA2-77542E60BEBD}"/>
    <cellStyle name="Shade 3 3 56" xfId="27437" xr:uid="{89272FD3-9D51-45CE-8151-938D8C1B7784}"/>
    <cellStyle name="Shade 3 3 57" xfId="27723" xr:uid="{15894A74-11AC-4039-936E-2F930550F93A}"/>
    <cellStyle name="Shade 3 3 58" xfId="28564" xr:uid="{698F09B8-5B1A-4B79-AF57-F06D8E84CB6A}"/>
    <cellStyle name="Shade 3 3 59" xfId="29031" xr:uid="{0CD73C02-7618-449B-8AF1-416EEB1C97A5}"/>
    <cellStyle name="Shade 3 3 6" xfId="3052" xr:uid="{8D9CB19B-12F9-4264-B1E3-6803E0E89AFB}"/>
    <cellStyle name="Shade 3 3 60" xfId="29495" xr:uid="{85EA004D-FE14-42AE-9980-C5475F2BD3CB}"/>
    <cellStyle name="Shade 3 3 61" xfId="29820" xr:uid="{FF18E9B8-707C-4619-BDD5-6AB7B51BE940}"/>
    <cellStyle name="Shade 3 3 62" xfId="30226" xr:uid="{DA304FED-9A2C-4987-A31B-BC0859B7DBEF}"/>
    <cellStyle name="Shade 3 3 63" xfId="30643" xr:uid="{1AC9D9FA-ADB2-4744-A7C4-CCCE25822BA4}"/>
    <cellStyle name="Shade 3 3 64" xfId="28229" xr:uid="{CFE71886-70AD-4E2D-ADF0-3CEF2DAB65F2}"/>
    <cellStyle name="Shade 3 3 65" xfId="31259" xr:uid="{CBC011C1-7BB9-46EA-A972-354F7BE4717F}"/>
    <cellStyle name="Shade 3 3 7" xfId="4042" xr:uid="{68701958-9394-4732-B18A-60653CD4B152}"/>
    <cellStyle name="Shade 3 3 8" xfId="4479" xr:uid="{78BEC5FA-DBF5-4ECA-89DB-657BB02F3084}"/>
    <cellStyle name="Shade 3 3 9" xfId="3506" xr:uid="{3850C191-0D26-46DF-A264-33B01CE9E7DD}"/>
    <cellStyle name="Shade 4" xfId="284" xr:uid="{EB953D36-BF66-46E0-9596-5EF1795598C9}"/>
    <cellStyle name="Shade 4 10" xfId="3748" xr:uid="{312F175C-A1AE-42ED-B22A-3DCE65822502}"/>
    <cellStyle name="Shade 4 11" xfId="3687" xr:uid="{225AD2B5-1BC7-49FB-A3CA-3DBBF5374F9D}"/>
    <cellStyle name="Shade 4 12" xfId="3791" xr:uid="{EE6F9DEC-B717-495A-923B-C18905A9B6FB}"/>
    <cellStyle name="Shade 4 13" xfId="5050" xr:uid="{FD4BCEAB-C887-43CE-AC34-9D075227C93E}"/>
    <cellStyle name="Shade 4 14" xfId="5778" xr:uid="{9262E16C-6317-4B62-895E-C2DB0D8FA4C4}"/>
    <cellStyle name="Shade 4 15" xfId="3259" xr:uid="{5BBF55B9-E284-44A1-BA24-90C145D38032}"/>
    <cellStyle name="Shade 4 16" xfId="6424" xr:uid="{70F21858-5849-49D1-BDA3-92B43C460C0D}"/>
    <cellStyle name="Shade 4 17" xfId="7014" xr:uid="{5CEAB489-2D97-4081-B60D-E51B66A1398C}"/>
    <cellStyle name="Shade 4 18" xfId="6845" xr:uid="{F9292197-4B13-4670-9679-B1F59EB605FA}"/>
    <cellStyle name="Shade 4 19" xfId="8145" xr:uid="{2E636E04-5F20-480D-A7A5-6B5ED1AF932F}"/>
    <cellStyle name="Shade 4 2" xfId="43" xr:uid="{9BA786C0-DCF8-4424-A8B5-A1224CE3CE50}"/>
    <cellStyle name="Shade 4 2 2" xfId="621" xr:uid="{41EE2806-4D0E-4391-925A-DFD5DC735976}"/>
    <cellStyle name="Shade 4 2 2 10" xfId="5269" xr:uid="{3F82ED4D-A415-4089-9100-BA0FC3D3B58C}"/>
    <cellStyle name="Shade 4 2 2 11" xfId="4216" xr:uid="{0B0299CC-59BD-478A-BEFB-F90A3DBFFAAE}"/>
    <cellStyle name="Shade 4 2 2 12" xfId="6260" xr:uid="{57A272EA-A205-48D5-B704-DBE9917CEFD2}"/>
    <cellStyle name="Shade 4 2 2 13" xfId="6475" xr:uid="{9481C88E-10B4-47BA-B7C9-38F41E7A346B}"/>
    <cellStyle name="Shade 4 2 2 14" xfId="7341" xr:uid="{02D85AF5-412E-4AD0-929F-CA825F536E3C}"/>
    <cellStyle name="Shade 4 2 2 15" xfId="7033" xr:uid="{03091A81-884F-4D8B-98CA-0169609C0ADB}"/>
    <cellStyle name="Shade 4 2 2 16" xfId="7079" xr:uid="{06AA3DE8-85BB-4E85-83FB-9D93692BC688}"/>
    <cellStyle name="Shade 4 2 2 17" xfId="8010" xr:uid="{2B4C47D5-046A-4446-BBA8-DF057C549F72}"/>
    <cellStyle name="Shade 4 2 2 18" xfId="9555" xr:uid="{C430BD75-FE9F-4D47-ACCE-8BC50F89BF04}"/>
    <cellStyle name="Shade 4 2 2 19" xfId="9246" xr:uid="{899A50A5-DF98-4498-9DFA-A1AC91D85C9A}"/>
    <cellStyle name="Shade 4 2 2 2" xfId="1104" xr:uid="{9828058A-9925-475C-A18E-4B3245466EBD}"/>
    <cellStyle name="Shade 4 2 2 20" xfId="10118" xr:uid="{5DBE881A-4F3E-42B7-919A-5B0BBCA1E876}"/>
    <cellStyle name="Shade 4 2 2 21" xfId="10395" xr:uid="{176CE437-79B6-4E16-B5A5-CCE24CBBD451}"/>
    <cellStyle name="Shade 4 2 2 22" xfId="11091" xr:uid="{7F05505D-787B-4476-910E-778BBE002975}"/>
    <cellStyle name="Shade 4 2 2 23" xfId="11974" xr:uid="{F3B7BBFB-62EF-48E3-BBED-8623D32FEEE1}"/>
    <cellStyle name="Shade 4 2 2 24" xfId="12447" xr:uid="{BF88DDBD-8803-44F4-8820-12BAA80BD540}"/>
    <cellStyle name="Shade 4 2 2 25" xfId="12881" xr:uid="{F55D34BB-F045-4530-8297-70E18C80D9E7}"/>
    <cellStyle name="Shade 4 2 2 26" xfId="13318" xr:uid="{97E60C9E-570B-4CDD-AEA0-61527E96E3A5}"/>
    <cellStyle name="Shade 4 2 2 27" xfId="13882" xr:uid="{C17C2990-C536-47CC-9D82-05EAD180F00B}"/>
    <cellStyle name="Shade 4 2 2 28" xfId="14459" xr:uid="{5B8ABEE3-C572-4BE3-BBD5-BCE0192E5BAC}"/>
    <cellStyle name="Shade 4 2 2 29" xfId="11533" xr:uid="{8DD9BA85-D0E1-4531-B254-F500560BD433}"/>
    <cellStyle name="Shade 4 2 2 3" xfId="1653" xr:uid="{D92F6C7F-6807-4032-8662-180CC9CDE512}"/>
    <cellStyle name="Shade 4 2 2 30" xfId="14320" xr:uid="{5C81BF3A-8A51-4811-A6A2-09F4502BCA73}"/>
    <cellStyle name="Shade 4 2 2 31" xfId="15574" xr:uid="{61CA88CC-777C-49C5-8A10-6979F46F3D8C}"/>
    <cellStyle name="Shade 4 2 2 32" xfId="15455" xr:uid="{BC045BA0-54F3-45F3-B045-DC9956EF4583}"/>
    <cellStyle name="Shade 4 2 2 33" xfId="16666" xr:uid="{DF578482-85CC-491F-889E-599C47C7CDD5}"/>
    <cellStyle name="Shade 4 2 2 34" xfId="16356" xr:uid="{71CE64B0-D578-4C38-89A2-B96A04E0A48A}"/>
    <cellStyle name="Shade 4 2 2 35" xfId="17237" xr:uid="{4E2D0750-4611-4191-8D3E-7BE7F07D1A47}"/>
    <cellStyle name="Shade 4 2 2 36" xfId="17359" xr:uid="{BAB238FE-49F5-46C0-A357-209DD6C043E9}"/>
    <cellStyle name="Shade 4 2 2 37" xfId="18484" xr:uid="{4F6F1073-7280-40AD-BF55-C262A2AFE196}"/>
    <cellStyle name="Shade 4 2 2 38" xfId="18347" xr:uid="{531BFB3F-9E83-4385-A9E1-7EF20E1A53FC}"/>
    <cellStyle name="Shade 4 2 2 39" xfId="19282" xr:uid="{9F39ECBF-7749-4AC9-A64A-24EBB2F7A8A2}"/>
    <cellStyle name="Shade 4 2 2 4" xfId="2443" xr:uid="{1A919CD3-0C3F-44F2-8D82-A1C3124C77BA}"/>
    <cellStyle name="Shade 4 2 2 40" xfId="20003" xr:uid="{909553FE-7284-4674-8D63-BEB43F2F7845}"/>
    <cellStyle name="Shade 4 2 2 41" xfId="19689" xr:uid="{DE4F9310-F71E-48F3-BFE9-2F8A8F3FD131}"/>
    <cellStyle name="Shade 4 2 2 42" xfId="20698" xr:uid="{AAC14C46-8DB6-409B-8AF6-C3B759EF9855}"/>
    <cellStyle name="Shade 4 2 2 43" xfId="19550" xr:uid="{E1179BB8-AD6F-4DF6-8E74-632BC284F5DB}"/>
    <cellStyle name="Shade 4 2 2 44" xfId="21692" xr:uid="{96093811-335C-4661-84BE-33C306D1D69E}"/>
    <cellStyle name="Shade 4 2 2 45" xfId="22131" xr:uid="{DE30E4FC-5AA3-422A-B345-6209AD674CDB}"/>
    <cellStyle name="Shade 4 2 2 46" xfId="22864" xr:uid="{47570C76-94E3-4685-B50E-5EAC9E2B5335}"/>
    <cellStyle name="Shade 4 2 2 47" xfId="22182" xr:uid="{063E9135-530C-4D23-B6EA-8006184FD8DF}"/>
    <cellStyle name="Shade 4 2 2 48" xfId="23564" xr:uid="{0558A08E-060B-4604-B538-40905ED63648}"/>
    <cellStyle name="Shade 4 2 2 49" xfId="23812" xr:uid="{835001D6-D588-486A-8AF5-85BF0107F016}"/>
    <cellStyle name="Shade 4 2 2 5" xfId="3050" xr:uid="{A504AF00-9A01-423C-B568-18B2403BEB14}"/>
    <cellStyle name="Shade 4 2 2 50" xfId="24711" xr:uid="{CE127A83-5D92-4DC6-BB2E-E0841C91FA4F}"/>
    <cellStyle name="Shade 4 2 2 51" xfId="24400" xr:uid="{3A5F7BC6-2A35-49D6-8E82-83D604E1DC08}"/>
    <cellStyle name="Shade 4 2 2 52" xfId="25629" xr:uid="{91A198D1-0358-4744-BF74-2150CEF98B3C}"/>
    <cellStyle name="Shade 4 2 2 53" xfId="25976" xr:uid="{0DA7CEA2-3C1F-4716-8C15-C664DF664358}"/>
    <cellStyle name="Shade 4 2 2 54" xfId="26542" xr:uid="{237A8B9A-8B06-430A-9392-8A3ECB5B474F}"/>
    <cellStyle name="Shade 4 2 2 55" xfId="26919" xr:uid="{B9F9A494-E041-4D31-AF60-D0CEAE46C56C}"/>
    <cellStyle name="Shade 4 2 2 56" xfId="27338" xr:uid="{BE704801-DD62-4AC6-8B9B-433AA53006DD}"/>
    <cellStyle name="Shade 4 2 2 57" xfId="27766" xr:uid="{5AFF664A-3BF5-4A29-A82C-2BA8B1ADDF59}"/>
    <cellStyle name="Shade 4 2 2 58" xfId="28461" xr:uid="{C9185BE6-9E7C-4B97-BBB1-6037C9940BE1}"/>
    <cellStyle name="Shade 4 2 2 59" xfId="28929" xr:uid="{B6507EDD-887E-4829-A976-04F27BB6DB70}"/>
    <cellStyle name="Shade 4 2 2 6" xfId="2054" xr:uid="{38E19F98-8D61-4845-BAEC-DF04EC3735E4}"/>
    <cellStyle name="Shade 4 2 2 60" xfId="28781" xr:uid="{6E076EED-6505-45D0-A844-DE3A7D56BAA2}"/>
    <cellStyle name="Shade 4 2 2 61" xfId="29719" xr:uid="{41BFBF90-2699-402A-A50D-F741DFE3F6B5}"/>
    <cellStyle name="Shade 4 2 2 62" xfId="30127" xr:uid="{6091AA6E-CF25-453F-95BF-83BA2B7D063A}"/>
    <cellStyle name="Shade 4 2 2 63" xfId="30541" xr:uid="{CCF0AE29-51F1-4637-B2FF-4181D8D416E2}"/>
    <cellStyle name="Shade 4 2 2 64" xfId="30983" xr:uid="{FBCB2179-B2DD-4BAA-BE70-F5AB15AB5973}"/>
    <cellStyle name="Shade 4 2 2 65" xfId="31165" xr:uid="{B76C81D5-5511-4B80-9FFA-74C42DF6473A}"/>
    <cellStyle name="Shade 4 2 2 7" xfId="3939" xr:uid="{B31F0BE6-6656-41A6-B884-8C4496335560}"/>
    <cellStyle name="Shade 4 2 2 8" xfId="4377" xr:uid="{6AD95B14-B584-4341-A83C-A8233D05988D}"/>
    <cellStyle name="Shade 4 2 2 9" xfId="3742" xr:uid="{99AFA4CD-138D-4B57-838C-D57CE62CCDA1}"/>
    <cellStyle name="Shade 4 2 3" xfId="836" xr:uid="{65945B8D-A9C1-4D21-B472-DE84DF17E87D}"/>
    <cellStyle name="Shade 4 2 3 10" xfId="5484" xr:uid="{21A473AE-A5A5-4BD0-8E75-A0EEA752428E}"/>
    <cellStyle name="Shade 4 2 3 11" xfId="1819" xr:uid="{F2BE3ED5-26C1-4439-B6FD-21A4334905EF}"/>
    <cellStyle name="Shade 4 2 3 12" xfId="2218" xr:uid="{A39E7B14-72B8-4163-8F2B-6D68DE952A70}"/>
    <cellStyle name="Shade 4 2 3 13" xfId="6086" xr:uid="{9AD359E6-06AC-4D52-914E-9116193310EA}"/>
    <cellStyle name="Shade 4 2 3 14" xfId="7556" xr:uid="{8672F3C8-EF8E-4FF9-998B-742DDFFBF641}"/>
    <cellStyle name="Shade 4 2 3 15" xfId="7883" xr:uid="{49416BBE-E98A-4A24-B806-33D6D745CDEF}"/>
    <cellStyle name="Shade 4 2 3 16" xfId="8392" xr:uid="{A1434F88-AE97-4D71-8B61-5AE078076F90}"/>
    <cellStyle name="Shade 4 2 3 17" xfId="8859" xr:uid="{E3D846E8-870D-4BA1-9E6D-52223C679D76}"/>
    <cellStyle name="Shade 4 2 3 18" xfId="9770" xr:uid="{7D43F04F-530E-4E7D-BCFF-7FDD74A100E7}"/>
    <cellStyle name="Shade 4 2 3 19" xfId="10096" xr:uid="{E302C894-59A1-4C01-84D7-B36C45E2AB15}"/>
    <cellStyle name="Shade 4 2 3 2" xfId="1310" xr:uid="{69023C51-454B-44C5-BEE8-7962C8489024}"/>
    <cellStyle name="Shade 4 2 3 20" xfId="10512" xr:uid="{F1E688E3-375A-4CF6-A44A-7C4B4CAAF7F9}"/>
    <cellStyle name="Shade 4 2 3 21" xfId="10724" xr:uid="{51A21413-CEA0-4170-B6F7-0103B47482D6}"/>
    <cellStyle name="Shade 4 2 3 22" xfId="11140" xr:uid="{541A1B6F-0153-404B-B827-79D470074FBD}"/>
    <cellStyle name="Shade 4 2 3 23" xfId="12189" xr:uid="{9A52D54F-CBB4-4822-B764-505DAE21F5B3}"/>
    <cellStyle name="Shade 4 2 3 24" xfId="12662" xr:uid="{8238C481-72B1-460B-A673-417890EA3D8D}"/>
    <cellStyle name="Shade 4 2 3 25" xfId="13096" xr:uid="{E33F4CDC-6328-4334-97A3-6A581B7E13C0}"/>
    <cellStyle name="Shade 4 2 3 26" xfId="13533" xr:uid="{0CDFF2D0-3944-4500-986E-E5611DABAAE4}"/>
    <cellStyle name="Shade 4 2 3 27" xfId="11752" xr:uid="{BE522FA4-447C-43D1-8475-8F8BA332DB4E}"/>
    <cellStyle name="Shade 4 2 3 28" xfId="11522" xr:uid="{8D4EF0F0-3E80-4811-98F4-93DFEC021C55}"/>
    <cellStyle name="Shade 4 2 3 29" xfId="14746" xr:uid="{3CC802DD-F038-4FA4-B66D-9F6597C2758A}"/>
    <cellStyle name="Shade 4 2 3 3" xfId="1759" xr:uid="{8A129390-7252-4008-9D10-A20074FCE125}"/>
    <cellStyle name="Shade 4 2 3 30" xfId="15037" xr:uid="{9B8C0F5A-E6BA-41EF-A299-D5176BEC7719}"/>
    <cellStyle name="Shade 4 2 3 31" xfId="15655" xr:uid="{D699197C-6867-443B-8A34-FEB851A79C1B}"/>
    <cellStyle name="Shade 4 2 3 32" xfId="15907" xr:uid="{C33D8317-3F76-4195-8EA3-A25C5136D304}"/>
    <cellStyle name="Shade 4 2 3 33" xfId="16881" xr:uid="{9B519569-46B5-46FA-8C39-A606C13D9114}"/>
    <cellStyle name="Shade 4 2 3 34" xfId="17215" xr:uid="{4761E350-91B5-4468-BECD-68FC42F5EBD7}"/>
    <cellStyle name="Shade 4 2 3 35" xfId="17661" xr:uid="{DCF739D6-5987-4B0F-8A14-787A447DEFF1}"/>
    <cellStyle name="Shade 4 2 3 36" xfId="17568" xr:uid="{B3FCECC4-E0EC-4879-91DD-9304CF25C368}"/>
    <cellStyle name="Shade 4 2 3 37" xfId="18699" xr:uid="{3153EF37-B519-483E-995C-FEDAFA702266}"/>
    <cellStyle name="Shade 4 2 3 38" xfId="19022" xr:uid="{DF76A3C3-D965-4505-A4A4-EBCF37362DD2}"/>
    <cellStyle name="Shade 4 2 3 39" xfId="19222" xr:uid="{C57B4137-A6B1-47AD-AECE-E0364ECC2B19}"/>
    <cellStyle name="Shade 4 2 3 4" xfId="2658" xr:uid="{E958EB94-CA50-4D95-8D73-8C7A6194CBC2}"/>
    <cellStyle name="Shade 4 2 3 40" xfId="20218" xr:uid="{EB0EEAC6-132B-457B-9A7B-32AE97D4A5AE}"/>
    <cellStyle name="Shade 4 2 3 41" xfId="20568" xr:uid="{5894F2D7-2CCE-4D86-A99C-626B3555BD80}"/>
    <cellStyle name="Shade 4 2 3 42" xfId="21021" xr:uid="{EC49CBB0-92D7-470E-89D3-5ADAB4C5678C}"/>
    <cellStyle name="Shade 4 2 3 43" xfId="21319" xr:uid="{A8AACF7D-20DD-4B60-951F-8B75A8D084E3}"/>
    <cellStyle name="Shade 4 2 3 44" xfId="21952" xr:uid="{22ECDE7B-7C71-4C10-8C23-94F3243AE7E1}"/>
    <cellStyle name="Shade 4 2 3 45" xfId="22383" xr:uid="{50D5D662-0B39-4923-8A16-70B416047563}"/>
    <cellStyle name="Shade 4 2 3 46" xfId="22256" xr:uid="{69B91090-A8E3-4185-A603-7DB2D30410BA}"/>
    <cellStyle name="Shade 4 2 3 47" xfId="23301" xr:uid="{7CFF0582-CF09-428C-A12E-4D036025962D}"/>
    <cellStyle name="Shade 4 2 3 48" xfId="23621" xr:uid="{475D9355-6B9C-489D-A014-68F3585629D7}"/>
    <cellStyle name="Shade 4 2 3 49" xfId="24018" xr:uid="{21890C2B-2691-4FF3-8C7E-036BA54EA916}"/>
    <cellStyle name="Shade 4 2 3 5" xfId="2306" xr:uid="{42F78456-7D98-49AE-AD30-718B4833F9A5}"/>
    <cellStyle name="Shade 4 2 3 50" xfId="24926" xr:uid="{E1CCC6D0-7395-402C-B34F-045B8A95289C}"/>
    <cellStyle name="Shade 4 2 3 51" xfId="25276" xr:uid="{269B10A4-7631-4558-B6D9-E485B417DAA5}"/>
    <cellStyle name="Shade 4 2 3 52" xfId="25842" xr:uid="{46BFC6EC-10C5-4112-B791-6A5053A5CD7E}"/>
    <cellStyle name="Shade 4 2 3 53" xfId="25505" xr:uid="{0A445475-34B2-48A9-A2E5-EEA5A899A980}"/>
    <cellStyle name="Shade 4 2 3 54" xfId="26487" xr:uid="{FAE94F2F-F674-45BC-8618-72A3734954F1}"/>
    <cellStyle name="Shade 4 2 3 55" xfId="27130" xr:uid="{49985267-A2D8-422F-B514-FFD9E20A8103}"/>
    <cellStyle name="Shade 4 2 3 56" xfId="27549" xr:uid="{4B5FF456-BA02-46D9-94D0-9F778A7F9E63}"/>
    <cellStyle name="Shade 4 2 3 57" xfId="26724" xr:uid="{5A1E5652-8A77-411E-AED9-ECC93F8150B6}"/>
    <cellStyle name="Shade 4 2 3 58" xfId="28676" xr:uid="{BCC13533-A0CC-4A37-ADA2-F514A49E6701}"/>
    <cellStyle name="Shade 4 2 3 59" xfId="29143" xr:uid="{3CE9677F-A669-4E83-8D07-ADA671E8CED9}"/>
    <cellStyle name="Shade 4 2 3 6" xfId="1985" xr:uid="{3061383A-3A59-4B02-82B0-4468DF49165E}"/>
    <cellStyle name="Shade 4 2 3 60" xfId="29404" xr:uid="{58F2A357-57CB-468C-B91E-F4BED52AD81F}"/>
    <cellStyle name="Shade 4 2 3 61" xfId="29932" xr:uid="{78196A9A-BCE9-43FC-98AF-F1B639170E8E}"/>
    <cellStyle name="Shade 4 2 3 62" xfId="30338" xr:uid="{8C8BC864-DEDD-4FF1-B8BA-A3FE9E52CAFA}"/>
    <cellStyle name="Shade 4 2 3 63" xfId="30755" xr:uid="{F4100725-10B7-445E-ACBA-94DFDF89834F}"/>
    <cellStyle name="Shade 4 2 3 64" xfId="29267" xr:uid="{E398181D-0845-4D95-B818-850D074BD694}"/>
    <cellStyle name="Shade 4 2 3 65" xfId="31371" xr:uid="{24E75A5C-4A4E-4DF7-886F-6A63419DA2E7}"/>
    <cellStyle name="Shade 4 2 3 7" xfId="4154" xr:uid="{EF83B197-AEAA-4795-A0A6-717F5270C8F4}"/>
    <cellStyle name="Shade 4 2 3 8" xfId="4591" xr:uid="{BF55BE41-B281-4AD6-9425-2BC6B9BAED5B}"/>
    <cellStyle name="Shade 4 2 3 9" xfId="3004" xr:uid="{AE7E9AAC-E148-4B7F-A4AA-C637C7DD83C6}"/>
    <cellStyle name="Shade 4 20" xfId="8814" xr:uid="{71E54DBA-1B3B-41FB-B876-E921F2DCEE79}"/>
    <cellStyle name="Shade 4 21" xfId="9227" xr:uid="{A63D6033-D487-40EB-888D-1453D4CBC455}"/>
    <cellStyle name="Shade 4 22" xfId="9167" xr:uid="{0753E33B-0BC6-485B-AAB8-6DAC30C382B0}"/>
    <cellStyle name="Shade 4 23" xfId="10255" xr:uid="{F47DFD76-9061-4329-9853-4E9A4F689A99}"/>
    <cellStyle name="Shade 4 24" xfId="9361" xr:uid="{7434759A-7659-4DBD-80C8-AFB1B61B512A}"/>
    <cellStyle name="Shade 4 25" xfId="10338" xr:uid="{A73C0262-8963-47CD-A45D-338A1E06B4BF}"/>
    <cellStyle name="Shade 4 26" xfId="11640" xr:uid="{C33882CF-F6E9-4EA1-BBD9-6F924063CA5C}"/>
    <cellStyle name="Shade 4 27" xfId="11761" xr:uid="{CB7AADF3-96A7-4FA7-8A43-301789FE1462}"/>
    <cellStyle name="Shade 4 28" xfId="11445" xr:uid="{FC605319-2860-47B0-B6B8-B310A03FFC10}"/>
    <cellStyle name="Shade 4 29" xfId="11756" xr:uid="{0CE155C9-714E-4C22-A8B1-E1DBE4524129}"/>
    <cellStyle name="Shade 4 3" xfId="650" xr:uid="{35E3DA42-9FA6-4C5F-9EC9-125225FA13A3}"/>
    <cellStyle name="Shade 4 3 10" xfId="4890" xr:uid="{67918929-C6B3-4C30-AA68-EE648D014BF9}"/>
    <cellStyle name="Shade 4 3 11" xfId="5298" xr:uid="{92FC0653-41D5-4280-851B-D88008E175DD}"/>
    <cellStyle name="Shade 4 3 12" xfId="3812" xr:uid="{646654FF-8654-463B-A3AC-E0D7DFFBC624}"/>
    <cellStyle name="Shade 4 3 13" xfId="5881" xr:uid="{8214913F-57A2-4C18-BF2D-D1D69461113F}"/>
    <cellStyle name="Shade 4 3 14" xfId="6636" xr:uid="{C9EC1CCD-370A-490D-8A46-6AA2CD7E7A26}"/>
    <cellStyle name="Shade 4 3 15" xfId="7370" xr:uid="{2EE3C698-CAF7-4108-9725-D5248CC9335C}"/>
    <cellStyle name="Shade 4 3 16" xfId="6911" xr:uid="{F4F63CB1-9AB2-4625-B349-AA97994AB472}"/>
    <cellStyle name="Shade 4 3 17" xfId="7616" xr:uid="{D2823FE7-979D-4B1A-B3AC-5A1AF43D22F4}"/>
    <cellStyle name="Shade 4 3 18" xfId="8752" xr:uid="{42BA480F-A170-484F-B9DB-8ED99763EB14}"/>
    <cellStyle name="Shade 4 3 19" xfId="9584" xr:uid="{94C32DE1-4CC4-4811-9252-DF4C8BCE7E9A}"/>
    <cellStyle name="Shade 4 3 2" xfId="865" xr:uid="{0CCCCB93-CAF1-4478-8FD7-485BB4FB1CB6}"/>
    <cellStyle name="Shade 4 3 2 10" xfId="5513" xr:uid="{C11BFA03-EBBA-4ED2-A09F-86A831331E2E}"/>
    <cellStyle name="Shade 4 3 2 11" xfId="5876" xr:uid="{3DA02EBB-0B5B-462D-8959-CE75199CEA5B}"/>
    <cellStyle name="Shade 4 3 2 12" xfId="5927" xr:uid="{C16C5B1F-641F-44C5-AEEF-D0D2E14F9E6D}"/>
    <cellStyle name="Shade 4 3 2 13" xfId="6687" xr:uid="{6A6E33FE-9EFD-483B-8CA5-0F9D5F4D3E72}"/>
    <cellStyle name="Shade 4 3 2 14" xfId="7585" xr:uid="{6CE79E90-16F9-4EB3-91A1-2BE8377F53D1}"/>
    <cellStyle name="Shade 4 3 2 15" xfId="6827" xr:uid="{0DAE1268-2B4D-4DA4-8AD6-9FC2A898B944}"/>
    <cellStyle name="Shade 4 3 2 16" xfId="8257" xr:uid="{11897CFB-FAA0-4C00-B399-3293B51B3906}"/>
    <cellStyle name="Shade 4 3 2 17" xfId="8614" xr:uid="{E4BBDC10-FA20-435D-86FB-37FC426D9F10}"/>
    <cellStyle name="Shade 4 3 2 18" xfId="9799" xr:uid="{A6C75011-CA08-4F2F-A3C8-C17137C26018}"/>
    <cellStyle name="Shade 4 3 2 19" xfId="9152" xr:uid="{5B30D071-5261-4A77-A1C3-0D3C1ABD886E}"/>
    <cellStyle name="Shade 4 3 2 2" xfId="1339" xr:uid="{DC736DF1-8C8E-4C44-9BCF-B9F9B52BA830}"/>
    <cellStyle name="Shade 4 3 2 20" xfId="8979" xr:uid="{07E73D7E-DA66-4A75-9083-D991BAB828A3}"/>
    <cellStyle name="Shade 4 3 2 21" xfId="10022" xr:uid="{E3440E3C-41A7-4C82-8472-5DC6EC6060D2}"/>
    <cellStyle name="Shade 4 3 2 22" xfId="11304" xr:uid="{BD35E1DD-B97E-43E5-A571-AD8D89C118B3}"/>
    <cellStyle name="Shade 4 3 2 23" xfId="12218" xr:uid="{59741CCA-EF39-440F-9C7A-88B266AA1D10}"/>
    <cellStyle name="Shade 4 3 2 24" xfId="12691" xr:uid="{255EFEB3-ABE3-4009-9B93-63FFDF415779}"/>
    <cellStyle name="Shade 4 3 2 25" xfId="13125" xr:uid="{49B7F14E-28DF-46DD-9FB8-D848EDCB6D28}"/>
    <cellStyle name="Shade 4 3 2 26" xfId="13562" xr:uid="{13A8F020-2233-413C-9DC4-847F989A1090}"/>
    <cellStyle name="Shade 4 3 2 27" xfId="13160" xr:uid="{0CAAED36-0614-46AF-ACA0-2636984E7942}"/>
    <cellStyle name="Shade 4 3 2 28" xfId="14481" xr:uid="{A960272B-EB26-427F-B6ED-9BC6D3153422}"/>
    <cellStyle name="Shade 4 3 2 29" xfId="13847" xr:uid="{6DF4AB7F-284C-488E-A529-6079C2C29D67}"/>
    <cellStyle name="Shade 4 3 2 3" xfId="1788" xr:uid="{995E9389-935C-426B-A07A-07C93A2B55EA}"/>
    <cellStyle name="Shade 4 3 2 30" xfId="15231" xr:uid="{DD11C862-5FD3-49E1-960A-94502C1F6143}"/>
    <cellStyle name="Shade 4 3 2 31" xfId="15752" xr:uid="{C635BE33-EABF-4344-ABE0-02DE23F4E4D9}"/>
    <cellStyle name="Shade 4 3 2 32" xfId="15460" xr:uid="{235C3762-5BF0-4675-AC4B-B2DBE385CBEC}"/>
    <cellStyle name="Shade 4 3 2 33" xfId="16910" xr:uid="{69F0025D-342F-490A-8579-8AFD050E3511}"/>
    <cellStyle name="Shade 4 3 2 34" xfId="16140" xr:uid="{E7A32548-CD25-4C77-B2A0-45BB006F7E0C}"/>
    <cellStyle name="Shade 4 3 2 35" xfId="16155" xr:uid="{2E68A3EE-B8D5-4677-92B8-AE2600D28637}"/>
    <cellStyle name="Shade 4 3 2 36" xfId="16215" xr:uid="{55D92701-1407-4030-AD49-6A4120ED545C}"/>
    <cellStyle name="Shade 4 3 2 37" xfId="18728" xr:uid="{67229941-1439-45DB-AF2D-0AFF7F087E32}"/>
    <cellStyle name="Shade 4 3 2 38" xfId="18014" xr:uid="{C9CA2B2E-3582-4195-9A58-FB106C79A100}"/>
    <cellStyle name="Shade 4 3 2 39" xfId="18351" xr:uid="{06569F2F-FC39-4CA1-AE54-FCCA42126623}"/>
    <cellStyle name="Shade 4 3 2 4" xfId="2687" xr:uid="{85CAE270-E899-461D-9AA7-6AAB8A9F50F9}"/>
    <cellStyle name="Shade 4 3 2 40" xfId="20247" xr:uid="{700006B8-E98D-410C-A488-2A1236693488}"/>
    <cellStyle name="Shade 4 3 2 41" xfId="19766" xr:uid="{754CD314-9660-45FE-9B95-7F62D53EC2F1}"/>
    <cellStyle name="Shade 4 3 2 42" xfId="20424" xr:uid="{F800B22E-0D4F-4B02-9F5A-D1E056D8EFB4}"/>
    <cellStyle name="Shade 4 3 2 43" xfId="21607" xr:uid="{5C66B3C6-C845-484F-A29A-194D98855797}"/>
    <cellStyle name="Shade 4 3 2 44" xfId="19827" xr:uid="{14CCAB55-ACB4-4C29-9C8D-E86A2FE89F76}"/>
    <cellStyle name="Shade 4 3 2 45" xfId="19729" xr:uid="{555CEAE1-B3E7-4ADA-9DFC-079F35858469}"/>
    <cellStyle name="Shade 4 3 2 46" xfId="22323" xr:uid="{D0A6C1ED-EC50-4F9E-A8A1-285F9FA9CB59}"/>
    <cellStyle name="Shade 4 3 2 47" xfId="22516" xr:uid="{316DF946-BD29-4412-9440-9EE6784DD690}"/>
    <cellStyle name="Shade 4 3 2 48" xfId="23191" xr:uid="{06543071-696F-4203-9F6B-F0CA04822AB0}"/>
    <cellStyle name="Shade 4 3 2 49" xfId="24047" xr:uid="{4A152B3A-CA5B-4987-967B-34F5D32E1B2D}"/>
    <cellStyle name="Shade 4 3 2 5" xfId="2144" xr:uid="{D2843F59-0E48-4EDA-92D7-0B22AB3026FC}"/>
    <cellStyle name="Shade 4 3 2 50" xfId="24955" xr:uid="{AE9A5F56-AEFC-4DD3-AA86-B06068A69E08}"/>
    <cellStyle name="Shade 4 3 2 51" xfId="24193" xr:uid="{39358BC1-41D5-4456-BAA4-1F25887DB8E4}"/>
    <cellStyle name="Shade 4 3 2 52" xfId="25871" xr:uid="{AD23FDF6-C2E2-4DAC-B0DE-D292BC690D44}"/>
    <cellStyle name="Shade 4 3 2 53" xfId="24599" xr:uid="{FA9091DC-E900-45C0-A5CF-F4CC57D4E3BE}"/>
    <cellStyle name="Shade 4 3 2 54" xfId="26738" xr:uid="{C7A3DC1B-85CE-4B7B-8058-DA07F6EC9294}"/>
    <cellStyle name="Shade 4 3 2 55" xfId="27159" xr:uid="{0C613AF9-4E20-4627-965B-86B55EA264F8}"/>
    <cellStyle name="Shade 4 3 2 56" xfId="27578" xr:uid="{8C29E558-6A3E-45CF-8295-BE9AFDFD28ED}"/>
    <cellStyle name="Shade 4 3 2 57" xfId="26670" xr:uid="{FB66BBC8-52C2-41B3-837F-10B761439B53}"/>
    <cellStyle name="Shade 4 3 2 58" xfId="28705" xr:uid="{3B8F439E-6C73-4086-B99E-9731E988A3AE}"/>
    <cellStyle name="Shade 4 3 2 59" xfId="29172" xr:uid="{BBB24D93-181F-4BE1-A4B8-461D10936A8C}"/>
    <cellStyle name="Shade 4 3 2 6" xfId="2731" xr:uid="{78C30A9F-50A6-4685-A177-CE568C6BC5D9}"/>
    <cellStyle name="Shade 4 3 2 60" xfId="28315" xr:uid="{B952AB14-D466-479E-BE55-8EB6C82C211F}"/>
    <cellStyle name="Shade 4 3 2 61" xfId="29961" xr:uid="{8E694370-79DF-4EEF-A513-A053E0827365}"/>
    <cellStyle name="Shade 4 3 2 62" xfId="30367" xr:uid="{A20FB3EF-A1D9-412A-969B-CAA3ACF038C7}"/>
    <cellStyle name="Shade 4 3 2 63" xfId="30784" xr:uid="{D868B9E9-F37C-4A19-B684-7B192210E0BE}"/>
    <cellStyle name="Shade 4 3 2 64" xfId="31029" xr:uid="{4D9CD63E-4E0A-461F-81EE-A125E5EEC50D}"/>
    <cellStyle name="Shade 4 3 2 65" xfId="31400" xr:uid="{1F6B8697-4622-4329-84BE-A5EDE57AAD84}"/>
    <cellStyle name="Shade 4 3 2 7" xfId="4183" xr:uid="{8666076A-1369-4382-BA0D-478000E4F185}"/>
    <cellStyle name="Shade 4 3 2 8" xfId="4620" xr:uid="{42F24AC0-D4B2-492A-9DB1-1EE83E6765D3}"/>
    <cellStyle name="Shade 4 3 2 9" xfId="5066" xr:uid="{9F979730-AB62-45B5-8D79-94F9FD00F7FC}"/>
    <cellStyle name="Shade 4 3 20" xfId="9124" xr:uid="{FB7B25C5-62E0-435C-A83B-63E272B34B6B}"/>
    <cellStyle name="Shade 4 3 21" xfId="9066" xr:uid="{63C92A61-A338-4D1C-A5C1-16F7575B4019}"/>
    <cellStyle name="Shade 4 3 22" xfId="10726" xr:uid="{B142516E-360C-42EA-875E-F62141DDEADC}"/>
    <cellStyle name="Shade 4 3 23" xfId="11167" xr:uid="{812F3514-64B3-4A80-BAD1-5EAD1C890E69}"/>
    <cellStyle name="Shade 4 3 24" xfId="12003" xr:uid="{2C1C25B5-F469-4C10-9F14-3D0C22CD8458}"/>
    <cellStyle name="Shade 4 3 25" xfId="12476" xr:uid="{F6450C63-DA9C-4EE6-B878-9B932FF289A1}"/>
    <cellStyle name="Shade 4 3 26" xfId="12910" xr:uid="{7D10BC6B-4DBE-4027-8C07-B60CEE97F34F}"/>
    <cellStyle name="Shade 4 3 27" xfId="13347" xr:uid="{D7EE9EE6-DD0F-4EE5-B6C2-F3A7AC6DCA62}"/>
    <cellStyle name="Shade 4 3 28" xfId="13723" xr:uid="{F0A159EF-2A6D-42B8-8D32-C89FA81C93F5}"/>
    <cellStyle name="Shade 4 3 29" xfId="14441" xr:uid="{378A2BF9-1A67-4E49-A975-1CABDDEBE2A6}"/>
    <cellStyle name="Shade 4 3 3" xfId="1133" xr:uid="{BE455EAF-34CB-43E7-AD45-AC2C8DD619EB}"/>
    <cellStyle name="Shade 4 3 30" xfId="14362" xr:uid="{74895EF0-FAD6-4B9D-8AC2-B577005A26B8}"/>
    <cellStyle name="Shade 4 3 31" xfId="14899" xr:uid="{690430FE-6410-4772-B9F1-B62DE1EAFAF7}"/>
    <cellStyle name="Shade 4 3 32" xfId="11505" xr:uid="{680D0AA0-6DB1-4154-888B-2EEBD137817F}"/>
    <cellStyle name="Shade 4 3 33" xfId="15195" xr:uid="{35C69254-AEA7-4F96-BAF5-11C6E3537B5F}"/>
    <cellStyle name="Shade 4 3 34" xfId="16695" xr:uid="{47C9BE36-924A-4D8C-9F5A-3CF59EF22E4F}"/>
    <cellStyle name="Shade 4 3 35" xfId="16228" xr:uid="{BE20945A-3144-4D18-AD07-993C2C88CDC5}"/>
    <cellStyle name="Shade 4 3 36" xfId="16059" xr:uid="{09B62851-0681-40B8-88BB-42C18E0B1998}"/>
    <cellStyle name="Shade 4 3 37" xfId="16112" xr:uid="{32E77284-1DD8-4BD1-9C8A-EDFFC306B6CE}"/>
    <cellStyle name="Shade 4 3 38" xfId="18513" xr:uid="{C51BA409-3049-488E-AA43-49526F5A15F0}"/>
    <cellStyle name="Shade 4 3 39" xfId="18842" xr:uid="{D20D8D34-C063-4596-A9A0-42FF1F4A0C29}"/>
    <cellStyle name="Shade 4 3 4" xfId="1371" xr:uid="{E04B1BE2-227E-45E6-9CEA-A7C43EA8FCBD}"/>
    <cellStyle name="Shade 4 3 40" xfId="19216" xr:uid="{47E7C19F-E645-4823-B873-1D124664FF29}"/>
    <cellStyle name="Shade 4 3 41" xfId="20032" xr:uid="{7E89FB39-AA2E-4D75-B57F-1C1D891A98A4}"/>
    <cellStyle name="Shade 4 3 42" xfId="19561" xr:uid="{223F916E-E556-40C0-802B-9C718841A818}"/>
    <cellStyle name="Shade 4 3 43" xfId="20693" xr:uid="{64C46300-63DB-420B-A34E-7A9DE4E4838F}"/>
    <cellStyle name="Shade 4 3 44" xfId="21001" xr:uid="{8932C9D6-D641-4043-8A9C-3D98059CABC8}"/>
    <cellStyle name="Shade 4 3 45" xfId="21660" xr:uid="{53AF5D50-288F-40F6-8394-26A202D44BBC}"/>
    <cellStyle name="Shade 4 3 46" xfId="21926" xr:uid="{842F7485-93BC-4942-A0B8-FF7A4EC6D59F}"/>
    <cellStyle name="Shade 4 3 47" xfId="22719" xr:uid="{CD483033-2E71-4988-8A8D-787FD040950A}"/>
    <cellStyle name="Shade 4 3 48" xfId="23118" xr:uid="{4FC82E1D-A5BC-4934-A526-BDEC094E4D80}"/>
    <cellStyle name="Shade 4 3 49" xfId="23636" xr:uid="{FF8F9D38-0A7E-4F28-AD55-BCBAD79EC19E}"/>
    <cellStyle name="Shade 4 3 5" xfId="2472" xr:uid="{572D0112-B46D-4E2F-8681-0AE50E9D3108}"/>
    <cellStyle name="Shade 4 3 50" xfId="23841" xr:uid="{6135DB7A-971E-46DD-B5BA-1623CB2AE753}"/>
    <cellStyle name="Shade 4 3 51" xfId="24740" xr:uid="{474B054F-F635-4CEB-8852-B0C6BF65FD63}"/>
    <cellStyle name="Shade 4 3 52" xfId="24282" xr:uid="{2D61FC70-04EB-4E40-9AEF-023478A8EF20}"/>
    <cellStyle name="Shade 4 3 53" xfId="25658" xr:uid="{C8784F48-1F4C-432E-974E-7A73ED4EAC66}"/>
    <cellStyle name="Shade 4 3 54" xfId="26023" xr:uid="{8E7792FD-627A-4EA9-B842-A494E10AE46E}"/>
    <cellStyle name="Shade 4 3 55" xfId="25157" xr:uid="{D4D2F851-D2DA-4F31-A4BF-F0E4842236D4}"/>
    <cellStyle name="Shade 4 3 56" xfId="26948" xr:uid="{A3A60119-6605-4AAF-86C3-69434579632E}"/>
    <cellStyle name="Shade 4 3 57" xfId="27367" xr:uid="{02627232-5F19-4E12-BF18-12346A0AF70A}"/>
    <cellStyle name="Shade 4 3 58" xfId="26691" xr:uid="{361CF50E-B1C6-4BEA-8FD4-890C66AD9286}"/>
    <cellStyle name="Shade 4 3 59" xfId="28490" xr:uid="{D39FF9C5-2EF0-498D-9048-E24363BBE54E}"/>
    <cellStyle name="Shade 4 3 6" xfId="2888" xr:uid="{9C7CC9CA-FEFB-43B4-8E7F-1F3219CBE8DC}"/>
    <cellStyle name="Shade 4 3 60" xfId="28958" xr:uid="{0C89CF8D-EAFA-4511-887D-98EF317EE837}"/>
    <cellStyle name="Shade 4 3 61" xfId="27919" xr:uid="{6306B99E-3377-45FA-AC3D-0E254C60F765}"/>
    <cellStyle name="Shade 4 3 62" xfId="29748" xr:uid="{83586226-985C-4D63-80B5-736E798B74C2}"/>
    <cellStyle name="Shade 4 3 63" xfId="30156" xr:uid="{C5579C18-7542-4EC7-8E0F-4950C3251646}"/>
    <cellStyle name="Shade 4 3 64" xfId="30570" xr:uid="{449330D7-CD37-4325-9F43-7EEA8063C535}"/>
    <cellStyle name="Shade 4 3 65" xfId="30849" xr:uid="{BCA180F2-A488-4377-9B13-4247356C8641}"/>
    <cellStyle name="Shade 4 3 66" xfId="31194" xr:uid="{8289BB31-791B-455C-9B2A-4B274648F816}"/>
    <cellStyle name="Shade 4 3 7" xfId="3346" xr:uid="{7CF29484-94F4-452B-ACDA-924C162210CF}"/>
    <cellStyle name="Shade 4 3 8" xfId="3968" xr:uid="{B26C76F1-AD27-42BE-89AF-11B84EA5B6E3}"/>
    <cellStyle name="Shade 4 3 9" xfId="4406" xr:uid="{B6B717A6-4846-4808-8197-9C187E828FD9}"/>
    <cellStyle name="Shade 4 30" xfId="13156" xr:uid="{D5EBD92C-A5D4-4578-AF6D-CF0072922691}"/>
    <cellStyle name="Shade 4 31" xfId="13797" xr:uid="{2C2411D0-C438-47D8-BE70-E421599FCEEB}"/>
    <cellStyle name="Shade 4 32" xfId="13878" xr:uid="{F5884733-5A1D-4E23-ADC2-55E5A3E4B467}"/>
    <cellStyle name="Shade 4 33" xfId="15191" xr:uid="{8D050294-34C5-4EB9-97B5-E4C0B555BC11}"/>
    <cellStyle name="Shade 4 34" xfId="13644" xr:uid="{A3513CD6-6327-4D80-9CF0-5D3A7E3D2CA6}"/>
    <cellStyle name="Shade 4 35" xfId="15649" xr:uid="{E72CE880-D9AE-46D4-923B-70340C560BCB}"/>
    <cellStyle name="Shade 4 36" xfId="16335" xr:uid="{2875AD0D-DECD-4338-8BD6-3E35D011B6CF}"/>
    <cellStyle name="Shade 4 37" xfId="16160" xr:uid="{A910B2F7-147B-4BA1-A302-D3F68323943E}"/>
    <cellStyle name="Shade 4 38" xfId="17074" xr:uid="{249D451B-DE23-469D-92A6-0E9A2FB392A6}"/>
    <cellStyle name="Shade 4 39" xfId="18238" xr:uid="{AFAB4D21-6A8F-421F-A715-3B3300FEDD29}"/>
    <cellStyle name="Shade 4 4" xfId="512" xr:uid="{EACB4E6F-8335-4AEF-B50B-19AD6984E16F}"/>
    <cellStyle name="Shade 4 4 10" xfId="4856" xr:uid="{6F568B36-B8FE-4C5A-8CE6-33A2B7B9E68E}"/>
    <cellStyle name="Shade 4 4 11" xfId="5160" xr:uid="{C124A710-8195-4CAF-83D0-B4AD30C896FA}"/>
    <cellStyle name="Shade 4 4 12" xfId="5830" xr:uid="{CC1AE6C6-5CBD-41B1-9DDC-D4F2A5D57BCD}"/>
    <cellStyle name="Shade 4 4 13" xfId="4995" xr:uid="{27623A89-7562-40D8-9F4A-E9FE3EA11455}"/>
    <cellStyle name="Shade 4 4 14" xfId="6365" xr:uid="{53623837-D21E-49DC-BF38-957B07EEAD74}"/>
    <cellStyle name="Shade 4 4 15" xfId="7232" xr:uid="{53509CF4-3322-45FE-B99C-E8AA80E47B58}"/>
    <cellStyle name="Shade 4 4 16" xfId="7957" xr:uid="{EA371B5E-D1A7-4218-AA7D-210892321F8D}"/>
    <cellStyle name="Shade 4 4 17" xfId="8599" xr:uid="{06BA6FC3-8B2C-4195-B7DC-AE007A94E8F4}"/>
    <cellStyle name="Shade 4 4 18" xfId="8283" xr:uid="{7091AEC1-09CE-4ED1-8E0E-F1BE8DB5743B}"/>
    <cellStyle name="Shade 4 4 19" xfId="9446" xr:uid="{7A0E05FA-0395-4C95-AA45-7A387D351F7F}"/>
    <cellStyle name="Shade 4 4 2" xfId="727" xr:uid="{6FA1D84B-6641-48AB-8FC3-20AA1A7FCBE9}"/>
    <cellStyle name="Shade 4 4 2 10" xfId="5375" xr:uid="{0204DC99-2244-4C35-AA55-8C830965DD72}"/>
    <cellStyle name="Shade 4 4 2 11" xfId="5008" xr:uid="{3E43F943-576B-42E4-B03F-79623C79C5B4}"/>
    <cellStyle name="Shade 4 4 2 12" xfId="6165" xr:uid="{7080A055-9CAE-4ABD-99A2-C16A7DA0DF49}"/>
    <cellStyle name="Shade 4 4 2 13" xfId="6542" xr:uid="{69B5A0AD-215D-4056-BBEE-2D8AD4B76B45}"/>
    <cellStyle name="Shade 4 4 2 14" xfId="7447" xr:uid="{52EBFD5F-8E5B-4367-9422-18A615788219}"/>
    <cellStyle name="Shade 4 4 2 15" xfId="7885" xr:uid="{914CDCD9-6087-4BA8-895B-C768BAAD3100}"/>
    <cellStyle name="Shade 4 4 2 16" xfId="8596" xr:uid="{314F852B-DBDB-44F2-8CAC-22171629FB68}"/>
    <cellStyle name="Shade 4 4 2 17" xfId="8757" xr:uid="{851357B3-07DD-4E2E-97BE-5F8860041750}"/>
    <cellStyle name="Shade 4 4 2 18" xfId="9661" xr:uid="{00707515-C434-4E6F-80F3-044DDD358504}"/>
    <cellStyle name="Shade 4 4 2 19" xfId="10098" xr:uid="{D0A36FCF-024C-48C8-99BA-392A933CC9E2}"/>
    <cellStyle name="Shade 4 4 2 2" xfId="1201" xr:uid="{5978F244-2256-4389-9551-57BA091EAEFD}"/>
    <cellStyle name="Shade 4 4 2 20" xfId="10514" xr:uid="{76AA2C48-6FBF-431E-B1A1-DF6788EF7A2F}"/>
    <cellStyle name="Shade 4 4 2 21" xfId="10789" xr:uid="{B5A12FFB-B5EB-400E-8CAE-7CB3D1627356}"/>
    <cellStyle name="Shade 4 4 2 22" xfId="11087" xr:uid="{A2F0A546-4877-4A1F-811D-34A670A002E1}"/>
    <cellStyle name="Shade 4 4 2 23" xfId="12080" xr:uid="{59D826F3-0CAA-4AB9-A8F7-D89666368363}"/>
    <cellStyle name="Shade 4 4 2 24" xfId="12553" xr:uid="{EA3E7FB5-C638-4E3A-B20F-0107223FEDED}"/>
    <cellStyle name="Shade 4 4 2 25" xfId="12987" xr:uid="{A2DE66BC-1216-4160-B700-3AD2E0203338}"/>
    <cellStyle name="Shade 4 4 2 26" xfId="13424" xr:uid="{FBE0A126-2A72-4FE9-B281-09D1EFAADF02}"/>
    <cellStyle name="Shade 4 4 2 27" xfId="13762" xr:uid="{8497D0B7-6693-40B5-B456-0B471C523839}"/>
    <cellStyle name="Shade 4 4 2 28" xfId="13165" xr:uid="{2D66B497-921B-4B19-8AA4-327DBB9B2028}"/>
    <cellStyle name="Shade 4 4 2 29" xfId="14748" xr:uid="{EDACBB4D-68F0-4336-8177-26729A7139EB}"/>
    <cellStyle name="Shade 4 4 2 3" xfId="1442" xr:uid="{7D608337-71C9-4EFF-AEFD-D7BD58F2CA10}"/>
    <cellStyle name="Shade 4 4 2 30" xfId="15087" xr:uid="{89BF7108-F00E-4915-BC09-1196E60F9BA3}"/>
    <cellStyle name="Shade 4 4 2 31" xfId="15696" xr:uid="{B64A76E8-35E2-42D3-B336-F29EA21B8893}"/>
    <cellStyle name="Shade 4 4 2 32" xfId="15909" xr:uid="{76FA9F6F-D692-425B-8029-21C396A3A78B}"/>
    <cellStyle name="Shade 4 4 2 33" xfId="16772" xr:uid="{E26CC074-C1C8-4A15-AFF5-462983152345}"/>
    <cellStyle name="Shade 4 4 2 34" xfId="17217" xr:uid="{4BD0AD58-DF57-4F65-B55D-CB10E913F87E}"/>
    <cellStyle name="Shade 4 4 2 35" xfId="17663" xr:uid="{6AC5A65A-27CA-4501-A85A-6F38292FF372}"/>
    <cellStyle name="Shade 4 4 2 36" xfId="17377" xr:uid="{99444A67-E9D1-4886-ADB1-45965DED3A19}"/>
    <cellStyle name="Shade 4 4 2 37" xfId="18590" xr:uid="{E8363B37-78D3-4D88-8AAC-B309A86A3730}"/>
    <cellStyle name="Shade 4 4 2 38" xfId="18943" xr:uid="{44A0AEEB-D2E8-4F3E-AAAA-DDDCA8E47643}"/>
    <cellStyle name="Shade 4 4 2 39" xfId="19265" xr:uid="{496D1E11-E3B8-47DA-9E75-A11C0CCD58A8}"/>
    <cellStyle name="Shade 4 4 2 4" xfId="2549" xr:uid="{CA9A4DDE-6D3D-4FFB-A964-94945C05D861}"/>
    <cellStyle name="Shade 4 4 2 40" xfId="20109" xr:uid="{9FBFC84C-6454-43F2-B400-1AD355A05EE1}"/>
    <cellStyle name="Shade 4 4 2 41" xfId="20570" xr:uid="{5493E07F-633E-4917-BB74-154B7D7745B0}"/>
    <cellStyle name="Shade 4 4 2 42" xfId="21023" xr:uid="{40B83B6B-A78F-4159-A700-3233FBF02C10}"/>
    <cellStyle name="Shade 4 4 2 43" xfId="21421" xr:uid="{AF9708D3-B244-44B0-B983-8B27A758B73A}"/>
    <cellStyle name="Shade 4 4 2 44" xfId="21954" xr:uid="{8A7171AC-A921-4C7D-B33E-9DF6EF4CD2B0}"/>
    <cellStyle name="Shade 4 4 2 45" xfId="22385" xr:uid="{BDA9A071-F9A5-4D7A-BA30-A3F8EF51224C}"/>
    <cellStyle name="Shade 4 4 2 46" xfId="22757" xr:uid="{E004F09E-DEB5-4741-83BB-09B833EFEB4D}"/>
    <cellStyle name="Shade 4 4 2 47" xfId="23230" xr:uid="{C924DA92-3664-4C11-B8BF-5248C71CE1D6}"/>
    <cellStyle name="Shade 4 4 2 48" xfId="22966" xr:uid="{F664476E-142B-4603-A1BD-0B331086B83A}"/>
    <cellStyle name="Shade 4 4 2 49" xfId="23909" xr:uid="{08E47844-F584-4C77-A11C-DE9952B4C05D}"/>
    <cellStyle name="Shade 4 4 2 5" xfId="2929" xr:uid="{06FEC90E-830D-44A2-BAF1-0EC156AC2039}"/>
    <cellStyle name="Shade 4 4 2 50" xfId="24817" xr:uid="{4CDB3F84-1C20-4B6E-8850-4CDB7C7729A7}"/>
    <cellStyle name="Shade 4 4 2 51" xfId="25278" xr:uid="{3E8ACD48-3673-427C-B732-57834F3AE026}"/>
    <cellStyle name="Shade 4 4 2 52" xfId="25733" xr:uid="{0B7863DE-0CD7-4C2B-AD8F-E3EDEDA6D678}"/>
    <cellStyle name="Shade 4 4 2 53" xfId="26061" xr:uid="{094D6A29-4142-4089-9F41-CAAEC2887021}"/>
    <cellStyle name="Shade 4 4 2 54" xfId="26556" xr:uid="{49DCC8E3-127D-49AE-90ED-A69F4BDBFDB9}"/>
    <cellStyle name="Shade 4 4 2 55" xfId="27021" xr:uid="{EC3BC342-C8E6-4B4C-AD0E-CFEABED683A2}"/>
    <cellStyle name="Shade 4 4 2 56" xfId="27440" xr:uid="{490C02DB-8B09-47C3-841F-D58B3522A152}"/>
    <cellStyle name="Shade 4 4 2 57" xfId="26351" xr:uid="{8D2EA4A0-877F-45B4-9FE7-5D6DA4F521E2}"/>
    <cellStyle name="Shade 4 4 2 58" xfId="28567" xr:uid="{33EB7312-4E2E-45FF-AA38-521E3541A2C9}"/>
    <cellStyle name="Shade 4 4 2 59" xfId="29034" xr:uid="{731C9CA7-E7FD-48F0-B3AE-620A31E740FA}"/>
    <cellStyle name="Shade 4 4 2 6" xfId="3185" xr:uid="{DE49DD71-EFA2-4521-9A5A-375965798571}"/>
    <cellStyle name="Shade 4 4 2 60" xfId="29406" xr:uid="{4724AB9F-A99D-46F8-A0BB-78E4A26CD770}"/>
    <cellStyle name="Shade 4 4 2 61" xfId="29823" xr:uid="{1F458A5A-F697-4251-A2F6-BDF0654560FC}"/>
    <cellStyle name="Shade 4 4 2 62" xfId="30229" xr:uid="{46E2A1A6-6B65-4708-8860-C96AADC6486F}"/>
    <cellStyle name="Shade 4 4 2 63" xfId="30646" xr:uid="{B56094B6-4D19-4128-92BC-2AF451B3D2E6}"/>
    <cellStyle name="Shade 4 4 2 64" xfId="29988" xr:uid="{2044C727-06AB-4EEB-BD20-D2B7C21B6D99}"/>
    <cellStyle name="Shade 4 4 2 65" xfId="31262" xr:uid="{95C9D136-DFF8-4C80-9232-A8D85DB27D8A}"/>
    <cellStyle name="Shade 4 4 2 7" xfId="4045" xr:uid="{8353325F-E1A7-4FC5-A1E1-9DCA85B4D007}"/>
    <cellStyle name="Shade 4 4 2 8" xfId="4482" xr:uid="{DA70058F-DE84-4589-9491-CBA3D1AA7368}"/>
    <cellStyle name="Shade 4 4 2 9" xfId="3341" xr:uid="{7F241888-BDF8-4D34-8E5A-020DEB22B5B1}"/>
    <cellStyle name="Shade 4 4 20" xfId="10172" xr:uid="{E4A03427-68D8-4B98-B726-41B29DE944C1}"/>
    <cellStyle name="Shade 4 4 21" xfId="10579" xr:uid="{870DE78A-B4A0-4B10-9792-1F3EBE2D248E}"/>
    <cellStyle name="Shade 4 4 22" xfId="9604" xr:uid="{71C52B9F-CAD3-4352-B9A1-C89D34383F3B}"/>
    <cellStyle name="Shade 4 4 23" xfId="10901" xr:uid="{3B1E3C38-4A91-4BC0-8D72-8FDC155C517E}"/>
    <cellStyle name="Shade 4 4 24" xfId="11865" xr:uid="{5614564D-A157-4576-A319-67B5C020D974}"/>
    <cellStyle name="Shade 4 4 25" xfId="12338" xr:uid="{5D571594-B56E-449D-ADD1-6944CE4412C5}"/>
    <cellStyle name="Shade 4 4 26" xfId="12772" xr:uid="{C3585980-CBCC-454B-B99E-5954BE2748D7}"/>
    <cellStyle name="Shade 4 4 27" xfId="13209" xr:uid="{10F9A368-EC38-4564-BB04-F2059F9514F3}"/>
    <cellStyle name="Shade 4 4 28" xfId="11447" xr:uid="{8D35E297-C1B7-4F1D-850D-7B21CB2B7298}"/>
    <cellStyle name="Shade 4 4 29" xfId="14465" xr:uid="{925FA438-CB8B-48E2-9FC3-49FB6264E2D2}"/>
    <cellStyle name="Shade 4 4 3" xfId="995" xr:uid="{48F89D87-DBF7-4B90-A81A-D0A551A02E95}"/>
    <cellStyle name="Shade 4 4 30" xfId="14834" xr:uid="{E2192E05-AB41-4EC1-B537-69437846C244}"/>
    <cellStyle name="Shade 4 4 31" xfId="13998" xr:uid="{D26E2C93-8433-486F-A61D-CF31EE58F19D}"/>
    <cellStyle name="Shade 4 4 32" xfId="15118" xr:uid="{BB26888D-5D67-4FFB-81BD-FED39252873C}"/>
    <cellStyle name="Shade 4 4 33" xfId="15947" xr:uid="{37853763-FCCE-48C9-B5A0-DFD61EC6B3AF}"/>
    <cellStyle name="Shade 4 4 34" xfId="16557" xr:uid="{11694736-BD4E-459F-9725-4F969ADFB149}"/>
    <cellStyle name="Shade 4 4 35" xfId="17292" xr:uid="{50A7C753-9A8C-4CBE-9B13-6CD3FCADC267}"/>
    <cellStyle name="Shade 4 4 36" xfId="17735" xr:uid="{6F4EB638-F65C-4894-A438-023730000C3B}"/>
    <cellStyle name="Shade 4 4 37" xfId="17864" xr:uid="{9DCEB1C5-0BF1-4B53-A544-AE89E6EEA9ED}"/>
    <cellStyle name="Shade 4 4 38" xfId="18375" xr:uid="{113E85D2-1101-49C9-A21F-7AA1ECB2E67C}"/>
    <cellStyle name="Shade 4 4 39" xfId="18091" xr:uid="{39B3C5EB-3E79-49DB-97DF-CFDF6E87E1A3}"/>
    <cellStyle name="Shade 4 4 4" xfId="1702" xr:uid="{08D7F4D4-A0D3-47C5-B9C9-89ADFD6E45A6}"/>
    <cellStyle name="Shade 4 4 40" xfId="19333" xr:uid="{B4921B6F-526C-4C3B-9B61-7A2E61306250}"/>
    <cellStyle name="Shade 4 4 41" xfId="19894" xr:uid="{D14ABBFC-81B5-4E7F-8044-5E97252C8E84}"/>
    <cellStyle name="Shade 4 4 42" xfId="20642" xr:uid="{7AC3DE03-8577-4097-9DEB-D8A5FED466A8}"/>
    <cellStyle name="Shade 4 4 43" xfId="21098" xr:uid="{291D084B-F8C9-4C45-BA6D-CFC6C77F252F}"/>
    <cellStyle name="Shade 4 4 44" xfId="21139" xr:uid="{6D9602FA-D745-4204-A110-0BAC0705840E}"/>
    <cellStyle name="Shade 4 4 45" xfId="22029" xr:uid="{B9106203-9C93-4998-B305-56BF8C3E23BE}"/>
    <cellStyle name="Shade 4 4 46" xfId="22459" xr:uid="{5DEAFFA1-CFB2-4E7D-81A7-ACE2BCE70CB0}"/>
    <cellStyle name="Shade 4 4 47" xfId="22021" xr:uid="{00F13E63-3CCA-46FD-B5CA-E0D063008C97}"/>
    <cellStyle name="Shade 4 4 48" xfId="22268" xr:uid="{3ED2A451-4D45-404A-A60E-7A7884C90AC6}"/>
    <cellStyle name="Shade 4 4 49" xfId="22361" xr:uid="{FD3980F3-64D6-44E7-8225-D8A339DA3EAE}"/>
    <cellStyle name="Shade 4 4 5" xfId="2334" xr:uid="{286F625A-283A-4BF1-8E13-BF29915A3339}"/>
    <cellStyle name="Shade 4 4 50" xfId="23703" xr:uid="{E5FCD946-F069-4794-A080-2D318F3E62AA}"/>
    <cellStyle name="Shade 4 4 51" xfId="24602" xr:uid="{B965515A-F970-4464-A981-ABCED279B01B}"/>
    <cellStyle name="Shade 4 4 52" xfId="25346" xr:uid="{CE412CC2-A273-4616-ABE6-A53D9176103D}"/>
    <cellStyle name="Shade 4 4 53" xfId="25520" xr:uid="{EAA765A2-06EF-4A6C-9DFE-9E6827E661D4}"/>
    <cellStyle name="Shade 4 4 54" xfId="24592" xr:uid="{966DD009-CAD6-49EB-8A52-2790E8EBBB3A}"/>
    <cellStyle name="Shade 4 4 55" xfId="26472" xr:uid="{6AE877BA-6669-434B-B80E-927825C8007C}"/>
    <cellStyle name="Shade 4 4 56" xfId="26810" xr:uid="{328CE53D-C5E2-467F-A66A-A7E53417FDA2}"/>
    <cellStyle name="Shade 4 4 57" xfId="27229" xr:uid="{3A69DACB-B567-47F4-873E-FB12572DA8D8}"/>
    <cellStyle name="Shade 4 4 58" xfId="27190" xr:uid="{DF37CB0C-DD94-47B9-8224-3AE2C0BAE0EF}"/>
    <cellStyle name="Shade 4 4 59" xfId="28352" xr:uid="{38D8DA97-947D-471B-8FDF-6C223AD0AA6E}"/>
    <cellStyle name="Shade 4 4 6" xfId="2029" xr:uid="{BDA39B1E-B2EE-471E-A4CE-7E63CA5BF5FC}"/>
    <cellStyle name="Shade 4 4 60" xfId="28820" xr:uid="{3B496BE7-484C-48B6-83BB-C46951CB7FA6}"/>
    <cellStyle name="Shade 4 4 61" xfId="29470" xr:uid="{01D60ACE-E128-4FCA-9900-749DC61098C7}"/>
    <cellStyle name="Shade 4 4 62" xfId="29610" xr:uid="{734BB8B5-EB31-4C98-822D-3D6420153542}"/>
    <cellStyle name="Shade 4 4 63" xfId="30018" xr:uid="{5B9934DA-A2B2-4390-9B6A-B94FFDCF4312}"/>
    <cellStyle name="Shade 4 4 64" xfId="30432" xr:uid="{529A5EDD-8468-4215-8A0B-7F5A44D1634B}"/>
    <cellStyle name="Shade 4 4 65" xfId="30997" xr:uid="{D43C997E-65FF-4EEF-84EA-8D4B4F9A71E4}"/>
    <cellStyle name="Shade 4 4 66" xfId="31056" xr:uid="{96AE2DF3-276B-4BC8-A598-4399DC0EB1A9}"/>
    <cellStyle name="Shade 4 4 7" xfId="2873" xr:uid="{E4DEFE04-C305-4CD8-983E-34DFAAB24D6F}"/>
    <cellStyle name="Shade 4 4 8" xfId="3830" xr:uid="{3E0C832A-0335-4921-AAE6-FA065E2A294C}"/>
    <cellStyle name="Shade 4 4 9" xfId="4268" xr:uid="{9EF527C5-FBE1-4BA0-9CDE-01A586F3E6C0}"/>
    <cellStyle name="Shade 4 40" xfId="17951" xr:uid="{BCC5339F-7F70-4102-8259-04328A64B301}"/>
    <cellStyle name="Shade 4 41" xfId="18947" xr:uid="{B53DDF14-34BC-4A25-81E2-2EFAE1F47DBE}"/>
    <cellStyle name="Shade 4 42" xfId="18862" xr:uid="{F2076EEA-AA08-4709-B916-ADA4AE0F8A9A}"/>
    <cellStyle name="Shade 4 43" xfId="19668" xr:uid="{7F2BB7BA-6178-4CD2-97C6-978E9B482FB0}"/>
    <cellStyle name="Shade 4 44" xfId="19491" xr:uid="{29D4D271-DAC8-43EA-ADFC-40EA0F2FE716}"/>
    <cellStyle name="Shade 4 45" xfId="19569" xr:uid="{E9122F4C-8B57-4D4D-A301-27CD0B4DC2F2}"/>
    <cellStyle name="Shade 4 46" xfId="21140" xr:uid="{BA69E8D6-85F8-48A6-9443-C3C3590550AB}"/>
    <cellStyle name="Shade 4 47" xfId="21274" xr:uid="{9B81B9DE-D891-464A-AB85-9421077B3AB9}"/>
    <cellStyle name="Shade 4 48" xfId="20812" xr:uid="{F53B1A6D-8E5A-4363-B63D-E6A80B581D27}"/>
    <cellStyle name="Shade 4 49" xfId="22471" xr:uid="{0A96D936-2481-49FF-BA86-885BBC3113B9}"/>
    <cellStyle name="Shade 4 5" xfId="959" xr:uid="{67C6BB43-907F-4F4F-84E8-F76C1BCB441D}"/>
    <cellStyle name="Shade 4 50" xfId="23233" xr:uid="{95BA9A69-D51A-4A8D-B56F-B09E89B2CDFF}"/>
    <cellStyle name="Shade 4 51" xfId="23136" xr:uid="{65BCA11E-EB84-4C44-86AC-D58A33B72FFA}"/>
    <cellStyle name="Shade 4 52" xfId="23579" xr:uid="{90E2DEB9-C88E-48D4-A38E-809919AC5D5F}"/>
    <cellStyle name="Shade 4 53" xfId="24388" xr:uid="{3ADF4C04-46DD-4AD4-B9A4-279E69D6C3B4}"/>
    <cellStyle name="Shade 4 54" xfId="25023" xr:uid="{52943B52-4CEB-4B32-9A40-5E6590F38500}"/>
    <cellStyle name="Shade 4 55" xfId="24099" xr:uid="{EE0E3220-FE50-43AA-BAD5-4BA6168C5E85}"/>
    <cellStyle name="Shade 4 56" xfId="24449" xr:uid="{67C8BE7A-8E61-404C-92FF-43E1933CB020}"/>
    <cellStyle name="Shade 4 57" xfId="25517" xr:uid="{187E8340-C88B-47BE-8D56-EF666DC9C1EB}"/>
    <cellStyle name="Shade 4 58" xfId="26367" xr:uid="{B26F2802-9A85-459D-88D6-CDE3BB729639}"/>
    <cellStyle name="Shade 4 59" xfId="26523" xr:uid="{CC3FBA29-95F4-4274-8794-D4E5B23023BF}"/>
    <cellStyle name="Shade 4 6" xfId="1465" xr:uid="{8623A203-C212-4F8C-BDEB-AF0792FEC145}"/>
    <cellStyle name="Shade 4 60" xfId="27410" xr:uid="{F11EA8F7-9045-4A78-80DC-AD6CB8437603}"/>
    <cellStyle name="Shade 4 61" xfId="28159" xr:uid="{4CA55B9F-418A-4458-966D-A48F1106966B}"/>
    <cellStyle name="Shade 4 62" xfId="27914" xr:uid="{81E52ABD-8918-456D-83D1-12863B8135E6}"/>
    <cellStyle name="Shade 4 63" xfId="28068" xr:uid="{2FC33AD6-8870-4581-BBEF-BDA77D3B67A4}"/>
    <cellStyle name="Shade 4 64" xfId="29378" xr:uid="{5DFD26A2-D9BF-423B-B367-ADF5457339CF}"/>
    <cellStyle name="Shade 4 65" xfId="28116" xr:uid="{CC256D8A-FF23-4B6A-85D8-D619F2156B5E}"/>
    <cellStyle name="Shade 4 66" xfId="29262" xr:uid="{011CEB29-FC0C-4090-B74E-E2E9ABD56452}"/>
    <cellStyle name="Shade 4 67" xfId="28095" xr:uid="{CC37D0FD-6886-4C41-A2A2-F594B5609709}"/>
    <cellStyle name="Shade 4 68" xfId="28544" xr:uid="{21517C43-8519-4776-9465-01E7257B2BD4}"/>
    <cellStyle name="Shade 4 7" xfId="2108" xr:uid="{648ACE98-D545-421B-B6CC-8B6FD47EFEE3}"/>
    <cellStyle name="Shade 4 8" xfId="2270" xr:uid="{FA4DE2CA-C839-4F9D-BF86-DF5C3B18CC24}"/>
    <cellStyle name="Shade 4 9" xfId="2725" xr:uid="{213EA30E-4E13-48E3-9D4E-CA6F3F78CF31}"/>
    <cellStyle name="Shade 5" xfId="75" xr:uid="{C52D3909-D38A-4AC5-9ABF-A5762043ACEF}"/>
    <cellStyle name="Shade 5 10" xfId="16127" xr:uid="{512AAB64-0BBC-4E9D-94F2-CC5B63D4C5B0}"/>
    <cellStyle name="Shade 5 11" xfId="17477" xr:uid="{0DFF2709-993D-4F69-A384-BBDBD292AC1A}"/>
    <cellStyle name="Shade 5 12" xfId="19460" xr:uid="{51D6DABB-F737-4516-A8D1-5AE0B6C10EAE}"/>
    <cellStyle name="Shade 5 13" xfId="22362" xr:uid="{FF4CA43C-1056-48F0-A76C-2AB8760D7480}"/>
    <cellStyle name="Shade 5 14" xfId="24181" xr:uid="{BEF88033-4141-464E-910A-AF898A6B5740}"/>
    <cellStyle name="Shade 5 15" xfId="26546" xr:uid="{E01D2E96-1299-4431-9602-506E0EFEFB20}"/>
    <cellStyle name="Shade 5 16" xfId="27974" xr:uid="{72C96585-7C96-4487-84A9-0C58FCED6B70}"/>
    <cellStyle name="Shade 5 2" xfId="920" xr:uid="{AC4EF047-763D-4137-9A63-A0E766BC5E70}"/>
    <cellStyle name="Shade 5 3" xfId="1903" xr:uid="{B15993F0-BE38-47D5-8A29-294A04FEF190}"/>
    <cellStyle name="Shade 5 4" xfId="3464" xr:uid="{B371F18D-3665-460B-8800-709D285718B7}"/>
    <cellStyle name="Shade 5 5" xfId="5005" xr:uid="{0EFCAC07-166D-489F-89F2-057C564D38C9}"/>
    <cellStyle name="Shade 5 6" xfId="6816" xr:uid="{9678EF00-9229-4C59-9695-8BA88FEE181C}"/>
    <cellStyle name="Shade 5 7" xfId="8498" xr:uid="{988BF1E2-2141-440C-987D-83A433938AE1}"/>
    <cellStyle name="Shade 5 8" xfId="9030" xr:uid="{7A717FC0-0A9D-443C-9200-FF4ABBE9FADF}"/>
    <cellStyle name="Shade 5 9" xfId="11435" xr:uid="{128E3306-B921-4A5F-ADBE-7B884DA5D063}"/>
    <cellStyle name="Shade_B_border2" xfId="178" xr:uid="{EF05CCC1-C37D-45E0-B76A-2514A5638CB6}"/>
    <cellStyle name="Standard 2" xfId="42" xr:uid="{AAA81EEA-7402-4FB3-9841-08327FA56724}"/>
    <cellStyle name="Standard 2 2" xfId="397" xr:uid="{57A2CDA7-66B5-4255-9743-25F3E8FDE23A}"/>
    <cellStyle name="Standard 2 2 2" xfId="507" xr:uid="{B5F12935-D178-4B19-89F0-95A18F0836E7}"/>
    <cellStyle name="Standard 2 3" xfId="506" xr:uid="{4F5A343C-0B7E-4BDF-B8D2-7BFC7AC5DD37}"/>
    <cellStyle name="Title 2" xfId="179" xr:uid="{5704595B-7444-4753-9E1F-52A605873FB0}"/>
    <cellStyle name="Title 3" xfId="238" xr:uid="{4B8C7DB6-DF57-47DC-8973-45CF622E7EC6}"/>
    <cellStyle name="Total 2" xfId="180" xr:uid="{B5199D64-A1DE-4414-A32B-1FB1A2B43ECD}"/>
    <cellStyle name="Total 2 10" xfId="3245" xr:uid="{FD2C67C0-301F-4EBF-87AE-11FF25D308AC}"/>
    <cellStyle name="Total 2 11" xfId="3432" xr:uid="{8296275E-3D09-4963-9C21-575CCD88560D}"/>
    <cellStyle name="Total 2 12" xfId="3370" xr:uid="{72C613F0-5F0C-4808-AE84-F21CC78D000F}"/>
    <cellStyle name="Total 2 13" xfId="5611" xr:uid="{1F4FD7C1-D74A-49A2-B785-487EA42A8DF4}"/>
    <cellStyle name="Total 2 14" xfId="6526" xr:uid="{5D333CBE-0268-48F0-A026-76B95B75D5C1}"/>
    <cellStyle name="Total 2 15" xfId="6914" xr:uid="{B37C89B5-1B29-487B-A84B-46D99F81711B}"/>
    <cellStyle name="Total 2 16" xfId="7682" xr:uid="{49350BAA-DFD5-4F98-8197-7ABD644FC6C3}"/>
    <cellStyle name="Total 2 17" xfId="8453" xr:uid="{E664FBDD-26CC-4731-A5AE-2E1152FC96B0}"/>
    <cellStyle name="Total 2 18" xfId="8728" xr:uid="{087DE9E1-4366-44F0-B89F-8FADA341E81C}"/>
    <cellStyle name="Total 2 19" xfId="9127" xr:uid="{8A461FC3-BA37-4246-8910-836866F38C15}"/>
    <cellStyle name="Total 2 2" xfId="567" xr:uid="{11F850FE-A31C-4215-9B5C-041055D3C315}"/>
    <cellStyle name="Total 2 2 10" xfId="4820" xr:uid="{76335A08-DA6E-4085-B8DB-F60018761783}"/>
    <cellStyle name="Total 2 2 11" xfId="5215" xr:uid="{38464B9C-F10F-4B75-9FB8-F45020319A82}"/>
    <cellStyle name="Total 2 2 12" xfId="3810" xr:uid="{7C7DBD99-1DD1-4565-AE25-523F10D67B8E}"/>
    <cellStyle name="Total 2 2 13" xfId="6280" xr:uid="{C9D80D41-D76B-4D4E-AF29-7EA6C0FDB0F0}"/>
    <cellStyle name="Total 2 2 14" xfId="6188" xr:uid="{9E70635D-31CC-41DB-A03B-A415EA0FF394}"/>
    <cellStyle name="Total 2 2 15" xfId="7287" xr:uid="{53732305-BBE3-47E9-9C06-C614B6FDC23A}"/>
    <cellStyle name="Total 2 2 16" xfId="7825" xr:uid="{6DFB2610-DA1E-401E-ADD1-963AB83C554F}"/>
    <cellStyle name="Total 2 2 17" xfId="8104" xr:uid="{64DC6F36-BD14-4CD4-A470-B6D4F4B8482F}"/>
    <cellStyle name="Total 2 2 18" xfId="8770" xr:uid="{29F0374F-AD10-4CC8-8967-1A14B79ADBD1}"/>
    <cellStyle name="Total 2 2 19" xfId="9501" xr:uid="{EA1CEE5B-F563-43F3-AB48-E6BF0DDAD7D9}"/>
    <cellStyle name="Total 2 2 2" xfId="782" xr:uid="{7CF3FD12-B4A7-48C8-9BA7-F70F94097C4F}"/>
    <cellStyle name="Total 2 2 2 10" xfId="5430" xr:uid="{EDBA5DB6-818D-48D9-894A-5E0E73BB45D0}"/>
    <cellStyle name="Total 2 2 2 11" xfId="5544" xr:uid="{AD2FE41B-26DD-46CF-9DE3-A35207D9862B}"/>
    <cellStyle name="Total 2 2 2 12" xfId="4650" xr:uid="{6054D6D4-F9FE-430E-AC3C-6DFCE1203356}"/>
    <cellStyle name="Total 2 2 2 13" xfId="6328" xr:uid="{86890A97-F3D5-4C50-BB64-B0B4C26536A0}"/>
    <cellStyle name="Total 2 2 2 14" xfId="7502" xr:uid="{C0735E92-B54D-4896-98E0-9BED1540FA93}"/>
    <cellStyle name="Total 2 2 2 15" xfId="6825" xr:uid="{FA60F3EE-53FF-4FE1-BDD2-15CA3217FB75}"/>
    <cellStyle name="Total 2 2 2 16" xfId="6872" xr:uid="{44BCD0E5-0005-4AB3-A646-E60C4D22EEF0}"/>
    <cellStyle name="Total 2 2 2 17" xfId="8723" xr:uid="{9E2304C8-135C-4027-BF37-436EA61D88AC}"/>
    <cellStyle name="Total 2 2 2 18" xfId="9716" xr:uid="{22A03DD5-62FB-49B7-90A0-FE7CD5600C5E}"/>
    <cellStyle name="Total 2 2 2 19" xfId="9042" xr:uid="{AE3A7525-7F2B-40BE-98B7-71AAB2E51C1A}"/>
    <cellStyle name="Total 2 2 2 2" xfId="1256" xr:uid="{9A1E9790-373B-4B62-B6C7-321F5464400C}"/>
    <cellStyle name="Total 2 2 2 20" xfId="9832" xr:uid="{206C6AE4-6EE5-4F51-843D-1E5C74642675}"/>
    <cellStyle name="Total 2 2 2 21" xfId="9291" xr:uid="{22BFBD72-6BCD-42B4-969B-C5ED4B38CAE1}"/>
    <cellStyle name="Total 2 2 2 22" xfId="10665" xr:uid="{054D92DC-C0D3-4211-8C8B-9DD7870093DF}"/>
    <cellStyle name="Total 2 2 2 23" xfId="12135" xr:uid="{8F051DF7-2BA5-4FEB-B399-D20A00600A29}"/>
    <cellStyle name="Total 2 2 2 24" xfId="12608" xr:uid="{572F837E-2C78-4378-9D47-4A1DFEE4E688}"/>
    <cellStyle name="Total 2 2 2 25" xfId="13042" xr:uid="{2D636716-EFC7-47B3-B694-841DC7917D7C}"/>
    <cellStyle name="Total 2 2 2 26" xfId="13479" xr:uid="{2237D697-D7F1-46F4-B26F-A547FDB0047A}"/>
    <cellStyle name="Total 2 2 2 27" xfId="11753" xr:uid="{878882AC-F028-473D-801D-77BEB156FC1B}"/>
    <cellStyle name="Total 2 2 2 28" xfId="14431" xr:uid="{8A7CB6F4-77EE-4378-BDD3-02C741423BCB}"/>
    <cellStyle name="Total 2 2 2 29" xfId="11472" xr:uid="{8A6449D3-1F9B-4E7A-AA28-38F6F05092CA}"/>
    <cellStyle name="Total 2 2 2 3" xfId="1479" xr:uid="{750BE100-B453-4353-9432-522643BE59E2}"/>
    <cellStyle name="Total 2 2 2 30" xfId="14391" xr:uid="{DC250F13-60C2-4C5D-BA4F-9AD8D8709601}"/>
    <cellStyle name="Total 2 2 2 31" xfId="15615" xr:uid="{A7121EDC-2B13-4F0F-B9B3-3BFC5873959D}"/>
    <cellStyle name="Total 2 2 2 32" xfId="14714" xr:uid="{F7DB9C3D-8CE9-4B76-9658-E74CEE8A14D2}"/>
    <cellStyle name="Total 2 2 2 33" xfId="16827" xr:uid="{2674E469-310F-4F38-8D95-6571990BC192}"/>
    <cellStyle name="Total 2 2 2 34" xfId="16138" xr:uid="{3FEF62B4-C832-411A-B9C4-8C0AB4B69F69}"/>
    <cellStyle name="Total 2 2 2 35" xfId="16371" xr:uid="{ACC3F4C1-89D5-4AAF-B65D-0DC21DC26C19}"/>
    <cellStyle name="Total 2 2 2 36" xfId="17934" xr:uid="{B52D928A-6A5F-47B5-B554-35C56FBD48A0}"/>
    <cellStyle name="Total 2 2 2 37" xfId="18645" xr:uid="{FC6482D9-A40C-417E-9977-1F8C6F8884FB}"/>
    <cellStyle name="Total 2 2 2 38" xfId="18808" xr:uid="{1AA380C6-C1B5-46CA-82C0-DF3B61B6783A}"/>
    <cellStyle name="Total 2 2 2 39" xfId="18074" xr:uid="{76DA129F-A865-4CCA-933B-DD3B25D563FA}"/>
    <cellStyle name="Total 2 2 2 4" xfId="2604" xr:uid="{88488676-44D0-41CE-B607-475DA33ECA99}"/>
    <cellStyle name="Total 2 2 2 40" xfId="20164" xr:uid="{894A2C50-F0CA-4F49-AD47-14171C28270C}"/>
    <cellStyle name="Total 2 2 2 41" xfId="19468" xr:uid="{04705C3A-ECC4-483C-81A2-477DC673C0D6}"/>
    <cellStyle name="Total 2 2 2 42" xfId="20488" xr:uid="{4CF7E5FF-7A02-4203-9270-DBAC93E90828}"/>
    <cellStyle name="Total 2 2 2 43" xfId="19889" xr:uid="{BA371724-098B-4E9F-8FE5-48ADE8BEABB1}"/>
    <cellStyle name="Total 2 2 2 44" xfId="20560" xr:uid="{0552A86E-2851-459B-A042-51C82BC5DAF4}"/>
    <cellStyle name="Total 2 2 2 45" xfId="21729" xr:uid="{D4551ED8-7131-4226-ADDB-E5A736FC2998}"/>
    <cellStyle name="Total 2 2 2 46" xfId="21920" xr:uid="{212DF309-8245-4C76-9798-30EEED1D9D2A}"/>
    <cellStyle name="Total 2 2 2 47" xfId="23082" xr:uid="{BA24B601-2175-46BD-8D5D-1099E3B7DE93}"/>
    <cellStyle name="Total 2 2 2 48" xfId="23166" xr:uid="{6B883456-7407-4A9C-855C-D75EF102CD6C}"/>
    <cellStyle name="Total 2 2 2 49" xfId="23964" xr:uid="{C47036F8-CD78-4CEA-A5B0-EF95168DDA19}"/>
    <cellStyle name="Total 2 2 2 5" xfId="2274" xr:uid="{4D91D4A9-37F0-492A-9728-5AF74F3C0F9A}"/>
    <cellStyle name="Total 2 2 2 50" xfId="24872" xr:uid="{09E4293D-628B-42C9-8A26-E6C56706082E}"/>
    <cellStyle name="Total 2 2 2 51" xfId="24185" xr:uid="{8464FF0F-93F2-4620-B5B6-0ED5BB51E4D0}"/>
    <cellStyle name="Total 2 2 2 52" xfId="25788" xr:uid="{028B915E-E854-450D-AF86-09FD477D8148}"/>
    <cellStyle name="Total 2 2 2 53" xfId="25347" xr:uid="{CA3B764B-1D2B-4771-B4D0-63992AD8CDF8}"/>
    <cellStyle name="Total 2 2 2 54" xfId="26606" xr:uid="{A33D78DA-FF8E-431E-856E-DA32C8121225}"/>
    <cellStyle name="Total 2 2 2 55" xfId="27076" xr:uid="{A9FC1A1D-A7B7-471B-938F-DC6633A4C2A8}"/>
    <cellStyle name="Total 2 2 2 56" xfId="27495" xr:uid="{2B619788-130C-4021-8ADC-983360F00199}"/>
    <cellStyle name="Total 2 2 2 57" xfId="26501" xr:uid="{986C0BF0-08A3-45AF-A618-0533908C99FA}"/>
    <cellStyle name="Total 2 2 2 58" xfId="28622" xr:uid="{A2A06EA7-BC38-4A60-9F95-97C47E9D1249}"/>
    <cellStyle name="Total 2 2 2 59" xfId="29089" xr:uid="{5D8EC92D-EF1E-4F32-9F4D-822A6B462386}"/>
    <cellStyle name="Total 2 2 2 6" xfId="3169" xr:uid="{2A1FA3EE-2F8B-42B6-A183-F7912B0EF78E}"/>
    <cellStyle name="Total 2 2 2 60" xfId="28024" xr:uid="{D845B127-226A-4BFE-BACB-B7B24FBE1AA6}"/>
    <cellStyle name="Total 2 2 2 61" xfId="29878" xr:uid="{97DF1791-7797-4BC2-9A24-CBD65E22FEFC}"/>
    <cellStyle name="Total 2 2 2 62" xfId="30284" xr:uid="{3070092C-6D63-4E1C-A7FF-BE3AE350C969}"/>
    <cellStyle name="Total 2 2 2 63" xfId="30701" xr:uid="{11BF4765-20A2-4345-AF29-90ADDCF1B03D}"/>
    <cellStyle name="Total 2 2 2 64" xfId="28100" xr:uid="{36D8575C-EE2B-410A-9667-7F241E6D7228}"/>
    <cellStyle name="Total 2 2 2 65" xfId="31317" xr:uid="{4CD34FB0-0642-48A9-835E-2B1CD895780A}"/>
    <cellStyle name="Total 2 2 2 7" xfId="4100" xr:uid="{AF38203F-9906-4F88-AB48-23430BC1769D}"/>
    <cellStyle name="Total 2 2 2 8" xfId="4537" xr:uid="{7E0E7711-F551-434E-B0C7-060643BC5126}"/>
    <cellStyle name="Total 2 2 2 9" xfId="4764" xr:uid="{38355323-4EFF-44D2-84AA-1C9A90E482F6}"/>
    <cellStyle name="Total 2 2 20" xfId="10037" xr:uid="{20D6C965-4DFF-4367-A28B-52634DFE4C72}"/>
    <cellStyle name="Total 2 2 21" xfId="10458" xr:uid="{2FE28BD2-C710-45DF-A8B6-5056E100AA06}"/>
    <cellStyle name="Total 2 2 22" xfId="10641" xr:uid="{E3AF32D4-4394-4700-B02C-8C8782E620DF}"/>
    <cellStyle name="Total 2 2 23" xfId="11104" xr:uid="{CC5EFC3C-120A-42E5-8E4F-13E59E6A6C1F}"/>
    <cellStyle name="Total 2 2 24" xfId="11920" xr:uid="{229AB70C-B4D7-4558-B362-1A8A181CBDF0}"/>
    <cellStyle name="Total 2 2 25" xfId="12393" xr:uid="{4BCAE458-D051-4984-9A53-F0E819C263E4}"/>
    <cellStyle name="Total 2 2 26" xfId="12827" xr:uid="{8A562398-D478-49CF-8C7C-AAA0CCFB6F5C}"/>
    <cellStyle name="Total 2 2 27" xfId="13264" xr:uid="{0FAFCB5A-C808-4C6F-8CF9-91BD13305F3E}"/>
    <cellStyle name="Total 2 2 28" xfId="13171" xr:uid="{5F89C70E-5334-4B88-8D71-3147ECEF66F4}"/>
    <cellStyle name="Total 2 2 29" xfId="14405" xr:uid="{6C07731F-3674-471F-9F5E-63D98A42F078}"/>
    <cellStyle name="Total 2 2 3" xfId="1050" xr:uid="{CC0FA44A-027C-45E8-868C-F9B16EB3CE38}"/>
    <cellStyle name="Total 2 2 30" xfId="13191" xr:uid="{50BDE9D4-C573-40BC-866B-F4FAEEC8E89C}"/>
    <cellStyle name="Total 2 2 31" xfId="15307" xr:uid="{60844AE6-27B5-44FD-A83C-700648043CEC}"/>
    <cellStyle name="Total 2 2 32" xfId="15693" xr:uid="{3ED929CF-92B2-4654-856F-CA0061FC0275}"/>
    <cellStyle name="Total 2 2 33" xfId="15872" xr:uid="{0DD166C8-7905-40B2-BB49-05278F2B5500}"/>
    <cellStyle name="Total 2 2 34" xfId="16612" xr:uid="{C634EB7C-D115-42CB-BFD6-9082558301CC}"/>
    <cellStyle name="Total 2 2 35" xfId="17155" xr:uid="{553C7C2D-3D88-4FDB-A57B-E929FF894109}"/>
    <cellStyle name="Total 2 2 36" xfId="17600" xr:uid="{E599AF75-9133-4F0C-9381-4D7771614E68}"/>
    <cellStyle name="Total 2 2 37" xfId="17980" xr:uid="{D72BA07A-46E7-4F65-9E32-554C4F2D32DF}"/>
    <cellStyle name="Total 2 2 38" xfId="18430" xr:uid="{B8BCBC03-54FD-43EA-ADE1-8CDAF1F1F24C}"/>
    <cellStyle name="Total 2 2 39" xfId="18885" xr:uid="{81E4FB0A-3036-4D24-AB2A-F568F396D420}"/>
    <cellStyle name="Total 2 2 4" xfId="1618" xr:uid="{C961372A-9D7A-4058-BD62-F0883F872B5C}"/>
    <cellStyle name="Total 2 2 40" xfId="18358" xr:uid="{E3B09C36-14AA-4016-AD14-AE6972CEF94B}"/>
    <cellStyle name="Total 2 2 41" xfId="19949" xr:uid="{99E15CC0-6956-46E5-9B02-1FF8524B5ADA}"/>
    <cellStyle name="Total 2 2 42" xfId="20507" xr:uid="{C2BE7123-1AEC-4C74-9AEC-1A4A0CE8C111}"/>
    <cellStyle name="Total 2 2 43" xfId="20961" xr:uid="{970CD7CA-BDAA-41AB-B5CC-F9EFEC4AD195}"/>
    <cellStyle name="Total 2 2 44" xfId="20887" xr:uid="{6658435C-01D0-4500-BE05-9F56C70ADB7A}"/>
    <cellStyle name="Total 2 2 45" xfId="21891" xr:uid="{C8F76ED9-D53C-45E5-A8B6-47AC3527C337}"/>
    <cellStyle name="Total 2 2 46" xfId="22327" xr:uid="{D371EA5D-F160-441E-852B-D02F5932C8E4}"/>
    <cellStyle name="Total 2 2 47" xfId="21970" xr:uid="{D7BBB383-9DD6-4D4D-A5C0-49F125A0AFF8}"/>
    <cellStyle name="Total 2 2 48" xfId="23160" xr:uid="{B463004E-BD56-4570-A78E-DCC9CA62C782}"/>
    <cellStyle name="Total 2 2 49" xfId="23234" xr:uid="{2732A30B-A361-437A-9ACB-883E59A700B1}"/>
    <cellStyle name="Total 2 2 5" xfId="2389" xr:uid="{7043A4F4-1C20-49F4-B06E-6AA2866AE405}"/>
    <cellStyle name="Total 2 2 50" xfId="23758" xr:uid="{F89591D0-A934-465A-B63E-221BA5F6E239}"/>
    <cellStyle name="Total 2 2 51" xfId="24657" xr:uid="{762D90D8-ED94-434A-9973-5DAFAAD3309B}"/>
    <cellStyle name="Total 2 2 52" xfId="25216" xr:uid="{EF77A6BD-97D7-4744-8F5C-90B5641B4FDB}"/>
    <cellStyle name="Total 2 2 53" xfId="25575" xr:uid="{03E0C424-D2C6-492B-8CB1-073C52C357CA}"/>
    <cellStyle name="Total 2 2 54" xfId="24466" xr:uid="{BF02C62F-22F3-4BB1-992F-51E73C6A4B46}"/>
    <cellStyle name="Total 2 2 55" xfId="25109" xr:uid="{70A7A833-5E1D-4787-A00E-5652E3360D7D}"/>
    <cellStyle name="Total 2 2 56" xfId="26865" xr:uid="{744326D1-DAE1-43AF-A43F-C36E3B67312B}"/>
    <cellStyle name="Total 2 2 57" xfId="27284" xr:uid="{2E4A79FA-5477-4F60-97AA-23076ADD59AF}"/>
    <cellStyle name="Total 2 2 58" xfId="27627" xr:uid="{9E985EBA-4CA0-417F-9A20-1785F01F09F7}"/>
    <cellStyle name="Total 2 2 59" xfId="28407" xr:uid="{27915C52-E408-40E0-9F66-6D5EF8CA5019}"/>
    <cellStyle name="Total 2 2 6" xfId="2148" xr:uid="{66DF7DF1-4A43-4EE7-8F89-324F08320307}"/>
    <cellStyle name="Total 2 2 60" xfId="28875" xr:uid="{04B52A9C-D736-4F66-AAAA-B6A1F6F549DE}"/>
    <cellStyle name="Total 2 2 61" xfId="29357" xr:uid="{56ED2809-5A9C-434B-9A95-B23B28EE22D2}"/>
    <cellStyle name="Total 2 2 62" xfId="29665" xr:uid="{69697DC8-B90B-4B91-9EB7-6A7FE537EA5A}"/>
    <cellStyle name="Total 2 2 63" xfId="30073" xr:uid="{D944ECB5-0BC5-4E12-AA43-38CE8447EAD9}"/>
    <cellStyle name="Total 2 2 64" xfId="30487" xr:uid="{3A1E7A4E-CE52-4390-A950-DDCC3BD65DE1}"/>
    <cellStyle name="Total 2 2 65" xfId="28243" xr:uid="{B50775BA-E631-43A4-B1D2-8747662E362C}"/>
    <cellStyle name="Total 2 2 66" xfId="31111" xr:uid="{928E9A53-7108-46E6-8799-28EB76795711}"/>
    <cellStyle name="Total 2 2 7" xfId="2113" xr:uid="{975222BC-A909-46FF-9E4A-FF77E09BC036}"/>
    <cellStyle name="Total 2 2 8" xfId="3885" xr:uid="{28F4346D-E341-4F91-9A2E-D810D80871A9}"/>
    <cellStyle name="Total 2 2 9" xfId="4323" xr:uid="{F5B70E05-B3AD-45E7-B566-F80505F2C860}"/>
    <cellStyle name="Total 2 20" xfId="9897" xr:uid="{FD9AAC66-3814-47D5-91DE-F32312373C05}"/>
    <cellStyle name="Total 2 21" xfId="10816" xr:uid="{5061EA96-5B72-459C-934F-A51741F9CC99}"/>
    <cellStyle name="Total 2 22" xfId="11538" xr:uid="{1C26C276-A6BD-41C5-B56A-CF4043207D7F}"/>
    <cellStyle name="Total 2 23" xfId="11774" xr:uid="{C08685BB-1FC4-4B0A-8255-4D3339526B12}"/>
    <cellStyle name="Total 2 24" xfId="11759" xr:uid="{DF53615A-7F4B-4EAF-BE01-EFABC10B4981}"/>
    <cellStyle name="Total 2 25" xfId="11607" xr:uid="{CAB7016F-5137-4EDE-BCD9-57BD88F2F7CF}"/>
    <cellStyle name="Total 2 26" xfId="11830" xr:uid="{6294296E-35E1-45CC-AB2B-E339A9580BEE}"/>
    <cellStyle name="Total 2 27" xfId="14547" xr:uid="{10BC865C-D7B0-4AEA-BCA5-470E8175859B}"/>
    <cellStyle name="Total 2 28" xfId="15747" xr:uid="{9683F253-D075-4F93-B092-92A38BE56D7E}"/>
    <cellStyle name="Total 2 29" xfId="16231" xr:uid="{B0A058C2-E01B-40C8-9851-0AFD80AD900C}"/>
    <cellStyle name="Total 2 3" xfId="628" xr:uid="{55627257-95DF-4655-8818-32227CDA6267}"/>
    <cellStyle name="Total 2 3 10" xfId="3190" xr:uid="{997F4E36-0DAF-4A1F-AE97-9AE771C8132C}"/>
    <cellStyle name="Total 2 3 11" xfId="5276" xr:uid="{239D5D7D-99C9-4A88-B239-653F0BCF87F4}"/>
    <cellStyle name="Total 2 3 12" xfId="5680" xr:uid="{46B6B023-2B25-490D-8DCA-AFB161BCD1DA}"/>
    <cellStyle name="Total 2 3 13" xfId="6097" xr:uid="{3823DBF0-8004-4CAA-B6A1-66FB7D9892FE}"/>
    <cellStyle name="Total 2 3 14" xfId="6345" xr:uid="{97330C7B-F456-478D-AF45-3E7D0284061E}"/>
    <cellStyle name="Total 2 3 15" xfId="7348" xr:uid="{CF406EDC-D4E5-401C-9B0B-414176698FD6}"/>
    <cellStyle name="Total 2 3 16" xfId="7733" xr:uid="{0E05D693-F8A8-471C-9818-1721A92C10E3}"/>
    <cellStyle name="Total 2 3 17" xfId="8491" xr:uid="{236B47A8-678C-4017-8D7C-5EFE04BAA32B}"/>
    <cellStyle name="Total 2 3 18" xfId="8470" xr:uid="{7766D2C4-7521-4304-A492-25265843BD8F}"/>
    <cellStyle name="Total 2 3 19" xfId="9562" xr:uid="{7238C7A4-9A3C-47E4-B2D8-87552BC730C2}"/>
    <cellStyle name="Total 2 3 2" xfId="843" xr:uid="{3AEE1952-3493-4EAA-A8A1-5A85E5226B74}"/>
    <cellStyle name="Total 2 3 2 10" xfId="5491" xr:uid="{B88685AC-1E89-4579-BD7A-D25EFEEE410A}"/>
    <cellStyle name="Total 2 3 2 11" xfId="5000" xr:uid="{B665F21D-338D-4B05-AE5F-00B9DE85FE6D}"/>
    <cellStyle name="Total 2 3 2 12" xfId="5691" xr:uid="{26E1B275-30A9-489F-A4E0-08AA40179261}"/>
    <cellStyle name="Total 2 3 2 13" xfId="6323" xr:uid="{AB54177A-5B47-44C9-A31A-D9351F41E7E8}"/>
    <cellStyle name="Total 2 3 2 14" xfId="7563" xr:uid="{DD0265C6-02DD-426C-8EB5-A86352A28AA7}"/>
    <cellStyle name="Total 2 3 2 15" xfId="6778" xr:uid="{E0D33466-0292-4DB8-8827-1D85B469A23E}"/>
    <cellStyle name="Total 2 3 2 16" xfId="8528" xr:uid="{3EF71EBD-BC0C-4FD7-83FC-1744A6138560}"/>
    <cellStyle name="Total 2 3 2 17" xfId="8750" xr:uid="{AB4A8C81-6C2C-4650-997B-45B9ACAE337E}"/>
    <cellStyle name="Total 2 3 2 18" xfId="9777" xr:uid="{01638B97-9667-40D5-9F9D-AE0C2E53713E}"/>
    <cellStyle name="Total 2 3 2 19" xfId="8990" xr:uid="{5B5F6B16-3CBD-48D6-941C-005E8D63E73A}"/>
    <cellStyle name="Total 2 3 2 2" xfId="1317" xr:uid="{EE40DB1A-7A77-420D-B629-5DB19ABFE657}"/>
    <cellStyle name="Total 2 3 2 20" xfId="9971" xr:uid="{B920BE48-9608-4CF0-A9F9-DF189D91F555}"/>
    <cellStyle name="Total 2 3 2 21" xfId="9347" xr:uid="{44D4786E-D711-418B-B43A-D428B3835861}"/>
    <cellStyle name="Total 2 3 2 22" xfId="10964" xr:uid="{D224F06B-BEB7-4342-886B-80F5601610DD}"/>
    <cellStyle name="Total 2 3 2 23" xfId="12196" xr:uid="{3446FB54-D3A7-46A4-84DA-9BE6D751475D}"/>
    <cellStyle name="Total 2 3 2 24" xfId="12669" xr:uid="{9AF3D0A6-794C-4CD6-A745-31C2001F4EC0}"/>
    <cellStyle name="Total 2 3 2 25" xfId="13103" xr:uid="{A5FD8799-D2E4-4544-A738-E55C9DB35A71}"/>
    <cellStyle name="Total 2 3 2 26" xfId="13540" xr:uid="{ABE49C2B-5098-4749-9616-658F63253B43}"/>
    <cellStyle name="Total 2 3 2 27" xfId="11769" xr:uid="{FCB3D333-B620-408B-85C6-04733104FD17}"/>
    <cellStyle name="Total 2 3 2 28" xfId="13795" xr:uid="{60C8B148-AEFA-4BD4-B6D2-90ED34730B17}"/>
    <cellStyle name="Total 2 3 2 29" xfId="14122" xr:uid="{4DADF266-48A1-4DF6-A5E8-F03B16C10075}"/>
    <cellStyle name="Total 2 3 2 3" xfId="1766" xr:uid="{32A26998-C8EA-4E0C-9ED9-2C192C7F8564}"/>
    <cellStyle name="Total 2 3 2 30" xfId="14821" xr:uid="{C8D48920-8DAE-4039-BDE6-10A2A62D2ACA}"/>
    <cellStyle name="Total 2 3 2 31" xfId="15079" xr:uid="{647C3EB1-4A73-4F84-97E1-7DC2D1E3E909}"/>
    <cellStyle name="Total 2 3 2 32" xfId="15049" xr:uid="{ABE55917-6EDB-4838-A79C-05CC549DE9F8}"/>
    <cellStyle name="Total 2 3 2 33" xfId="16888" xr:uid="{E96E0A62-6A70-490B-8ABB-122760D11F6C}"/>
    <cellStyle name="Total 2 3 2 34" xfId="16087" xr:uid="{E6178DB3-F363-4063-8E7B-66328E5C3F11}"/>
    <cellStyle name="Total 2 3 2 35" xfId="17087" xr:uid="{6FEAC58C-410D-47A1-B78B-A32715B96DE0}"/>
    <cellStyle name="Total 2 3 2 36" xfId="17786" xr:uid="{D3953827-FEE0-4C97-B7D6-DA39EAAFE7DE}"/>
    <cellStyle name="Total 2 3 2 37" xfId="18706" xr:uid="{093F3224-F98B-4660-B89F-1423B6A36028}"/>
    <cellStyle name="Total 2 3 2 38" xfId="18848" xr:uid="{27806761-9FC3-4DEE-877D-305D9DFEC185}"/>
    <cellStyle name="Total 2 3 2 39" xfId="17819" xr:uid="{1C4D19F9-0C92-4C06-8DBB-FB35B795E881}"/>
    <cellStyle name="Total 2 3 2 4" xfId="2665" xr:uid="{7418554C-B518-493D-94FF-0CC517211439}"/>
    <cellStyle name="Total 2 3 2 40" xfId="20225" xr:uid="{DAA62B43-A5C7-4E3B-9516-AEB5750D10F2}"/>
    <cellStyle name="Total 2 3 2 41" xfId="19420" xr:uid="{3F005F7D-0C4D-4DA5-97D0-1ECD41A1B5AC}"/>
    <cellStyle name="Total 2 3 2 42" xfId="19800" xr:uid="{9FF45B4E-91A6-4F8F-A01D-757357D84005}"/>
    <cellStyle name="Total 2 3 2 43" xfId="21279" xr:uid="{ECC4C417-F304-4E9F-BF1B-7EAD403D0C0D}"/>
    <cellStyle name="Total 2 3 2 44" xfId="20949" xr:uid="{8E285A5A-E1D8-40BB-9B41-C635F8F5ECF1}"/>
    <cellStyle name="Total 2 3 2 45" xfId="21824" xr:uid="{C45B0F21-3D04-44C3-8A7C-CF7720E725D2}"/>
    <cellStyle name="Total 2 3 2 46" xfId="21833" xr:uid="{B087719A-851F-48CA-96FD-F23FC14EF853}"/>
    <cellStyle name="Total 2 3 2 47" xfId="23124" xr:uid="{E5206F78-1952-4F9A-9AB2-FF35FEB4DACA}"/>
    <cellStyle name="Total 2 3 2 48" xfId="21345" xr:uid="{9085E71C-BE26-4B21-87B7-364D228EE7B6}"/>
    <cellStyle name="Total 2 3 2 49" xfId="24025" xr:uid="{C1815D9B-ACB5-4416-B241-1B760DB91251}"/>
    <cellStyle name="Total 2 3 2 5" xfId="2250" xr:uid="{F6E3C130-6309-4B84-9683-CF6A57F2C82F}"/>
    <cellStyle name="Total 2 3 2 50" xfId="24933" xr:uid="{015DFE38-1AFF-4F71-BA45-5E640EDA276D}"/>
    <cellStyle name="Total 2 3 2 51" xfId="24144" xr:uid="{E60A10C5-618B-4198-AF86-E25D9BC9AA80}"/>
    <cellStyle name="Total 2 3 2 52" xfId="25849" xr:uid="{9DA5C114-7087-4FFB-95F8-FC1E791680A9}"/>
    <cellStyle name="Total 2 3 2 53" xfId="24537" xr:uid="{16A4E8F4-675D-4A14-ACC6-C2515CE23D6E}"/>
    <cellStyle name="Total 2 3 2 54" xfId="25499" xr:uid="{FF297930-43C9-4CE6-BE35-6FD083ACCB1E}"/>
    <cellStyle name="Total 2 3 2 55" xfId="27137" xr:uid="{79BC0FA9-8468-4041-B238-D398CDAF5CAC}"/>
    <cellStyle name="Total 2 3 2 56" xfId="27556" xr:uid="{9FF31FFE-58EA-40B1-908C-E49F473D2FE2}"/>
    <cellStyle name="Total 2 3 2 57" xfId="26566" xr:uid="{7D7DB265-B5E6-436F-A9ED-879B07D9376C}"/>
    <cellStyle name="Total 2 3 2 58" xfId="28683" xr:uid="{0F884C04-913D-4D98-82E1-9D36BDFBBAC4}"/>
    <cellStyle name="Total 2 3 2 59" xfId="29150" xr:uid="{6FCDDC42-5950-46B5-9C7C-C03658894908}"/>
    <cellStyle name="Total 2 3 2 6" xfId="2992" xr:uid="{B13B0D94-E8B6-4D7C-AD98-7971BE41A6FD}"/>
    <cellStyle name="Total 2 3 2 60" xfId="28283" xr:uid="{7B315E77-13A9-42D9-941A-2A8D3D0C6BFE}"/>
    <cellStyle name="Total 2 3 2 61" xfId="29939" xr:uid="{B0447862-0ED1-4558-917A-1DC1FEF5BFF5}"/>
    <cellStyle name="Total 2 3 2 62" xfId="30345" xr:uid="{645A06FA-1C66-4629-80E6-8C3AF55F037D}"/>
    <cellStyle name="Total 2 3 2 63" xfId="30762" xr:uid="{3F050B5A-E8DD-497E-AB68-2730D23FC4DB}"/>
    <cellStyle name="Total 2 3 2 64" xfId="29595" xr:uid="{C3F1688D-4B4A-457F-B749-6314FFD60A46}"/>
    <cellStyle name="Total 2 3 2 65" xfId="31378" xr:uid="{40A19C7E-C5C7-4BAB-B4D6-884655DA5235}"/>
    <cellStyle name="Total 2 3 2 7" xfId="4161" xr:uid="{50082725-FC73-4629-A377-0E94CA30CF6A}"/>
    <cellStyle name="Total 2 3 2 8" xfId="4598" xr:uid="{8BB561EC-819B-4C30-A670-55206F600853}"/>
    <cellStyle name="Total 2 3 2 9" xfId="3248" xr:uid="{1714291C-D96D-4108-AF73-C819ECEEE59E}"/>
    <cellStyle name="Total 2 3 20" xfId="9947" xr:uid="{350C608B-95AA-4D0D-B549-EB6E8278CF37}"/>
    <cellStyle name="Total 2 3 21" xfId="10377" xr:uid="{64994DBB-2B7D-4275-B806-AC38D090C899}"/>
    <cellStyle name="Total 2 3 22" xfId="10833" xr:uid="{21B9E8C1-31BB-4FE3-8F21-7CD0A65A9F72}"/>
    <cellStyle name="Total 2 3 23" xfId="11151" xr:uid="{D9BF8DC4-B725-4C55-9198-004145760562}"/>
    <cellStyle name="Total 2 3 24" xfId="11981" xr:uid="{9D522476-DC7E-4ED1-812C-55CA22EBC8A9}"/>
    <cellStyle name="Total 2 3 25" xfId="12454" xr:uid="{68A1373B-6A90-4601-B08F-D98B4E09AE10}"/>
    <cellStyle name="Total 2 3 26" xfId="12888" xr:uid="{7B8F6F84-7558-410E-A64D-4AAC22FE056D}"/>
    <cellStyle name="Total 2 3 27" xfId="13325" xr:uid="{4508A67C-B4BA-4FEB-9531-3A125EFE919F}"/>
    <cellStyle name="Total 2 3 28" xfId="12262" xr:uid="{0C89CE38-6EF0-486B-AD48-2C95E2DC7A61}"/>
    <cellStyle name="Total 2 3 29" xfId="14305" xr:uid="{9234F12A-987B-401E-B883-ACDD5172A86B}"/>
    <cellStyle name="Total 2 3 3" xfId="1111" xr:uid="{93326FA8-275C-41B1-85F0-DE055EE7D437}"/>
    <cellStyle name="Total 2 3 30" xfId="14652" xr:uid="{D646BF51-AF93-485E-877F-4F15EB774603}"/>
    <cellStyle name="Total 2 3 31" xfId="12954" xr:uid="{A3C43288-D3D3-4CCE-9546-946DB6A9127F}"/>
    <cellStyle name="Total 2 3 32" xfId="14833" xr:uid="{41309BE4-E694-4487-8FC7-EA484E5561D7}"/>
    <cellStyle name="Total 2 3 33" xfId="15827" xr:uid="{D902DA2E-A9E0-426E-93B8-81636973C953}"/>
    <cellStyle name="Total 2 3 34" xfId="16673" xr:uid="{797ADC24-F77E-4883-BD8F-E0CDED0EAF4A}"/>
    <cellStyle name="Total 2 3 35" xfId="17061" xr:uid="{15B08220-35BB-4144-80BF-7642908D118E}"/>
    <cellStyle name="Total 2 3 36" xfId="17507" xr:uid="{3BC9FDC4-E0A3-4938-A083-9C878EA84E4A}"/>
    <cellStyle name="Total 2 3 37" xfId="17904" xr:uid="{87134410-9ADD-4EB2-8E70-ED6546FE6F49}"/>
    <cellStyle name="Total 2 3 38" xfId="18491" xr:uid="{93CE482A-597A-40DF-8492-5E6BADE12B78}"/>
    <cellStyle name="Total 2 3 39" xfId="18154" xr:uid="{D3099B5B-72F6-4FAB-A772-03AED232C804}"/>
    <cellStyle name="Total 2 3 4" xfId="1617" xr:uid="{B36758A2-917A-4EFA-A755-765207A21401}"/>
    <cellStyle name="Total 2 3 40" xfId="19329" xr:uid="{B1AC1576-D68E-484D-BF7D-020D2DE30D49}"/>
    <cellStyle name="Total 2 3 41" xfId="20010" xr:uid="{71C6272C-36B2-4D80-9D34-0B189A02E32C}"/>
    <cellStyle name="Total 2 3 42" xfId="20413" xr:uid="{F09E8640-9359-4677-8FEC-F2FC5E2F0631}"/>
    <cellStyle name="Total 2 3 43" xfId="20866" xr:uid="{64F72567-D9DD-4793-B1A4-BD93A95C8CEA}"/>
    <cellStyle name="Total 2 3 44" xfId="21230" xr:uid="{635411C6-CBFB-465D-B77B-1152BE4F3C3E}"/>
    <cellStyle name="Total 2 3 45" xfId="21798" xr:uid="{228D894F-AAE9-40FA-A4C3-2DE955CFC3D4}"/>
    <cellStyle name="Total 2 3 46" xfId="22235" xr:uid="{254837CD-C5B0-4E25-BB72-CBC38502FA2D}"/>
    <cellStyle name="Total 2 3 47" xfId="22360" xr:uid="{F0876ADD-B368-4A60-86CD-F253C6BEA318}"/>
    <cellStyle name="Total 2 3 48" xfId="21975" xr:uid="{07CB207C-1F81-4BB1-8356-5278BD6E72FD}"/>
    <cellStyle name="Total 2 3 49" xfId="23592" xr:uid="{BF2B955B-B5AF-4BD3-9028-DEAE95C4E2BF}"/>
    <cellStyle name="Total 2 3 5" xfId="2450" xr:uid="{B773F1B0-882C-448D-8C22-858B5281543B}"/>
    <cellStyle name="Total 2 3 50" xfId="23819" xr:uid="{E2749DA7-32D4-4866-B33F-475A036D4B25}"/>
    <cellStyle name="Total 2 3 51" xfId="24718" xr:uid="{FA7F0FCA-5D47-42E8-A9E9-6B07DC897399}"/>
    <cellStyle name="Total 2 3 52" xfId="25121" xr:uid="{A1949B01-93C7-4990-9E95-8FB8091F250A}"/>
    <cellStyle name="Total 2 3 53" xfId="25636" xr:uid="{29ED1D4E-A37A-47DB-96F1-85FA7AE3B0A1}"/>
    <cellStyle name="Total 2 3 54" xfId="24271" xr:uid="{2A5E5FA1-4324-4A52-AE9A-57E61B1B35C0}"/>
    <cellStyle name="Total 2 3 55" xfId="26045" xr:uid="{8868BE09-3035-47F2-8212-C3A01C02998D}"/>
    <cellStyle name="Total 2 3 56" xfId="26926" xr:uid="{DBA08B9B-4E76-4CB2-B793-6899147F26DA}"/>
    <cellStyle name="Total 2 3 57" xfId="27345" xr:uid="{3893F948-80F3-46F9-9099-BEB4BE4EE209}"/>
    <cellStyle name="Total 2 3 58" xfId="26791" xr:uid="{AA6B3313-7907-4111-B083-C2F84ACCCF51}"/>
    <cellStyle name="Total 2 3 59" xfId="28468" xr:uid="{B1AAA858-68CD-48D3-9896-69E173A70188}"/>
    <cellStyle name="Total 2 3 6" xfId="2051" xr:uid="{0DB7C6B1-8702-4A2F-A505-CFE74D653553}"/>
    <cellStyle name="Total 2 3 60" xfId="28936" xr:uid="{BCE38E1C-3A57-42C4-8237-BF319163972C}"/>
    <cellStyle name="Total 2 3 61" xfId="29276" xr:uid="{A4C2033A-F860-4945-8150-DDFF417C40BE}"/>
    <cellStyle name="Total 2 3 62" xfId="29726" xr:uid="{B1C9800B-3842-4F29-AAD3-A7B21661F8AD}"/>
    <cellStyle name="Total 2 3 63" xfId="30134" xr:uid="{741D9F97-6E15-45C4-9237-4882BDDACAE0}"/>
    <cellStyle name="Total 2 3 64" xfId="30548" xr:uid="{E0C94733-D7BC-46BE-AAD9-25B5C2A8BE6B}"/>
    <cellStyle name="Total 2 3 65" xfId="31020" xr:uid="{AA25BBEB-17B9-4D90-B685-F166616CC9A3}"/>
    <cellStyle name="Total 2 3 66" xfId="31172" xr:uid="{9994986A-F937-4159-A1DB-F3BB47A4F14C}"/>
    <cellStyle name="Total 2 3 7" xfId="1924" xr:uid="{AF3F6FF6-E0FE-4DEB-A8C6-D3869FEE1534}"/>
    <cellStyle name="Total 2 3 8" xfId="3946" xr:uid="{6066546B-65C0-4A6D-BF44-ED5C2FCDE941}"/>
    <cellStyle name="Total 2 3 9" xfId="4384" xr:uid="{DE0927A6-332F-4A9C-B70F-04F204AA5B39}"/>
    <cellStyle name="Total 2 30" xfId="17011" xr:uid="{5DDBF5D2-6032-490B-9454-1D863513A304}"/>
    <cellStyle name="Total 2 31" xfId="18112" xr:uid="{DE7C974D-6655-41C8-9EED-BE35BA7207C7}"/>
    <cellStyle name="Total 2 32" xfId="17214" xr:uid="{950A4F02-AEA4-48C7-BA2D-2F8040A14832}"/>
    <cellStyle name="Total 2 33" xfId="18945" xr:uid="{481D06D3-DFFE-46C9-98E9-7E83B7338E01}"/>
    <cellStyle name="Total 2 34" xfId="19564" xr:uid="{6D95ECE3-ECBA-45F9-8B07-B84DE41967D4}"/>
    <cellStyle name="Total 2 35" xfId="20360" xr:uid="{CE97D4B9-5F28-4670-AE27-5E323D6485C6}"/>
    <cellStyle name="Total 2 36" xfId="22185" xr:uid="{E57667C5-BBFE-4678-AD40-7D8EEE36AF40}"/>
    <cellStyle name="Total 2 37" xfId="19518" xr:uid="{3E55C539-8F7B-4A9C-8D4F-CAAEABEE8291}"/>
    <cellStyle name="Total 2 38" xfId="23647" xr:uid="{C0B469DA-902C-497D-ABC0-76CA028ED299}"/>
    <cellStyle name="Total 2 39" xfId="24285" xr:uid="{6F3E0C53-E166-4817-A0DC-ED2D1FEF36A1}"/>
    <cellStyle name="Total 2 4" xfId="516" xr:uid="{0B73846E-22CE-476B-B20B-D050F8EAE4E3}"/>
    <cellStyle name="Total 2 4 10" xfId="4838" xr:uid="{A9950C48-E8A5-4270-AC3C-6353113DBC62}"/>
    <cellStyle name="Total 2 4 11" xfId="5164" xr:uid="{5356B8CE-D9C2-4E7A-956C-3EAD0F99B11A}"/>
    <cellStyle name="Total 2 4 12" xfId="3049" xr:uid="{D40BACDB-5175-4928-9EF7-11F86298C790}"/>
    <cellStyle name="Total 2 4 13" xfId="2068" xr:uid="{406EF8F3-49B9-4FBC-B006-8E878E8BFA68}"/>
    <cellStyle name="Total 2 4 14" xfId="6457" xr:uid="{9A60C5E7-BD2D-44C8-A039-FA87FE3438D4}"/>
    <cellStyle name="Total 2 4 15" xfId="7236" xr:uid="{7B1CD1BC-1C0B-4530-B689-464350A39F3E}"/>
    <cellStyle name="Total 2 4 16" xfId="6874" xr:uid="{C25A479C-BF77-4B3F-8EFB-9CD92E8E2C49}"/>
    <cellStyle name="Total 2 4 17" xfId="7816" xr:uid="{A1F91BCF-FA43-48AB-851C-D5D99931C626}"/>
    <cellStyle name="Total 2 4 18" xfId="8620" xr:uid="{BB0E4881-242B-496A-AA2E-6211E3894297}"/>
    <cellStyle name="Total 2 4 19" xfId="9450" xr:uid="{9EB7EBC4-700A-48A9-A614-034CFC3AC90D}"/>
    <cellStyle name="Total 2 4 2" xfId="731" xr:uid="{A45BEE70-BC05-4004-B43B-56651BC1E1F7}"/>
    <cellStyle name="Total 2 4 2 10" xfId="5379" xr:uid="{9F7648E5-C8DF-4B8F-987F-61C2090A0BFF}"/>
    <cellStyle name="Total 2 4 2 11" xfId="4795" xr:uid="{47B9436D-8195-4DA9-A208-D18D2B280F40}"/>
    <cellStyle name="Total 2 4 2 12" xfId="6091" xr:uid="{FECDEEDF-B894-4F2A-8D30-118D4821CD08}"/>
    <cellStyle name="Total 2 4 2 13" xfId="4780" xr:uid="{3D567DC5-EFEC-4AB7-8D8B-32D04DA17330}"/>
    <cellStyle name="Total 2 4 2 14" xfId="7451" xr:uid="{ED5E52D4-8B90-4CE8-890B-E78E8ED2D7FD}"/>
    <cellStyle name="Total 2 4 2 15" xfId="7051" xr:uid="{296BC25A-280B-40EE-91BE-317E5EE7F7B9}"/>
    <cellStyle name="Total 2 4 2 16" xfId="8341" xr:uid="{675210F7-721F-4DF5-BCD1-59A66A3FBE3C}"/>
    <cellStyle name="Total 2 4 2 17" xfId="7722" xr:uid="{2B6E0371-A061-47DD-9E9D-1C8A35179449}"/>
    <cellStyle name="Total 2 4 2 18" xfId="9665" xr:uid="{34532AC9-18D3-4DA2-8F05-31BDB0EFF6DC}"/>
    <cellStyle name="Total 2 4 2 19" xfId="9264" xr:uid="{749D78C6-21A3-40B2-87A0-9D743A677835}"/>
    <cellStyle name="Total 2 4 2 2" xfId="1205" xr:uid="{7A6F08FA-1C09-406B-8DB7-2E4EBC038769}"/>
    <cellStyle name="Total 2 4 2 20" xfId="10269" xr:uid="{4AE21664-BB9E-4BF0-8573-670A7F379A97}"/>
    <cellStyle name="Total 2 4 2 21" xfId="10897" xr:uid="{43A85F8E-6A64-4239-A369-84F3660942F0}"/>
    <cellStyle name="Total 2 4 2 22" xfId="11155" xr:uid="{8B8EE085-AC97-43B1-8C07-FA04BF660A07}"/>
    <cellStyle name="Total 2 4 2 23" xfId="12084" xr:uid="{8CA13CC9-A704-40AC-B686-65735C1D551E}"/>
    <cellStyle name="Total 2 4 2 24" xfId="12557" xr:uid="{51FBF49E-D2AD-4902-9531-CA22A22A6C45}"/>
    <cellStyle name="Total 2 4 2 25" xfId="12991" xr:uid="{061FDB44-8BCB-4937-B9F9-D2672E89D7AB}"/>
    <cellStyle name="Total 2 4 2 26" xfId="13428" xr:uid="{6122F0EB-DF4C-43E9-8A6F-54D847C459F9}"/>
    <cellStyle name="Total 2 4 2 27" xfId="11396" xr:uid="{8F08238E-CEC6-423F-8356-68D6E0A29165}"/>
    <cellStyle name="Total 2 4 2 28" xfId="13666" xr:uid="{894A67AB-A629-40B8-8F38-81607E2F946D}"/>
    <cellStyle name="Total 2 4 2 29" xfId="14438" xr:uid="{A6AEE1FD-F0F1-4F29-8155-BD5F74A27BF2}"/>
    <cellStyle name="Total 2 4 2 3" xfId="1542" xr:uid="{DD64292E-6E0D-4210-8CA5-5238B8BB988D}"/>
    <cellStyle name="Total 2 4 2 30" xfId="14003" xr:uid="{0DDB5DC5-1F21-450D-AD76-A3297D90827B}"/>
    <cellStyle name="Total 2 4 2 31" xfId="15309" xr:uid="{2B60B4FC-C446-4EF9-83CE-1B1E81B79A00}"/>
    <cellStyle name="Total 2 4 2 32" xfId="15480" xr:uid="{83184F20-0BEE-4636-B3A5-C3FA4343F60E}"/>
    <cellStyle name="Total 2 4 2 33" xfId="16776" xr:uid="{348A290F-7A3A-4FAF-8C51-72B1AC9272B4}"/>
    <cellStyle name="Total 2 4 2 34" xfId="16373" xr:uid="{31D51507-57B8-436A-9172-623607994AF3}"/>
    <cellStyle name="Total 2 4 2 35" xfId="17392" xr:uid="{5B46CE07-824C-479F-A980-26C80CB4F7A3}"/>
    <cellStyle name="Total 2 4 2 36" xfId="17483" xr:uid="{0C0963A9-D945-443D-9DE3-82FFAD5D88E5}"/>
    <cellStyle name="Total 2 4 2 37" xfId="18594" xr:uid="{22AEF992-5EA1-467D-A744-DEE05EE021F0}"/>
    <cellStyle name="Total 2 4 2 38" xfId="17181" xr:uid="{566CEBE1-4EE3-40F0-BEB9-FB14B02C9360}"/>
    <cellStyle name="Total 2 4 2 39" xfId="17944" xr:uid="{9E059BBB-503F-4158-8D34-A43F8E06E323}"/>
    <cellStyle name="Total 2 4 2 4" xfId="2553" xr:uid="{3B5D82AD-686D-4ACB-A31D-12625ED2C8A6}"/>
    <cellStyle name="Total 2 4 2 40" xfId="20113" xr:uid="{72F98347-38EF-45D1-8581-D22C199848BA}"/>
    <cellStyle name="Total 2 4 2 41" xfId="19707" xr:uid="{7E28A9BB-99C0-4FB4-870F-06143C728833}"/>
    <cellStyle name="Total 2 4 2 42" xfId="19532" xr:uid="{0DF5D359-EDE4-4E21-8B71-B6B724704D5E}"/>
    <cellStyle name="Total 2 4 2 43" xfId="20626" xr:uid="{A57DABDE-5963-4F98-853F-389573A43570}"/>
    <cellStyle name="Total 2 4 2 44" xfId="21600" xr:uid="{454E99ED-0D8E-4E3B-A9C7-07EBDF226B5E}"/>
    <cellStyle name="Total 2 4 2 45" xfId="21758" xr:uid="{15294920-CEEE-419F-B3F9-B09CFCD807A7}"/>
    <cellStyle name="Total 2 4 2 46" xfId="21773" xr:uid="{A76C7BC6-F39C-49B6-ADF5-C460EBF241E7}"/>
    <cellStyle name="Total 2 4 2 47" xfId="22173" xr:uid="{A29C55FF-2CCA-4C27-B68E-E317BBB4AB33}"/>
    <cellStyle name="Total 2 4 2 48" xfId="23468" xr:uid="{AFCF4B13-6066-485C-892E-4697844BD18C}"/>
    <cellStyle name="Total 2 4 2 49" xfId="23913" xr:uid="{0409F393-59EA-4CB5-8979-79E9E81617D2}"/>
    <cellStyle name="Total 2 4 2 5" xfId="1859" xr:uid="{F516D0AE-DE8D-422F-A259-BD845E43BCE1}"/>
    <cellStyle name="Total 2 4 2 50" xfId="24821" xr:uid="{D6FCB5AD-34BB-4D7E-9DCF-91524B1CA71A}"/>
    <cellStyle name="Total 2 4 2 51" xfId="24553" xr:uid="{394DFD58-7CEB-44E8-BDE4-C54B70C9FD7A}"/>
    <cellStyle name="Total 2 4 2 52" xfId="25737" xr:uid="{EE2CE38A-7BE8-4DF7-8304-31296F35CDB6}"/>
    <cellStyle name="Total 2 4 2 53" xfId="25194" xr:uid="{BB825221-49D9-4905-A52F-2B55034DE556}"/>
    <cellStyle name="Total 2 4 2 54" xfId="26375" xr:uid="{376BE330-1958-45AB-9C73-05B9427E3C9B}"/>
    <cellStyle name="Total 2 4 2 55" xfId="27025" xr:uid="{13E62442-1CDC-4A42-A585-5D38D197ACF3}"/>
    <cellStyle name="Total 2 4 2 56" xfId="27444" xr:uid="{088E4B57-C2FA-455B-A4BD-71D8F166ED6D}"/>
    <cellStyle name="Total 2 4 2 57" xfId="27699" xr:uid="{E07D2EF8-E597-43E2-A586-E58FF21FE095}"/>
    <cellStyle name="Total 2 4 2 58" xfId="28571" xr:uid="{E3D8DFAE-7DDE-4F9E-87EB-DC42FD671978}"/>
    <cellStyle name="Total 2 4 2 59" xfId="29038" xr:uid="{242EE5FF-59E1-4774-8314-EE61C063B957}"/>
    <cellStyle name="Total 2 4 2 6" xfId="3628" xr:uid="{E7D7402E-F327-443A-B143-A38BAB97EDEF}"/>
    <cellStyle name="Total 2 4 2 60" xfId="28006" xr:uid="{322DF31F-64D4-4DDE-920A-D309B64BC6B9}"/>
    <cellStyle name="Total 2 4 2 61" xfId="29827" xr:uid="{7E85B487-2150-4AB0-BB7D-C21856E55EA1}"/>
    <cellStyle name="Total 2 4 2 62" xfId="30233" xr:uid="{D9E0B000-6195-4410-AFFB-AC4CD4FC29E1}"/>
    <cellStyle name="Total 2 4 2 63" xfId="30650" xr:uid="{0822518F-8B53-4ED7-B234-C98B0053B81C}"/>
    <cellStyle name="Total 2 4 2 64" xfId="29590" xr:uid="{A27B5F36-5F88-417D-9A63-F0F01A769CA8}"/>
    <cellStyle name="Total 2 4 2 65" xfId="31266" xr:uid="{07B16E86-ED32-44D5-8BA5-B5F277B845D0}"/>
    <cellStyle name="Total 2 4 2 7" xfId="4049" xr:uid="{E6D3BC3B-CDA1-4DD9-8CE4-26686CEF1203}"/>
    <cellStyle name="Total 2 4 2 8" xfId="4486" xr:uid="{36713731-6E7C-40FD-B2AA-E1AC860DB988}"/>
    <cellStyle name="Total 2 4 2 9" xfId="2220" xr:uid="{CAAC032F-9397-40EC-BFD7-9D7B1ECF867F}"/>
    <cellStyle name="Total 2 4 20" xfId="9087" xr:uid="{7EFF3387-ABB3-467A-B85A-F67A12C74F7A}"/>
    <cellStyle name="Total 2 4 21" xfId="10264" xr:uid="{822C2AE6-2DA8-4697-8AAF-61F2B6D366D2}"/>
    <cellStyle name="Total 2 4 22" xfId="10691" xr:uid="{4100C793-B34F-4B2F-8947-EE38BF6985FC}"/>
    <cellStyle name="Total 2 4 23" xfId="11270" xr:uid="{7D1876CB-DD6D-4F4F-8431-2BD0B48B3869}"/>
    <cellStyle name="Total 2 4 24" xfId="11869" xr:uid="{4F640C4C-C80A-4DC7-853A-7FDDE68E8620}"/>
    <cellStyle name="Total 2 4 25" xfId="12342" xr:uid="{4307EF43-3B18-481D-AE1E-4D39B480C2B6}"/>
    <cellStyle name="Total 2 4 26" xfId="12776" xr:uid="{4364BC9E-7459-4C4B-A7B8-5FE93262B19C}"/>
    <cellStyle name="Total 2 4 27" xfId="13213" xr:uid="{05587FAC-A9A3-4801-BEAF-85DF1C681513}"/>
    <cellStyle name="Total 2 4 28" xfId="11834" xr:uid="{6BE9195D-E173-4D82-9C49-73B3ACFEE929}"/>
    <cellStyle name="Total 2 4 29" xfId="14343" xr:uid="{261672B8-00DC-4760-B156-D8CB5CA2E0C6}"/>
    <cellStyle name="Total 2 4 3" xfId="999" xr:uid="{5094BE0F-C131-4224-9A2A-203F58291804}"/>
    <cellStyle name="Total 2 4 30" xfId="14787" xr:uid="{5870CCE9-E2FD-41F5-A9E4-24C30F55518E}"/>
    <cellStyle name="Total 2 4 31" xfId="11835" xr:uid="{1F0EB60B-F48E-4275-AD4D-968FF4340F96}"/>
    <cellStyle name="Total 2 4 32" xfId="15522" xr:uid="{BCFF1897-0D83-4618-BB51-589C8863F742}"/>
    <cellStyle name="Total 2 4 33" xfId="14157" xr:uid="{D9164A24-5674-4787-BB42-404B76CE15CB}"/>
    <cellStyle name="Total 2 4 34" xfId="16561" xr:uid="{893C47FB-DA35-4F1B-AC88-35888CCB12FC}"/>
    <cellStyle name="Total 2 4 35" xfId="16190" xr:uid="{2BF8C71D-7010-4F15-AA6B-1F2BE745E1EB}"/>
    <cellStyle name="Total 2 4 36" xfId="17386" xr:uid="{BE15501B-F5BA-419A-BF3D-3A78D57E023F}"/>
    <cellStyle name="Total 2 4 37" xfId="18160" xr:uid="{1B10DCA6-5A4C-4B23-A4D1-147660A231E7}"/>
    <cellStyle name="Total 2 4 38" xfId="18379" xr:uid="{44613CAD-9972-4CB7-BC3C-47117837A580}"/>
    <cellStyle name="Total 2 4 39" xfId="17000" xr:uid="{D6AE22D2-22B0-4898-A963-950868349AAD}"/>
    <cellStyle name="Total 2 4 4" xfId="1528" xr:uid="{B1D24B1A-D937-425B-8087-48465D6E763B}"/>
    <cellStyle name="Total 2 4 40" xfId="19091" xr:uid="{6BD1C637-143B-477E-B103-22EB15E75E26}"/>
    <cellStyle name="Total 2 4 41" xfId="19898" xr:uid="{B0910309-6D31-4B63-AA9C-EF92ABEF4E04}"/>
    <cellStyle name="Total 2 4 42" xfId="19522" xr:uid="{2EF1CDFA-E828-4A24-BF3B-3102DC7A8E09}"/>
    <cellStyle name="Total 2 4 43" xfId="19739" xr:uid="{A202CC2B-7F06-45C6-8B2B-24AD58E75CA3}"/>
    <cellStyle name="Total 2 4 44" xfId="19813" xr:uid="{EC3B861D-37DB-40F0-B18A-2A3B7C07C1A4}"/>
    <cellStyle name="Total 2 4 45" xfId="21625" xr:uid="{F115D0B8-771D-4E6B-BCC9-342348AEA01E}"/>
    <cellStyle name="Total 2 4 46" xfId="21496" xr:uid="{5C67FDBC-5DCA-455D-8133-605CCBD0D9E5}"/>
    <cellStyle name="Total 2 4 47" xfId="22442" xr:uid="{16F68E93-FC9A-4863-9347-03810F022AF2}"/>
    <cellStyle name="Total 2 4 48" xfId="21523" xr:uid="{8A4B7B16-3C97-4A7A-A08B-9181A1907667}"/>
    <cellStyle name="Total 2 4 49" xfId="23433" xr:uid="{FC67957A-C07B-4A4A-BE36-C156EE4A46E9}"/>
    <cellStyle name="Total 2 4 5" xfId="2338" xr:uid="{CAFC3962-DE41-4CA1-932F-0DA4959612AE}"/>
    <cellStyle name="Total 2 4 50" xfId="23707" xr:uid="{F72DDFB2-B398-4977-AE45-38B3D245B091}"/>
    <cellStyle name="Total 2 4 51" xfId="24606" xr:uid="{BA6F6570-0029-4057-B3BF-9888F79E0BA4}"/>
    <cellStyle name="Total 2 4 52" xfId="24488" xr:uid="{82AA7D21-9573-46DD-9EB8-51BDEA27D608}"/>
    <cellStyle name="Total 2 4 53" xfId="25524" xr:uid="{A65A5FD9-F819-4299-83D6-14F04880961A}"/>
    <cellStyle name="Total 2 4 54" xfId="25916" xr:uid="{A5C6D55F-5B0E-4E82-988D-938A6E810376}"/>
    <cellStyle name="Total 2 4 55" xfId="26202" xr:uid="{03752D45-5F47-4DFC-99DA-161FFFC0E56B}"/>
    <cellStyle name="Total 2 4 56" xfId="26814" xr:uid="{9D794DA4-DE3D-4746-B338-03ECA87FF58D}"/>
    <cellStyle name="Total 2 4 57" xfId="27233" xr:uid="{482E7E4F-540A-4619-A145-9725C7782B9E}"/>
    <cellStyle name="Total 2 4 58" xfId="26402" xr:uid="{A0F2B635-919B-4969-9708-FAEF6AF63F8C}"/>
    <cellStyle name="Total 2 4 59" xfId="28356" xr:uid="{42AF2491-2A0E-477F-AD72-2BC43AA114AA}"/>
    <cellStyle name="Total 2 4 6" xfId="2178" xr:uid="{E2FF3403-F6F9-48BA-AF86-9E80D8A23CBE}"/>
    <cellStyle name="Total 2 4 60" xfId="28824" xr:uid="{310688A9-6DB5-413B-8F55-41A411C5CD42}"/>
    <cellStyle name="Total 2 4 61" xfId="28246" xr:uid="{04C4C9B4-014D-4760-95FD-78DEF192EC01}"/>
    <cellStyle name="Total 2 4 62" xfId="29614" xr:uid="{B94B53F4-E767-460C-95F5-24883A6EB492}"/>
    <cellStyle name="Total 2 4 63" xfId="30022" xr:uid="{46326CA2-1473-4389-8ABB-3B79399F2BFC}"/>
    <cellStyle name="Total 2 4 64" xfId="30436" xr:uid="{4C0EEC7A-6282-4559-A034-69DAA973523C}"/>
    <cellStyle name="Total 2 4 65" xfId="29228" xr:uid="{7F975753-2881-49AD-A976-6CCFFED541C2}"/>
    <cellStyle name="Total 2 4 66" xfId="31060" xr:uid="{332F391F-AEE1-40AE-AFCE-FFE1642181D8}"/>
    <cellStyle name="Total 2 4 7" xfId="3043" xr:uid="{033491EF-ECC0-4E9C-A4A4-18DEC801D910}"/>
    <cellStyle name="Total 2 4 8" xfId="3834" xr:uid="{2645B7A1-9E2C-4CC3-821C-6043087BC99C}"/>
    <cellStyle name="Total 2 4 9" xfId="4272" xr:uid="{A628DC69-DD94-456E-9C70-2814CFE88AF5}"/>
    <cellStyle name="Total 2 40" xfId="25005" xr:uid="{05753C5C-25BB-4A51-9226-00B8BA9FB336}"/>
    <cellStyle name="Total 2 41" xfId="25006" xr:uid="{BB584B4A-8083-400A-9036-E73FE361B852}"/>
    <cellStyle name="Total 2 42" xfId="26058" xr:uid="{872C5264-8A74-4FC3-9C92-37574A69D343}"/>
    <cellStyle name="Total 2 43" xfId="26417" xr:uid="{6BFBC712-CEC4-4B15-B812-6BDB2DAC2558}"/>
    <cellStyle name="Total 2 44" xfId="25478" xr:uid="{F26B4F4C-E2E8-42F3-8E0A-44BA1E4E3061}"/>
    <cellStyle name="Total 2 45" xfId="26440" xr:uid="{D7A90A73-9C29-4D30-BD49-BA8AFC1E3E10}"/>
    <cellStyle name="Total 2 46" xfId="28065" xr:uid="{F3471B69-0953-4D5D-955F-3EDEADAD9B0E}"/>
    <cellStyle name="Total 2 47" xfId="28276" xr:uid="{64DDBE84-0285-4F04-86CC-EEDE5C5D502A}"/>
    <cellStyle name="Total 2 48" xfId="27924" xr:uid="{66D915B3-CB46-4FA9-8BB8-D9CDABB5BA7D}"/>
    <cellStyle name="Total 2 49" xfId="29460" xr:uid="{144DB8DE-DDEE-4EC1-9E3A-5A774AAEA646}"/>
    <cellStyle name="Total 2 5" xfId="687" xr:uid="{0B1DB48D-FB38-4812-B642-6A272B45395A}"/>
    <cellStyle name="Total 2 5 10" xfId="5335" xr:uid="{65C6E20C-726F-4510-A1F4-09447C194FD9}"/>
    <cellStyle name="Total 2 5 11" xfId="3437" xr:uid="{3BAA2A7D-4A17-4454-9E17-4F7FAEF151CD}"/>
    <cellStyle name="Total 2 5 12" xfId="6211" xr:uid="{6652B0FA-0253-443B-AC77-2B6AEF366AB9}"/>
    <cellStyle name="Total 2 5 13" xfId="6543" xr:uid="{90A16031-EEC6-4C0A-8F36-615BF49FBCBA}"/>
    <cellStyle name="Total 2 5 14" xfId="7407" xr:uid="{BD7C49BB-2F6A-437D-B487-C273CA88C50E}"/>
    <cellStyle name="Total 2 5 15" xfId="7781" xr:uid="{A0BDCEAC-C9C9-4735-945A-35C3F80B6E65}"/>
    <cellStyle name="Total 2 5 16" xfId="7048" xr:uid="{5C610424-2B47-4C2F-8D21-6CDF71DEB47D}"/>
    <cellStyle name="Total 2 5 17" xfId="7420" xr:uid="{3D8CFE1A-B794-40F8-B8D6-EB597EFFFCC2}"/>
    <cellStyle name="Total 2 5 18" xfId="9621" xr:uid="{D0244560-AE5F-4EE7-80BE-997E6B85EEEE}"/>
    <cellStyle name="Total 2 5 19" xfId="9994" xr:uid="{74BA464C-556B-4119-AB76-1150B043387D}"/>
    <cellStyle name="Total 2 5 2" xfId="1169" xr:uid="{0104783A-720B-41CB-B5D5-B8D3BE293D6D}"/>
    <cellStyle name="Total 2 5 20" xfId="10419" xr:uid="{2D5FD17A-3A11-4726-83AD-D4413C482A2F}"/>
    <cellStyle name="Total 2 5 21" xfId="10765" xr:uid="{FEBA90E5-2A64-4558-A8A5-43A8864BAB6E}"/>
    <cellStyle name="Total 2 5 22" xfId="10890" xr:uid="{00A62048-2A11-4248-B1D8-F0BE52AB1E7F}"/>
    <cellStyle name="Total 2 5 23" xfId="12040" xr:uid="{681460C0-F891-4C21-956A-650093961AD3}"/>
    <cellStyle name="Total 2 5 24" xfId="12513" xr:uid="{F95DC00A-7122-4C0D-9B6F-86C6BD25AB72}"/>
    <cellStyle name="Total 2 5 25" xfId="12947" xr:uid="{04565E78-A030-403D-B262-F71B663F4C50}"/>
    <cellStyle name="Total 2 5 26" xfId="13384" xr:uid="{E7ED8B32-E477-438B-8F61-56F555FDF0C5}"/>
    <cellStyle name="Total 2 5 27" xfId="12307" xr:uid="{1949D1D5-2221-4A9A-8FAD-4AD5E32A92C6}"/>
    <cellStyle name="Total 2 5 28" xfId="14196" xr:uid="{CDBD4A3E-25D5-4BEE-AF94-B571A9CF55CA}"/>
    <cellStyle name="Total 2 5 29" xfId="14648" xr:uid="{3C2FA8EA-D76C-4B84-A5CE-65A680A4AF48}"/>
    <cellStyle name="Total 2 5 3" xfId="1604" xr:uid="{757C771F-3B8A-4BF3-8B44-3C12F448CD63}"/>
    <cellStyle name="Total 2 5 30" xfId="15258" xr:uid="{161F468C-D170-4E24-BECA-DA41239DD588}"/>
    <cellStyle name="Total 2 5 31" xfId="15537" xr:uid="{8C46B859-EFA8-4AD2-B713-C496BEF6B2D5}"/>
    <cellStyle name="Total 2 5 32" xfId="15850" xr:uid="{16EDA3D9-DA3A-48FA-9E52-99D9B4378E22}"/>
    <cellStyle name="Total 2 5 33" xfId="16732" xr:uid="{10746585-26E9-4843-8C67-D38CCA335479}"/>
    <cellStyle name="Total 2 5 34" xfId="17110" xr:uid="{028C85EA-9EBD-47DD-B3B3-7EA5B9025C02}"/>
    <cellStyle name="Total 2 5 35" xfId="17557" xr:uid="{C1508B29-C06F-4AB3-9DAC-31ED1A3413A3}"/>
    <cellStyle name="Total 2 5 36" xfId="18148" xr:uid="{0EFB2A4F-BC94-43D4-9AA6-2C8C3FDCD2B5}"/>
    <cellStyle name="Total 2 5 37" xfId="18550" xr:uid="{FAABD177-BBD0-42B8-A4F2-82512508D96E}"/>
    <cellStyle name="Total 2 5 38" xfId="17872" xr:uid="{0BA70812-BCB4-4E90-ACFE-D909FBB3123E}"/>
    <cellStyle name="Total 2 5 39" xfId="19206" xr:uid="{79AA0679-46B7-45A0-96AF-31B261AEF425}"/>
    <cellStyle name="Total 2 5 4" xfId="2509" xr:uid="{141A9DC0-A0E3-40B0-B112-B87D379BD019}"/>
    <cellStyle name="Total 2 5 40" xfId="20069" xr:uid="{1BDB0A59-E63D-4233-95A9-1978231B7C43}"/>
    <cellStyle name="Total 2 5 41" xfId="20463" xr:uid="{B89D17FA-2959-45CB-B322-8A9135E7535F}"/>
    <cellStyle name="Total 2 5 42" xfId="20916" xr:uid="{55F4A54E-2FD2-4898-97BE-A317B9352086}"/>
    <cellStyle name="Total 2 5 43" xfId="19401" xr:uid="{2F2AF4C9-858E-4A2C-AFA8-C9169CAFE67A}"/>
    <cellStyle name="Total 2 5 44" xfId="21845" xr:uid="{71326C3E-4DC0-49D4-BF71-819FC8053F65}"/>
    <cellStyle name="Total 2 5 45" xfId="22282" xr:uid="{199B4FAF-AC4C-461B-9343-C8D585A12A1F}"/>
    <cellStyle name="Total 2 5 46" xfId="22455" xr:uid="{57D424B6-6AA3-4DB5-BA74-50D0EB302456}"/>
    <cellStyle name="Total 2 5 47" xfId="22967" xr:uid="{99F3D466-8CF2-46E7-A4E4-948E4FA4491C}"/>
    <cellStyle name="Total 2 5 48" xfId="23596" xr:uid="{207CD69E-BC0B-4A98-8517-22E076F3CF83}"/>
    <cellStyle name="Total 2 5 49" xfId="23877" xr:uid="{5459DCC6-C743-4877-8253-B87304040C4F}"/>
    <cellStyle name="Total 2 5 5" xfId="2015" xr:uid="{A50EE938-2E26-4FFD-B2EF-2003AE5836D6}"/>
    <cellStyle name="Total 2 5 50" xfId="24777" xr:uid="{F87894E4-5A6D-49B9-8FEB-4100BC0276D3}"/>
    <cellStyle name="Total 2 5 51" xfId="25171" xr:uid="{414E5E5E-C265-49B9-94FC-4DFAF9A8E5BF}"/>
    <cellStyle name="Total 2 5 52" xfId="25695" xr:uid="{B2B35FC0-7395-43FF-9EA6-D7CA31E9F5DF}"/>
    <cellStyle name="Total 2 5 53" xfId="24323" xr:uid="{330FF1F0-1092-4042-B074-F0FFCDBECADC}"/>
    <cellStyle name="Total 2 5 54" xfId="26356" xr:uid="{1A179F4E-63DE-4C3B-92CB-B5E44CE5F9DC}"/>
    <cellStyle name="Total 2 5 55" xfId="26985" xr:uid="{C45A6938-DCF2-493D-8BFF-E0F094C9EC79}"/>
    <cellStyle name="Total 2 5 56" xfId="27404" xr:uid="{99607CDD-430F-402C-B7D2-25C0CF4B50FA}"/>
    <cellStyle name="Total 2 5 57" xfId="27194" xr:uid="{1AF3B359-DE8C-425C-AB45-EA174EEFA574}"/>
    <cellStyle name="Total 2 5 58" xfId="28527" xr:uid="{A6BD4F62-C87C-4CFC-8DCE-FC3B88134F43}"/>
    <cellStyle name="Total 2 5 59" xfId="28995" xr:uid="{BB0BD69E-6535-43BA-8BE6-75105954A7A3}"/>
    <cellStyle name="Total 2 5 6" xfId="3678" xr:uid="{3AC6BA99-2F7B-4EEE-93B1-F06E7F759131}"/>
    <cellStyle name="Total 2 5 60" xfId="29318" xr:uid="{F72B440B-20B2-453B-A3E2-5AF4AF0974EF}"/>
    <cellStyle name="Total 2 5 61" xfId="29785" xr:uid="{F79C866F-002C-4BD7-99CE-3C8A581BB509}"/>
    <cellStyle name="Total 2 5 62" xfId="30192" xr:uid="{3D5B50AB-171E-4E05-B1EA-50041FBCF75A}"/>
    <cellStyle name="Total 2 5 63" xfId="30607" xr:uid="{C7FF3AFB-FDBF-4DE8-81F0-92CD1D452D82}"/>
    <cellStyle name="Total 2 5 64" xfId="30960" xr:uid="{DE0FD36E-2D54-4A68-8708-90224582BE4F}"/>
    <cellStyle name="Total 2 5 65" xfId="31230" xr:uid="{C7B3EA42-7528-48CB-AE01-1D3354059DE7}"/>
    <cellStyle name="Total 2 5 7" xfId="4005" xr:uid="{1C816ECA-F0CC-478D-AC1D-08E0311CEC85}"/>
    <cellStyle name="Total 2 5 8" xfId="4443" xr:uid="{B5789140-E2FA-432B-9CB6-EC570E1C8C2E}"/>
    <cellStyle name="Total 2 5 9" xfId="4981" xr:uid="{15503655-B7AC-4186-92D8-BB4BBD67FCF7}"/>
    <cellStyle name="Total 2 50" xfId="30818" xr:uid="{7DD77FF1-3864-42D3-8514-34D29BFFCD7A}"/>
    <cellStyle name="Total 2 51" xfId="29214" xr:uid="{8D66BFF2-B2C1-444C-8E56-FB0F492F005F}"/>
    <cellStyle name="Total 2 6" xfId="930" xr:uid="{FEA7B1B0-8A3D-4CE7-9858-5C462516956F}"/>
    <cellStyle name="Total 2 7" xfId="2006" xr:uid="{1C78EB04-CA12-4A06-BB00-0DA23322F562}"/>
    <cellStyle name="Total 2 8" xfId="2739" xr:uid="{19B13732-3A55-4291-B861-FECA6B68A06B}"/>
    <cellStyle name="Total 2 9" xfId="3306" xr:uid="{3CF265B3-F305-41AC-AF00-205A3B8C693E}"/>
    <cellStyle name="Total 3" xfId="239" xr:uid="{6BC0AED2-07F3-4E40-9F94-744FF2FF4947}"/>
    <cellStyle name="Total 3 10" xfId="3401" xr:uid="{DAA2DB8A-C0AD-4E4B-8AC6-C1F00D07B838}"/>
    <cellStyle name="Total 3 11" xfId="4655" xr:uid="{559AF4F9-27C6-4EB2-9E1D-8FBC68C03CE5}"/>
    <cellStyle name="Total 3 12" xfId="4257" xr:uid="{B7CFDB75-F8D1-4C7D-896D-599D05DAD6B8}"/>
    <cellStyle name="Total 3 13" xfId="5806" xr:uid="{799D7600-1A87-4EA9-879C-3B2523A86212}"/>
    <cellStyle name="Total 3 14" xfId="6676" xr:uid="{A2291093-B8A8-4A1B-9AF3-2BC066D236DC}"/>
    <cellStyle name="Total 3 15" xfId="6970" xr:uid="{55FEE8EC-0FB7-419A-A593-BE47FD5AE885}"/>
    <cellStyle name="Total 3 16" xfId="7655" xr:uid="{370F216A-2C1A-47EE-8B1E-1946EC917313}"/>
    <cellStyle name="Total 3 17" xfId="8217" xr:uid="{93E0F0C8-2255-4719-80D2-063722F21913}"/>
    <cellStyle name="Total 3 18" xfId="8839" xr:uid="{65FE7F73-68AF-491F-9CAA-AC3127CDFFB4}"/>
    <cellStyle name="Total 3 19" xfId="9183" xr:uid="{50A2C434-0118-4E97-BC5A-962B355CC0A3}"/>
    <cellStyle name="Total 3 2" xfId="591" xr:uid="{64A6C80E-0A2F-4261-A8AD-E8E579DF4556}"/>
    <cellStyle name="Total 3 2 10" xfId="4753" xr:uid="{71B20635-3018-48FC-8EFB-B5EBFF382A14}"/>
    <cellStyle name="Total 3 2 11" xfId="5239" xr:uid="{3E46ADE6-1DE8-4507-B5D8-101E43ACF12A}"/>
    <cellStyle name="Total 3 2 12" xfId="4965" xr:uid="{F302148C-E955-447C-86C2-4717683CCF87}"/>
    <cellStyle name="Total 3 2 13" xfId="5103" xr:uid="{171E4D6B-9BF6-4698-8254-B06264F8B0B2}"/>
    <cellStyle name="Total 3 2 14" xfId="6659" xr:uid="{478B2135-8A83-4BB6-8867-7D73AEC5E8F1}"/>
    <cellStyle name="Total 3 2 15" xfId="7311" xr:uid="{9E854F80-E3E6-4F53-B733-AA4A45C971FB}"/>
    <cellStyle name="Total 3 2 16" xfId="7749" xr:uid="{A0B55884-FAD8-47C1-9EB3-67E756298A35}"/>
    <cellStyle name="Total 3 2 17" xfId="6773" xr:uid="{CC897D9F-6228-4A1A-A980-855271B5D6DE}"/>
    <cellStyle name="Total 3 2 18" xfId="7720" xr:uid="{94865785-AC0E-4497-B3C9-3E8D4DA0A0B5}"/>
    <cellStyle name="Total 3 2 19" xfId="9525" xr:uid="{6DB3F0CA-645B-4D1D-8333-3AD4C6544AA5}"/>
    <cellStyle name="Total 3 2 2" xfId="806" xr:uid="{C2536416-E382-410A-9BA5-D478EFE80796}"/>
    <cellStyle name="Total 3 2 2 10" xfId="5454" xr:uid="{B7A3638E-E63F-413E-9A6F-7E20C9305243}"/>
    <cellStyle name="Total 3 2 2 11" xfId="5793" xr:uid="{F5656D89-7FE6-4111-98C6-604FF7267544}"/>
    <cellStyle name="Total 3 2 2 12" xfId="5782" xr:uid="{F223F095-3AF0-4DBF-BFF9-AF0DEFA0C26B}"/>
    <cellStyle name="Total 3 2 2 13" xfId="5926" xr:uid="{F10EAAA4-15EF-409E-89CB-CCE3820E8390}"/>
    <cellStyle name="Total 3 2 2 14" xfId="7526" xr:uid="{D7A885F2-E7CD-4155-8712-0C6673B25774}"/>
    <cellStyle name="Total 3 2 2 15" xfId="7023" xr:uid="{391E37BB-8CDF-4A86-A284-E73D7913B7F3}"/>
    <cellStyle name="Total 3 2 2 16" xfId="8142" xr:uid="{5414B607-420E-4301-A317-FDC0C42D9548}"/>
    <cellStyle name="Total 3 2 2 17" xfId="8837" xr:uid="{F28729B6-59C3-4785-B7C3-161475EE91F1}"/>
    <cellStyle name="Total 3 2 2 18" xfId="9740" xr:uid="{BE5D597B-7797-4DEC-87A0-4A6CD42014BE}"/>
    <cellStyle name="Total 3 2 2 19" xfId="9236" xr:uid="{3836D482-32CA-4B7A-964D-7950E9695311}"/>
    <cellStyle name="Total 3 2 2 2" xfId="1280" xr:uid="{A774F0C9-CA06-4B98-829F-B42115081F85}"/>
    <cellStyle name="Total 3 2 2 20" xfId="9244" xr:uid="{6B1027CC-2BD3-4FEA-B8FD-173389F7F164}"/>
    <cellStyle name="Total 3 2 2 21" xfId="10758" xr:uid="{E9403012-301C-48B7-9716-FC4226E1B5F9}"/>
    <cellStyle name="Total 3 2 2 22" xfId="11106" xr:uid="{DE461F0B-B054-4957-855A-845151979A54}"/>
    <cellStyle name="Total 3 2 2 23" xfId="12159" xr:uid="{303BCF47-E75C-475A-A2C7-D3E7774F72D3}"/>
    <cellStyle name="Total 3 2 2 24" xfId="12632" xr:uid="{EE2E411E-4D4F-45A3-BA2F-7ABBB727D9DA}"/>
    <cellStyle name="Total 3 2 2 25" xfId="13066" xr:uid="{11621E5D-2202-4D07-98CD-EFDE2B209270}"/>
    <cellStyle name="Total 3 2 2 26" xfId="13503" xr:uid="{EE3A7FD4-52A1-4C7D-B9C6-A0B2D104AA15}"/>
    <cellStyle name="Total 3 2 2 27" xfId="13653" xr:uid="{4F048F07-8363-406F-B7E8-5213F6637CCB}"/>
    <cellStyle name="Total 3 2 2 28" xfId="13626" xr:uid="{F3975A27-DA69-4E45-902D-D1C82EFED7FA}"/>
    <cellStyle name="Total 3 2 2 29" xfId="14308" xr:uid="{D3BDB401-9877-4F47-BBCF-65AAEBBBE737}"/>
    <cellStyle name="Total 3 2 2 3" xfId="1571" xr:uid="{761A849E-05FB-4457-8577-07703DB0A09D}"/>
    <cellStyle name="Total 3 2 2 30" xfId="14250" xr:uid="{BA2CE7C2-8023-4539-9C4E-5C10A0A62294}"/>
    <cellStyle name="Total 3 2 2 31" xfId="15720" xr:uid="{E1D0AF8E-6F13-4703-9586-28B3D5AC0CFA}"/>
    <cellStyle name="Total 3 2 2 32" xfId="15090" xr:uid="{5858C131-69D4-4F5F-8E7C-C6E4BE4C7F1D}"/>
    <cellStyle name="Total 3 2 2 33" xfId="16851" xr:uid="{637670D1-9D43-41F6-9BE0-F19AB68B2E93}"/>
    <cellStyle name="Total 3 2 2 34" xfId="16345" xr:uid="{DAE0DB99-A1EC-4A9C-BE03-695374AC20A3}"/>
    <cellStyle name="Total 3 2 2 35" xfId="16354" xr:uid="{21C9EB06-9C71-4E4F-BE15-A7AA878FAB62}"/>
    <cellStyle name="Total 3 2 2 36" xfId="17817" xr:uid="{BD7AE072-94BE-4CA7-9F6D-700E1392A831}"/>
    <cellStyle name="Total 3 2 2 37" xfId="18669" xr:uid="{B3147DAC-78B6-49CA-BAF3-812779B99BE7}"/>
    <cellStyle name="Total 3 2 2 38" xfId="19055" xr:uid="{DF2E3E67-A230-4AA8-88EF-8304F904C9D1}"/>
    <cellStyle name="Total 3 2 2 39" xfId="19186" xr:uid="{A7AC848A-116E-4334-808F-96BDA72996C2}"/>
    <cellStyle name="Total 3 2 2 4" xfId="2628" xr:uid="{F4174B44-1772-4B12-80C7-EAF776D7C616}"/>
    <cellStyle name="Total 3 2 2 40" xfId="20188" xr:uid="{A4C05BB1-7458-4D85-BDC1-5218CAFFBBF2}"/>
    <cellStyle name="Total 3 2 2 41" xfId="19678" xr:uid="{36264A9E-C3E1-4558-A34C-7485B2E06C10}"/>
    <cellStyle name="Total 3 2 2 42" xfId="20630" xr:uid="{B90A6FB6-021A-4963-9212-17D349CAD998}"/>
    <cellStyle name="Total 3 2 2 43" xfId="20990" xr:uid="{577E6D62-A189-4256-BA4E-4D3B6FA372F7}"/>
    <cellStyle name="Total 3 2 2 44" xfId="21369" xr:uid="{83583B2E-067B-45AB-BB85-6609A1069B91}"/>
    <cellStyle name="Total 3 2 2 45" xfId="21151" xr:uid="{CD2FA147-8274-4AB1-9B12-72FD8523F171}"/>
    <cellStyle name="Total 3 2 2 46" xfId="22657" xr:uid="{E9AC4365-EC72-44E8-9A58-E266EC4E1C7E}"/>
    <cellStyle name="Total 3 2 2 47" xfId="23332" xr:uid="{18F25DD7-841E-4B9F-A2B8-371B9B7A4C58}"/>
    <cellStyle name="Total 3 2 2 48" xfId="23076" xr:uid="{BE7B7E01-E7E6-4B64-9C94-28E6D2FC1919}"/>
    <cellStyle name="Total 3 2 2 49" xfId="23988" xr:uid="{86FCAA82-8F6C-4A6C-807C-7398EB34D680}"/>
    <cellStyle name="Total 3 2 2 5" xfId="2819" xr:uid="{53545898-969A-4389-8868-5DD861C30088}"/>
    <cellStyle name="Total 3 2 2 50" xfId="24896" xr:uid="{4C608327-7173-4502-BDCF-5B52B2A3A3C2}"/>
    <cellStyle name="Total 3 2 2 51" xfId="24561" xr:uid="{AB5C6227-86B1-4E78-A81A-7C247131DFD1}"/>
    <cellStyle name="Total 3 2 2 52" xfId="25812" xr:uid="{70A234F1-3BC0-4996-81EB-695B8911EF11}"/>
    <cellStyle name="Total 3 2 2 53" xfId="24298" xr:uid="{EA9D4568-6AD9-48A2-AE19-65D9170704B2}"/>
    <cellStyle name="Total 3 2 2 54" xfId="26513" xr:uid="{0C9F6F8E-F000-4699-BDA1-01AFE2213FEF}"/>
    <cellStyle name="Total 3 2 2 55" xfId="27100" xr:uid="{469D39CF-A8AB-4C48-AA77-3A9A4582F3E3}"/>
    <cellStyle name="Total 3 2 2 56" xfId="27519" xr:uid="{D2B50DF4-C561-455A-B00B-9C276B179578}"/>
    <cellStyle name="Total 3 2 2 57" xfId="27678" xr:uid="{63CC021E-E9A9-4098-9ED6-19FB04B0E7EA}"/>
    <cellStyle name="Total 3 2 2 58" xfId="28646" xr:uid="{39BE47FA-6806-46AB-8423-4101CCEA6452}"/>
    <cellStyle name="Total 3 2 2 59" xfId="29113" xr:uid="{10D95E58-3A87-4CC0-A1EC-CCD41BD667E2}"/>
    <cellStyle name="Total 3 2 2 6" xfId="3001" xr:uid="{9452C334-95B8-4AF3-9921-F435203C8AC7}"/>
    <cellStyle name="Total 3 2 2 60" xfId="27900" xr:uid="{22D031F3-8684-4FE0-BE94-06E770970070}"/>
    <cellStyle name="Total 3 2 2 61" xfId="29902" xr:uid="{4D2192B3-9F9D-4394-8649-E358CB84D067}"/>
    <cellStyle name="Total 3 2 2 62" xfId="30308" xr:uid="{452B0211-FE14-456B-AF46-DBBA97C00255}"/>
    <cellStyle name="Total 3 2 2 63" xfId="30725" xr:uid="{A53C443F-62AE-4CA8-8F25-CC58DBBD59D5}"/>
    <cellStyle name="Total 3 2 2 64" xfId="28101" xr:uid="{EBB2A018-5A45-49A6-88E5-9405B7B83B92}"/>
    <cellStyle name="Total 3 2 2 65" xfId="31341" xr:uid="{BC028A79-C952-4BFB-BB6D-C4B159E6237F}"/>
    <cellStyle name="Total 3 2 2 7" xfId="4124" xr:uid="{85212B84-2629-4771-92A8-521C333FB5BD}"/>
    <cellStyle name="Total 3 2 2 8" xfId="4561" xr:uid="{38278366-6237-4797-AAE2-F3581556BB92}"/>
    <cellStyle name="Total 3 2 2 9" xfId="3559" xr:uid="{28255AFA-C756-46B3-B54E-A7BCA63FC2C4}"/>
    <cellStyle name="Total 3 2 20" xfId="9963" xr:uid="{BBCFF09D-BA10-4AA9-823A-E255A6479795}"/>
    <cellStyle name="Total 3 2 21" xfId="10391" xr:uid="{3913F46A-630E-4255-8F6A-F998DCC9BACA}"/>
    <cellStyle name="Total 3 2 22" xfId="10529" xr:uid="{E6B1B418-1004-4A82-9841-DF0181158F13}"/>
    <cellStyle name="Total 3 2 23" xfId="10348" xr:uid="{673A7D2C-83A1-4B8D-960D-13E7442D8550}"/>
    <cellStyle name="Total 3 2 24" xfId="11944" xr:uid="{65D6852D-D629-4940-B4B9-2BB1C73D800B}"/>
    <cellStyle name="Total 3 2 25" xfId="12417" xr:uid="{4B81866E-697A-4FAE-8BE5-1D6996899C2A}"/>
    <cellStyle name="Total 3 2 26" xfId="12851" xr:uid="{F5760094-0CCA-44CF-B2BE-8B12FAA9069E}"/>
    <cellStyle name="Total 3 2 27" xfId="13288" xr:uid="{ABDD382E-999E-4B15-9C99-B7D01D6ACCF9}"/>
    <cellStyle name="Total 3 2 28" xfId="11487" xr:uid="{9405EC78-B1D7-4DD4-9BF5-3DD277FDE15F}"/>
    <cellStyle name="Total 3 2 29" xfId="14348" xr:uid="{A2F70033-F7E5-4CAA-A487-1D46C8776F73}"/>
    <cellStyle name="Total 3 2 3" xfId="1074" xr:uid="{6129BA8D-8F01-46E1-8512-5F57C5574C90}"/>
    <cellStyle name="Total 3 2 30" xfId="14633" xr:uid="{37FACB6B-6BC7-4C6C-B780-77F4D43A19E5}"/>
    <cellStyle name="Total 3 2 31" xfId="15052" xr:uid="{9E6899B2-6DED-4BC4-B682-295AD97C7FFB}"/>
    <cellStyle name="Total 3 2 32" xfId="14279" xr:uid="{C015FB4F-1134-4539-810C-49C15CEF08DC}"/>
    <cellStyle name="Total 3 2 33" xfId="15833" xr:uid="{CC2BE090-442D-4E9E-828A-7EA2D62A8DFC}"/>
    <cellStyle name="Total 3 2 34" xfId="16636" xr:uid="{D2F07EB1-FF7B-45C2-8F0F-A310BE05C950}"/>
    <cellStyle name="Total 3 2 35" xfId="17078" xr:uid="{86DFB1D9-AC2F-4818-8A63-F6DCEB85A7B3}"/>
    <cellStyle name="Total 3 2 36" xfId="17525" xr:uid="{CFB8252A-BA59-4DFD-8A63-63DE92A29C8C}"/>
    <cellStyle name="Total 3 2 37" xfId="17682" xr:uid="{07AF0AF0-ED1B-4A09-8BBE-1ECD336923B5}"/>
    <cellStyle name="Total 3 2 38" xfId="18454" xr:uid="{03D3551B-2AD5-486F-B022-AAB9E2EDAD9A}"/>
    <cellStyle name="Total 3 2 39" xfId="16263" xr:uid="{2F242D60-7ACF-420C-90AA-10C854A074E0}"/>
    <cellStyle name="Total 3 2 4" xfId="1703" xr:uid="{F887EE7B-F249-4D80-B080-492C991A5D4D}"/>
    <cellStyle name="Total 3 2 40" xfId="16204" xr:uid="{BC7F5E67-ED59-47E6-9162-1A22CF0FB1E1}"/>
    <cellStyle name="Total 3 2 41" xfId="19973" xr:uid="{175B0318-EDD5-4A17-9157-5FF530BA7FBE}"/>
    <cellStyle name="Total 3 2 42" xfId="20431" xr:uid="{210A3DA6-D5CB-4DDD-8F26-9C76895BAB56}"/>
    <cellStyle name="Total 3 2 43" xfId="20883" xr:uid="{F3330F85-4F11-46A0-B8B2-EE5E885D4C1A}"/>
    <cellStyle name="Total 3 2 44" xfId="20876" xr:uid="{D0AD0322-F72A-467B-8A13-26244FA761D8}"/>
    <cellStyle name="Total 3 2 45" xfId="21815" xr:uid="{67D50A49-661F-4035-8B48-E59F51AF2580}"/>
    <cellStyle name="Total 3 2 46" xfId="22249" xr:uid="{9DA5F331-C840-4F9F-AB37-853136763944}"/>
    <cellStyle name="Total 3 2 47" xfId="22172" xr:uid="{BDDE62C5-E956-4088-AD8F-D006B65B3043}"/>
    <cellStyle name="Total 3 2 48" xfId="22694" xr:uid="{6D3B221A-C6DC-4F38-9225-51228154E26F}"/>
    <cellStyle name="Total 3 2 49" xfId="23345" xr:uid="{EA4688CD-A1B3-4B0A-A0ED-C6C769AF3B52}"/>
    <cellStyle name="Total 3 2 5" xfId="2413" xr:uid="{3CE45BE1-CF29-49B2-9026-B83657018FB3}"/>
    <cellStyle name="Total 3 2 50" xfId="23782" xr:uid="{DB01030F-E7AA-4C6F-AF4E-34BF48AA5715}"/>
    <cellStyle name="Total 3 2 51" xfId="24681" xr:uid="{A7218360-CF1F-4137-9F85-6848E74ED5F8}"/>
    <cellStyle name="Total 3 2 52" xfId="25138" xr:uid="{19D9025A-2E1D-4204-B3B2-AFECAF70D61A}"/>
    <cellStyle name="Total 3 2 53" xfId="25599" xr:uid="{50827E15-7F72-48E7-9FB9-9532912ACFDD}"/>
    <cellStyle name="Total 3 2 54" xfId="24523" xr:uid="{0682E136-BE72-43AF-8E69-A71E3011CDA6}"/>
    <cellStyle name="Total 3 2 55" xfId="26420" xr:uid="{E583E548-0394-42C0-B8D2-212255C3B3ED}"/>
    <cellStyle name="Total 3 2 56" xfId="26889" xr:uid="{D5F3661A-D7CC-434F-81EC-194FCAEF8AA0}"/>
    <cellStyle name="Total 3 2 57" xfId="27308" xr:uid="{DB6A2DFE-0CB0-4C87-83AE-1F44D54191BC}"/>
    <cellStyle name="Total 3 2 58" xfId="27666" xr:uid="{839BBC19-F8E9-49B3-972E-26F0D8C44064}"/>
    <cellStyle name="Total 3 2 59" xfId="28431" xr:uid="{7FAD004D-8EFC-4BAE-BEDE-05FCC3E7B524}"/>
    <cellStyle name="Total 3 2 6" xfId="2027" xr:uid="{30EB2E25-5D03-4058-8D74-9543F2114020}"/>
    <cellStyle name="Total 3 2 60" xfId="28899" xr:uid="{29697648-63B2-4D98-926B-814320181E75}"/>
    <cellStyle name="Total 3 2 61" xfId="29290" xr:uid="{72D3443E-C781-44C1-9556-EE17CAF30E32}"/>
    <cellStyle name="Total 3 2 62" xfId="29689" xr:uid="{29FFEBA7-1144-46DB-AB22-B4E02E9ACB9A}"/>
    <cellStyle name="Total 3 2 63" xfId="30097" xr:uid="{6D4E8169-5B91-4E06-A934-D2D5EF8ECDC3}"/>
    <cellStyle name="Total 3 2 64" xfId="30511" xr:uid="{78A2DA4B-E92D-4F62-A1C5-FC0A08C305D4}"/>
    <cellStyle name="Total 3 2 65" xfId="28066" xr:uid="{29B9F082-480A-49AF-A56D-2A7605769396}"/>
    <cellStyle name="Total 3 2 66" xfId="31135" xr:uid="{45EE6E58-7151-4E67-9C38-D9AFD892C059}"/>
    <cellStyle name="Total 3 2 7" xfId="2019" xr:uid="{DC8BCE0D-26E7-4E62-92A8-076FE22EC7FD}"/>
    <cellStyle name="Total 3 2 8" xfId="3909" xr:uid="{891CC114-8EE3-4938-A312-5C8BCDAC912C}"/>
    <cellStyle name="Total 3 2 9" xfId="4347" xr:uid="{3125498E-C693-4B00-94BD-D89735CBCEFE}"/>
    <cellStyle name="Total 3 20" xfId="9866" xr:uid="{C5082B45-2FBD-4C91-AA11-99EACC7A7EA8}"/>
    <cellStyle name="Total 3 21" xfId="11293" xr:uid="{3773F564-31AF-4E7F-9FC4-25A8606A7835}"/>
    <cellStyle name="Total 3 22" xfId="11595" xr:uid="{8790E60E-4E0E-4B9E-86BE-D8C4A616F036}"/>
    <cellStyle name="Total 3 23" xfId="11494" xr:uid="{C655D645-E4C2-4BB5-8A63-7ACC1035D619}"/>
    <cellStyle name="Total 3 24" xfId="11676" xr:uid="{BF9455A9-F51E-403F-825B-D5286A51F7CA}"/>
    <cellStyle name="Total 3 25" xfId="11567" xr:uid="{DD62EE18-79EE-4323-ADA3-6F4C6926EA4C}"/>
    <cellStyle name="Total 3 26" xfId="13745" xr:uid="{F5A66C51-1B60-44DA-AFDB-A9F980DD6F93}"/>
    <cellStyle name="Total 3 27" xfId="14519" xr:uid="{EC9312F2-46B5-4272-BB6C-E48C48F3823F}"/>
    <cellStyle name="Total 3 28" xfId="15347" xr:uid="{1D3E6541-C866-42B2-845F-CC4A5269544C}"/>
    <cellStyle name="Total 3 29" xfId="16290" xr:uid="{FF338407-050D-4ADE-959D-F1496F7A2B10}"/>
    <cellStyle name="Total 3 3" xfId="554" xr:uid="{49907836-BD15-40CC-BC43-94553BD3BC8D}"/>
    <cellStyle name="Total 3 3 10" xfId="3621" xr:uid="{74DF7AAA-8DAE-4C76-825A-0C5653469CCB}"/>
    <cellStyle name="Total 3 3 11" xfId="5202" xr:uid="{96D5C11D-228E-433C-857B-372F3356F395}"/>
    <cellStyle name="Total 3 3 12" xfId="3451" xr:uid="{AE321FDF-8EF9-4DE9-BC82-DCAF43B60909}"/>
    <cellStyle name="Total 3 3 13" xfId="6071" xr:uid="{64ACEFED-A990-40D8-960F-068EAFFC7B91}"/>
    <cellStyle name="Total 3 3 14" xfId="6421" xr:uid="{D8CA6522-1C81-4F55-9223-5FF33510DCE7}"/>
    <cellStyle name="Total 3 3 15" xfId="7274" xr:uid="{8299A56A-A8E5-4023-99A9-3FE48E3CE316}"/>
    <cellStyle name="Total 3 3 16" xfId="7840" xr:uid="{E291430C-FDD9-443F-A3EC-C6F897B4C631}"/>
    <cellStyle name="Total 3 3 17" xfId="8514" xr:uid="{7CC60C7C-7AD3-462A-9845-6ECEDC66B5AC}"/>
    <cellStyle name="Total 3 3 18" xfId="8748" xr:uid="{FCADF9D3-7022-440D-B5F5-D98C8E74DC37}"/>
    <cellStyle name="Total 3 3 19" xfId="9488" xr:uid="{23CA4B86-A570-4623-AFA1-657BFA7CAE88}"/>
    <cellStyle name="Total 3 3 2" xfId="769" xr:uid="{F8D360B9-369E-44C5-92D2-240D83ED0B97}"/>
    <cellStyle name="Total 3 3 2 10" xfId="5417" xr:uid="{ABA75E80-2DDB-4471-A13A-A335421D7382}"/>
    <cellStyle name="Total 3 3 2 11" xfId="4854" xr:uid="{E3236363-E4A5-4F98-97CF-B5620CAAF7C1}"/>
    <cellStyle name="Total 3 3 2 12" xfId="5911" xr:uid="{B09F04F5-4A89-4D7C-B5C8-7CD22A97EF7F}"/>
    <cellStyle name="Total 3 3 2 13" xfId="6667" xr:uid="{BC040E98-0C85-4946-B2F2-0D0E9C94F156}"/>
    <cellStyle name="Total 3 3 2 14" xfId="7489" xr:uid="{397299AE-E131-4F27-8B5D-5089C9557382}"/>
    <cellStyle name="Total 3 3 2 15" xfId="6877" xr:uid="{5675DE1E-D99F-4742-BE09-DBE7EA267C50}"/>
    <cellStyle name="Total 3 3 2 16" xfId="7970" xr:uid="{2C2DFE01-7ABB-4B15-822F-8491834556E7}"/>
    <cellStyle name="Total 3 3 2 17" xfId="8767" xr:uid="{AB0CC8F0-551E-48C0-B83B-A40AF4721442}"/>
    <cellStyle name="Total 3 3 2 18" xfId="9703" xr:uid="{F98195CD-132A-4BF8-8A69-AA6F578BD93F}"/>
    <cellStyle name="Total 3 3 2 19" xfId="9090" xr:uid="{964BCC4E-8346-463B-B475-7856C6A98E56}"/>
    <cellStyle name="Total 3 3 2 2" xfId="1243" xr:uid="{7BAE8E3C-9528-43BF-B556-D9791B77A9A3}"/>
    <cellStyle name="Total 3 3 2 20" xfId="9100" xr:uid="{873DBA5B-4259-4C0C-89BA-492C03E66FE6}"/>
    <cellStyle name="Total 3 3 2 21" xfId="10696" xr:uid="{C6C3A550-2BD4-497F-A009-4DEFE26CE096}"/>
    <cellStyle name="Total 3 3 2 22" xfId="11284" xr:uid="{DBFA2049-B4FB-45AA-90E2-F937BBEA51D7}"/>
    <cellStyle name="Total 3 3 2 23" xfId="12122" xr:uid="{CDBAB955-4CD1-40FC-96EC-DD574399F086}"/>
    <cellStyle name="Total 3 3 2 24" xfId="12595" xr:uid="{D0F94CF4-0F63-4FD8-AE78-582BA4D3AE28}"/>
    <cellStyle name="Total 3 3 2 25" xfId="13029" xr:uid="{EE23CE46-ABFF-4BF2-B7B6-7A78ACD64D6D}"/>
    <cellStyle name="Total 3 3 2 26" xfId="13466" xr:uid="{D13D505F-8996-4732-ABC4-65561FD3C301}"/>
    <cellStyle name="Total 3 3 2 27" xfId="11726" xr:uid="{831421F7-F64C-44C3-B80B-B82385A1EDB4}"/>
    <cellStyle name="Total 3 3 2 28" xfId="13931" xr:uid="{EE06633F-BF3F-4174-824E-4AC1062BAAE7}"/>
    <cellStyle name="Total 3 3 2 29" xfId="13162" xr:uid="{1BEDED38-613E-49A1-A640-CAFDD5F381BD}"/>
    <cellStyle name="Total 3 3 2 3" xfId="1432" xr:uid="{1B4E53DC-5CD5-4208-9C73-847F208D3902}"/>
    <cellStyle name="Total 3 3 2 30" xfId="15038" xr:uid="{B0F9FC10-37DD-4865-B231-549FAA40A3DF}"/>
    <cellStyle name="Total 3 3 2 31" xfId="15685" xr:uid="{FF8B9D5F-CAC5-4B29-B8DE-024EADA79DEA}"/>
    <cellStyle name="Total 3 3 2 32" xfId="14354" xr:uid="{E7E52CB7-4249-425B-908E-CF1036DFF564}"/>
    <cellStyle name="Total 3 3 2 33" xfId="16814" xr:uid="{01FA2FE6-25FC-466E-A146-3F8EA1A72A15}"/>
    <cellStyle name="Total 3 3 2 34" xfId="16193" xr:uid="{01F2C5A4-34C7-426A-AF66-8DCBB4D6FB75}"/>
    <cellStyle name="Total 3 3 2 35" xfId="16203" xr:uid="{E655723F-EEA7-4974-9B52-CED44CE5CC6C}"/>
    <cellStyle name="Total 3 3 2 36" xfId="18079" xr:uid="{82A71D45-890B-4BF1-84DE-3941A64B9D4B}"/>
    <cellStyle name="Total 3 3 2 37" xfId="18632" xr:uid="{CCB84E4F-6798-42D0-9D8C-4AC7EFDF0F0C}"/>
    <cellStyle name="Total 3 3 2 38" xfId="18823" xr:uid="{46DA3F1F-3D0B-4BE1-8362-37E8002819D7}"/>
    <cellStyle name="Total 3 3 2 39" xfId="18942" xr:uid="{24C7BA25-E66A-4AED-8E43-5F90F83DAD63}"/>
    <cellStyle name="Total 3 3 2 4" xfId="2591" xr:uid="{C14B90F7-5FD2-4240-B3C1-505074D9672E}"/>
    <cellStyle name="Total 3 3 2 40" xfId="20151" xr:uid="{38084CAD-EA1A-4B3B-9578-3F6D42F4910E}"/>
    <cellStyle name="Total 3 3 2 41" xfId="19525" xr:uid="{0DD6B691-71DF-4EB6-A9B2-030AA3BCD324}"/>
    <cellStyle name="Total 3 3 2 42" xfId="20528" xr:uid="{2BE6A417-083A-4E5D-A169-9518EE51C280}"/>
    <cellStyle name="Total 3 3 2 43" xfId="21494" xr:uid="{37B18F86-0875-47A8-B869-A93C81C6D36B}"/>
    <cellStyle name="Total 3 3 2 44" xfId="21593" xr:uid="{B4E8A084-B040-479E-9BBC-5338E2D5F9A9}"/>
    <cellStyle name="Total 3 3 2 45" xfId="21936" xr:uid="{846CEEA5-BE57-4465-A827-260ECAB19D61}"/>
    <cellStyle name="Total 3 3 2 46" xfId="22128" xr:uid="{0885EFD6-F51C-4D7D-BCF2-ABE9496BA1ED}"/>
    <cellStyle name="Total 3 3 2 47" xfId="23095" xr:uid="{17D53562-627C-41FF-9958-04D6B1EBA585}"/>
    <cellStyle name="Total 3 3 2 48" xfId="23152" xr:uid="{5BB00CE1-ECFC-45E7-ABCB-F1FFC6F71C8B}"/>
    <cellStyle name="Total 3 3 2 49" xfId="23951" xr:uid="{49B58383-D1A4-421B-9B56-DA54577BE9B9}"/>
    <cellStyle name="Total 3 3 2 5" xfId="1926" xr:uid="{16078CEE-7139-4044-A74B-784816CA2563}"/>
    <cellStyle name="Total 3 3 2 50" xfId="24859" xr:uid="{1862546E-1958-44C6-B82C-6D469FCEC4E6}"/>
    <cellStyle name="Total 3 3 2 51" xfId="24333" xr:uid="{EE3045FC-3B94-4705-9A2C-724AABAA2D52}"/>
    <cellStyle name="Total 3 3 2 52" xfId="25775" xr:uid="{9220B473-F12D-4508-BDAA-494C112E9635}"/>
    <cellStyle name="Total 3 3 2 53" xfId="24112" xr:uid="{3B8FE15C-EFF9-408A-970A-E084F9CAA2C5}"/>
    <cellStyle name="Total 3 3 2 54" xfId="26214" xr:uid="{612BB8B8-0915-4F0B-80B8-0D334ADB2F22}"/>
    <cellStyle name="Total 3 3 2 55" xfId="27063" xr:uid="{6B0D7380-90C0-4C20-A206-0B74E903CA46}"/>
    <cellStyle name="Total 3 3 2 56" xfId="27482" xr:uid="{9FFEBF3F-D1DF-4A8E-B969-0D60E27E38AE}"/>
    <cellStyle name="Total 3 3 2 57" xfId="24266" xr:uid="{A6FAFE49-19C0-47ED-BF3B-BFD4F839001C}"/>
    <cellStyle name="Total 3 3 2 58" xfId="28609" xr:uid="{362BB83D-77A3-435E-AD01-C658F23FB607}"/>
    <cellStyle name="Total 3 3 2 59" xfId="29076" xr:uid="{23417374-38BB-49CC-9928-E752A3481A06}"/>
    <cellStyle name="Total 3 3 2 6" xfId="3304" xr:uid="{01C6F55B-12F3-4052-821E-7A96B6C1051C}"/>
    <cellStyle name="Total 3 3 2 60" xfId="28191" xr:uid="{BFF0C85F-4F79-49F4-BBEE-F9C4D915E04D}"/>
    <cellStyle name="Total 3 3 2 61" xfId="29865" xr:uid="{FE92D7BC-0A3A-4A36-87CE-3163B6552B55}"/>
    <cellStyle name="Total 3 3 2 62" xfId="30271" xr:uid="{97CFD9A3-B829-40AA-BB9E-29F1409EA6C8}"/>
    <cellStyle name="Total 3 3 2 63" xfId="30688" xr:uid="{ED61E1EF-52D7-4734-ABCB-2510FACFC826}"/>
    <cellStyle name="Total 3 3 2 64" xfId="29350" xr:uid="{6D6AE777-342D-466C-BA66-78F44EA5D905}"/>
    <cellStyle name="Total 3 3 2 65" xfId="31304" xr:uid="{77936E7A-509F-4A58-BC12-FB1FE678D49A}"/>
    <cellStyle name="Total 3 3 2 7" xfId="4087" xr:uid="{1D5AB6E3-A3F7-40DB-89EC-CA3D6CF884D9}"/>
    <cellStyle name="Total 3 3 2 8" xfId="4524" xr:uid="{9E9A0672-9D8A-4180-BF44-43C7847962BB}"/>
    <cellStyle name="Total 3 3 2 9" xfId="3577" xr:uid="{4AE2801B-D678-4DD0-9EF4-9BD5F1EFB266}"/>
    <cellStyle name="Total 3 3 20" xfId="10052" xr:uid="{B83B83D9-544B-4315-805E-596F240DF833}"/>
    <cellStyle name="Total 3 3 21" xfId="10472" xr:uid="{ECD8803E-F6D5-4385-836C-56B88AAD72F6}"/>
    <cellStyle name="Total 3 3 22" xfId="10820" xr:uid="{17F0B149-7F74-421A-A094-6ACC303953FB}"/>
    <cellStyle name="Total 3 3 23" xfId="8985" xr:uid="{E38E9B5E-F2E5-4D87-ACE0-0EFAD6516FD4}"/>
    <cellStyle name="Total 3 3 24" xfId="11907" xr:uid="{FFF1F3DD-4D10-41F1-8D76-CA0317C6286D}"/>
    <cellStyle name="Total 3 3 25" xfId="12380" xr:uid="{22F297F8-E6BC-46D4-993A-B044B9B641BC}"/>
    <cellStyle name="Total 3 3 26" xfId="12814" xr:uid="{8769DAA2-06B6-4292-AF9C-FBCF7B829C46}"/>
    <cellStyle name="Total 3 3 27" xfId="13251" xr:uid="{37F51F96-DEF2-4B24-AE36-98EAFA23E7A6}"/>
    <cellStyle name="Total 3 3 28" xfId="13735" xr:uid="{0EB88E09-E031-4A8B-85A1-01B376A4397D}"/>
    <cellStyle name="Total 3 3 29" xfId="14037" xr:uid="{6DA03CBF-F73B-4343-86BC-482EAD31FC76}"/>
    <cellStyle name="Total 3 3 3" xfId="1037" xr:uid="{2564B4B0-C410-44F6-B3E3-D3565CD9E38A}"/>
    <cellStyle name="Total 3 3 30" xfId="14592" xr:uid="{AF6F8F10-B90E-4E7B-A090-F8AA851D73F8}"/>
    <cellStyle name="Total 3 3 31" xfId="14955" xr:uid="{12638C02-B474-43A9-86DD-C27148ECF9A2}"/>
    <cellStyle name="Total 3 3 32" xfId="14963" xr:uid="{FAD1FA97-E800-4EC8-96B2-768E4E00488F}"/>
    <cellStyle name="Total 3 3 33" xfId="15882" xr:uid="{4A9FBD8E-29B6-4580-A694-31D0C40ABA56}"/>
    <cellStyle name="Total 3 3 34" xfId="16599" xr:uid="{0656446A-ABFE-45B3-996F-94DDFB23D01D}"/>
    <cellStyle name="Total 3 3 35" xfId="17170" xr:uid="{F38B4194-9E23-456A-BA39-C5EC111110BD}"/>
    <cellStyle name="Total 3 3 36" xfId="17615" xr:uid="{39038DD8-62C9-49EF-8200-41E076C5EC3D}"/>
    <cellStyle name="Total 3 3 37" xfId="18210" xr:uid="{6A1D12C2-03A2-4C6A-B7E1-7EB3F51A9625}"/>
    <cellStyle name="Total 3 3 38" xfId="18417" xr:uid="{CFBD29D1-19B0-4100-8D59-7FE06066322C}"/>
    <cellStyle name="Total 3 3 39" xfId="18930" xr:uid="{88F7C004-1381-445E-9089-EDD64F15EC41}"/>
    <cellStyle name="Total 3 3 4" xfId="1752" xr:uid="{0FB403E2-A0A0-4E88-895A-81642D18668A}"/>
    <cellStyle name="Total 3 3 40" xfId="18940" xr:uid="{DB3AB799-D8AF-47DC-9CC6-CEFF7EACABDC}"/>
    <cellStyle name="Total 3 3 41" xfId="19936" xr:uid="{63C2E2C3-634E-4CA2-8205-4648CD6474D8}"/>
    <cellStyle name="Total 3 3 42" xfId="20522" xr:uid="{0B2CDF4D-DC42-477D-A088-6901BCFF7A52}"/>
    <cellStyle name="Total 3 3 43" xfId="20975" xr:uid="{F1E9F346-0BB7-4A92-B031-8587D5ADFD63}"/>
    <cellStyle name="Total 3 3 44" xfId="21577" xr:uid="{FD0BC806-25DD-4462-A81B-21DA1024499D}"/>
    <cellStyle name="Total 3 3 45" xfId="21906" xr:uid="{633E1C9C-8AE2-4DA0-A49D-020B23A760C9}"/>
    <cellStyle name="Total 3 3 46" xfId="22340" xr:uid="{25FB68B1-972E-4E93-9DF6-294541E05603}"/>
    <cellStyle name="Total 3 3 47" xfId="22730" xr:uid="{45EF00B8-2118-43C9-AA42-5F08F1B0142B}"/>
    <cellStyle name="Total 3 3 48" xfId="23216" xr:uid="{DBE8DE63-CBAF-46A6-8058-4608205AA62B}"/>
    <cellStyle name="Total 3 3 49" xfId="22630" xr:uid="{FB30F4F0-B36E-4244-BBAC-54064B665550}"/>
    <cellStyle name="Total 3 3 5" xfId="2376" xr:uid="{EB7D2621-B327-4602-9898-31CEC40F7A37}"/>
    <cellStyle name="Total 3 3 50" xfId="23745" xr:uid="{738D2C96-2FF0-41A4-92A2-3DF73310E0A6}"/>
    <cellStyle name="Total 3 3 51" xfId="24644" xr:uid="{993B39A8-A159-4320-A527-0AD5744147D9}"/>
    <cellStyle name="Total 3 3 52" xfId="25231" xr:uid="{C5B0F0CA-77A8-461D-9812-B3D0A6B72928}"/>
    <cellStyle name="Total 3 3 53" xfId="25562" xr:uid="{EEE3A0AF-3983-46DB-BB9F-66B650248339}"/>
    <cellStyle name="Total 3 3 54" xfId="26035" xr:uid="{71D19489-3CD3-43E8-874B-ADA2E04B5305}"/>
    <cellStyle name="Total 3 3 55" xfId="26193" xr:uid="{0C0090C8-A45D-4726-8AF7-3C91FA25C4AA}"/>
    <cellStyle name="Total 3 3 56" xfId="26852" xr:uid="{1E31BFB1-F9E4-44C9-8763-7A909BF1B823}"/>
    <cellStyle name="Total 3 3 57" xfId="27271" xr:uid="{D4DE1A00-1B38-4EA7-BD63-323DAFEE09E9}"/>
    <cellStyle name="Total 3 3 58" xfId="27809" xr:uid="{B5E56068-CFF3-4EA2-AA3D-8E7490542C32}"/>
    <cellStyle name="Total 3 3 59" xfId="28394" xr:uid="{4FDB9AEF-95F9-4844-AD6F-30954001987E}"/>
    <cellStyle name="Total 3 3 6" xfId="2900" xr:uid="{1D359762-238D-4DCE-99D5-73F5FFCA2347}"/>
    <cellStyle name="Total 3 3 60" xfId="28862" xr:uid="{48209389-69AE-4DC9-B5D6-DA4B7926C586}"/>
    <cellStyle name="Total 3 3 61" xfId="29370" xr:uid="{F3852C7B-ED3B-4416-B2F6-A35CCC1A9CEC}"/>
    <cellStyle name="Total 3 3 62" xfId="29652" xr:uid="{34B94268-2785-4EF0-9C81-078C4AFA9974}"/>
    <cellStyle name="Total 3 3 63" xfId="30060" xr:uid="{75C52259-DB85-4667-9C6B-688EA4050B3D}"/>
    <cellStyle name="Total 3 3 64" xfId="30474" xr:uid="{11968070-6660-4367-8314-18C43A35386B}"/>
    <cellStyle name="Total 3 3 65" xfId="29466" xr:uid="{607B4D78-A25B-460C-86C9-7191CBE003C6}"/>
    <cellStyle name="Total 3 3 66" xfId="31098" xr:uid="{8C72C9A9-57A3-4588-84DA-CF3337C2CB43}"/>
    <cellStyle name="Total 3 3 7" xfId="2804" xr:uid="{EF8F4A6F-2473-4FE5-B9F9-89BD8B630ED3}"/>
    <cellStyle name="Total 3 3 8" xfId="3872" xr:uid="{22B78D9D-8597-40B4-A0A8-859C87E92180}"/>
    <cellStyle name="Total 3 3 9" xfId="4310" xr:uid="{4D28DC39-F593-4F94-B7AB-5116EE7DBF5B}"/>
    <cellStyle name="Total 3 30" xfId="16981" xr:uid="{F99E1EEB-74DF-412B-BF4E-ABD18EC4134C}"/>
    <cellStyle name="Total 3 31" xfId="17148" xr:uid="{09B32B74-F827-4039-9F8B-0921803AB719}"/>
    <cellStyle name="Total 3 32" xfId="16049" xr:uid="{7F9BD3B7-D36F-4C58-9A96-296C71652702}"/>
    <cellStyle name="Total 3 33" xfId="19004" xr:uid="{48D2D47A-46ED-4730-9979-C5C6B4B03F9E}"/>
    <cellStyle name="Total 3 34" xfId="19623" xr:uid="{9F0E300A-4F9E-46F1-BB0E-FA85F4D9D183}"/>
    <cellStyle name="Total 3 35" xfId="20329" xr:uid="{4D2D23D2-382E-4A1F-9065-22D1332C05BA}"/>
    <cellStyle name="Total 3 36" xfId="21804" xr:uid="{C56F4C3A-5299-425A-B7E8-6903E6150109}"/>
    <cellStyle name="Total 3 37" xfId="22740" xr:uid="{729872DC-1D7E-4971-B5B3-152B179CC640}"/>
    <cellStyle name="Total 3 38" xfId="23512" xr:uid="{F14CA4AB-70FA-4D09-B934-468D5187B3F0}"/>
    <cellStyle name="Total 3 39" xfId="24344" xr:uid="{C2C59F3A-D617-472E-8658-EDAA9EEAF2CF}"/>
    <cellStyle name="Total 3 4" xfId="595" xr:uid="{0DF4BCBD-F652-4701-949A-FE21EF72BDFF}"/>
    <cellStyle name="Total 3 4 10" xfId="4788" xr:uid="{5F56E587-44D0-450F-965C-630DD3E1F555}"/>
    <cellStyle name="Total 3 4 11" xfId="5243" xr:uid="{53B36C27-6AC7-4BF7-A2A0-968617B62967}"/>
    <cellStyle name="Total 3 4 12" xfId="5654" xr:uid="{AB1C05B9-DE9B-4860-A169-CE14F2FEA869}"/>
    <cellStyle name="Total 3 4 13" xfId="2969" xr:uid="{A909B135-290A-4AE1-949D-C21A9121459B}"/>
    <cellStyle name="Total 3 4 14" xfId="6405" xr:uid="{2A2547AF-C241-4A78-A4C5-C9D415234330}"/>
    <cellStyle name="Total 3 4 15" xfId="7315" xr:uid="{EC4B0AF2-75B0-47DB-A6BD-A3E2F9FA677C}"/>
    <cellStyle name="Total 3 4 16" xfId="7790" xr:uid="{59AA0221-71D7-402A-84BF-450AB22FA3CF}"/>
    <cellStyle name="Total 3 4 17" xfId="8221" xr:uid="{6224CAF0-D507-482E-8846-DA832FCBBC4B}"/>
    <cellStyle name="Total 3 4 18" xfId="8687" xr:uid="{51C15B46-71E4-41C9-8AC8-F344F9B880C7}"/>
    <cellStyle name="Total 3 4 19" xfId="9529" xr:uid="{3A0F05B3-D671-4BE4-A4B3-42D780104F70}"/>
    <cellStyle name="Total 3 4 2" xfId="810" xr:uid="{75492EF6-AB39-4B97-92C6-8CA3B6D9D3BF}"/>
    <cellStyle name="Total 3 4 2 10" xfId="5458" xr:uid="{52CF374A-3286-4729-BFD9-9C47E3F0285C}"/>
    <cellStyle name="Total 3 4 2 11" xfId="4731" xr:uid="{61375506-E8AE-4A9E-AEEB-60D685EFFE68}"/>
    <cellStyle name="Total 3 4 2 12" xfId="5625" xr:uid="{30D9B420-A5B3-4E91-94EA-DF4B709A93A1}"/>
    <cellStyle name="Total 3 4 2 13" xfId="6554" xr:uid="{CEAA48F4-BA7D-4370-9B12-DE3C98E369EA}"/>
    <cellStyle name="Total 3 4 2 14" xfId="7530" xr:uid="{0A08918E-213D-43FC-9F19-D884A8DC73EB}"/>
    <cellStyle name="Total 3 4 2 15" xfId="7060" xr:uid="{B75E1715-E5F1-4DE3-9A19-699B7EF2AD58}"/>
    <cellStyle name="Total 3 4 2 16" xfId="8457" xr:uid="{9A98689C-9043-4405-8983-458808755AC0}"/>
    <cellStyle name="Total 3 4 2 17" xfId="8758" xr:uid="{4B83DADF-43D9-47B2-B18F-53C2C58B68BE}"/>
    <cellStyle name="Total 3 4 2 18" xfId="9744" xr:uid="{500311DD-1CD6-48D8-8F82-B7F9A61CC081}"/>
    <cellStyle name="Total 3 4 2 19" xfId="9273" xr:uid="{A966A9CA-C329-4814-9785-8544A3EA0BFA}"/>
    <cellStyle name="Total 3 4 2 2" xfId="1284" xr:uid="{ADF4FC2F-C2FE-4639-91D6-A23D1F8CA7F4}"/>
    <cellStyle name="Total 3 4 2 20" xfId="10078" xr:uid="{8F6F4D22-B776-4D77-9EBE-6CDEC9C63DC8}"/>
    <cellStyle name="Total 3 4 2 21" xfId="10806" xr:uid="{FE1F5038-ACC4-411D-83A5-FC181B7AF058}"/>
    <cellStyle name="Total 3 4 2 22" xfId="10831" xr:uid="{C2CE38B0-1E64-4665-9C9D-778A4D10B282}"/>
    <cellStyle name="Total 3 4 2 23" xfId="12163" xr:uid="{98A22172-11AF-4FD2-8475-F64829E7FB2E}"/>
    <cellStyle name="Total 3 4 2 24" xfId="12636" xr:uid="{02E32A44-BF03-4B98-95CB-96392457CCE5}"/>
    <cellStyle name="Total 3 4 2 25" xfId="13070" xr:uid="{F59F9816-AF81-4E94-8FC4-C468C61EA77B}"/>
    <cellStyle name="Total 3 4 2 26" xfId="13507" xr:uid="{10D1AA8F-8B68-4486-824B-9AED9722FEB3}"/>
    <cellStyle name="Total 3 4 2 27" xfId="13814" xr:uid="{3CE60722-85BD-401E-939B-99CAC73A3BF3}"/>
    <cellStyle name="Total 3 4 2 28" xfId="12729" xr:uid="{F9C38852-FC5C-4994-8BFD-A781BB93894B}"/>
    <cellStyle name="Total 3 4 2 29" xfId="14466" xr:uid="{6DB2658A-6A01-4421-9A4E-EB9AB3F679DE}"/>
    <cellStyle name="Total 3 4 2 3" xfId="1367" xr:uid="{188E5983-B001-4DBB-B87F-6166693384D6}"/>
    <cellStyle name="Total 3 4 2 30" xfId="14594" xr:uid="{5C38F5E3-3EEF-4A9F-B8CB-97EB0E23F98D}"/>
    <cellStyle name="Total 3 4 2 31" xfId="13178" xr:uid="{F971EF7F-ADE1-40D5-98AC-D176294571C3}"/>
    <cellStyle name="Total 3 4 2 32" xfId="14267" xr:uid="{0DC1CDA6-1AFB-421B-8774-8489DFE229F7}"/>
    <cellStyle name="Total 3 4 2 33" xfId="16855" xr:uid="{CE2F3266-0AF1-4F0A-96C4-64BECFE5F82D}"/>
    <cellStyle name="Total 3 4 2 34" xfId="16382" xr:uid="{7D1384FE-5EFD-4E7D-B5DD-0D284C2AD4E3}"/>
    <cellStyle name="Total 3 4 2 35" xfId="17196" xr:uid="{8CD3F2AC-3B2A-4D50-9890-E3F5616F4E4A}"/>
    <cellStyle name="Total 3 4 2 36" xfId="17757" xr:uid="{40322879-704C-4524-9614-577E752318E4}"/>
    <cellStyle name="Total 3 4 2 37" xfId="18673" xr:uid="{712F1F4C-716F-416A-83C5-2EB85557FB8C}"/>
    <cellStyle name="Total 3 4 2 38" xfId="19073" xr:uid="{3B65B494-2234-4CF2-8692-4159CE29648C}"/>
    <cellStyle name="Total 3 4 2 39" xfId="19252" xr:uid="{26032490-053F-4466-9F4F-68B740F5BC20}"/>
    <cellStyle name="Total 3 4 2 4" xfId="2632" xr:uid="{FB9F8A2B-8A47-4B8D-92D7-68404B1C55B3}"/>
    <cellStyle name="Total 3 4 2 40" xfId="20192" xr:uid="{C6A6DB43-3271-4B62-BA7B-661131A1B318}"/>
    <cellStyle name="Total 3 4 2 41" xfId="19716" xr:uid="{6C4931F2-DCE7-4D0D-9777-07A4CEB5A493}"/>
    <cellStyle name="Total 3 4 2 42" xfId="20284" xr:uid="{08AA6C82-FC81-495E-B6F3-7D67B80D6F69}"/>
    <cellStyle name="Total 3 4 2 43" xfId="21466" xr:uid="{BABC1EF1-D53E-4FC9-BF6B-9C7CA39A1084}"/>
    <cellStyle name="Total 3 4 2 44" xfId="21312" xr:uid="{541269FE-91AA-45F5-A28D-939D8ECB1857}"/>
    <cellStyle name="Total 3 4 2 45" xfId="22091" xr:uid="{A4945258-0CE0-48C7-8571-853B142C5180}"/>
    <cellStyle name="Total 3 4 2 46" xfId="22803" xr:uid="{43CC4C46-3C70-4A91-83FE-44FCA03B5367}"/>
    <cellStyle name="Total 3 4 2 47" xfId="23351" xr:uid="{A40C2F8D-C87C-4173-9012-8C485F14352D}"/>
    <cellStyle name="Total 3 4 2 48" xfId="23602" xr:uid="{046312D8-2BDC-48B3-ACBE-50F92D691914}"/>
    <cellStyle name="Total 3 4 2 49" xfId="23992" xr:uid="{D3B85F45-0344-4D9E-BFEE-BF3E22CD5208}"/>
    <cellStyle name="Total 3 4 2 5" xfId="2980" xr:uid="{162298BC-7B88-4E76-A6E0-E18688708514}"/>
    <cellStyle name="Total 3 4 2 50" xfId="24900" xr:uid="{C4CF6B95-8AED-401D-9A06-74047728FF1E}"/>
    <cellStyle name="Total 3 4 2 51" xfId="24429" xr:uid="{B8296563-03B6-4CDE-83FE-1B1B7879404C}"/>
    <cellStyle name="Total 3 4 2 52" xfId="25816" xr:uid="{EDFB707E-2E0A-452D-B826-F99BA962D7D6}"/>
    <cellStyle name="Total 3 4 2 53" xfId="25061" xr:uid="{11713D77-8570-46F9-80D7-35B0E24AFCD1}"/>
    <cellStyle name="Total 3 4 2 54" xfId="26347" xr:uid="{B2FCBF45-44AF-4B61-9AB9-1C32A9749BBF}"/>
    <cellStyle name="Total 3 4 2 55" xfId="27104" xr:uid="{25874F69-978D-49CF-984A-70787FD6DB88}"/>
    <cellStyle name="Total 3 4 2 56" xfId="27523" xr:uid="{A2C9DC3C-E398-496C-9D15-8A5E39A4CB56}"/>
    <cellStyle name="Total 3 4 2 57" xfId="27207" xr:uid="{1ACC3508-C3BE-482F-BD10-5BAFF59522EB}"/>
    <cellStyle name="Total 3 4 2 58" xfId="28650" xr:uid="{99422FF2-97EB-423B-A259-833F420BB35A}"/>
    <cellStyle name="Total 3 4 2 59" xfId="29117" xr:uid="{0E48483D-0B4F-4C86-93E5-63929CC974EE}"/>
    <cellStyle name="Total 3 4 2 6" xfId="2972" xr:uid="{50A12730-C91F-4F22-8FB8-6B64902B83B0}"/>
    <cellStyle name="Total 3 4 2 60" xfId="28084" xr:uid="{71BF8212-DE6C-4901-9850-C10201668165}"/>
    <cellStyle name="Total 3 4 2 61" xfId="29906" xr:uid="{25016AE7-CB14-4098-8176-675C97CF23AC}"/>
    <cellStyle name="Total 3 4 2 62" xfId="30312" xr:uid="{1740B2AF-B658-4DE2-9239-D89FCB0EE958}"/>
    <cellStyle name="Total 3 4 2 63" xfId="30729" xr:uid="{27AFE6EB-BCB0-46F2-A210-907EF042D3CF}"/>
    <cellStyle name="Total 3 4 2 64" xfId="29586" xr:uid="{97703E26-28F2-456F-A422-B44BAD8C8EC8}"/>
    <cellStyle name="Total 3 4 2 65" xfId="31345" xr:uid="{9BE3CBF8-FE84-48B3-8FEA-AE0529A95615}"/>
    <cellStyle name="Total 3 4 2 7" xfId="4128" xr:uid="{0767E142-E762-4967-8FE8-66F6B857399F}"/>
    <cellStyle name="Total 3 4 2 8" xfId="4565" xr:uid="{0C996097-EDE3-4F9B-BFAE-173DE01399F0}"/>
    <cellStyle name="Total 3 4 2 9" xfId="3675" xr:uid="{930C8977-4F7F-4D57-B0A6-57682AB644AD}"/>
    <cellStyle name="Total 3 4 20" xfId="10003" xr:uid="{8D42803C-59E9-4A86-8DBD-DEDE88C0F3A2}"/>
    <cellStyle name="Total 3 4 21" xfId="10428" xr:uid="{B4D7BEE2-83F4-41C3-B1D6-19FB5BD807B0}"/>
    <cellStyle name="Total 3 4 22" xfId="10769" xr:uid="{E5798ED5-A1ED-49AA-9F25-7D8A02779E4D}"/>
    <cellStyle name="Total 3 4 23" xfId="10723" xr:uid="{50F9FA6F-A743-41E6-B28E-6849323B5656}"/>
    <cellStyle name="Total 3 4 24" xfId="11948" xr:uid="{7432044E-E8C5-4D33-931E-C82DC23E457C}"/>
    <cellStyle name="Total 3 4 25" xfId="12421" xr:uid="{375F1FEE-E2E9-44E9-9492-8317A9FD4D34}"/>
    <cellStyle name="Total 3 4 26" xfId="12855" xr:uid="{C75CFB15-6982-4B67-AF22-52CF6C347127}"/>
    <cellStyle name="Total 3 4 27" xfId="13292" xr:uid="{159D2843-DDF4-443B-8BF0-D0427849D14E}"/>
    <cellStyle name="Total 3 4 28" xfId="11554" xr:uid="{71F40CE6-DDF8-4CD4-9873-E6FB49EF0022}"/>
    <cellStyle name="Total 3 4 29" xfId="11474" xr:uid="{29CF14E7-8DD1-4082-A895-C6229B52724E}"/>
    <cellStyle name="Total 3 4 3" xfId="1078" xr:uid="{10C4B5E9-7A5B-4D0B-9C88-13F70F810C83}"/>
    <cellStyle name="Total 3 4 30" xfId="14777" xr:uid="{430CAEFB-49C2-4CC8-95AE-C37B2DFF4020}"/>
    <cellStyle name="Total 3 4 31" xfId="14064" xr:uid="{C1677668-36FF-47E1-86D3-D46B6F834644}"/>
    <cellStyle name="Total 3 4 32" xfId="15177" xr:uid="{51CA0DD8-F223-48AD-9762-21D7D5BB3FC8}"/>
    <cellStyle name="Total 3 4 33" xfId="15858" xr:uid="{52C6605B-BF7B-412F-84C5-481B956AA4FE}"/>
    <cellStyle name="Total 3 4 34" xfId="16640" xr:uid="{18179C91-F267-46AF-ABE6-A5B52456190B}"/>
    <cellStyle name="Total 3 4 35" xfId="17119" xr:uid="{53C12CF1-040B-4191-BE30-665E74F081FA}"/>
    <cellStyle name="Total 3 4 36" xfId="17566" xr:uid="{ED5FEA9A-0258-4412-8E82-BA0337EAFA69}"/>
    <cellStyle name="Total 3 4 37" xfId="17968" xr:uid="{7E3B751A-6E71-4AF8-B703-089B9610FA1D}"/>
    <cellStyle name="Total 3 4 38" xfId="18458" xr:uid="{0B306E81-D167-4DEE-9A1D-C798253508D6}"/>
    <cellStyle name="Total 3 4 39" xfId="18756" xr:uid="{C3020B32-96D6-4EBD-ADBC-B235AF37BE71}"/>
    <cellStyle name="Total 3 4 4" xfId="1525" xr:uid="{35242302-D984-4F1D-B665-5A2B2C345DB6}"/>
    <cellStyle name="Total 3 4 40" xfId="19209" xr:uid="{B6D82CC9-2085-48D2-A3D3-E1182FA1C352}"/>
    <cellStyle name="Total 3 4 41" xfId="19977" xr:uid="{D15C3F25-4392-4596-BE21-11B8FC8F0A9B}"/>
    <cellStyle name="Total 3 4 42" xfId="20472" xr:uid="{9EFAB4B5-463C-4882-85CA-D8D704EF62AF}"/>
    <cellStyle name="Total 3 4 43" xfId="20925" xr:uid="{387CA6B3-4D41-4866-8C2D-C2394ED7BCA7}"/>
    <cellStyle name="Total 3 4 44" xfId="20803" xr:uid="{CDAA0A85-0062-4A68-9874-87509CE2C921}"/>
    <cellStyle name="Total 3 4 45" xfId="21854" xr:uid="{DBDE12D4-90EB-4241-8D20-2B3A6C5D8F48}"/>
    <cellStyle name="Total 3 4 46" xfId="22291" xr:uid="{2C84E512-8419-425F-A126-4D060DFC9BF7}"/>
    <cellStyle name="Total 3 4 47" xfId="22349" xr:uid="{8F462F84-5FE9-463C-A665-9DC61964D5C5}"/>
    <cellStyle name="Total 3 4 48" xfId="22265" xr:uid="{4C2B8537-BB99-4A31-A4C8-39E177A12D6F}"/>
    <cellStyle name="Total 3 4 49" xfId="23595" xr:uid="{1750207D-A7EC-40B0-8FDA-A227C8160068}"/>
    <cellStyle name="Total 3 4 5" xfId="2417" xr:uid="{7C835338-2726-4853-BCF5-86A639EA702C}"/>
    <cellStyle name="Total 3 4 50" xfId="23786" xr:uid="{EA40E7F6-D58B-456A-925B-67B529563C77}"/>
    <cellStyle name="Total 3 4 51" xfId="24685" xr:uid="{4E62E9C6-6DC3-465E-B020-FD92C347F808}"/>
    <cellStyle name="Total 3 4 52" xfId="25180" xr:uid="{DF0622ED-6F54-4493-90CF-0D339068BD17}"/>
    <cellStyle name="Total 3 4 53" xfId="25603" xr:uid="{F014AB7B-A220-4642-A64D-C73271958D18}"/>
    <cellStyle name="Total 3 4 54" xfId="25051" xr:uid="{86A51BDA-39FB-46AE-99E2-1038255BFB93}"/>
    <cellStyle name="Total 3 4 55" xfId="26678" xr:uid="{1F821448-E619-4606-B2A8-73731E8710B8}"/>
    <cellStyle name="Total 3 4 56" xfId="26893" xr:uid="{0D0D6435-68C6-414B-8C5F-AC343111C05A}"/>
    <cellStyle name="Total 3 4 57" xfId="27312" xr:uid="{A7532D76-E38E-48A4-8699-D59AFCA2A008}"/>
    <cellStyle name="Total 3 4 58" xfId="25957" xr:uid="{C12A0540-960E-4E71-BD2B-45B384F47C98}"/>
    <cellStyle name="Total 3 4 59" xfId="28435" xr:uid="{630499A9-A0DF-41B8-932D-AD801DD3E3AB}"/>
    <cellStyle name="Total 3 4 6" xfId="1905" xr:uid="{D0B27EF9-4267-4545-88EF-F789AF8881CE}"/>
    <cellStyle name="Total 3 4 60" xfId="28903" xr:uid="{F5C5DA3B-B81A-4F92-BFA2-7DAD1F6430A6}"/>
    <cellStyle name="Total 3 4 61" xfId="29327" xr:uid="{65877DB9-A8D0-443B-9B20-9CD4D216FE86}"/>
    <cellStyle name="Total 3 4 62" xfId="29693" xr:uid="{F583897F-9BCA-4CBA-B760-2CD86E892AED}"/>
    <cellStyle name="Total 3 4 63" xfId="30101" xr:uid="{CE7B7E3B-2CA9-4BCB-A7A3-47503F38E312}"/>
    <cellStyle name="Total 3 4 64" xfId="30515" xr:uid="{E2502AC6-1C23-4E83-9FA9-8F32A1931B10}"/>
    <cellStyle name="Total 3 4 65" xfId="30915" xr:uid="{256D1C1A-7E18-4F7C-B6BA-85AA2893DABF}"/>
    <cellStyle name="Total 3 4 66" xfId="31139" xr:uid="{5A71E450-C5B2-43D2-B9FD-79FDCD0CC113}"/>
    <cellStyle name="Total 3 4 7" xfId="3106" xr:uid="{577FBA8C-1ADA-4524-92BE-48E55AE55714}"/>
    <cellStyle name="Total 3 4 8" xfId="3913" xr:uid="{92C732D0-EF9B-4FFE-AB7D-D2B66958C398}"/>
    <cellStyle name="Total 3 4 9" xfId="4351" xr:uid="{3451D482-F4C6-40B8-8B0E-C09DAE03FFBF}"/>
    <cellStyle name="Total 3 40" xfId="25045" xr:uid="{C12C405A-B065-4883-A8B3-72C83DEBB67D}"/>
    <cellStyle name="Total 3 41" xfId="24262" xr:uid="{0F135E93-36FC-41D0-96A0-08D691501CF6}"/>
    <cellStyle name="Total 3 42" xfId="25048" xr:uid="{2C7AD12E-2935-441A-90C9-F5E78FB5B2EF}"/>
    <cellStyle name="Total 3 43" xfId="26268" xr:uid="{2A77F331-59FC-403F-8C13-FD34A1718C48}"/>
    <cellStyle name="Total 3 44" xfId="26308" xr:uid="{EC684C2B-065F-4752-9387-AAB3CD227C06}"/>
    <cellStyle name="Total 3 45" xfId="26778" xr:uid="{54703EE4-9E35-4F1C-8B27-365EACC846B4}"/>
    <cellStyle name="Total 3 46" xfId="28117" xr:uid="{2B45D190-7ACE-46E1-95D5-86F24463FB4C}"/>
    <cellStyle name="Total 3 47" xfId="28029" xr:uid="{F118E933-E284-4C95-8830-E1B0C2993C77}"/>
    <cellStyle name="Total 3 48" xfId="28253" xr:uid="{BC3D2B64-8D83-4616-A3B8-3A82830922CD}"/>
    <cellStyle name="Total 3 49" xfId="29475" xr:uid="{A8F93DA4-FD21-4F30-B405-0230DB7966B0}"/>
    <cellStyle name="Total 3 5" xfId="692" xr:uid="{5E0F5073-DE8A-4974-9553-A91654703284}"/>
    <cellStyle name="Total 3 5 10" xfId="5340" xr:uid="{48C90B5D-01AB-4623-BB12-09719B3369D9}"/>
    <cellStyle name="Total 3 5 11" xfId="4746" xr:uid="{3E4479CD-FC50-4841-A5AA-B02CFD64ABED}"/>
    <cellStyle name="Total 3 5 12" xfId="6109" xr:uid="{FD001C79-A047-4816-9568-E3A4F4CDD4D5}"/>
    <cellStyle name="Total 3 5 13" xfId="6293" xr:uid="{265DD231-C3B1-42AD-ADDB-DB99FE77DC3F}"/>
    <cellStyle name="Total 3 5 14" xfId="7412" xr:uid="{58C7F2ED-597A-44DB-8BAF-D164F45FF2F4}"/>
    <cellStyle name="Total 3 5 15" xfId="6978" xr:uid="{620D9765-B8E3-44DA-A8C2-534A4EE8CB4F}"/>
    <cellStyle name="Total 3 5 16" xfId="8285" xr:uid="{6232689E-1056-4B9F-880B-0AFB9150F7F2}"/>
    <cellStyle name="Total 3 5 17" xfId="7648" xr:uid="{104FCC23-5C00-45B9-BAC2-07FA04E62107}"/>
    <cellStyle name="Total 3 5 18" xfId="9626" xr:uid="{0034FD9E-BC37-4437-838D-708975E89233}"/>
    <cellStyle name="Total 3 5 19" xfId="9034" xr:uid="{9872BE27-9800-4789-87D5-533CDAD237BD}"/>
    <cellStyle name="Total 3 5 2" xfId="1174" xr:uid="{AB56498C-9622-4C24-A190-77E12AF74D61}"/>
    <cellStyle name="Total 3 5 20" xfId="9883" xr:uid="{6917172D-AA2F-46B3-8947-CBB142365A22}"/>
    <cellStyle name="Total 3 5 21" xfId="10742" xr:uid="{39801428-3388-4170-B20A-FF081D4DBEAD}"/>
    <cellStyle name="Total 3 5 22" xfId="9877" xr:uid="{BDA26144-E4E9-4F0A-B94C-4C91237F59E7}"/>
    <cellStyle name="Total 3 5 23" xfId="12045" xr:uid="{EC357FFF-3E26-47A5-A13F-B446B406C2A7}"/>
    <cellStyle name="Total 3 5 24" xfId="12518" xr:uid="{0108A863-D79A-4C4F-97DA-AC18B7C40E11}"/>
    <cellStyle name="Total 3 5 25" xfId="12952" xr:uid="{BA1138F1-6E6B-48E2-AF73-D3E740931483}"/>
    <cellStyle name="Total 3 5 26" xfId="13389" xr:uid="{20CF8FB9-BCFE-4C15-9F0C-91B207DC5AFD}"/>
    <cellStyle name="Total 3 5 27" xfId="13833" xr:uid="{7BE6E820-B037-47EC-AACF-E79671939634}"/>
    <cellStyle name="Total 3 5 28" xfId="14012" xr:uid="{4823B729-C1B2-4C13-A963-9D5C879A221F}"/>
    <cellStyle name="Total 3 5 29" xfId="14002" xr:uid="{237A3693-7A8F-4CC8-A069-92D63043289B}"/>
    <cellStyle name="Total 3 5 3" xfId="1666" xr:uid="{75DCA2CD-9805-4D87-86BF-13A479049850}"/>
    <cellStyle name="Total 3 5 30" xfId="14785" xr:uid="{699BD817-39E2-4E19-A25E-7EF6F4661CD8}"/>
    <cellStyle name="Total 3 5 31" xfId="15486" xr:uid="{76FBB095-6501-4334-84E7-DC4094CF4997}"/>
    <cellStyle name="Total 3 5 32" xfId="15439" xr:uid="{E06F88DA-E945-46B5-81F4-7DADB53D8DC7}"/>
    <cellStyle name="Total 3 5 33" xfId="16737" xr:uid="{F9BEEC1F-8881-4EA1-96D5-2005D4673585}"/>
    <cellStyle name="Total 3 5 34" xfId="16298" xr:uid="{8C58496B-B797-4966-9121-339E0CED1FC3}"/>
    <cellStyle name="Total 3 5 35" xfId="16052" xr:uid="{E26299C7-40A4-4382-A88C-F08C50C5BD2E}"/>
    <cellStyle name="Total 3 5 36" xfId="18145" xr:uid="{626AFAC0-7036-45E5-A8F7-B7790A51C173}"/>
    <cellStyle name="Total 3 5 37" xfId="18555" xr:uid="{44B43D43-C732-4D33-803B-975E14707F53}"/>
    <cellStyle name="Total 3 5 38" xfId="17809" xr:uid="{DD83F0C5-31BA-431C-AE43-CFFA2D4E9066}"/>
    <cellStyle name="Total 3 5 39" xfId="19281" xr:uid="{A4E67D9B-8F17-469B-8E3A-A2DF4103B6C4}"/>
    <cellStyle name="Total 3 5 4" xfId="2514" xr:uid="{6C264DCB-AF92-4CD5-8628-211DD1DC4313}"/>
    <cellStyle name="Total 3 5 40" xfId="20074" xr:uid="{98E65111-EE60-4042-BC0A-DC96CA488855}"/>
    <cellStyle name="Total 3 5 41" xfId="19628" xr:uid="{24FC7F2B-CC89-4D97-8BB6-48C4E2FE63D5}"/>
    <cellStyle name="Total 3 5 42" xfId="19489" xr:uid="{E0CB1D0A-5A34-4648-AFC0-EAB6289C1A6F}"/>
    <cellStyle name="Total 3 5 43" xfId="21199" xr:uid="{B841963A-1775-4EB4-A6E7-CF30F487F784}"/>
    <cellStyle name="Total 3 5 44" xfId="20927" xr:uid="{F0CE59E8-5DF9-4A41-ADC6-609557C234C4}"/>
    <cellStyle name="Total 3 5 45" xfId="20283" xr:uid="{ABF67CD0-70BF-4A32-84AB-44ACF90BEA3B}"/>
    <cellStyle name="Total 3 5 46" xfId="22819" xr:uid="{DF84A508-E225-4A48-B79E-1B881D939461}"/>
    <cellStyle name="Total 3 5 47" xfId="21753" xr:uid="{1BBD4F3E-0FE5-42C1-B78A-9A0B5D6BBD43}"/>
    <cellStyle name="Total 3 5 48" xfId="23633" xr:uid="{DB474B87-A64F-4D60-9AEA-E8E558400D74}"/>
    <cellStyle name="Total 3 5 49" xfId="23882" xr:uid="{A8C95AD5-8D0B-45D3-B965-F04B4998B835}"/>
    <cellStyle name="Total 3 5 5" xfId="2999" xr:uid="{C111AAB8-8454-48A7-9AA1-09FDB40E8C32}"/>
    <cellStyle name="Total 3 5 50" xfId="24782" xr:uid="{FE5F0117-3033-49EA-9FF2-262AF9EC3B14}"/>
    <cellStyle name="Total 3 5 51" xfId="24983" xr:uid="{17F0424E-9010-49CD-8950-0C603466A992}"/>
    <cellStyle name="Total 3 5 52" xfId="25700" xr:uid="{9A0F125F-3D28-4575-A02E-435685D3C854}"/>
    <cellStyle name="Total 3 5 53" xfId="26123" xr:uid="{C2CA58D0-C509-426D-8B7B-86976FC98D43}"/>
    <cellStyle name="Total 3 5 54" xfId="26365" xr:uid="{945DB27A-4964-43CC-88E1-AAA87C1145B4}"/>
    <cellStyle name="Total 3 5 55" xfId="26990" xr:uid="{58E87627-7666-4265-B9D7-077086C97F58}"/>
    <cellStyle name="Total 3 5 56" xfId="27409" xr:uid="{81453592-5D49-486E-8645-E337F692D1F9}"/>
    <cellStyle name="Total 3 5 57" xfId="27812" xr:uid="{4259AC7E-5F56-4508-A916-D1FFA650726C}"/>
    <cellStyle name="Total 3 5 58" xfId="28532" xr:uid="{8BEA5C34-B91B-4FAE-96DD-A13EC48FAC7D}"/>
    <cellStyle name="Total 3 5 59" xfId="29000" xr:uid="{8449E8E7-2043-449A-A305-FDB91EC6C001}"/>
    <cellStyle name="Total 3 5 6" xfId="1946" xr:uid="{3495C0F1-4F75-4390-8A71-440894535FBC}"/>
    <cellStyle name="Total 3 5 60" xfId="27898" xr:uid="{4A2443E7-47D4-40C1-9C91-7917281296B1}"/>
    <cellStyle name="Total 3 5 61" xfId="29790" xr:uid="{23F76B9B-53A7-4A2E-9B9B-F3427E4320E6}"/>
    <cellStyle name="Total 3 5 62" xfId="30197" xr:uid="{02F8BE30-C788-43E6-8BDD-1078C3633DC6}"/>
    <cellStyle name="Total 3 5 63" xfId="30612" xr:uid="{E5E9ED5F-B40D-49D7-9D5D-FC0BF944683C}"/>
    <cellStyle name="Total 3 5 64" xfId="30928" xr:uid="{2BB29605-5222-4CA9-90BC-8A2D92CCE12A}"/>
    <cellStyle name="Total 3 5 65" xfId="31235" xr:uid="{180D1940-A150-48ED-B448-C8060F97F0D2}"/>
    <cellStyle name="Total 3 5 7" xfId="4010" xr:uid="{F00FEDC8-3034-4172-8AFD-4413841911C7}"/>
    <cellStyle name="Total 3 5 8" xfId="4448" xr:uid="{43075FE2-9580-4743-B2FD-DE3350CE4FA7}"/>
    <cellStyle name="Total 3 5 9" xfId="3107" xr:uid="{549B6B82-ECB2-4366-8CBB-3C18EC1244D8}"/>
    <cellStyle name="Total 3 50" xfId="30813" xr:uid="{85245E27-E07D-4CEF-9A08-79AAA1D1F32D}"/>
    <cellStyle name="Total 3 51" xfId="29514" xr:uid="{1FD144F5-CF86-49C8-BE1A-DF396312876F}"/>
    <cellStyle name="Total 3 6" xfId="936" xr:uid="{8B7E52C9-90D4-429E-BD93-41A38D00FE93}"/>
    <cellStyle name="Total 3 7" xfId="2064" xr:uid="{95387551-C7DE-470D-85F7-0ADFED9DCCD6}"/>
    <cellStyle name="Total 3 8" xfId="2910" xr:uid="{A0325D3E-2D18-44F6-8290-A2D37AEC9E54}"/>
    <cellStyle name="Total 3 9" xfId="3379" xr:uid="{98761ACC-F702-4187-A85F-28E85F22DF05}"/>
    <cellStyle name="Verknüpfte Zelle" xfId="186" xr:uid="{21BE2FF3-DB14-4EF5-B866-C68A46DD96A9}"/>
    <cellStyle name="Warnender Text" xfId="47" hidden="1" xr:uid="{240431E1-FC66-4E27-A958-E094DD83CAD1}"/>
    <cellStyle name="Warnender Text" xfId="894" hidden="1" xr:uid="{9601C7A0-C599-4C78-99C8-C2B69CF576F6}"/>
    <cellStyle name="Warnender Text" xfId="972" hidden="1" xr:uid="{FE70B20F-068F-4171-B2E3-1EF1A7134421}"/>
    <cellStyle name="Warnender Text" xfId="1388" hidden="1" xr:uid="{C7CC398E-5527-45DA-BE66-01FDAB01D7ED}"/>
    <cellStyle name="Warnender Text" xfId="1646" hidden="1" xr:uid="{8C3574A6-AC4D-4AA3-B97F-B7EBC02D84E2}"/>
    <cellStyle name="Warnender Text" xfId="1869" hidden="1" xr:uid="{42A16D90-49C5-48B3-99EF-605BBCFA103D}"/>
    <cellStyle name="Warnender Text" xfId="2325" hidden="1" xr:uid="{AE8D6DFC-EC45-432A-A40C-D2BF93EF5547}"/>
    <cellStyle name="Warnender Text" xfId="2226" hidden="1" xr:uid="{C4D843B3-5056-4E2E-AF2C-AD7693685819}"/>
    <cellStyle name="Warnender Text" xfId="2746" hidden="1" xr:uid="{492D8E6A-DC29-45FF-B171-E37E860E1FEE}"/>
    <cellStyle name="Warnender Text" xfId="1821" hidden="1" xr:uid="{ED2A5082-62FB-4686-A6DE-CB86A063C98B}"/>
    <cellStyle name="Warnender Text" xfId="2905" hidden="1" xr:uid="{DD3C3B2C-1FB9-4E44-BED1-7925FBE30F66}"/>
    <cellStyle name="Warnender Text" xfId="2308" hidden="1" xr:uid="{8A1CC1C9-7ED4-420B-A409-CE9F9B10C1D6}"/>
    <cellStyle name="Warnender Text" xfId="2232" hidden="1" xr:uid="{F9DAE6FC-E814-4ED0-A280-BEAB6E1B8090}"/>
    <cellStyle name="Warnender Text" xfId="1934" hidden="1" xr:uid="{092AFDFD-4D2A-49FA-842C-BD92BEEEFF0F}"/>
    <cellStyle name="Warnender Text" xfId="2291" hidden="1" xr:uid="{A647FA87-6E1F-4AEB-AB89-1A8DC87A7F19}"/>
    <cellStyle name="Warnender Text" xfId="2299" hidden="1" xr:uid="{67638C64-FE77-4832-8E7E-29B22E8C812B}"/>
    <cellStyle name="Warnender Text" xfId="3587" hidden="1" xr:uid="{9D701C6C-D0C4-4D65-A882-119D1DE789CE}"/>
    <cellStyle name="Warnender Text" xfId="3636" hidden="1" xr:uid="{5BD46685-C622-4055-8EEC-4E798DFE53C2}"/>
    <cellStyle name="Warnender Text" xfId="4706" hidden="1" xr:uid="{F931984B-CC39-43E7-A0AB-CD5875EE449C}"/>
    <cellStyle name="Warnender Text" xfId="4977" hidden="1" xr:uid="{DA04ECDA-5EC0-42EC-8BB4-AC1AC1854B44}"/>
    <cellStyle name="Warnender Text" xfId="4974" hidden="1" xr:uid="{F694F763-69B9-49F4-8F3E-56D14C6E6CE1}"/>
    <cellStyle name="Warnender Text" xfId="5722" hidden="1" xr:uid="{C6365FB3-6AC5-4D36-A882-106582813969}"/>
    <cellStyle name="Warnender Text" xfId="4982" hidden="1" xr:uid="{94FB0D7B-7A3D-4993-BB3D-AC9174A5F3EC}"/>
    <cellStyle name="Warnender Text" xfId="5712" hidden="1" xr:uid="{44D872D2-3A2E-443F-9C0A-42FC40461323}"/>
    <cellStyle name="Warnender Text" xfId="5879" hidden="1" xr:uid="{C5A1068C-98A9-442C-BDF5-0CA3F9A39781}"/>
    <cellStyle name="Warnender Text" xfId="5846" hidden="1" xr:uid="{122EBA76-236F-4DA2-85B1-DF4BF3406F3D}"/>
    <cellStyle name="Warnender Text" xfId="6166" hidden="1" xr:uid="{92CD098E-CA49-4443-AADB-A87BCB6A0BAB}"/>
    <cellStyle name="Warnender Text" xfId="1945" hidden="1" xr:uid="{EF772481-C05E-4A4F-8CD7-D36E952BCC97}"/>
    <cellStyle name="Warnender Text" xfId="6240" hidden="1" xr:uid="{F10335D9-A99D-4185-BFD3-F7AC9A43827D}"/>
    <cellStyle name="Warnender Text" xfId="3418" hidden="1" xr:uid="{95293450-2303-4936-8C4F-5A3E1970031F}"/>
    <cellStyle name="Warnender Text" xfId="6564" hidden="1" xr:uid="{918169B2-6180-4E16-BF88-B200BCC293B2}"/>
    <cellStyle name="Warnender Text" xfId="5580" hidden="1" xr:uid="{E4437EF5-DDEC-4641-B328-D348C0171751}"/>
    <cellStyle name="Warnender Text" xfId="5817" hidden="1" xr:uid="{81072814-10C0-4A0D-B7EE-D2DD1C9E86B9}"/>
    <cellStyle name="Warnender Text" xfId="6609" hidden="1" xr:uid="{B161EB8C-52EB-4DD0-8470-C566D03E0F70}"/>
    <cellStyle name="Warnender Text" xfId="4691" hidden="1" xr:uid="{B6B67D4F-559F-42B3-BB4D-CF2074F9F07F}"/>
    <cellStyle name="Warnender Text" xfId="5831" hidden="1" xr:uid="{A2E071A4-6B6C-4A97-8EB5-D4E87C67267D}"/>
    <cellStyle name="Warnender Text" xfId="6480" hidden="1" xr:uid="{66A4E915-2518-428B-8BF6-10F8841650D0}"/>
    <cellStyle name="Warnender Text" xfId="6783" hidden="1" xr:uid="{BC8B629A-26F1-4B4D-8237-DA6EE72A53E9}"/>
    <cellStyle name="Warnender Text" xfId="7075" hidden="1" xr:uid="{169BEC10-D263-4D6C-9EBB-9D6920F1C4E2}"/>
    <cellStyle name="Warnender Text" xfId="6853" hidden="1" xr:uid="{2DB021B8-0861-4E8C-8961-2F150AFCE3F2}"/>
    <cellStyle name="Warnender Text" xfId="7132" hidden="1" xr:uid="{F0119FF5-A04F-4319-85FC-41D570A669A3}"/>
    <cellStyle name="Warnender Text" xfId="7998" hidden="1" xr:uid="{5BA4154D-5FCB-431C-A299-BBB4C926C689}"/>
    <cellStyle name="Warnender Text" xfId="8182" hidden="1" xr:uid="{6091AEF9-2D7E-4CF7-AFD6-5F6ABB9CD046}"/>
    <cellStyle name="Warnender Text" xfId="7667" hidden="1" xr:uid="{01DB16AE-08CC-4D89-AB25-ED7EAFB9ADED}"/>
    <cellStyle name="Warnender Text" xfId="8322" hidden="1" xr:uid="{2A438C0E-42FC-44AD-8624-07D48E6ABE3C}"/>
    <cellStyle name="Warnender Text" xfId="7723" hidden="1" xr:uid="{4951DF7F-A951-44B8-AF88-B95D19490260}"/>
    <cellStyle name="Warnender Text" xfId="8177" hidden="1" xr:uid="{8289388B-90E2-4E86-98CB-46B3456CBFBD}"/>
    <cellStyle name="Warnender Text" xfId="7758" hidden="1" xr:uid="{8E18AC48-17F9-41ED-A0EA-386B97ED4850}"/>
    <cellStyle name="Warnender Text" xfId="7166" hidden="1" xr:uid="{2CCF581B-B09D-405C-BFF8-B7AC9951207B}"/>
    <cellStyle name="Warnender Text" xfId="8127" hidden="1" xr:uid="{5864E34B-7728-4CF2-8DAB-A3280F5A69E3}"/>
    <cellStyle name="Warnender Text" xfId="7702" hidden="1" xr:uid="{4AC370AC-53F8-4D8C-B8FA-4B644F05EC7E}"/>
    <cellStyle name="Warnender Text" xfId="8237" hidden="1" xr:uid="{7D92A8F7-A495-4AEA-8047-C213931573A9}"/>
    <cellStyle name="Warnender Text" xfId="8213" hidden="1" xr:uid="{F8146407-4814-45F6-9FCD-4570C46B3CF4}"/>
    <cellStyle name="Warnender Text" xfId="7811" hidden="1" xr:uid="{0A6B765E-7C6B-4F34-9366-B510300FD71E}"/>
    <cellStyle name="Warnender Text" xfId="8303" hidden="1" xr:uid="{F32D68C6-9DAF-4C6C-BCC5-B6D893965847}"/>
    <cellStyle name="Warnender Text" xfId="6750" hidden="1" xr:uid="{3B7C5698-19CF-42C0-B4A7-39439A4A5592}"/>
    <cellStyle name="Warnender Text" xfId="8230" hidden="1" xr:uid="{E1BDA181-1D57-4363-A5FD-ECD59677AC14}"/>
    <cellStyle name="Warnender Text" xfId="8684" hidden="1" xr:uid="{D01B3047-62BB-409F-9723-7C7B665D5771}"/>
    <cellStyle name="Warnender Text" xfId="8579" hidden="1" xr:uid="{9567FCC0-83CD-482E-B9D6-EEBAA2E66E57}"/>
    <cellStyle name="Warnender Text" xfId="8909" hidden="1" xr:uid="{7A31BED5-465A-43C5-ADE5-7C12A04EE671}"/>
    <cellStyle name="Warnender Text" xfId="8995" hidden="1" xr:uid="{A403F8DD-A4FC-42AB-86D8-82D64639BA9D}"/>
    <cellStyle name="Warnender Text" xfId="9288" hidden="1" xr:uid="{CA42B251-6D72-43B2-9735-1872C6A2EFA0}"/>
    <cellStyle name="Warnender Text" xfId="9349" hidden="1" xr:uid="{6C8F71E6-A6F0-4D5C-8360-7324EB7185D1}"/>
    <cellStyle name="Warnender Text" xfId="8969" hidden="1" xr:uid="{C7F6DC77-7A8B-4E48-B264-303394944E49}"/>
    <cellStyle name="Warnender Text" xfId="10011" hidden="1" xr:uid="{B1455396-482A-46F8-A65F-793BE46862A5}"/>
    <cellStyle name="Warnender Text" xfId="10532" hidden="1" xr:uid="{47E015DB-18DE-4476-809D-4C2AA1227F04}"/>
    <cellStyle name="Warnender Text" xfId="10088" hidden="1" xr:uid="{0B55389A-D0B6-4574-BF4D-5285DF392108}"/>
    <cellStyle name="Warnender Text" xfId="10040" hidden="1" xr:uid="{606EA65F-B279-4812-BC71-99B5FD0A4E6B}"/>
    <cellStyle name="Warnender Text" xfId="10399" hidden="1" xr:uid="{21FD4646-66FF-489F-AFF5-65B498348318}"/>
    <cellStyle name="Warnender Text" xfId="10983" hidden="1" xr:uid="{5A5E490C-5E91-4484-978E-8E209F98823A}"/>
    <cellStyle name="Warnender Text" xfId="11084" hidden="1" xr:uid="{BF6103F7-5F63-4B94-A507-B5630F39961A}"/>
    <cellStyle name="Warnender Text" xfId="9826" hidden="1" xr:uid="{2E037509-351F-4440-9E15-AC2B57F43B42}"/>
    <cellStyle name="Warnender Text" xfId="10119" hidden="1" xr:uid="{A8D7D381-83E2-477C-8F44-FFD6F8761298}"/>
    <cellStyle name="Warnender Text" xfId="11136" hidden="1" xr:uid="{A0542B8F-4621-4659-A0F3-2F7D07C91DE3}"/>
    <cellStyle name="Warnender Text" xfId="10884" hidden="1" xr:uid="{4426545C-0E0C-4FE7-AAA3-1C1DA8573513}"/>
    <cellStyle name="Warnender Text" xfId="11401" hidden="1" xr:uid="{B20320FD-2D26-4F5C-AC21-643BB82E1333}"/>
    <cellStyle name="Warnender Text" xfId="11702" hidden="1" xr:uid="{DF72016D-7447-4CBA-BAA7-600EDA5DBBE8}"/>
    <cellStyle name="Warnender Text" xfId="11672" hidden="1" xr:uid="{ECF543DD-7840-4761-B7D6-3805F5044625}"/>
    <cellStyle name="Warnender Text" xfId="11757" hidden="1" xr:uid="{BA10AF5C-D0F4-4A71-B195-5B0B8ACC2F51}"/>
    <cellStyle name="Warnender Text" xfId="11651" hidden="1" xr:uid="{90AFA614-558D-43D4-A4A0-569555D62194}"/>
    <cellStyle name="Warnender Text" xfId="11441" hidden="1" xr:uid="{BDF4A9A5-319E-4669-8D9F-6425244094B8}"/>
    <cellStyle name="Warnender Text" xfId="11366" hidden="1" xr:uid="{D7D1C03A-0A63-4560-B964-CD37C55DB938}"/>
    <cellStyle name="Warnender Text" xfId="13391" hidden="1" xr:uid="{896E604F-DCDB-4E66-B05E-008BB8B074C1}"/>
    <cellStyle name="Warnender Text" xfId="14416" hidden="1" xr:uid="{2A272AD0-EA99-41E1-A787-51250A9DB3A4}"/>
    <cellStyle name="Warnender Text" xfId="13733" hidden="1" xr:uid="{0F55675F-74F4-4EB9-93CF-9981E40518BC}"/>
    <cellStyle name="Warnender Text" xfId="14679" hidden="1" xr:uid="{9C5F8990-221B-48FD-AB75-F94E702F6A0D}"/>
    <cellStyle name="Warnender Text" xfId="11863" hidden="1" xr:uid="{ABCBE356-DBD6-4006-8961-4CB19ECAF436}"/>
    <cellStyle name="Warnender Text" xfId="15096" hidden="1" xr:uid="{D8DF2B4F-D6D0-46A1-B483-D1A7DCBD6D7C}"/>
    <cellStyle name="Warnender Text" xfId="14113" hidden="1" xr:uid="{F35CD8A2-2FF4-4652-A093-5F7786699E5C}"/>
    <cellStyle name="Warnender Text" xfId="15340" hidden="1" xr:uid="{91EB55F9-78A3-4C0C-B2D1-00F7125D4ECF}"/>
    <cellStyle name="Warnender Text" xfId="14061" hidden="1" xr:uid="{6482EDC6-B093-4E56-9497-0188AB24521F}"/>
    <cellStyle name="Warnender Text" xfId="14742" hidden="1" xr:uid="{1794BA3E-0241-4EB9-A503-9441A20A8D40}"/>
    <cellStyle name="Warnender Text" xfId="15542" hidden="1" xr:uid="{27A58DD7-3C31-41F6-9F46-0DFD4F9450C6}"/>
    <cellStyle name="Warnender Text" xfId="15126" hidden="1" xr:uid="{DCA0B8E9-7105-4FF0-AAE4-1468BB1FD7BB}"/>
    <cellStyle name="Warnender Text" xfId="15428" hidden="1" xr:uid="{AB0448AC-AF9E-4664-AA35-4E3AAA2526BB}"/>
    <cellStyle name="Warnender Text" xfId="15323" hidden="1" xr:uid="{40121A24-0E6E-49E6-945D-B72FCE6A1E17}"/>
    <cellStyle name="Warnender Text" xfId="15680" hidden="1" xr:uid="{F820104D-6DB9-423B-93FC-97E79E9FC687}"/>
    <cellStyle name="Warnender Text" xfId="14092" hidden="1" xr:uid="{2CA0DBDD-06EC-4EB0-9DE2-15FCE3C74161}"/>
    <cellStyle name="Warnender Text" xfId="15155" hidden="1" xr:uid="{3C04F923-ED0B-4EDD-8DC0-4D35B342E43D}"/>
    <cellStyle name="Warnender Text" xfId="15879" hidden="1" xr:uid="{A0E8F4F6-70EF-4123-83E5-494BBFFA3B9F}"/>
    <cellStyle name="Warnender Text" xfId="16092" hidden="1" xr:uid="{8753FA93-364D-4A97-9083-205915B9B8E1}"/>
    <cellStyle name="Warnender Text" xfId="16396" hidden="1" xr:uid="{E7748AE8-DA95-4D99-AD15-395C580285A1}"/>
    <cellStyle name="Warnender Text" xfId="16169" hidden="1" xr:uid="{F7E003E7-E18D-47C6-89BE-BF315051CA12}"/>
    <cellStyle name="Warnender Text" xfId="16455" hidden="1" xr:uid="{4D87AD5B-F655-4FAE-865B-C5F2C2C866F0}"/>
    <cellStyle name="Warnender Text" xfId="17337" hidden="1" xr:uid="{E982A2CA-8D45-428D-99ED-81009745811B}"/>
    <cellStyle name="Warnender Text" xfId="17684" hidden="1" xr:uid="{31F24278-662D-4795-9A49-31B2B7887DD1}"/>
    <cellStyle name="Warnender Text" xfId="17514" hidden="1" xr:uid="{5E25DCFC-CEB0-44F1-A3F5-BE2652A79A7F}"/>
    <cellStyle name="Warnender Text" xfId="17643" hidden="1" xr:uid="{6A866707-894C-4DCD-B24F-2A99B6BB652D}"/>
    <cellStyle name="Warnender Text" xfId="17637" hidden="1" xr:uid="{A6D89687-8C51-4160-907B-D0222484C9D0}"/>
    <cellStyle name="Warnender Text" xfId="18027" hidden="1" xr:uid="{975EF439-3D54-41A4-998F-03989A340F05}"/>
    <cellStyle name="Warnender Text" xfId="18289" hidden="1" xr:uid="{3770F1BB-DC2F-4B11-A74F-0C6CC356EFE3}"/>
    <cellStyle name="Warnender Text" xfId="16367" hidden="1" xr:uid="{FEAF0764-0140-4E12-B373-EE740D88E026}"/>
    <cellStyle name="Warnender Text" xfId="18113" hidden="1" xr:uid="{0440D9BD-353A-4230-86A2-6F5D3E008B17}"/>
    <cellStyle name="Warnender Text" xfId="18283" hidden="1" xr:uid="{3306546F-2EE1-41E1-A7CD-A66CB55E4F06}"/>
    <cellStyle name="Warnender Text" xfId="17062" hidden="1" xr:uid="{4B189575-3B56-412D-BD23-B7A58B0AD702}"/>
    <cellStyle name="Warnender Text" xfId="18921" hidden="1" xr:uid="{6D0D5AC1-0342-4144-9C13-D2AD3274CD99}"/>
    <cellStyle name="Warnender Text" xfId="18866" hidden="1" xr:uid="{428C09EB-D643-4F10-9555-81A09A90DD22}"/>
    <cellStyle name="Warnender Text" xfId="19148" hidden="1" xr:uid="{FAE316BF-E9E5-4517-970D-54D86189086C}"/>
    <cellStyle name="Warnender Text" xfId="19425" hidden="1" xr:uid="{26C5F55D-F12C-4C29-8193-355F307EC85C}"/>
    <cellStyle name="Warnender Text" xfId="19731" hidden="1" xr:uid="{3B001FC4-E9CE-4AB8-B3C9-6D4D9EFE058A}"/>
    <cellStyle name="Warnender Text" xfId="19387" hidden="1" xr:uid="{71775B4C-1A50-4BAE-9F98-D5DBC28AE09A}"/>
    <cellStyle name="Warnender Text" xfId="20612" hidden="1" xr:uid="{8BB1C050-B0F8-4FC4-AD41-AFCC75982978}"/>
    <cellStyle name="Warnender Text" xfId="20623" hidden="1" xr:uid="{0150E82D-2C42-4514-95A1-78EA8614F487}"/>
    <cellStyle name="Warnender Text" xfId="21045" hidden="1" xr:uid="{CC1479B3-C5B9-4E68-B32B-9931326B8C44}"/>
    <cellStyle name="Warnender Text" xfId="20696" hidden="1" xr:uid="{DE990103-881E-4B1A-B54E-DBCFEDB4A83E}"/>
    <cellStyle name="Warnender Text" xfId="19595" hidden="1" xr:uid="{F80BD32A-6532-412A-A88B-943FED34D44E}"/>
    <cellStyle name="Warnender Text" xfId="21487" hidden="1" xr:uid="{50BE3ECC-7E58-4E28-A7E8-BDC0A87AF579}"/>
    <cellStyle name="Warnender Text" xfId="19768" hidden="1" xr:uid="{D4D6CC9F-2BBC-4E61-BDB0-49F67832CB22}"/>
    <cellStyle name="Warnender Text" xfId="21434" hidden="1" xr:uid="{7B87AA02-B888-4BE2-8CA1-DEE732E0C3FC}"/>
    <cellStyle name="Warnender Text" xfId="21976" hidden="1" xr:uid="{72DD4775-D03D-45F1-9593-04D8BBBCBB58}"/>
    <cellStyle name="Warnender Text" xfId="21721" hidden="1" xr:uid="{842CF56F-B9D4-46D5-A914-D70626312562}"/>
    <cellStyle name="Warnender Text" xfId="21927" hidden="1" xr:uid="{26F65FEC-4493-435D-A94A-DBACC417A237}"/>
    <cellStyle name="Warnender Text" xfId="22382" hidden="1" xr:uid="{27949ABB-603D-46E1-BB8E-526C225DDAB3}"/>
    <cellStyle name="Warnender Text" xfId="22590" hidden="1" xr:uid="{1724161C-554B-478A-A143-A9F93792D1C4}"/>
    <cellStyle name="Warnender Text" xfId="22984" hidden="1" xr:uid="{D5A79FD1-0D29-4323-BD53-D6BF87C8B0AF}"/>
    <cellStyle name="Warnender Text" xfId="22974" hidden="1" xr:uid="{36AAD8B4-A49E-4891-93A1-DEFB697A19FD}"/>
    <cellStyle name="Warnender Text" xfId="22953" hidden="1" xr:uid="{5D92EEEA-446F-45C7-B85A-46DDAC5D40D9}"/>
    <cellStyle name="Warnender Text" xfId="20879" hidden="1" xr:uid="{5DB2CF5C-CB7E-496F-8413-0E0B9D56841C}"/>
    <cellStyle name="Warnender Text" xfId="22611" hidden="1" xr:uid="{45281806-663B-4ECC-8D88-B25C2133A303}"/>
    <cellStyle name="Warnender Text" xfId="19892" hidden="1" xr:uid="{3A3E53E6-F038-445C-9715-885F2E81C971}"/>
    <cellStyle name="Warnender Text" xfId="21766" hidden="1" xr:uid="{6487106A-2B63-4B42-AB00-7A7FF6F2D430}"/>
    <cellStyle name="Warnender Text" xfId="23248" hidden="1" xr:uid="{85E05274-629C-4C8C-B8A4-3C162C609422}"/>
    <cellStyle name="Warnender Text" xfId="23476" hidden="1" xr:uid="{669D47CF-95BE-4ABC-85E4-F3B436916211}"/>
    <cellStyle name="Warnender Text" xfId="22039" hidden="1" xr:uid="{CA1DF142-A4B5-4EE9-8495-95921CFAAB4C}"/>
    <cellStyle name="Warnender Text" xfId="23163" hidden="1" xr:uid="{2E307A32-D5B5-4BE5-AFFF-8ED3C5D27CE1}"/>
    <cellStyle name="Warnender Text" xfId="24148" hidden="1" xr:uid="{AFD3CD4B-46C1-4367-BC44-65D1D4C46622}"/>
    <cellStyle name="Warnender Text" xfId="24591" hidden="1" xr:uid="{0AFF3391-824B-4267-AAB8-F3EC6FC8D4FA}"/>
    <cellStyle name="Warnender Text" xfId="24568" hidden="1" xr:uid="{007DA50E-4E65-4EB4-A5D4-9513D87AF57B}"/>
    <cellStyle name="Warnender Text" xfId="24582" hidden="1" xr:uid="{F8A22871-9585-4F12-A16B-F923FD0DFC0A}"/>
    <cellStyle name="Warnender Text" xfId="24446" hidden="1" xr:uid="{7A7DC1F1-4869-4046-AA78-8C162CB066D3}"/>
    <cellStyle name="Warnender Text" xfId="25503" hidden="1" xr:uid="{86D1F4BF-6886-47FF-AA69-D232AF8AC819}"/>
    <cellStyle name="Warnender Text" xfId="26184" hidden="1" xr:uid="{1B63A94A-0199-42C6-A5B4-823F31CBAD3C}"/>
    <cellStyle name="Warnender Text" xfId="26143" hidden="1" xr:uid="{92E248EC-0FB2-47E1-A98A-D31327E2451C}"/>
    <cellStyle name="Warnender Text" xfId="26486" hidden="1" xr:uid="{CBB1F1F2-8E6C-4FBC-9F8A-556416F31141}"/>
    <cellStyle name="Warnender Text" xfId="24596" hidden="1" xr:uid="{0002B6CB-0E3E-4222-AEB1-09445949D999}"/>
    <cellStyle name="Warnender Text" xfId="26078" hidden="1" xr:uid="{C8D16E9D-B73E-41A2-A66D-4240D5340DBB}"/>
    <cellStyle name="Warnender Text" xfId="26669" hidden="1" xr:uid="{0E74996D-369E-476D-9DF5-24980A71C5AE}"/>
    <cellStyle name="Warnender Text" xfId="26449" hidden="1" xr:uid="{BD49FD4D-4271-43D0-91AF-042AAA6E3BF8}"/>
    <cellStyle name="Warnender Text" xfId="26489" hidden="1" xr:uid="{E82484F9-1167-4A1D-A06D-437AA83A5404}"/>
    <cellStyle name="Warnender Text" xfId="26584" hidden="1" xr:uid="{C189704E-668B-46C1-81CE-F06A0E1D80E3}"/>
    <cellStyle name="Warnender Text" xfId="25917" hidden="1" xr:uid="{30522379-1919-4723-BC95-AA3DB404435A}"/>
    <cellStyle name="Warnender Text" xfId="27673" hidden="1" xr:uid="{63997445-51AE-43AE-82ED-D61031223EBB}"/>
    <cellStyle name="Warnender Text" xfId="27701" hidden="1" xr:uid="{3C4585BC-6F66-48C6-8F86-FF5290B62322}"/>
    <cellStyle name="Warnender Text" xfId="26206" hidden="1" xr:uid="{7B0E9D0A-8CAA-4A98-BD0A-34F37454E33C}"/>
    <cellStyle name="Warnender Text" xfId="27864" hidden="1" xr:uid="{24A37A88-2BA1-40D7-8E11-00EC0E95B62B}"/>
    <cellStyle name="Warnender Text" xfId="27939" hidden="1" xr:uid="{C1D4F71C-C54A-4187-A7F6-965BC193A424}"/>
    <cellStyle name="Warnender Text" xfId="28212" hidden="1" xr:uid="{7474724D-DBC0-494E-AA6F-428AEF8D5720}"/>
    <cellStyle name="Warnender Text" xfId="28188" hidden="1" xr:uid="{2EEFFE77-C1A0-42D0-A28E-E8C94940D786}"/>
    <cellStyle name="Warnender Text" xfId="28178" hidden="1" xr:uid="{24F8D6C8-3A29-4D69-98AB-110DAE898185}"/>
    <cellStyle name="Warnender Text" xfId="29423" hidden="1" xr:uid="{7C325D9F-668F-48F9-B072-F15C5116B44D}"/>
    <cellStyle name="Warnender Text" xfId="28060" hidden="1" xr:uid="{DDA5F355-0006-48A8-A05F-4AC970474EC8}"/>
    <cellStyle name="Warnender Text" xfId="29345" hidden="1" xr:uid="{C5E2EBC6-C83C-4E49-A285-7012042ADDBD}"/>
    <cellStyle name="Warnender Text" xfId="28001" hidden="1" xr:uid="{1F33810C-D93B-414E-819F-2F5BE21AB95A}"/>
    <cellStyle name="Warnender Text" xfId="28194" hidden="1" xr:uid="{DFD229B6-BF70-4A1E-9746-76A2B0901A27}"/>
    <cellStyle name="Warnender Text" xfId="29995" hidden="1" xr:uid="{0787D7EE-7C30-4A06-92C6-554A847C4D7F}"/>
    <cellStyle name="Warnender Text 2" xfId="396" xr:uid="{16DFCA5B-9430-4E60-8CB6-7848AD847F29}"/>
    <cellStyle name="Warnender Text 3" xfId="287" xr:uid="{CC7EF1E4-84EF-4ED9-ADE0-7B7945295D16}"/>
    <cellStyle name="Warning Text 2" xfId="187" xr:uid="{5F434CAE-2C72-4A94-BFB4-187BAF82E02A}"/>
    <cellStyle name="Warning Text 3" xfId="240" xr:uid="{976DFCAD-A8F2-408E-8C0C-FB9665B47CBA}"/>
    <cellStyle name="Überschrift" xfId="181" xr:uid="{81D40770-5D84-413D-980C-9220F8CBF1BD}"/>
    <cellStyle name="Überschrift 1" xfId="182" xr:uid="{14A5AD69-5B8E-42A1-A811-CF2588E0B106}"/>
    <cellStyle name="Überschrift 2" xfId="183" xr:uid="{065DDD80-B8FD-4197-A3EB-99E67AEA881D}"/>
    <cellStyle name="Überschrift 3" xfId="184" xr:uid="{8EA01CC8-7735-4D0E-BF2B-5FC757824633}"/>
    <cellStyle name="Überschrift 4" xfId="185" xr:uid="{625A0A76-C576-4545-8DE3-678E5F67B45C}"/>
    <cellStyle name="Zelle überprüfen" xfId="188" xr:uid="{509BB340-2F37-4CE9-AB4F-4A4514F98C24}"/>
    <cellStyle name="Гиперссылка" xfId="189" xr:uid="{CC56F0A5-5BBB-4F50-A612-5E50AE6B9129}"/>
    <cellStyle name="Гиперссылка 2" xfId="190" xr:uid="{2E31E9E0-2212-45EC-BC0B-437508754294}"/>
    <cellStyle name="Гиперссылка 3" xfId="198" xr:uid="{3639548F-D6FF-48AF-A879-EBE8EABE7E60}"/>
    <cellStyle name="Гиперссылка 4" xfId="370" xr:uid="{5D1E19FA-F5D6-4792-8609-7C0F2F327FB5}"/>
    <cellStyle name="Обычный_2++" xfId="32" xr:uid="{D9AB3B8C-CED2-432F-A28F-25FB044B77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Figures!$B$6</c:f>
              <c:strCache>
                <c:ptCount val="1"/>
                <c:pt idx="0">
                  <c:v>Production of mineral fertilizer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Figures!$A$7:$A$17</c:f>
              <c:strCache>
                <c:ptCount val="11"/>
                <c:pt idx="0">
                  <c:v>Poland</c:v>
                </c:pt>
                <c:pt idx="1">
                  <c:v>Hungary </c:v>
                </c:pt>
                <c:pt idx="2">
                  <c:v>Italy</c:v>
                </c:pt>
                <c:pt idx="3">
                  <c:v>Greece</c:v>
                </c:pt>
                <c:pt idx="4">
                  <c:v>Netherlands</c:v>
                </c:pt>
                <c:pt idx="5">
                  <c:v>Denmark </c:v>
                </c:pt>
                <c:pt idx="6">
                  <c:v>Sweden</c:v>
                </c:pt>
                <c:pt idx="7">
                  <c:v>Germany</c:v>
                </c:pt>
                <c:pt idx="8">
                  <c:v>France</c:v>
                </c:pt>
                <c:pt idx="9">
                  <c:v>Spain</c:v>
                </c:pt>
                <c:pt idx="10">
                  <c:v>Ireland</c:v>
                </c:pt>
              </c:strCache>
            </c:strRef>
          </c:cat>
          <c:val>
            <c:numRef>
              <c:f>Figures!$B$7:$B$17</c:f>
              <c:numCache>
                <c:formatCode>General</c:formatCode>
                <c:ptCount val="11"/>
                <c:pt idx="0">
                  <c:v>3.0702722347822489</c:v>
                </c:pt>
                <c:pt idx="1">
                  <c:v>1.3940171332218489</c:v>
                </c:pt>
                <c:pt idx="2">
                  <c:v>0.96334099789174044</c:v>
                </c:pt>
                <c:pt idx="3">
                  <c:v>1.9855105922767782</c:v>
                </c:pt>
                <c:pt idx="4">
                  <c:v>2.8433187538937132</c:v>
                </c:pt>
                <c:pt idx="5">
                  <c:v>0.50401148564404019</c:v>
                </c:pt>
                <c:pt idx="6">
                  <c:v>1.3664806232684032</c:v>
                </c:pt>
                <c:pt idx="7">
                  <c:v>0.78995280547480284</c:v>
                </c:pt>
                <c:pt idx="8">
                  <c:v>1.0745563085960894</c:v>
                </c:pt>
                <c:pt idx="9">
                  <c:v>0.56980648451823623</c:v>
                </c:pt>
                <c:pt idx="10">
                  <c:v>1.1484849047517474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F4-4B2C-8F1D-2D51C7266F6A}"/>
            </c:ext>
          </c:extLst>
        </c:ser>
        <c:ser>
          <c:idx val="1"/>
          <c:order val="1"/>
          <c:tx>
            <c:strRef>
              <c:f>Figures!$C$6</c:f>
              <c:strCache>
                <c:ptCount val="1"/>
                <c:pt idx="0">
                  <c:v>Production of capital goods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Figures!$A$7:$A$17</c:f>
              <c:strCache>
                <c:ptCount val="11"/>
                <c:pt idx="0">
                  <c:v>Poland</c:v>
                </c:pt>
                <c:pt idx="1">
                  <c:v>Hungary </c:v>
                </c:pt>
                <c:pt idx="2">
                  <c:v>Italy</c:v>
                </c:pt>
                <c:pt idx="3">
                  <c:v>Greece</c:v>
                </c:pt>
                <c:pt idx="4">
                  <c:v>Netherlands</c:v>
                </c:pt>
                <c:pt idx="5">
                  <c:v>Denmark </c:v>
                </c:pt>
                <c:pt idx="6">
                  <c:v>Sweden</c:v>
                </c:pt>
                <c:pt idx="7">
                  <c:v>Germany</c:v>
                </c:pt>
                <c:pt idx="8">
                  <c:v>France</c:v>
                </c:pt>
                <c:pt idx="9">
                  <c:v>Spain</c:v>
                </c:pt>
                <c:pt idx="10">
                  <c:v>Ireland</c:v>
                </c:pt>
              </c:strCache>
            </c:strRef>
          </c:cat>
          <c:val>
            <c:numRef>
              <c:f>Figures!$C$7:$C$17</c:f>
              <c:numCache>
                <c:formatCode>General</c:formatCode>
                <c:ptCount val="11"/>
                <c:pt idx="0">
                  <c:v>0.66879436222808697</c:v>
                </c:pt>
                <c:pt idx="1">
                  <c:v>0.61010045468602792</c:v>
                </c:pt>
                <c:pt idx="2">
                  <c:v>0.54631929162701964</c:v>
                </c:pt>
                <c:pt idx="3">
                  <c:v>0.64087403076729133</c:v>
                </c:pt>
                <c:pt idx="4">
                  <c:v>0.62458306749531112</c:v>
                </c:pt>
                <c:pt idx="5">
                  <c:v>0.65831405570534107</c:v>
                </c:pt>
                <c:pt idx="6">
                  <c:v>0.68612308228980734</c:v>
                </c:pt>
                <c:pt idx="7">
                  <c:v>0.60441002477834072</c:v>
                </c:pt>
                <c:pt idx="8">
                  <c:v>0.61237883647729596</c:v>
                </c:pt>
                <c:pt idx="9">
                  <c:v>0.62063109735839683</c:v>
                </c:pt>
                <c:pt idx="10">
                  <c:v>0.62858167693004319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F4-4B2C-8F1D-2D51C7266F6A}"/>
            </c:ext>
          </c:extLst>
        </c:ser>
        <c:ser>
          <c:idx val="2"/>
          <c:order val="2"/>
          <c:tx>
            <c:strRef>
              <c:f>Figures!$D$6</c:f>
              <c:strCache>
                <c:ptCount val="1"/>
                <c:pt idx="0">
                  <c:v>Emissions from soil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Figures!$A$7:$A$17</c:f>
              <c:strCache>
                <c:ptCount val="11"/>
                <c:pt idx="0">
                  <c:v>Poland</c:v>
                </c:pt>
                <c:pt idx="1">
                  <c:v>Hungary </c:v>
                </c:pt>
                <c:pt idx="2">
                  <c:v>Italy</c:v>
                </c:pt>
                <c:pt idx="3">
                  <c:v>Greece</c:v>
                </c:pt>
                <c:pt idx="4">
                  <c:v>Netherlands</c:v>
                </c:pt>
                <c:pt idx="5">
                  <c:v>Denmark </c:v>
                </c:pt>
                <c:pt idx="6">
                  <c:v>Sweden</c:v>
                </c:pt>
                <c:pt idx="7">
                  <c:v>Germany</c:v>
                </c:pt>
                <c:pt idx="8">
                  <c:v>France</c:v>
                </c:pt>
                <c:pt idx="9">
                  <c:v>Spain</c:v>
                </c:pt>
                <c:pt idx="10">
                  <c:v>Ireland</c:v>
                </c:pt>
              </c:strCache>
            </c:strRef>
          </c:cat>
          <c:val>
            <c:numRef>
              <c:f>Figures!$D$7:$D$17</c:f>
              <c:numCache>
                <c:formatCode>General</c:formatCode>
                <c:ptCount val="11"/>
                <c:pt idx="0">
                  <c:v>2.6183901525041597</c:v>
                </c:pt>
                <c:pt idx="1">
                  <c:v>2.3067771402418367</c:v>
                </c:pt>
                <c:pt idx="2">
                  <c:v>2.0040180613564469</c:v>
                </c:pt>
                <c:pt idx="3">
                  <c:v>2.8166550416268765</c:v>
                </c:pt>
                <c:pt idx="4">
                  <c:v>4.4873289126680813</c:v>
                </c:pt>
                <c:pt idx="5">
                  <c:v>1.7142331713636549</c:v>
                </c:pt>
                <c:pt idx="6">
                  <c:v>3.3922753690468079</c:v>
                </c:pt>
                <c:pt idx="7">
                  <c:v>1.8927153652698441</c:v>
                </c:pt>
                <c:pt idx="8">
                  <c:v>2.6696468940148894</c:v>
                </c:pt>
                <c:pt idx="9">
                  <c:v>2.561169367323425</c:v>
                </c:pt>
                <c:pt idx="10">
                  <c:v>1.7407168136352822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F4-4B2C-8F1D-2D51C7266F6A}"/>
            </c:ext>
          </c:extLst>
        </c:ser>
        <c:ser>
          <c:idx val="3"/>
          <c:order val="3"/>
          <c:tx>
            <c:strRef>
              <c:f>Figures!$E$6</c:f>
              <c:strCache>
                <c:ptCount val="1"/>
                <c:pt idx="0">
                  <c:v>Energy use cropping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Figures!$A$7:$A$17</c:f>
              <c:strCache>
                <c:ptCount val="11"/>
                <c:pt idx="0">
                  <c:v>Poland</c:v>
                </c:pt>
                <c:pt idx="1">
                  <c:v>Hungary </c:v>
                </c:pt>
                <c:pt idx="2">
                  <c:v>Italy</c:v>
                </c:pt>
                <c:pt idx="3">
                  <c:v>Greece</c:v>
                </c:pt>
                <c:pt idx="4">
                  <c:v>Netherlands</c:v>
                </c:pt>
                <c:pt idx="5">
                  <c:v>Denmark </c:v>
                </c:pt>
                <c:pt idx="6">
                  <c:v>Sweden</c:v>
                </c:pt>
                <c:pt idx="7">
                  <c:v>Germany</c:v>
                </c:pt>
                <c:pt idx="8">
                  <c:v>France</c:v>
                </c:pt>
                <c:pt idx="9">
                  <c:v>Spain</c:v>
                </c:pt>
                <c:pt idx="10">
                  <c:v>Ireland</c:v>
                </c:pt>
              </c:strCache>
            </c:strRef>
          </c:cat>
          <c:val>
            <c:numRef>
              <c:f>Figures!$E$7:$E$17</c:f>
              <c:numCache>
                <c:formatCode>General</c:formatCode>
                <c:ptCount val="11"/>
                <c:pt idx="0">
                  <c:v>1.3921405416313883</c:v>
                </c:pt>
                <c:pt idx="1">
                  <c:v>0.6785168140373623</c:v>
                </c:pt>
                <c:pt idx="2">
                  <c:v>0.37373905820918851</c:v>
                </c:pt>
                <c:pt idx="3">
                  <c:v>0.94236472667734639</c:v>
                </c:pt>
                <c:pt idx="4">
                  <c:v>0.5083482798263943</c:v>
                </c:pt>
                <c:pt idx="5">
                  <c:v>0.35724031465427575</c:v>
                </c:pt>
                <c:pt idx="6">
                  <c:v>0.51912628476114087</c:v>
                </c:pt>
                <c:pt idx="7">
                  <c:v>0.35593280750190764</c:v>
                </c:pt>
                <c:pt idx="8">
                  <c:v>0.45049177195873163</c:v>
                </c:pt>
                <c:pt idx="9">
                  <c:v>0.83056978838981865</c:v>
                </c:pt>
                <c:pt idx="10">
                  <c:v>0.3651909172545752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F4-4B2C-8F1D-2D51C7266F6A}"/>
            </c:ext>
          </c:extLst>
        </c:ser>
        <c:ser>
          <c:idx val="4"/>
          <c:order val="4"/>
          <c:tx>
            <c:strRef>
              <c:f>Figures!$F$6</c:f>
              <c:strCache>
                <c:ptCount val="1"/>
                <c:pt idx="0">
                  <c:v>Energy use for feed processing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Figures!$A$7:$A$17</c:f>
              <c:strCache>
                <c:ptCount val="11"/>
                <c:pt idx="0">
                  <c:v>Poland</c:v>
                </c:pt>
                <c:pt idx="1">
                  <c:v>Hungary </c:v>
                </c:pt>
                <c:pt idx="2">
                  <c:v>Italy</c:v>
                </c:pt>
                <c:pt idx="3">
                  <c:v>Greece</c:v>
                </c:pt>
                <c:pt idx="4">
                  <c:v>Netherlands</c:v>
                </c:pt>
                <c:pt idx="5">
                  <c:v>Denmark </c:v>
                </c:pt>
                <c:pt idx="6">
                  <c:v>Sweden</c:v>
                </c:pt>
                <c:pt idx="7">
                  <c:v>Germany</c:v>
                </c:pt>
                <c:pt idx="8">
                  <c:v>France</c:v>
                </c:pt>
                <c:pt idx="9">
                  <c:v>Spain</c:v>
                </c:pt>
                <c:pt idx="10">
                  <c:v>Ireland</c:v>
                </c:pt>
              </c:strCache>
            </c:strRef>
          </c:cat>
          <c:val>
            <c:numRef>
              <c:f>Figures!$F$7:$F$17</c:f>
              <c:numCache>
                <c:formatCode>General</c:formatCode>
                <c:ptCount val="11"/>
                <c:pt idx="0">
                  <c:v>1.0772879407979354</c:v>
                </c:pt>
                <c:pt idx="1">
                  <c:v>2.4212841197948078</c:v>
                </c:pt>
                <c:pt idx="2">
                  <c:v>1.4978102657410173</c:v>
                </c:pt>
                <c:pt idx="3">
                  <c:v>1.6243734415057238</c:v>
                </c:pt>
                <c:pt idx="4">
                  <c:v>1.338037141878879</c:v>
                </c:pt>
                <c:pt idx="5">
                  <c:v>2.0407574566043554</c:v>
                </c:pt>
                <c:pt idx="6">
                  <c:v>1.6233061692077102</c:v>
                </c:pt>
                <c:pt idx="7">
                  <c:v>1.7043705133341072</c:v>
                </c:pt>
                <c:pt idx="8">
                  <c:v>1.4285309585698833</c:v>
                </c:pt>
                <c:pt idx="9">
                  <c:v>1.1322993010180777</c:v>
                </c:pt>
                <c:pt idx="10">
                  <c:v>0.36866263194871834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4F4-4B2C-8F1D-2D51C7266F6A}"/>
            </c:ext>
          </c:extLst>
        </c:ser>
        <c:ser>
          <c:idx val="5"/>
          <c:order val="5"/>
          <c:tx>
            <c:strRef>
              <c:f>Figures!$G$6</c:f>
              <c:strCache>
                <c:ptCount val="1"/>
                <c:pt idx="0">
                  <c:v>Land use change emissions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Figures!$A$7:$A$17</c:f>
              <c:strCache>
                <c:ptCount val="11"/>
                <c:pt idx="0">
                  <c:v>Poland</c:v>
                </c:pt>
                <c:pt idx="1">
                  <c:v>Hungary </c:v>
                </c:pt>
                <c:pt idx="2">
                  <c:v>Italy</c:v>
                </c:pt>
                <c:pt idx="3">
                  <c:v>Greece</c:v>
                </c:pt>
                <c:pt idx="4">
                  <c:v>Netherlands</c:v>
                </c:pt>
                <c:pt idx="5">
                  <c:v>Denmark </c:v>
                </c:pt>
                <c:pt idx="6">
                  <c:v>Sweden</c:v>
                </c:pt>
                <c:pt idx="7">
                  <c:v>Germany</c:v>
                </c:pt>
                <c:pt idx="8">
                  <c:v>France</c:v>
                </c:pt>
                <c:pt idx="9">
                  <c:v>Spain</c:v>
                </c:pt>
                <c:pt idx="10">
                  <c:v>Ireland</c:v>
                </c:pt>
              </c:strCache>
            </c:strRef>
          </c:cat>
          <c:val>
            <c:numRef>
              <c:f>Figures!$G$7:$G$17</c:f>
              <c:numCache>
                <c:formatCode>General</c:formatCode>
                <c:ptCount val="11"/>
                <c:pt idx="0">
                  <c:v>8.9109135080733051E-2</c:v>
                </c:pt>
                <c:pt idx="1">
                  <c:v>0.68504229255126681</c:v>
                </c:pt>
                <c:pt idx="2">
                  <c:v>0.3507311512182486</c:v>
                </c:pt>
                <c:pt idx="3">
                  <c:v>0.46222465171057481</c:v>
                </c:pt>
                <c:pt idx="4">
                  <c:v>0.51982796314875546</c:v>
                </c:pt>
                <c:pt idx="5">
                  <c:v>0.39669488028868299</c:v>
                </c:pt>
                <c:pt idx="6" formatCode="0.00000">
                  <c:v>7.9871101108953971E-2</c:v>
                </c:pt>
                <c:pt idx="7">
                  <c:v>0.23591072918768485</c:v>
                </c:pt>
                <c:pt idx="8">
                  <c:v>0.25048527668242471</c:v>
                </c:pt>
                <c:pt idx="9">
                  <c:v>0.55896493804052338</c:v>
                </c:pt>
                <c:pt idx="10">
                  <c:v>6.6050788650518222E-2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4F4-4B2C-8F1D-2D51C7266F6A}"/>
            </c:ext>
          </c:extLst>
        </c:ser>
        <c:ser>
          <c:idx val="6"/>
          <c:order val="6"/>
          <c:tx>
            <c:strRef>
              <c:f>Figures!$H$6</c:f>
              <c:strCache>
                <c:ptCount val="1"/>
                <c:pt idx="0">
                  <c:v>Feed transports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Figures!$A$7:$A$17</c:f>
              <c:strCache>
                <c:ptCount val="11"/>
                <c:pt idx="0">
                  <c:v>Poland</c:v>
                </c:pt>
                <c:pt idx="1">
                  <c:v>Hungary </c:v>
                </c:pt>
                <c:pt idx="2">
                  <c:v>Italy</c:v>
                </c:pt>
                <c:pt idx="3">
                  <c:v>Greece</c:v>
                </c:pt>
                <c:pt idx="4">
                  <c:v>Netherlands</c:v>
                </c:pt>
                <c:pt idx="5">
                  <c:v>Denmark </c:v>
                </c:pt>
                <c:pt idx="6">
                  <c:v>Sweden</c:v>
                </c:pt>
                <c:pt idx="7">
                  <c:v>Germany</c:v>
                </c:pt>
                <c:pt idx="8">
                  <c:v>France</c:v>
                </c:pt>
                <c:pt idx="9">
                  <c:v>Spain</c:v>
                </c:pt>
                <c:pt idx="10">
                  <c:v>Ireland</c:v>
                </c:pt>
              </c:strCache>
            </c:strRef>
          </c:cat>
          <c:val>
            <c:numRef>
              <c:f>Figures!$H$7:$H$17</c:f>
              <c:numCache>
                <c:formatCode>General</c:formatCode>
                <c:ptCount val="11"/>
                <c:pt idx="0">
                  <c:v>0.12098640987309049</c:v>
                </c:pt>
                <c:pt idx="1">
                  <c:v>0.60689028120998112</c:v>
                </c:pt>
                <c:pt idx="2">
                  <c:v>0.37411653653790461</c:v>
                </c:pt>
                <c:pt idx="3">
                  <c:v>0.46570443855517779</c:v>
                </c:pt>
                <c:pt idx="4">
                  <c:v>0.46146341505762933</c:v>
                </c:pt>
                <c:pt idx="5">
                  <c:v>0.54543795981974708</c:v>
                </c:pt>
                <c:pt idx="6" formatCode="0.00000">
                  <c:v>0.28072828036888647</c:v>
                </c:pt>
                <c:pt idx="7">
                  <c:v>0.30988502280008157</c:v>
                </c:pt>
                <c:pt idx="8">
                  <c:v>0.35746651733420576</c:v>
                </c:pt>
                <c:pt idx="9">
                  <c:v>0.58254605461683528</c:v>
                </c:pt>
                <c:pt idx="10">
                  <c:v>6.5395075845275263E-2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F4-4B2C-8F1D-2D51C7266F6A}"/>
            </c:ext>
          </c:extLst>
        </c:ser>
        <c:ser>
          <c:idx val="7"/>
          <c:order val="7"/>
          <c:tx>
            <c:strRef>
              <c:f>Figures!$I$6</c:f>
              <c:strCache>
                <c:ptCount val="1"/>
                <c:pt idx="0">
                  <c:v>Enteric fermentation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Figures!$A$7:$A$17</c:f>
              <c:strCache>
                <c:ptCount val="11"/>
                <c:pt idx="0">
                  <c:v>Poland</c:v>
                </c:pt>
                <c:pt idx="1">
                  <c:v>Hungary </c:v>
                </c:pt>
                <c:pt idx="2">
                  <c:v>Italy</c:v>
                </c:pt>
                <c:pt idx="3">
                  <c:v>Greece</c:v>
                </c:pt>
                <c:pt idx="4">
                  <c:v>Netherlands</c:v>
                </c:pt>
                <c:pt idx="5">
                  <c:v>Denmark </c:v>
                </c:pt>
                <c:pt idx="6">
                  <c:v>Sweden</c:v>
                </c:pt>
                <c:pt idx="7">
                  <c:v>Germany</c:v>
                </c:pt>
                <c:pt idx="8">
                  <c:v>France</c:v>
                </c:pt>
                <c:pt idx="9">
                  <c:v>Spain</c:v>
                </c:pt>
                <c:pt idx="10">
                  <c:v>Ireland</c:v>
                </c:pt>
              </c:strCache>
            </c:strRef>
          </c:cat>
          <c:val>
            <c:numRef>
              <c:f>Figures!$I$7:$I$17</c:f>
              <c:numCache>
                <c:formatCode>General</c:formatCode>
                <c:ptCount val="11"/>
                <c:pt idx="0">
                  <c:v>15.219337109995321</c:v>
                </c:pt>
                <c:pt idx="1">
                  <c:v>15.2232828477349</c:v>
                </c:pt>
                <c:pt idx="2">
                  <c:v>15.10067608464302</c:v>
                </c:pt>
                <c:pt idx="3">
                  <c:v>15.137825944833745</c:v>
                </c:pt>
                <c:pt idx="4">
                  <c:v>15.166477612121433</c:v>
                </c:pt>
                <c:pt idx="5">
                  <c:v>15.259256665090856</c:v>
                </c:pt>
                <c:pt idx="6">
                  <c:v>15.214982698761219</c:v>
                </c:pt>
                <c:pt idx="7">
                  <c:v>15.063616033130701</c:v>
                </c:pt>
                <c:pt idx="8">
                  <c:v>15.177842251637294</c:v>
                </c:pt>
                <c:pt idx="9">
                  <c:v>15.05793203856477</c:v>
                </c:pt>
                <c:pt idx="10">
                  <c:v>15.130733039578608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4F4-4B2C-8F1D-2D51C7266F6A}"/>
            </c:ext>
          </c:extLst>
        </c:ser>
        <c:ser>
          <c:idx val="8"/>
          <c:order val="8"/>
          <c:tx>
            <c:strRef>
              <c:f>Figures!$J$6</c:f>
              <c:strCache>
                <c:ptCount val="1"/>
                <c:pt idx="0">
                  <c:v>Manure management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Figures!$A$7:$A$17</c:f>
              <c:strCache>
                <c:ptCount val="11"/>
                <c:pt idx="0">
                  <c:v>Poland</c:v>
                </c:pt>
                <c:pt idx="1">
                  <c:v>Hungary </c:v>
                </c:pt>
                <c:pt idx="2">
                  <c:v>Italy</c:v>
                </c:pt>
                <c:pt idx="3">
                  <c:v>Greece</c:v>
                </c:pt>
                <c:pt idx="4">
                  <c:v>Netherlands</c:v>
                </c:pt>
                <c:pt idx="5">
                  <c:v>Denmark </c:v>
                </c:pt>
                <c:pt idx="6">
                  <c:v>Sweden</c:v>
                </c:pt>
                <c:pt idx="7">
                  <c:v>Germany</c:v>
                </c:pt>
                <c:pt idx="8">
                  <c:v>France</c:v>
                </c:pt>
                <c:pt idx="9">
                  <c:v>Spain</c:v>
                </c:pt>
                <c:pt idx="10">
                  <c:v>Ireland</c:v>
                </c:pt>
              </c:strCache>
            </c:strRef>
          </c:cat>
          <c:val>
            <c:numRef>
              <c:f>Figures!$J$7:$J$17</c:f>
              <c:numCache>
                <c:formatCode>General</c:formatCode>
                <c:ptCount val="11"/>
                <c:pt idx="0">
                  <c:v>3.1045854878118098</c:v>
                </c:pt>
                <c:pt idx="1">
                  <c:v>4.9976498180387594</c:v>
                </c:pt>
                <c:pt idx="2">
                  <c:v>6.0797770378717377</c:v>
                </c:pt>
                <c:pt idx="3">
                  <c:v>3.2451258884887406</c:v>
                </c:pt>
                <c:pt idx="4">
                  <c:v>0.87465810019857182</c:v>
                </c:pt>
                <c:pt idx="5">
                  <c:v>4.51071287174282</c:v>
                </c:pt>
                <c:pt idx="6">
                  <c:v>2.1695282624133281</c:v>
                </c:pt>
                <c:pt idx="7">
                  <c:v>3.7995222082713842</c:v>
                </c:pt>
                <c:pt idx="8">
                  <c:v>2.9070555749436151</c:v>
                </c:pt>
                <c:pt idx="9">
                  <c:v>2.0788072793218135</c:v>
                </c:pt>
                <c:pt idx="10">
                  <c:v>3.6465072416453284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4F4-4B2C-8F1D-2D51C7266F6A}"/>
            </c:ext>
          </c:extLst>
        </c:ser>
        <c:ser>
          <c:idx val="9"/>
          <c:order val="9"/>
          <c:tx>
            <c:strRef>
              <c:f>Figures!$K$6</c:f>
              <c:strCache>
                <c:ptCount val="1"/>
                <c:pt idx="0">
                  <c:v>Energy use in stables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Figures!$A$7:$A$17</c:f>
              <c:strCache>
                <c:ptCount val="11"/>
                <c:pt idx="0">
                  <c:v>Poland</c:v>
                </c:pt>
                <c:pt idx="1">
                  <c:v>Hungary </c:v>
                </c:pt>
                <c:pt idx="2">
                  <c:v>Italy</c:v>
                </c:pt>
                <c:pt idx="3">
                  <c:v>Greece</c:v>
                </c:pt>
                <c:pt idx="4">
                  <c:v>Netherlands</c:v>
                </c:pt>
                <c:pt idx="5">
                  <c:v>Denmark </c:v>
                </c:pt>
                <c:pt idx="6">
                  <c:v>Sweden</c:v>
                </c:pt>
                <c:pt idx="7">
                  <c:v>Germany</c:v>
                </c:pt>
                <c:pt idx="8">
                  <c:v>France</c:v>
                </c:pt>
                <c:pt idx="9">
                  <c:v>Spain</c:v>
                </c:pt>
                <c:pt idx="10">
                  <c:v>Ireland</c:v>
                </c:pt>
              </c:strCache>
            </c:strRef>
          </c:cat>
          <c:val>
            <c:numRef>
              <c:f>Figures!$K$7:$K$17</c:f>
              <c:numCache>
                <c:formatCode>General</c:formatCode>
                <c:ptCount val="11"/>
                <c:pt idx="0">
                  <c:v>1.7536486701913254</c:v>
                </c:pt>
                <c:pt idx="1">
                  <c:v>1.0024766188080723</c:v>
                </c:pt>
                <c:pt idx="2">
                  <c:v>0.94528394435487739</c:v>
                </c:pt>
                <c:pt idx="3">
                  <c:v>1.2826220945096534</c:v>
                </c:pt>
                <c:pt idx="4">
                  <c:v>1.0790038764959253</c:v>
                </c:pt>
                <c:pt idx="5">
                  <c:v>0.89120028318248856</c:v>
                </c:pt>
                <c:pt idx="6">
                  <c:v>0.44290797438022189</c:v>
                </c:pt>
                <c:pt idx="7">
                  <c:v>1.031034364149541</c:v>
                </c:pt>
                <c:pt idx="8">
                  <c:v>0.44590589446912948</c:v>
                </c:pt>
                <c:pt idx="9">
                  <c:v>0.7644452347855295</c:v>
                </c:pt>
                <c:pt idx="10">
                  <c:v>0.91448327277490526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4F4-4B2C-8F1D-2D51C7266F6A}"/>
            </c:ext>
          </c:extLst>
        </c:ser>
        <c:ser>
          <c:idx val="10"/>
          <c:order val="10"/>
          <c:tx>
            <c:strRef>
              <c:f>Figures!$L$6</c:f>
              <c:strCache>
                <c:ptCount val="1"/>
                <c:pt idx="0">
                  <c:v>Energy use for slaughter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Figures!$A$7:$A$17</c:f>
              <c:strCache>
                <c:ptCount val="11"/>
                <c:pt idx="0">
                  <c:v>Poland</c:v>
                </c:pt>
                <c:pt idx="1">
                  <c:v>Hungary </c:v>
                </c:pt>
                <c:pt idx="2">
                  <c:v>Italy</c:v>
                </c:pt>
                <c:pt idx="3">
                  <c:v>Greece</c:v>
                </c:pt>
                <c:pt idx="4">
                  <c:v>Netherlands</c:v>
                </c:pt>
                <c:pt idx="5">
                  <c:v>Denmark </c:v>
                </c:pt>
                <c:pt idx="6">
                  <c:v>Sweden</c:v>
                </c:pt>
                <c:pt idx="7">
                  <c:v>Germany</c:v>
                </c:pt>
                <c:pt idx="8">
                  <c:v>France</c:v>
                </c:pt>
                <c:pt idx="9">
                  <c:v>Spain</c:v>
                </c:pt>
                <c:pt idx="10">
                  <c:v>Ireland</c:v>
                </c:pt>
              </c:strCache>
            </c:strRef>
          </c:cat>
          <c:val>
            <c:numRef>
              <c:f>Figures!$L$7:$L$17</c:f>
              <c:numCache>
                <c:formatCode>General</c:formatCode>
                <c:ptCount val="11"/>
                <c:pt idx="0">
                  <c:v>6.2562002697523919E-2</c:v>
                </c:pt>
                <c:pt idx="1">
                  <c:v>3.5059919186182925E-2</c:v>
                </c:pt>
                <c:pt idx="2">
                  <c:v>3.2965967865507137E-2</c:v>
                </c:pt>
                <c:pt idx="3">
                  <c:v>4.5316669625555028E-2</c:v>
                </c:pt>
                <c:pt idx="4">
                  <c:v>3.7861752704815045E-2</c:v>
                </c:pt>
                <c:pt idx="5">
                  <c:v>3.0985844452471337E-2</c:v>
                </c:pt>
                <c:pt idx="6">
                  <c:v>1.6272132715760609E-3</c:v>
                </c:pt>
                <c:pt idx="7">
                  <c:v>3.6105481911567081E-2</c:v>
                </c:pt>
                <c:pt idx="8">
                  <c:v>1.6456263087502769E-3</c:v>
                </c:pt>
                <c:pt idx="9">
                  <c:v>2.6345059534984259E-2</c:v>
                </c:pt>
                <c:pt idx="10">
                  <c:v>3.1838286610010591E-2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4F4-4B2C-8F1D-2D51C7266F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97164863"/>
        <c:axId val="1097163423"/>
      </c:barChart>
      <c:catAx>
        <c:axId val="1097164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097163423"/>
        <c:crosses val="autoZero"/>
        <c:auto val="1"/>
        <c:lblAlgn val="ctr"/>
        <c:lblOffset val="100"/>
        <c:noMultiLvlLbl val="0"/>
      </c:catAx>
      <c:valAx>
        <c:axId val="109716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/>
                  <a:t>kg CO2e per kg of</a:t>
                </a:r>
                <a:r>
                  <a:rPr lang="sv-SE" baseline="0"/>
                  <a:t> bonefree meat</a:t>
                </a:r>
                <a:endParaRPr lang="sv-S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097164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Maize,</a:t>
            </a:r>
            <a:r>
              <a:rPr lang="sv-SE" baseline="0"/>
              <a:t> green for forage</a:t>
            </a:r>
            <a:endParaRPr lang="sv-S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v>Mineral fertilisers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'Forage crops, CF'!$D$73:$D$127</c15:sqref>
                  </c15:fullRef>
                </c:ext>
              </c:extLst>
              <c:f>('Forage crops, CF'!$D$77,'Forage crops, CF'!$D$82,'Forage crops, CF'!$D$87,'Forage crops, CF'!$D$92,'Forage crops, CF'!$D$97,'Forage crops, CF'!$D$102,'Forage crops, CF'!$D$107,'Forage crops, CF'!$D$112,'Forage crops, CF'!$D$117,'Forage crops, CF'!$D$122,'Forage crops, CF'!$D$127)</c:f>
              <c:strCache>
                <c:ptCount val="11"/>
                <c:pt idx="0">
                  <c:v>Denmark</c:v>
                </c:pt>
                <c:pt idx="1">
                  <c:v>France</c:v>
                </c:pt>
                <c:pt idx="2">
                  <c:v>Germany</c:v>
                </c:pt>
                <c:pt idx="3">
                  <c:v>Greece</c:v>
                </c:pt>
                <c:pt idx="4">
                  <c:v>Hungary</c:v>
                </c:pt>
                <c:pt idx="5">
                  <c:v>Ireland</c:v>
                </c:pt>
                <c:pt idx="6">
                  <c:v>Italy</c:v>
                </c:pt>
                <c:pt idx="7">
                  <c:v>Netherlands</c:v>
                </c:pt>
                <c:pt idx="8">
                  <c:v>Poland</c:v>
                </c:pt>
                <c:pt idx="9">
                  <c:v>Spain</c:v>
                </c:pt>
                <c:pt idx="10">
                  <c:v>Sweden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'Forage crops, CF'!$F$73:$F$127</c15:sqref>
                  </c15:fullRef>
                </c:ext>
              </c:extLst>
              <c:f>('Forage crops, CF'!$F$77,'Forage crops, CF'!$F$82,'Forage crops, CF'!$F$87,'Forage crops, CF'!$F$92,'Forage crops, CF'!$F$97,'Forage crops, CF'!$F$102,'Forage crops, CF'!$F$107,'Forage crops, CF'!$F$112,'Forage crops, CF'!$F$117,'Forage crops, CF'!$F$122,'Forage crops, CF'!$F$127)</c:f>
              <c:numCache>
                <c:formatCode>0.000</c:formatCode>
                <c:ptCount val="11"/>
                <c:pt idx="0">
                  <c:v>1.5212301592451271E-2</c:v>
                </c:pt>
                <c:pt idx="1">
                  <c:v>3.0261176034673178E-2</c:v>
                </c:pt>
                <c:pt idx="2">
                  <c:v>2.0269412690915308E-2</c:v>
                </c:pt>
                <c:pt idx="3">
                  <c:v>0.16531105221662676</c:v>
                </c:pt>
                <c:pt idx="4">
                  <c:v>7.6439243865802392E-2</c:v>
                </c:pt>
                <c:pt idx="5">
                  <c:v>5.4019918290839623E-2</c:v>
                </c:pt>
                <c:pt idx="6">
                  <c:v>5.8236545069103474E-2</c:v>
                </c:pt>
                <c:pt idx="7">
                  <c:v>6.3802001862889451E-2</c:v>
                </c:pt>
                <c:pt idx="8">
                  <c:v>5.297851696298507E-2</c:v>
                </c:pt>
                <c:pt idx="9">
                  <c:v>3.5117151206294411E-2</c:v>
                </c:pt>
                <c:pt idx="10">
                  <c:v>3.2353634923456949E-2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09-405F-A7BC-7A80AE741F69}"/>
            </c:ext>
          </c:extLst>
        </c:ser>
        <c:ser>
          <c:idx val="2"/>
          <c:order val="1"/>
          <c:tx>
            <c:v>Capital goods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'Forage crops, CF'!$D$73:$D$127</c15:sqref>
                  </c15:fullRef>
                </c:ext>
              </c:extLst>
              <c:f>('Forage crops, CF'!$D$77,'Forage crops, CF'!$D$82,'Forage crops, CF'!$D$87,'Forage crops, CF'!$D$92,'Forage crops, CF'!$D$97,'Forage crops, CF'!$D$102,'Forage crops, CF'!$D$107,'Forage crops, CF'!$D$112,'Forage crops, CF'!$D$117,'Forage crops, CF'!$D$122,'Forage crops, CF'!$D$127)</c:f>
              <c:strCache>
                <c:ptCount val="11"/>
                <c:pt idx="0">
                  <c:v>Denmark</c:v>
                </c:pt>
                <c:pt idx="1">
                  <c:v>France</c:v>
                </c:pt>
                <c:pt idx="2">
                  <c:v>Germany</c:v>
                </c:pt>
                <c:pt idx="3">
                  <c:v>Greece</c:v>
                </c:pt>
                <c:pt idx="4">
                  <c:v>Hungary</c:v>
                </c:pt>
                <c:pt idx="5">
                  <c:v>Ireland</c:v>
                </c:pt>
                <c:pt idx="6">
                  <c:v>Italy</c:v>
                </c:pt>
                <c:pt idx="7">
                  <c:v>Netherlands</c:v>
                </c:pt>
                <c:pt idx="8">
                  <c:v>Poland</c:v>
                </c:pt>
                <c:pt idx="9">
                  <c:v>Spain</c:v>
                </c:pt>
                <c:pt idx="10">
                  <c:v>Sweden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'Forage crops, CF'!$G$73:$G$127</c15:sqref>
                  </c15:fullRef>
                </c:ext>
              </c:extLst>
              <c:f>('Forage crops, CF'!$G$77,'Forage crops, CF'!$G$82,'Forage crops, CF'!$G$87,'Forage crops, CF'!$G$92,'Forage crops, CF'!$G$97,'Forage crops, CF'!$G$102,'Forage crops, CF'!$G$107,'Forage crops, CF'!$G$112,'Forage crops, CF'!$G$117,'Forage crops, CF'!$G$122,'Forage crops, CF'!$G$127)</c:f>
              <c:numCache>
                <c:formatCode>0.000</c:formatCode>
                <c:ptCount val="11"/>
                <c:pt idx="0">
                  <c:v>3.01313E-2</c:v>
                </c:pt>
                <c:pt idx="1">
                  <c:v>3.01313E-2</c:v>
                </c:pt>
                <c:pt idx="2">
                  <c:v>3.01313E-2</c:v>
                </c:pt>
                <c:pt idx="3">
                  <c:v>3.01313E-2</c:v>
                </c:pt>
                <c:pt idx="4">
                  <c:v>3.01313E-2</c:v>
                </c:pt>
                <c:pt idx="5">
                  <c:v>3.01313E-2</c:v>
                </c:pt>
                <c:pt idx="6">
                  <c:v>3.01313E-2</c:v>
                </c:pt>
                <c:pt idx="7">
                  <c:v>3.01313E-2</c:v>
                </c:pt>
                <c:pt idx="8">
                  <c:v>3.01313E-2</c:v>
                </c:pt>
                <c:pt idx="9">
                  <c:v>3.01313E-2</c:v>
                </c:pt>
                <c:pt idx="10">
                  <c:v>3.01313E-2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09-405F-A7BC-7A80AE741F69}"/>
            </c:ext>
          </c:extLst>
        </c:ser>
        <c:ser>
          <c:idx val="3"/>
          <c:order val="2"/>
          <c:tx>
            <c:v>Direct N2O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'Forage crops, CF'!$D$73:$D$127</c15:sqref>
                  </c15:fullRef>
                </c:ext>
              </c:extLst>
              <c:f>('Forage crops, CF'!$D$77,'Forage crops, CF'!$D$82,'Forage crops, CF'!$D$87,'Forage crops, CF'!$D$92,'Forage crops, CF'!$D$97,'Forage crops, CF'!$D$102,'Forage crops, CF'!$D$107,'Forage crops, CF'!$D$112,'Forage crops, CF'!$D$117,'Forage crops, CF'!$D$122,'Forage crops, CF'!$D$127)</c:f>
              <c:strCache>
                <c:ptCount val="11"/>
                <c:pt idx="0">
                  <c:v>Denmark</c:v>
                </c:pt>
                <c:pt idx="1">
                  <c:v>France</c:v>
                </c:pt>
                <c:pt idx="2">
                  <c:v>Germany</c:v>
                </c:pt>
                <c:pt idx="3">
                  <c:v>Greece</c:v>
                </c:pt>
                <c:pt idx="4">
                  <c:v>Hungary</c:v>
                </c:pt>
                <c:pt idx="5">
                  <c:v>Ireland</c:v>
                </c:pt>
                <c:pt idx="6">
                  <c:v>Italy</c:v>
                </c:pt>
                <c:pt idx="7">
                  <c:v>Netherlands</c:v>
                </c:pt>
                <c:pt idx="8">
                  <c:v>Poland</c:v>
                </c:pt>
                <c:pt idx="9">
                  <c:v>Spain</c:v>
                </c:pt>
                <c:pt idx="10">
                  <c:v>Sweden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'Forage crops, CF'!$H$73:$H$127</c15:sqref>
                  </c15:fullRef>
                </c:ext>
              </c:extLst>
              <c:f>('Forage crops, CF'!$H$77,'Forage crops, CF'!$H$82,'Forage crops, CF'!$H$87,'Forage crops, CF'!$H$92,'Forage crops, CF'!$H$97,'Forage crops, CF'!$H$102,'Forage crops, CF'!$H$107,'Forage crops, CF'!$H$112,'Forage crops, CF'!$H$117,'Forage crops, CF'!$H$122,'Forage crops, CF'!$H$127)</c:f>
              <c:numCache>
                <c:formatCode>0.000</c:formatCode>
                <c:ptCount val="11"/>
                <c:pt idx="0">
                  <c:v>2.5299136463246403E-2</c:v>
                </c:pt>
                <c:pt idx="1">
                  <c:v>3.7990778054647803E-2</c:v>
                </c:pt>
                <c:pt idx="2">
                  <c:v>2.6980683865700381E-2</c:v>
                </c:pt>
                <c:pt idx="3">
                  <c:v>0.18680453652881251</c:v>
                </c:pt>
                <c:pt idx="4">
                  <c:v>8.8875177413642106E-2</c:v>
                </c:pt>
                <c:pt idx="5">
                  <c:v>6.4170940759836148E-2</c:v>
                </c:pt>
                <c:pt idx="6">
                  <c:v>6.8817313616267542E-2</c:v>
                </c:pt>
                <c:pt idx="7">
                  <c:v>7.4949985237476618E-2</c:v>
                </c:pt>
                <c:pt idx="8">
                  <c:v>6.302340290153241E-2</c:v>
                </c:pt>
                <c:pt idx="9">
                  <c:v>4.334165979386962E-2</c:v>
                </c:pt>
                <c:pt idx="10">
                  <c:v>4.8571836564416049E-2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C09-405F-A7BC-7A80AE741F69}"/>
            </c:ext>
          </c:extLst>
        </c:ser>
        <c:ser>
          <c:idx val="4"/>
          <c:order val="3"/>
          <c:tx>
            <c:v>Indirect N2O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'Forage crops, CF'!$D$73:$D$127</c15:sqref>
                  </c15:fullRef>
                </c:ext>
              </c:extLst>
              <c:f>('Forage crops, CF'!$D$77,'Forage crops, CF'!$D$82,'Forage crops, CF'!$D$87,'Forage crops, CF'!$D$92,'Forage crops, CF'!$D$97,'Forage crops, CF'!$D$102,'Forage crops, CF'!$D$107,'Forage crops, CF'!$D$112,'Forage crops, CF'!$D$117,'Forage crops, CF'!$D$122,'Forage crops, CF'!$D$127)</c:f>
              <c:strCache>
                <c:ptCount val="11"/>
                <c:pt idx="0">
                  <c:v>Denmark</c:v>
                </c:pt>
                <c:pt idx="1">
                  <c:v>France</c:v>
                </c:pt>
                <c:pt idx="2">
                  <c:v>Germany</c:v>
                </c:pt>
                <c:pt idx="3">
                  <c:v>Greece</c:v>
                </c:pt>
                <c:pt idx="4">
                  <c:v>Hungary</c:v>
                </c:pt>
                <c:pt idx="5">
                  <c:v>Ireland</c:v>
                </c:pt>
                <c:pt idx="6">
                  <c:v>Italy</c:v>
                </c:pt>
                <c:pt idx="7">
                  <c:v>Netherlands</c:v>
                </c:pt>
                <c:pt idx="8">
                  <c:v>Poland</c:v>
                </c:pt>
                <c:pt idx="9">
                  <c:v>Spain</c:v>
                </c:pt>
                <c:pt idx="10">
                  <c:v>Sweden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'Forage crops, CF'!$I$73:$I$127</c15:sqref>
                  </c15:fullRef>
                </c:ext>
              </c:extLst>
              <c:f>('Forage crops, CF'!$I$77,'Forage crops, CF'!$I$82,'Forage crops, CF'!$I$87,'Forage crops, CF'!$I$92,'Forage crops, CF'!$I$97,'Forage crops, CF'!$I$102,'Forage crops, CF'!$I$107,'Forage crops, CF'!$I$112,'Forage crops, CF'!$I$117,'Forage crops, CF'!$I$122,'Forage crops, CF'!$I$127)</c:f>
              <c:numCache>
                <c:formatCode>0.000</c:formatCode>
                <c:ptCount val="11"/>
                <c:pt idx="0">
                  <c:v>2.5299136463246405E-3</c:v>
                </c:pt>
                <c:pt idx="1">
                  <c:v>3.79907780546478E-3</c:v>
                </c:pt>
                <c:pt idx="2">
                  <c:v>2.6980683865700382E-3</c:v>
                </c:pt>
                <c:pt idx="3">
                  <c:v>1.8680453652881252E-2</c:v>
                </c:pt>
                <c:pt idx="4">
                  <c:v>8.8875177413642106E-3</c:v>
                </c:pt>
                <c:pt idx="5">
                  <c:v>6.417094075983616E-3</c:v>
                </c:pt>
                <c:pt idx="6">
                  <c:v>6.881731361626754E-3</c:v>
                </c:pt>
                <c:pt idx="7">
                  <c:v>7.4949985237476625E-3</c:v>
                </c:pt>
                <c:pt idx="8">
                  <c:v>6.3023402901532417E-3</c:v>
                </c:pt>
                <c:pt idx="9">
                  <c:v>4.3341659793869614E-3</c:v>
                </c:pt>
                <c:pt idx="10">
                  <c:v>4.8571836564416044E-3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C09-405F-A7BC-7A80AE741F69}"/>
            </c:ext>
          </c:extLst>
        </c:ser>
        <c:ser>
          <c:idx val="5"/>
          <c:order val="4"/>
          <c:tx>
            <c:v>Diesel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'Forage crops, CF'!$D$73:$D$127</c15:sqref>
                  </c15:fullRef>
                </c:ext>
              </c:extLst>
              <c:f>('Forage crops, CF'!$D$77,'Forage crops, CF'!$D$82,'Forage crops, CF'!$D$87,'Forage crops, CF'!$D$92,'Forage crops, CF'!$D$97,'Forage crops, CF'!$D$102,'Forage crops, CF'!$D$107,'Forage crops, CF'!$D$112,'Forage crops, CF'!$D$117,'Forage crops, CF'!$D$122,'Forage crops, CF'!$D$127)</c:f>
              <c:strCache>
                <c:ptCount val="11"/>
                <c:pt idx="0">
                  <c:v>Denmark</c:v>
                </c:pt>
                <c:pt idx="1">
                  <c:v>France</c:v>
                </c:pt>
                <c:pt idx="2">
                  <c:v>Germany</c:v>
                </c:pt>
                <c:pt idx="3">
                  <c:v>Greece</c:v>
                </c:pt>
                <c:pt idx="4">
                  <c:v>Hungary</c:v>
                </c:pt>
                <c:pt idx="5">
                  <c:v>Ireland</c:v>
                </c:pt>
                <c:pt idx="6">
                  <c:v>Italy</c:v>
                </c:pt>
                <c:pt idx="7">
                  <c:v>Netherlands</c:v>
                </c:pt>
                <c:pt idx="8">
                  <c:v>Poland</c:v>
                </c:pt>
                <c:pt idx="9">
                  <c:v>Spain</c:v>
                </c:pt>
                <c:pt idx="10">
                  <c:v>Sweden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'Forage crops, CF'!$J$73:$J$127</c15:sqref>
                  </c15:fullRef>
                </c:ext>
              </c:extLst>
              <c:f>('Forage crops, CF'!$J$77,'Forage crops, CF'!$J$82,'Forage crops, CF'!$J$87,'Forage crops, CF'!$J$92,'Forage crops, CF'!$J$97,'Forage crops, CF'!$J$102,'Forage crops, CF'!$J$107,'Forage crops, CF'!$J$112,'Forage crops, CF'!$J$117,'Forage crops, CF'!$J$122,'Forage crops, CF'!$J$127)</c:f>
              <c:numCache>
                <c:formatCode>0.000</c:formatCode>
                <c:ptCount val="11"/>
                <c:pt idx="0">
                  <c:v>1.6104850122497835E-2</c:v>
                </c:pt>
                <c:pt idx="1">
                  <c:v>1.6775002230573311E-2</c:v>
                </c:pt>
                <c:pt idx="2">
                  <c:v>1.3659646590488472E-2</c:v>
                </c:pt>
                <c:pt idx="3">
                  <c:v>3.1564423324806551E-2</c:v>
                </c:pt>
                <c:pt idx="4">
                  <c:v>2.1951926542895964E-2</c:v>
                </c:pt>
                <c:pt idx="5">
                  <c:v>1.3261552271447692E-2</c:v>
                </c:pt>
                <c:pt idx="6">
                  <c:v>1.1013914042783962E-2</c:v>
                </c:pt>
                <c:pt idx="7">
                  <c:v>1.3166760971704331E-2</c:v>
                </c:pt>
                <c:pt idx="8">
                  <c:v>1.3565147853375367E-2</c:v>
                </c:pt>
                <c:pt idx="9">
                  <c:v>2.1944468280114801E-2</c:v>
                </c:pt>
                <c:pt idx="10">
                  <c:v>1.95725221156858E-2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C09-405F-A7BC-7A80AE741F69}"/>
            </c:ext>
          </c:extLst>
        </c:ser>
        <c:ser>
          <c:idx val="7"/>
          <c:order val="5"/>
          <c:tx>
            <c:v>Irrigation</c:v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'Forage crops, CF'!$D$73:$D$127</c15:sqref>
                  </c15:fullRef>
                </c:ext>
              </c:extLst>
              <c:f>('Forage crops, CF'!$D$77,'Forage crops, CF'!$D$82,'Forage crops, CF'!$D$87,'Forage crops, CF'!$D$92,'Forage crops, CF'!$D$97,'Forage crops, CF'!$D$102,'Forage crops, CF'!$D$107,'Forage crops, CF'!$D$112,'Forage crops, CF'!$D$117,'Forage crops, CF'!$D$122,'Forage crops, CF'!$D$127)</c:f>
              <c:strCache>
                <c:ptCount val="11"/>
                <c:pt idx="0">
                  <c:v>Denmark</c:v>
                </c:pt>
                <c:pt idx="1">
                  <c:v>France</c:v>
                </c:pt>
                <c:pt idx="2">
                  <c:v>Germany</c:v>
                </c:pt>
                <c:pt idx="3">
                  <c:v>Greece</c:v>
                </c:pt>
                <c:pt idx="4">
                  <c:v>Hungary</c:v>
                </c:pt>
                <c:pt idx="5">
                  <c:v>Ireland</c:v>
                </c:pt>
                <c:pt idx="6">
                  <c:v>Italy</c:v>
                </c:pt>
                <c:pt idx="7">
                  <c:v>Netherlands</c:v>
                </c:pt>
                <c:pt idx="8">
                  <c:v>Poland</c:v>
                </c:pt>
                <c:pt idx="9">
                  <c:v>Spain</c:v>
                </c:pt>
                <c:pt idx="10">
                  <c:v>Sweden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'Forage crops, CF'!$L$73:$L$127</c15:sqref>
                  </c15:fullRef>
                </c:ext>
              </c:extLst>
              <c:f>('Forage crops, CF'!$L$77,'Forage crops, CF'!$L$82,'Forage crops, CF'!$L$87,'Forage crops, CF'!$L$92,'Forage crops, CF'!$L$97,'Forage crops, CF'!$L$102,'Forage crops, CF'!$L$107,'Forage crops, CF'!$L$112,'Forage crops, CF'!$L$117,'Forage crops, CF'!$L$122,'Forage crops, CF'!$L$127)</c:f>
              <c:numCache>
                <c:formatCode>0.000</c:formatCode>
                <c:ptCount val="11"/>
                <c:pt idx="0">
                  <c:v>3.3605149173253895E-3</c:v>
                </c:pt>
                <c:pt idx="1">
                  <c:v>7.5847495497935995E-3</c:v>
                </c:pt>
                <c:pt idx="2">
                  <c:v>1.7503268191831382E-3</c:v>
                </c:pt>
                <c:pt idx="3">
                  <c:v>1.7169872607225072E-2</c:v>
                </c:pt>
                <c:pt idx="4">
                  <c:v>1.6669779230315599E-4</c:v>
                </c:pt>
                <c:pt idx="5">
                  <c:v>7.251353965187288E-3</c:v>
                </c:pt>
                <c:pt idx="6">
                  <c:v>8.3348896151578013E-3</c:v>
                </c:pt>
                <c:pt idx="7">
                  <c:v>5.1418489548209732E-3</c:v>
                </c:pt>
                <c:pt idx="8">
                  <c:v>1.0001867538189362E-3</c:v>
                </c:pt>
                <c:pt idx="9">
                  <c:v>3.0053488456982014E-2</c:v>
                </c:pt>
                <c:pt idx="10">
                  <c:v>4.1674448075789015E-3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C09-405F-A7BC-7A80AE741F69}"/>
            </c:ext>
          </c:extLst>
        </c:ser>
        <c:ser>
          <c:idx val="10"/>
          <c:order val="6"/>
          <c:tx>
            <c:v>Feed processing</c:v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'Forage crops, CF'!$D$73:$D$127</c15:sqref>
                  </c15:fullRef>
                </c:ext>
              </c:extLst>
              <c:f>('Forage crops, CF'!$D$77,'Forage crops, CF'!$D$82,'Forage crops, CF'!$D$87,'Forage crops, CF'!$D$92,'Forage crops, CF'!$D$97,'Forage crops, CF'!$D$102,'Forage crops, CF'!$D$107,'Forage crops, CF'!$D$112,'Forage crops, CF'!$D$117,'Forage crops, CF'!$D$122,'Forage crops, CF'!$D$127)</c:f>
              <c:strCache>
                <c:ptCount val="11"/>
                <c:pt idx="0">
                  <c:v>Denmark</c:v>
                </c:pt>
                <c:pt idx="1">
                  <c:v>France</c:v>
                </c:pt>
                <c:pt idx="2">
                  <c:v>Germany</c:v>
                </c:pt>
                <c:pt idx="3">
                  <c:v>Greece</c:v>
                </c:pt>
                <c:pt idx="4">
                  <c:v>Hungary</c:v>
                </c:pt>
                <c:pt idx="5">
                  <c:v>Ireland</c:v>
                </c:pt>
                <c:pt idx="6">
                  <c:v>Italy</c:v>
                </c:pt>
                <c:pt idx="7">
                  <c:v>Netherlands</c:v>
                </c:pt>
                <c:pt idx="8">
                  <c:v>Poland</c:v>
                </c:pt>
                <c:pt idx="9">
                  <c:v>Spain</c:v>
                </c:pt>
                <c:pt idx="10">
                  <c:v>Sweden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'Forage crops, CF'!$O$73:$O$127</c15:sqref>
                  </c15:fullRef>
                </c:ext>
              </c:extLst>
              <c:f>('Forage crops, CF'!$O$77,'Forage crops, CF'!$O$82,'Forage crops, CF'!$O$87,'Forage crops, CF'!$O$92,'Forage crops, CF'!$O$97,'Forage crops, CF'!$O$102,'Forage crops, CF'!$O$107,'Forage crops, CF'!$O$112,'Forage crops, CF'!$O$117,'Forage crops, CF'!$O$122,'Forage crops, CF'!$O$127)</c:f>
              <c:numCache>
                <c:formatCode>0.000</c:formatCode>
                <c:ptCount val="11"/>
                <c:pt idx="0">
                  <c:v>8.6389700000000014E-2</c:v>
                </c:pt>
                <c:pt idx="1">
                  <c:v>8.6389700000000014E-2</c:v>
                </c:pt>
                <c:pt idx="2">
                  <c:v>8.6389700000000014E-2</c:v>
                </c:pt>
                <c:pt idx="3">
                  <c:v>8.6389700000000014E-2</c:v>
                </c:pt>
                <c:pt idx="4">
                  <c:v>8.6389700000000014E-2</c:v>
                </c:pt>
                <c:pt idx="5">
                  <c:v>8.6389700000000014E-2</c:v>
                </c:pt>
                <c:pt idx="6">
                  <c:v>8.6389700000000014E-2</c:v>
                </c:pt>
                <c:pt idx="7">
                  <c:v>8.6389700000000014E-2</c:v>
                </c:pt>
                <c:pt idx="8">
                  <c:v>8.6389700000000014E-2</c:v>
                </c:pt>
                <c:pt idx="9">
                  <c:v>8.6389700000000014E-2</c:v>
                </c:pt>
                <c:pt idx="10">
                  <c:v>8.6389700000000014E-2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C09-405F-A7BC-7A80AE741F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16577056"/>
        <c:axId val="1725772016"/>
      </c:barChart>
      <c:catAx>
        <c:axId val="71657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725772016"/>
        <c:crosses val="autoZero"/>
        <c:auto val="1"/>
        <c:lblAlgn val="ctr"/>
        <c:lblOffset val="100"/>
        <c:noMultiLvlLbl val="0"/>
      </c:catAx>
      <c:valAx>
        <c:axId val="172577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/>
                  <a:t>kg CO2e per kg DM feed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716577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Ley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barChart>
        <c:barDir val="col"/>
        <c:grouping val="stacked"/>
        <c:varyColors val="0"/>
        <c:ser>
          <c:idx val="2"/>
          <c:order val="0"/>
          <c:tx>
            <c:v>Mineral fertilisers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'Forage crops, CF'!$D$142:$D$192</c15:sqref>
                  </c15:fullRef>
                </c:ext>
              </c:extLst>
              <c:f>('Forage crops, CF'!$D$142,'Forage crops, CF'!$D$147,'Forage crops, CF'!$D$152,'Forage crops, CF'!$D$157,'Forage crops, CF'!$D$162,'Forage crops, CF'!$D$167,'Forage crops, CF'!$D$172,'Forage crops, CF'!$D$177,'Forage crops, CF'!$D$182,'Forage crops, CF'!$D$187,'Forage crops, CF'!$D$192)</c:f>
              <c:strCache>
                <c:ptCount val="11"/>
                <c:pt idx="0">
                  <c:v>Denmark</c:v>
                </c:pt>
                <c:pt idx="1">
                  <c:v>France</c:v>
                </c:pt>
                <c:pt idx="2">
                  <c:v>Germany</c:v>
                </c:pt>
                <c:pt idx="3">
                  <c:v>Greece</c:v>
                </c:pt>
                <c:pt idx="4">
                  <c:v>Hungary</c:v>
                </c:pt>
                <c:pt idx="5">
                  <c:v>Ireland</c:v>
                </c:pt>
                <c:pt idx="6">
                  <c:v>Italy</c:v>
                </c:pt>
                <c:pt idx="7">
                  <c:v>Netherlands</c:v>
                </c:pt>
                <c:pt idx="8">
                  <c:v>Poland</c:v>
                </c:pt>
                <c:pt idx="9">
                  <c:v>Spain</c:v>
                </c:pt>
                <c:pt idx="10">
                  <c:v>Sweden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'Forage crops, CF'!$F$142:$F$192</c15:sqref>
                  </c15:fullRef>
                </c:ext>
              </c:extLst>
              <c:f>('Forage crops, CF'!$F$142,'Forage crops, CF'!$F$147,'Forage crops, CF'!$F$152,'Forage crops, CF'!$F$157,'Forage crops, CF'!$F$162,'Forage crops, CF'!$F$167,'Forage crops, CF'!$F$172,'Forage crops, CF'!$F$177,'Forage crops, CF'!$F$182,'Forage crops, CF'!$F$187,'Forage crops, CF'!$F$192)</c:f>
              <c:numCache>
                <c:formatCode>0.000</c:formatCode>
                <c:ptCount val="11"/>
                <c:pt idx="0">
                  <c:v>1.3593978778964316E-2</c:v>
                </c:pt>
                <c:pt idx="1">
                  <c:v>2.9835890327817659E-2</c:v>
                </c:pt>
                <c:pt idx="2">
                  <c:v>3.4963537377244516E-2</c:v>
                </c:pt>
                <c:pt idx="3">
                  <c:v>3.5987145443398816E-2</c:v>
                </c:pt>
                <c:pt idx="4">
                  <c:v>3.5987145443398816E-2</c:v>
                </c:pt>
                <c:pt idx="5">
                  <c:v>3.5987145443398816E-2</c:v>
                </c:pt>
                <c:pt idx="6">
                  <c:v>4.4064225611284813E-2</c:v>
                </c:pt>
                <c:pt idx="7">
                  <c:v>0.16081751765036911</c:v>
                </c:pt>
                <c:pt idx="8">
                  <c:v>3.5987145443398816E-2</c:v>
                </c:pt>
                <c:pt idx="9">
                  <c:v>3.5987145443398816E-2</c:v>
                </c:pt>
                <c:pt idx="10">
                  <c:v>2.3285337258642805E-2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D3-4D4F-AF81-9DD921C10045}"/>
            </c:ext>
          </c:extLst>
        </c:ser>
        <c:ser>
          <c:idx val="3"/>
          <c:order val="1"/>
          <c:tx>
            <c:v>Capital goods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'Forage crops, CF'!$D$142:$D$192</c15:sqref>
                  </c15:fullRef>
                </c:ext>
              </c:extLst>
              <c:f>('Forage crops, CF'!$D$142,'Forage crops, CF'!$D$147,'Forage crops, CF'!$D$152,'Forage crops, CF'!$D$157,'Forage crops, CF'!$D$162,'Forage crops, CF'!$D$167,'Forage crops, CF'!$D$172,'Forage crops, CF'!$D$177,'Forage crops, CF'!$D$182,'Forage crops, CF'!$D$187,'Forage crops, CF'!$D$192)</c:f>
              <c:strCache>
                <c:ptCount val="11"/>
                <c:pt idx="0">
                  <c:v>Denmark</c:v>
                </c:pt>
                <c:pt idx="1">
                  <c:v>France</c:v>
                </c:pt>
                <c:pt idx="2">
                  <c:v>Germany</c:v>
                </c:pt>
                <c:pt idx="3">
                  <c:v>Greece</c:v>
                </c:pt>
                <c:pt idx="4">
                  <c:v>Hungary</c:v>
                </c:pt>
                <c:pt idx="5">
                  <c:v>Ireland</c:v>
                </c:pt>
                <c:pt idx="6">
                  <c:v>Italy</c:v>
                </c:pt>
                <c:pt idx="7">
                  <c:v>Netherlands</c:v>
                </c:pt>
                <c:pt idx="8">
                  <c:v>Poland</c:v>
                </c:pt>
                <c:pt idx="9">
                  <c:v>Spain</c:v>
                </c:pt>
                <c:pt idx="10">
                  <c:v>Sweden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'Forage crops, CF'!$G$142:$G$192</c15:sqref>
                  </c15:fullRef>
                </c:ext>
              </c:extLst>
              <c:f>('Forage crops, CF'!$G$142,'Forage crops, CF'!$G$147,'Forage crops, CF'!$G$152,'Forage crops, CF'!$G$157,'Forage crops, CF'!$G$162,'Forage crops, CF'!$G$167,'Forage crops, CF'!$G$172,'Forage crops, CF'!$G$177,'Forage crops, CF'!$G$182,'Forage crops, CF'!$G$187,'Forage crops, CF'!$G$192)</c:f>
              <c:numCache>
                <c:formatCode>0.000</c:formatCode>
                <c:ptCount val="11"/>
                <c:pt idx="0">
                  <c:v>3.01313E-2</c:v>
                </c:pt>
                <c:pt idx="1">
                  <c:v>3.01313E-2</c:v>
                </c:pt>
                <c:pt idx="2">
                  <c:v>3.01313E-2</c:v>
                </c:pt>
                <c:pt idx="3">
                  <c:v>3.01313E-2</c:v>
                </c:pt>
                <c:pt idx="4">
                  <c:v>3.01313E-2</c:v>
                </c:pt>
                <c:pt idx="5">
                  <c:v>3.01313E-2</c:v>
                </c:pt>
                <c:pt idx="6">
                  <c:v>3.01313E-2</c:v>
                </c:pt>
                <c:pt idx="7">
                  <c:v>3.01313E-2</c:v>
                </c:pt>
                <c:pt idx="8">
                  <c:v>3.01313E-2</c:v>
                </c:pt>
                <c:pt idx="9">
                  <c:v>3.01313E-2</c:v>
                </c:pt>
                <c:pt idx="10">
                  <c:v>3.01313E-2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D3-4D4F-AF81-9DD921C10045}"/>
            </c:ext>
          </c:extLst>
        </c:ser>
        <c:ser>
          <c:idx val="4"/>
          <c:order val="2"/>
          <c:tx>
            <c:v>Direct N2O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'Forage crops, CF'!$D$142:$D$192</c15:sqref>
                  </c15:fullRef>
                </c:ext>
              </c:extLst>
              <c:f>('Forage crops, CF'!$D$142,'Forage crops, CF'!$D$147,'Forage crops, CF'!$D$152,'Forage crops, CF'!$D$157,'Forage crops, CF'!$D$162,'Forage crops, CF'!$D$167,'Forage crops, CF'!$D$172,'Forage crops, CF'!$D$177,'Forage crops, CF'!$D$182,'Forage crops, CF'!$D$187,'Forage crops, CF'!$D$192)</c:f>
              <c:strCache>
                <c:ptCount val="11"/>
                <c:pt idx="0">
                  <c:v>Denmark</c:v>
                </c:pt>
                <c:pt idx="1">
                  <c:v>France</c:v>
                </c:pt>
                <c:pt idx="2">
                  <c:v>Germany</c:v>
                </c:pt>
                <c:pt idx="3">
                  <c:v>Greece</c:v>
                </c:pt>
                <c:pt idx="4">
                  <c:v>Hungary</c:v>
                </c:pt>
                <c:pt idx="5">
                  <c:v>Ireland</c:v>
                </c:pt>
                <c:pt idx="6">
                  <c:v>Italy</c:v>
                </c:pt>
                <c:pt idx="7">
                  <c:v>Netherlands</c:v>
                </c:pt>
                <c:pt idx="8">
                  <c:v>Poland</c:v>
                </c:pt>
                <c:pt idx="9">
                  <c:v>Spain</c:v>
                </c:pt>
                <c:pt idx="10">
                  <c:v>Sweden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'Forage crops, CF'!$H$142:$H$192</c15:sqref>
                  </c15:fullRef>
                </c:ext>
              </c:extLst>
              <c:f>('Forage crops, CF'!$H$142,'Forage crops, CF'!$H$147,'Forage crops, CF'!$H$152,'Forage crops, CF'!$H$157,'Forage crops, CF'!$H$162,'Forage crops, CF'!$H$167,'Forage crops, CF'!$H$172,'Forage crops, CF'!$H$177,'Forage crops, CF'!$H$182,'Forage crops, CF'!$H$187,'Forage crops, CF'!$H$192)</c:f>
              <c:numCache>
                <c:formatCode>0.000</c:formatCode>
                <c:ptCount val="11"/>
                <c:pt idx="0">
                  <c:v>2.6323648670830421E-2</c:v>
                </c:pt>
                <c:pt idx="1">
                  <c:v>4.0743849259617014E-2</c:v>
                </c:pt>
                <c:pt idx="2">
                  <c:v>4.6394090867584795E-2</c:v>
                </c:pt>
                <c:pt idx="3">
                  <c:v>4.7522022027800453E-2</c:v>
                </c:pt>
                <c:pt idx="4">
                  <c:v>4.752202202780046E-2</c:v>
                </c:pt>
                <c:pt idx="5">
                  <c:v>4.752202202780046E-2</c:v>
                </c:pt>
                <c:pt idx="6">
                  <c:v>5.6422294218060123E-2</c:v>
                </c:pt>
                <c:pt idx="7">
                  <c:v>0.18507473503303087</c:v>
                </c:pt>
                <c:pt idx="8">
                  <c:v>4.752202202780046E-2</c:v>
                </c:pt>
                <c:pt idx="9">
                  <c:v>4.752202202780046E-2</c:v>
                </c:pt>
                <c:pt idx="10">
                  <c:v>3.9481556233511947E-2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D3-4D4F-AF81-9DD921C10045}"/>
            </c:ext>
          </c:extLst>
        </c:ser>
        <c:ser>
          <c:idx val="5"/>
          <c:order val="3"/>
          <c:tx>
            <c:v>Indirect N2O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'Forage crops, CF'!$D$142:$D$192</c15:sqref>
                  </c15:fullRef>
                </c:ext>
              </c:extLst>
              <c:f>('Forage crops, CF'!$D$142,'Forage crops, CF'!$D$147,'Forage crops, CF'!$D$152,'Forage crops, CF'!$D$157,'Forage crops, CF'!$D$162,'Forage crops, CF'!$D$167,'Forage crops, CF'!$D$172,'Forage crops, CF'!$D$177,'Forage crops, CF'!$D$182,'Forage crops, CF'!$D$187,'Forage crops, CF'!$D$192)</c:f>
              <c:strCache>
                <c:ptCount val="11"/>
                <c:pt idx="0">
                  <c:v>Denmark</c:v>
                </c:pt>
                <c:pt idx="1">
                  <c:v>France</c:v>
                </c:pt>
                <c:pt idx="2">
                  <c:v>Germany</c:v>
                </c:pt>
                <c:pt idx="3">
                  <c:v>Greece</c:v>
                </c:pt>
                <c:pt idx="4">
                  <c:v>Hungary</c:v>
                </c:pt>
                <c:pt idx="5">
                  <c:v>Ireland</c:v>
                </c:pt>
                <c:pt idx="6">
                  <c:v>Italy</c:v>
                </c:pt>
                <c:pt idx="7">
                  <c:v>Netherlands</c:v>
                </c:pt>
                <c:pt idx="8">
                  <c:v>Poland</c:v>
                </c:pt>
                <c:pt idx="9">
                  <c:v>Spain</c:v>
                </c:pt>
                <c:pt idx="10">
                  <c:v>Sweden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'Forage crops, CF'!$I$142:$I$192</c15:sqref>
                  </c15:fullRef>
                </c:ext>
              </c:extLst>
              <c:f>('Forage crops, CF'!$I$142,'Forage crops, CF'!$I$147,'Forage crops, CF'!$I$152,'Forage crops, CF'!$I$157,'Forage crops, CF'!$I$162,'Forage crops, CF'!$I$167,'Forage crops, CF'!$I$172,'Forage crops, CF'!$I$177,'Forage crops, CF'!$I$182,'Forage crops, CF'!$I$187,'Forage crops, CF'!$I$192)</c:f>
              <c:numCache>
                <c:formatCode>0.000</c:formatCode>
                <c:ptCount val="11"/>
                <c:pt idx="0">
                  <c:v>2.632364867083042E-3</c:v>
                </c:pt>
                <c:pt idx="1">
                  <c:v>4.0743849259617018E-3</c:v>
                </c:pt>
                <c:pt idx="2">
                  <c:v>4.6394090867584786E-3</c:v>
                </c:pt>
                <c:pt idx="3">
                  <c:v>4.7522022027800459E-3</c:v>
                </c:pt>
                <c:pt idx="4">
                  <c:v>4.7522022027800459E-3</c:v>
                </c:pt>
                <c:pt idx="5">
                  <c:v>4.7522022027800459E-3</c:v>
                </c:pt>
                <c:pt idx="6">
                  <c:v>5.6422294218060123E-3</c:v>
                </c:pt>
                <c:pt idx="7">
                  <c:v>1.850747350330309E-2</c:v>
                </c:pt>
                <c:pt idx="8">
                  <c:v>4.7522022027800459E-3</c:v>
                </c:pt>
                <c:pt idx="9">
                  <c:v>4.7522022027800459E-3</c:v>
                </c:pt>
                <c:pt idx="10">
                  <c:v>3.9481556233511945E-3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D3-4D4F-AF81-9DD921C10045}"/>
            </c:ext>
          </c:extLst>
        </c:ser>
        <c:ser>
          <c:idx val="7"/>
          <c:order val="4"/>
          <c:tx>
            <c:v>Field operations</c:v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'Forage crops, CF'!$D$142:$D$192</c15:sqref>
                  </c15:fullRef>
                </c:ext>
              </c:extLst>
              <c:f>('Forage crops, CF'!$D$142,'Forage crops, CF'!$D$147,'Forage crops, CF'!$D$152,'Forage crops, CF'!$D$157,'Forage crops, CF'!$D$162,'Forage crops, CF'!$D$167,'Forage crops, CF'!$D$172,'Forage crops, CF'!$D$177,'Forage crops, CF'!$D$182,'Forage crops, CF'!$D$187,'Forage crops, CF'!$D$192)</c:f>
              <c:strCache>
                <c:ptCount val="11"/>
                <c:pt idx="0">
                  <c:v>Denmark</c:v>
                </c:pt>
                <c:pt idx="1">
                  <c:v>France</c:v>
                </c:pt>
                <c:pt idx="2">
                  <c:v>Germany</c:v>
                </c:pt>
                <c:pt idx="3">
                  <c:v>Greece</c:v>
                </c:pt>
                <c:pt idx="4">
                  <c:v>Hungary</c:v>
                </c:pt>
                <c:pt idx="5">
                  <c:v>Ireland</c:v>
                </c:pt>
                <c:pt idx="6">
                  <c:v>Italy</c:v>
                </c:pt>
                <c:pt idx="7">
                  <c:v>Netherlands</c:v>
                </c:pt>
                <c:pt idx="8">
                  <c:v>Poland</c:v>
                </c:pt>
                <c:pt idx="9">
                  <c:v>Spain</c:v>
                </c:pt>
                <c:pt idx="10">
                  <c:v>Sweden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'Forage crops, CF'!$J$142:$J$192</c15:sqref>
                  </c15:fullRef>
                </c:ext>
              </c:extLst>
              <c:f>('Forage crops, CF'!$J$142,'Forage crops, CF'!$J$147,'Forage crops, CF'!$J$152,'Forage crops, CF'!$J$157,'Forage crops, CF'!$J$162,'Forage crops, CF'!$J$167,'Forage crops, CF'!$J$172,'Forage crops, CF'!$J$177,'Forage crops, CF'!$J$182,'Forage crops, CF'!$J$187,'Forage crops, CF'!$J$192)</c:f>
              <c:numCache>
                <c:formatCode>0.000</c:formatCode>
                <c:ptCount val="11"/>
                <c:pt idx="0">
                  <c:v>1.0330936406066488E-2</c:v>
                </c:pt>
                <c:pt idx="1">
                  <c:v>1.3373866530534318E-2</c:v>
                </c:pt>
                <c:pt idx="2">
                  <c:v>1.3433418913001914E-2</c:v>
                </c:pt>
                <c:pt idx="3">
                  <c:v>3.3082704214679549E-2</c:v>
                </c:pt>
                <c:pt idx="4">
                  <c:v>4.969824898465218E-2</c:v>
                </c:pt>
                <c:pt idx="5">
                  <c:v>1.5013625608635414E-2</c:v>
                </c:pt>
                <c:pt idx="6">
                  <c:v>1.2374614147716767E-2</c:v>
                </c:pt>
                <c:pt idx="7">
                  <c:v>2.1025103145319253E-2</c:v>
                </c:pt>
                <c:pt idx="8">
                  <c:v>1.553543349653318E-2</c:v>
                </c:pt>
                <c:pt idx="9">
                  <c:v>2.2369244374722035E-2</c:v>
                </c:pt>
                <c:pt idx="10">
                  <c:v>1.4598268901454627E-2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ED3-4D4F-AF81-9DD921C10045}"/>
            </c:ext>
          </c:extLst>
        </c:ser>
        <c:ser>
          <c:idx val="0"/>
          <c:order val="5"/>
          <c:tx>
            <c:v>Irrigation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'Forage crops, CF'!$D$142:$D$192</c15:sqref>
                  </c15:fullRef>
                </c:ext>
              </c:extLst>
              <c:f>('Forage crops, CF'!$D$142,'Forage crops, CF'!$D$147,'Forage crops, CF'!$D$152,'Forage crops, CF'!$D$157,'Forage crops, CF'!$D$162,'Forage crops, CF'!$D$167,'Forage crops, CF'!$D$172,'Forage crops, CF'!$D$177,'Forage crops, CF'!$D$182,'Forage crops, CF'!$D$187,'Forage crops, CF'!$D$192)</c:f>
              <c:strCache>
                <c:ptCount val="11"/>
                <c:pt idx="0">
                  <c:v>Denmark</c:v>
                </c:pt>
                <c:pt idx="1">
                  <c:v>France</c:v>
                </c:pt>
                <c:pt idx="2">
                  <c:v>Germany</c:v>
                </c:pt>
                <c:pt idx="3">
                  <c:v>Greece</c:v>
                </c:pt>
                <c:pt idx="4">
                  <c:v>Hungary</c:v>
                </c:pt>
                <c:pt idx="5">
                  <c:v>Ireland</c:v>
                </c:pt>
                <c:pt idx="6">
                  <c:v>Italy</c:v>
                </c:pt>
                <c:pt idx="7">
                  <c:v>Netherlands</c:v>
                </c:pt>
                <c:pt idx="8">
                  <c:v>Poland</c:v>
                </c:pt>
                <c:pt idx="9">
                  <c:v>Spain</c:v>
                </c:pt>
                <c:pt idx="10">
                  <c:v>Sweden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'Forage crops, CF'!$L$142:$L$192</c15:sqref>
                  </c15:fullRef>
                </c:ext>
              </c:extLst>
              <c:f>('Forage crops, CF'!$L$142,'Forage crops, CF'!$L$147,'Forage crops, CF'!$L$152,'Forage crops, CF'!$L$157,'Forage crops, CF'!$L$162,'Forage crops, CF'!$L$167,'Forage crops, CF'!$L$172,'Forage crops, CF'!$L$177,'Forage crops, CF'!$L$182,'Forage crops, CF'!$L$187,'Forage crops, CF'!$L$192)</c:f>
              <c:numCache>
                <c:formatCode>0.000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ED3-4D4F-AF81-9DD921C10045}"/>
            </c:ext>
          </c:extLst>
        </c:ser>
        <c:ser>
          <c:idx val="9"/>
          <c:order val="6"/>
          <c:tx>
            <c:v>Feed processing</c:v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'Forage crops, CF'!$D$142:$D$192</c15:sqref>
                  </c15:fullRef>
                </c:ext>
              </c:extLst>
              <c:f>('Forage crops, CF'!$D$142,'Forage crops, CF'!$D$147,'Forage crops, CF'!$D$152,'Forage crops, CF'!$D$157,'Forage crops, CF'!$D$162,'Forage crops, CF'!$D$167,'Forage crops, CF'!$D$172,'Forage crops, CF'!$D$177,'Forage crops, CF'!$D$182,'Forage crops, CF'!$D$187,'Forage crops, CF'!$D$192)</c:f>
              <c:strCache>
                <c:ptCount val="11"/>
                <c:pt idx="0">
                  <c:v>Denmark</c:v>
                </c:pt>
                <c:pt idx="1">
                  <c:v>France</c:v>
                </c:pt>
                <c:pt idx="2">
                  <c:v>Germany</c:v>
                </c:pt>
                <c:pt idx="3">
                  <c:v>Greece</c:v>
                </c:pt>
                <c:pt idx="4">
                  <c:v>Hungary</c:v>
                </c:pt>
                <c:pt idx="5">
                  <c:v>Ireland</c:v>
                </c:pt>
                <c:pt idx="6">
                  <c:v>Italy</c:v>
                </c:pt>
                <c:pt idx="7">
                  <c:v>Netherlands</c:v>
                </c:pt>
                <c:pt idx="8">
                  <c:v>Poland</c:v>
                </c:pt>
                <c:pt idx="9">
                  <c:v>Spain</c:v>
                </c:pt>
                <c:pt idx="10">
                  <c:v>Sweden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'Forage crops, CF'!$O$142:$O$192</c15:sqref>
                  </c15:fullRef>
                </c:ext>
              </c:extLst>
              <c:f>('Forage crops, CF'!$O$142,'Forage crops, CF'!$O$147,'Forage crops, CF'!$O$152,'Forage crops, CF'!$O$157,'Forage crops, CF'!$O$162,'Forage crops, CF'!$O$167,'Forage crops, CF'!$O$172,'Forage crops, CF'!$O$177,'Forage crops, CF'!$O$182,'Forage crops, CF'!$O$187,'Forage crops, CF'!$O$192)</c:f>
              <c:numCache>
                <c:formatCode>0.000</c:formatCode>
                <c:ptCount val="11"/>
                <c:pt idx="0">
                  <c:v>8.6389700000000014E-2</c:v>
                </c:pt>
                <c:pt idx="1">
                  <c:v>8.6389700000000014E-2</c:v>
                </c:pt>
                <c:pt idx="2">
                  <c:v>8.6389700000000014E-2</c:v>
                </c:pt>
                <c:pt idx="3">
                  <c:v>8.6389700000000014E-2</c:v>
                </c:pt>
                <c:pt idx="4">
                  <c:v>8.6389700000000014E-2</c:v>
                </c:pt>
                <c:pt idx="5">
                  <c:v>8.6389700000000014E-2</c:v>
                </c:pt>
                <c:pt idx="6">
                  <c:v>8.6389700000000014E-2</c:v>
                </c:pt>
                <c:pt idx="7">
                  <c:v>8.6389700000000014E-2</c:v>
                </c:pt>
                <c:pt idx="8">
                  <c:v>8.6389700000000014E-2</c:v>
                </c:pt>
                <c:pt idx="9">
                  <c:v>8.6389700000000014E-2</c:v>
                </c:pt>
                <c:pt idx="10">
                  <c:v>8.6389700000000014E-2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ED3-4D4F-AF81-9DD921C100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16577056"/>
        <c:axId val="1725772016"/>
      </c:barChart>
      <c:catAx>
        <c:axId val="71657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725772016"/>
        <c:crosses val="autoZero"/>
        <c:auto val="1"/>
        <c:lblAlgn val="ctr"/>
        <c:lblOffset val="100"/>
        <c:noMultiLvlLbl val="0"/>
      </c:catAx>
      <c:valAx>
        <c:axId val="172577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/>
                  <a:t>kg CO2e per kg DM feed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716577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719582</xdr:colOff>
      <xdr:row>31</xdr:row>
      <xdr:rowOff>117235</xdr:rowOff>
    </xdr:from>
    <xdr:to>
      <xdr:col>13</xdr:col>
      <xdr:colOff>24283</xdr:colOff>
      <xdr:row>44</xdr:row>
      <xdr:rowOff>18796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EBFC10-4A61-A53E-1EED-5E024309E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79855" y="6675053"/>
          <a:ext cx="4246155" cy="2303016"/>
        </a:xfrm>
        <a:prstGeom prst="rect">
          <a:avLst/>
        </a:prstGeom>
      </xdr:spPr>
    </xdr:pic>
    <xdr:clientData/>
  </xdr:twoCellAnchor>
  <xdr:twoCellAnchor>
    <xdr:from>
      <xdr:col>13</xdr:col>
      <xdr:colOff>166413</xdr:colOff>
      <xdr:row>3</xdr:row>
      <xdr:rowOff>133744</xdr:rowOff>
    </xdr:from>
    <xdr:to>
      <xdr:col>27</xdr:col>
      <xdr:colOff>56054</xdr:colOff>
      <xdr:row>27</xdr:row>
      <xdr:rowOff>42304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716538-0B0E-AE6A-904A-C4826EA67E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21738</xdr:colOff>
      <xdr:row>35</xdr:row>
      <xdr:rowOff>97962</xdr:rowOff>
    </xdr:from>
    <xdr:to>
      <xdr:col>5</xdr:col>
      <xdr:colOff>330553</xdr:colOff>
      <xdr:row>49</xdr:row>
      <xdr:rowOff>135593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D1F6EDF-BE7E-6D5A-41C6-4C7DBA08C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738" y="7221005"/>
          <a:ext cx="4591676" cy="25886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47624</xdr:colOff>
      <xdr:row>29</xdr:row>
      <xdr:rowOff>37310</xdr:rowOff>
    </xdr:from>
    <xdr:to>
      <xdr:col>28</xdr:col>
      <xdr:colOff>111402</xdr:colOff>
      <xdr:row>40</xdr:row>
      <xdr:rowOff>38605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C85809-FD88-6202-6D64-0FC8A71729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745324" y="5333210"/>
          <a:ext cx="3601363" cy="19920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84</xdr:row>
      <xdr:rowOff>0</xdr:rowOff>
    </xdr:from>
    <xdr:to>
      <xdr:col>25</xdr:col>
      <xdr:colOff>579581</xdr:colOff>
      <xdr:row>101</xdr:row>
      <xdr:rowOff>178808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587D2B7-7329-5425-6DB6-16FEE1D0E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790276" y="16229724"/>
          <a:ext cx="5344271" cy="3305636"/>
        </a:xfrm>
        <a:prstGeom prst="rect">
          <a:avLst/>
        </a:prstGeom>
      </xdr:spPr>
    </xdr:pic>
    <xdr:clientData/>
  </xdr:twoCellAnchor>
  <xdr:twoCellAnchor editAs="oneCell">
    <xdr:from>
      <xdr:col>17</xdr:col>
      <xdr:colOff>26276</xdr:colOff>
      <xdr:row>52</xdr:row>
      <xdr:rowOff>179516</xdr:rowOff>
    </xdr:from>
    <xdr:to>
      <xdr:col>25</xdr:col>
      <xdr:colOff>415510</xdr:colOff>
      <xdr:row>61</xdr:row>
      <xdr:rowOff>19998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0AC9F8D-F202-F024-2CF9-EFB43E84E0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552276" y="9787723"/>
          <a:ext cx="5153924" cy="149586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257175</xdr:colOff>
      <xdr:row>70</xdr:row>
      <xdr:rowOff>19050</xdr:rowOff>
    </xdr:from>
    <xdr:to>
      <xdr:col>24</xdr:col>
      <xdr:colOff>323850</xdr:colOff>
      <xdr:row>99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A9A6C4-F6D4-9154-C749-7D30BEAAF1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171450</xdr:colOff>
      <xdr:row>134</xdr:row>
      <xdr:rowOff>171450</xdr:rowOff>
    </xdr:from>
    <xdr:to>
      <xdr:col>24</xdr:col>
      <xdr:colOff>238125</xdr:colOff>
      <xdr:row>154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51A4291-4975-4944-ACDC-827B4117AB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9525</xdr:colOff>
      <xdr:row>77</xdr:row>
      <xdr:rowOff>21633</xdr:rowOff>
    </xdr:from>
    <xdr:to>
      <xdr:col>16</xdr:col>
      <xdr:colOff>707981</xdr:colOff>
      <xdr:row>89</xdr:row>
      <xdr:rowOff>135766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291FD2-B6AE-7227-5E75-D331D1855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82050" y="8346483"/>
          <a:ext cx="5506676" cy="2293453"/>
        </a:xfrm>
        <a:prstGeom prst="rect">
          <a:avLst/>
        </a:prstGeom>
      </xdr:spPr>
    </xdr:pic>
    <xdr:clientData/>
  </xdr:twoCellAnchor>
  <xdr:twoCellAnchor editAs="oneCell">
    <xdr:from>
      <xdr:col>38</xdr:col>
      <xdr:colOff>2105025</xdr:colOff>
      <xdr:row>16</xdr:row>
      <xdr:rowOff>9525</xdr:rowOff>
    </xdr:from>
    <xdr:to>
      <xdr:col>47</xdr:col>
      <xdr:colOff>57150</xdr:colOff>
      <xdr:row>23</xdr:row>
      <xdr:rowOff>168145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318BD79-694C-4DA4-96FC-4413593916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166050" y="3638550"/>
          <a:ext cx="4895850" cy="1461640"/>
        </a:xfrm>
        <a:prstGeom prst="rect">
          <a:avLst/>
        </a:prstGeom>
      </xdr:spPr>
    </xdr:pic>
    <xdr:clientData/>
  </xdr:twoCellAnchor>
  <xdr:twoCellAnchor editAs="oneCell">
    <xdr:from>
      <xdr:col>46</xdr:col>
      <xdr:colOff>485775</xdr:colOff>
      <xdr:row>24</xdr:row>
      <xdr:rowOff>266700</xdr:rowOff>
    </xdr:from>
    <xdr:to>
      <xdr:col>55</xdr:col>
      <xdr:colOff>324939</xdr:colOff>
      <xdr:row>30</xdr:row>
      <xdr:rowOff>93730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BFBA7C6-3963-496A-B411-D39F2B5172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928800" y="5391150"/>
          <a:ext cx="5430339" cy="14653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2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2:H26"/>
  <sheetViews>
    <sheetView tabSelected="1" zoomScale="80" zoomScaleNormal="80" workbookViewId="0">
      <selection activeCell="E7" sqref="E7"/>
    </sheetView>
  </sheetViews>
  <sheetFormatPr defaultColWidth="8.7265625" defaultRowHeight="14.5" x14ac:dyDescent="0.35"/>
  <cols>
    <col min="1" max="1" width="8.7265625" style="29"/>
    <col min="2" max="2" width="18.26953125" customWidth="1"/>
    <col min="3" max="3" width="31.453125" customWidth="1"/>
    <col min="4" max="4" width="24.7265625" customWidth="1"/>
  </cols>
  <sheetData>
    <row r="2" spans="1:8" ht="21" x14ac:dyDescent="0.5">
      <c r="A2" s="58" t="s">
        <v>0</v>
      </c>
    </row>
    <row r="4" spans="1:8" x14ac:dyDescent="0.35">
      <c r="A4" s="29" t="s">
        <v>591</v>
      </c>
    </row>
    <row r="6" spans="1:8" x14ac:dyDescent="0.35">
      <c r="A6" s="29" t="s">
        <v>619</v>
      </c>
      <c r="H6" s="6" t="s">
        <v>620</v>
      </c>
    </row>
    <row r="7" spans="1:8" x14ac:dyDescent="0.35">
      <c r="A7" s="368"/>
    </row>
    <row r="8" spans="1:8" x14ac:dyDescent="0.35">
      <c r="A8" s="294"/>
    </row>
    <row r="9" spans="1:8" x14ac:dyDescent="0.35">
      <c r="A9" s="368"/>
    </row>
    <row r="10" spans="1:8" x14ac:dyDescent="0.35">
      <c r="A10" s="368"/>
    </row>
    <row r="17" spans="1:2" x14ac:dyDescent="0.35">
      <c r="A17" s="29" t="s">
        <v>1</v>
      </c>
    </row>
    <row r="19" spans="1:2" x14ac:dyDescent="0.35">
      <c r="A19" s="77"/>
      <c r="B19" t="s">
        <v>2</v>
      </c>
    </row>
    <row r="20" spans="1:2" x14ac:dyDescent="0.35">
      <c r="A20" s="100"/>
      <c r="B20" t="s">
        <v>3</v>
      </c>
    </row>
    <row r="21" spans="1:2" x14ac:dyDescent="0.35">
      <c r="A21" s="101"/>
      <c r="B21" t="s">
        <v>4</v>
      </c>
    </row>
    <row r="26" spans="1:2" x14ac:dyDescent="0.35">
      <c r="A26" s="10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A76AF-D044-4984-908D-510EF5A11805}">
  <dimension ref="A2:Z98"/>
  <sheetViews>
    <sheetView topLeftCell="A9" zoomScale="66" workbookViewId="0">
      <selection activeCell="P36" sqref="P36"/>
    </sheetView>
  </sheetViews>
  <sheetFormatPr defaultColWidth="8.7265625" defaultRowHeight="14.5" x14ac:dyDescent="0.35"/>
  <cols>
    <col min="1" max="1" width="13.7265625" customWidth="1"/>
    <col min="2" max="2" width="12.26953125" bestFit="1" customWidth="1"/>
    <col min="3" max="3" width="12.81640625" bestFit="1" customWidth="1"/>
    <col min="4" max="4" width="11.26953125" customWidth="1"/>
    <col min="5" max="6" width="12" bestFit="1" customWidth="1"/>
  </cols>
  <sheetData>
    <row r="2" spans="1:13" ht="21" x14ac:dyDescent="0.5">
      <c r="A2" s="2" t="s">
        <v>267</v>
      </c>
    </row>
    <row r="4" spans="1:13" x14ac:dyDescent="0.35">
      <c r="A4" t="s">
        <v>520</v>
      </c>
    </row>
    <row r="6" spans="1:13" ht="58" x14ac:dyDescent="0.35">
      <c r="B6" s="247" t="s">
        <v>218</v>
      </c>
      <c r="C6" s="247" t="s">
        <v>71</v>
      </c>
      <c r="D6" s="247" t="s">
        <v>264</v>
      </c>
      <c r="E6" s="247" t="s">
        <v>481</v>
      </c>
      <c r="F6" s="247" t="s">
        <v>262</v>
      </c>
      <c r="G6" s="247" t="s">
        <v>263</v>
      </c>
      <c r="H6" s="247" t="s">
        <v>77</v>
      </c>
      <c r="I6" s="248" t="s">
        <v>122</v>
      </c>
      <c r="J6" s="248" t="s">
        <v>260</v>
      </c>
      <c r="K6" s="247" t="s">
        <v>82</v>
      </c>
      <c r="L6" s="247" t="s">
        <v>83</v>
      </c>
      <c r="M6" s="247" t="s">
        <v>261</v>
      </c>
    </row>
    <row r="7" spans="1:13" ht="15" customHeight="1" x14ac:dyDescent="0.35">
      <c r="A7" s="117" t="s">
        <v>50</v>
      </c>
      <c r="B7">
        <f>'GHG detailed, results per kg'!H51</f>
        <v>3.0702722347822489</v>
      </c>
      <c r="C7">
        <f>'GHG detailed, results per kg'!I51</f>
        <v>0.66879436222808697</v>
      </c>
      <c r="D7">
        <f>'GHG detailed, results per kg'!J51+'GHG detailed, results per kg'!K51</f>
        <v>2.6183901525041597</v>
      </c>
      <c r="E7">
        <f>'GHG detailed, results per kg'!L51+'GHG detailed, results per kg'!N51</f>
        <v>1.3921405416313883</v>
      </c>
      <c r="F7">
        <f>'GHG detailed, results per kg'!O51+'GHG detailed, results per kg'!Q51</f>
        <v>1.0772879407979354</v>
      </c>
      <c r="G7">
        <f>'GHG detailed, results per kg'!P51</f>
        <v>8.9109135080733051E-2</v>
      </c>
      <c r="H7">
        <f>'GHG detailed, results per kg'!R51</f>
        <v>0.12098640987309049</v>
      </c>
      <c r="I7">
        <f>'GHG detailed, results per kg'!S51</f>
        <v>15.219337109995321</v>
      </c>
      <c r="J7">
        <f>'GHG detailed, results per kg'!T51</f>
        <v>3.1045854878118098</v>
      </c>
      <c r="K7">
        <f>'GHG detailed, results per kg'!W51</f>
        <v>1.7536486701913254</v>
      </c>
      <c r="L7">
        <f>'GHG detailed, results per kg'!X51</f>
        <v>6.2562002697523919E-2</v>
      </c>
      <c r="M7">
        <f t="shared" ref="M7:M17" si="0">SUM(B7:L7)</f>
        <v>29.177114047593626</v>
      </c>
    </row>
    <row r="8" spans="1:13" ht="15" customHeight="1" x14ac:dyDescent="0.35">
      <c r="A8" s="117" t="s">
        <v>42</v>
      </c>
      <c r="B8">
        <f>'GHG detailed, results per kg'!H31</f>
        <v>1.3940171332218489</v>
      </c>
      <c r="C8">
        <f>'GHG detailed, results per kg'!I31</f>
        <v>0.61010045468602792</v>
      </c>
      <c r="D8">
        <f>'GHG detailed, results per kg'!J31+'GHG detailed, results per kg'!K31</f>
        <v>2.3067771402418367</v>
      </c>
      <c r="E8">
        <f>'GHG detailed, results per kg'!L31+'GHG detailed, results per kg'!N31</f>
        <v>0.6785168140373623</v>
      </c>
      <c r="F8">
        <f>'GHG detailed, results per kg'!O31+'GHG detailed, results per kg'!Q31</f>
        <v>2.4212841197948078</v>
      </c>
      <c r="G8">
        <f>'GHG detailed, results per kg'!P31</f>
        <v>0.68504229255126681</v>
      </c>
      <c r="H8">
        <f>'GHG detailed, results per kg'!R31</f>
        <v>0.60689028120998112</v>
      </c>
      <c r="I8">
        <f>'GHG detailed, results per kg'!S31</f>
        <v>15.2232828477349</v>
      </c>
      <c r="J8">
        <f>'GHG detailed, results per kg'!T31</f>
        <v>4.9976498180387594</v>
      </c>
      <c r="K8">
        <f>'GHG detailed, results per kg'!W31</f>
        <v>1.0024766188080723</v>
      </c>
      <c r="L8">
        <f>'GHG detailed, results per kg'!X31</f>
        <v>3.5059919186182925E-2</v>
      </c>
      <c r="M8">
        <f t="shared" si="0"/>
        <v>29.961097439511047</v>
      </c>
    </row>
    <row r="9" spans="1:13" ht="15" customHeight="1" x14ac:dyDescent="0.35">
      <c r="A9" s="117" t="s">
        <v>46</v>
      </c>
      <c r="B9">
        <f>'GHG detailed, results per kg'!H41</f>
        <v>0.96334099789174044</v>
      </c>
      <c r="C9">
        <f>'GHG detailed, results per kg'!I41</f>
        <v>0.54631929162701964</v>
      </c>
      <c r="D9">
        <f>'GHG detailed, results per kg'!J41+'GHG detailed, results per kg'!K41</f>
        <v>2.0040180613564469</v>
      </c>
      <c r="E9">
        <f>'GHG detailed, results per kg'!L41+'GHG detailed, results per kg'!N41</f>
        <v>0.37373905820918851</v>
      </c>
      <c r="F9">
        <f>'GHG detailed, results per kg'!O41+'GHG detailed, results per kg'!Q41</f>
        <v>1.4978102657410173</v>
      </c>
      <c r="G9">
        <f>'GHG detailed, results per kg'!P41</f>
        <v>0.3507311512182486</v>
      </c>
      <c r="H9">
        <f>'GHG detailed, results per kg'!R41</f>
        <v>0.37411653653790461</v>
      </c>
      <c r="I9">
        <f>'GHG detailed, results per kg'!S41</f>
        <v>15.10067608464302</v>
      </c>
      <c r="J9">
        <f>'GHG detailed, results per kg'!T41</f>
        <v>6.0797770378717377</v>
      </c>
      <c r="K9">
        <f>'GHG detailed, results per kg'!W41</f>
        <v>0.94528394435487739</v>
      </c>
      <c r="L9">
        <f>'GHG detailed, results per kg'!X41</f>
        <v>3.2965967865507137E-2</v>
      </c>
      <c r="M9">
        <f t="shared" si="0"/>
        <v>28.268778397316709</v>
      </c>
    </row>
    <row r="10" spans="1:13" ht="15" customHeight="1" x14ac:dyDescent="0.35">
      <c r="A10" s="117" t="s">
        <v>40</v>
      </c>
      <c r="B10">
        <f>'GHG detailed, results per kg'!H26</f>
        <v>1.9855105922767782</v>
      </c>
      <c r="C10">
        <f>'GHG detailed, results per kg'!I26</f>
        <v>0.64087403076729133</v>
      </c>
      <c r="D10">
        <f>'GHG detailed, results per kg'!J26+'GHG detailed, results per kg'!K26</f>
        <v>2.8166550416268765</v>
      </c>
      <c r="E10">
        <f>'GHG detailed, results per kg'!L26+'GHG detailed, results per kg'!N26</f>
        <v>0.94236472667734639</v>
      </c>
      <c r="F10">
        <f>'GHG detailed, results per kg'!O26+'GHG detailed, results per kg'!Q26</f>
        <v>1.6243734415057238</v>
      </c>
      <c r="G10">
        <f>'GHG detailed, results per kg'!P26</f>
        <v>0.46222465171057481</v>
      </c>
      <c r="H10">
        <f>'GHG detailed, results per kg'!R26</f>
        <v>0.46570443855517779</v>
      </c>
      <c r="I10">
        <f>'GHG detailed, results per kg'!S26</f>
        <v>15.137825944833745</v>
      </c>
      <c r="J10">
        <f>'GHG detailed, results per kg'!T26</f>
        <v>3.2451258884887406</v>
      </c>
      <c r="K10">
        <f>'GHG detailed, results per kg'!W26</f>
        <v>1.2826220945096534</v>
      </c>
      <c r="L10">
        <f>'GHG detailed, results per kg'!X26</f>
        <v>4.5316669625555028E-2</v>
      </c>
      <c r="M10">
        <f t="shared" si="0"/>
        <v>28.648597520577461</v>
      </c>
    </row>
    <row r="11" spans="1:13" ht="15" customHeight="1" x14ac:dyDescent="0.35">
      <c r="A11" s="117" t="s">
        <v>48</v>
      </c>
      <c r="B11">
        <f>'GHG detailed, results per kg'!H46</f>
        <v>2.8433187538937132</v>
      </c>
      <c r="C11">
        <f>'GHG detailed, results per kg'!I46</f>
        <v>0.62458306749531112</v>
      </c>
      <c r="D11">
        <f>'GHG detailed, results per kg'!J46+'GHG detailed, results per kg'!K46</f>
        <v>4.4873289126680813</v>
      </c>
      <c r="E11">
        <f>'GHG detailed, results per kg'!L46+'GHG detailed, results per kg'!N46</f>
        <v>0.5083482798263943</v>
      </c>
      <c r="F11">
        <f>'GHG detailed, results per kg'!O46+'GHG detailed, results per kg'!Q46</f>
        <v>1.338037141878879</v>
      </c>
      <c r="G11">
        <f>'GHG detailed, results per kg'!P46</f>
        <v>0.51982796314875546</v>
      </c>
      <c r="H11">
        <f>'GHG detailed, results per kg'!R46</f>
        <v>0.46146341505762933</v>
      </c>
      <c r="I11">
        <f>'GHG detailed, results per kg'!S46</f>
        <v>15.166477612121433</v>
      </c>
      <c r="J11">
        <f>'GHG detailed, results per kg'!T46</f>
        <v>0.87465810019857182</v>
      </c>
      <c r="K11">
        <f>'GHG detailed, results per kg'!W46</f>
        <v>1.0790038764959253</v>
      </c>
      <c r="L11">
        <f>'GHG detailed, results per kg'!X46</f>
        <v>3.7861752704815045E-2</v>
      </c>
      <c r="M11">
        <f t="shared" si="0"/>
        <v>27.940908875489505</v>
      </c>
    </row>
    <row r="12" spans="1:13" ht="15" customHeight="1" x14ac:dyDescent="0.35">
      <c r="A12" s="117" t="s">
        <v>34</v>
      </c>
      <c r="B12">
        <f>'GHG detailed, results per kg'!H11</f>
        <v>0.50401148564404019</v>
      </c>
      <c r="C12">
        <f>'GHG detailed, results per kg'!I11</f>
        <v>0.65831405570534107</v>
      </c>
      <c r="D12">
        <f>'GHG detailed, results per kg'!J11+'GHG detailed, results per kg'!K11</f>
        <v>1.7142331713636549</v>
      </c>
      <c r="E12">
        <f>'GHG detailed, results per kg'!L11+'GHG detailed, results per kg'!N11</f>
        <v>0.35724031465427575</v>
      </c>
      <c r="F12">
        <f>'GHG detailed, results per kg'!O11+'GHG detailed, results per kg'!Q11</f>
        <v>2.0407574566043554</v>
      </c>
      <c r="G12">
        <f>'GHG detailed, results per kg'!P11</f>
        <v>0.39669488028868299</v>
      </c>
      <c r="H12">
        <f>'GHG detailed, results per kg'!R11</f>
        <v>0.54543795981974708</v>
      </c>
      <c r="I12">
        <f>'GHG detailed, results per kg'!S11</f>
        <v>15.259256665090856</v>
      </c>
      <c r="J12">
        <f>'GHG detailed, results per kg'!T11</f>
        <v>4.51071287174282</v>
      </c>
      <c r="K12">
        <f>'GHG detailed, results per kg'!W11</f>
        <v>0.89120028318248856</v>
      </c>
      <c r="L12">
        <f>'GHG detailed, results per kg'!X11</f>
        <v>3.0985844452471337E-2</v>
      </c>
      <c r="M12">
        <f t="shared" si="0"/>
        <v>26.908844988548729</v>
      </c>
    </row>
    <row r="13" spans="1:13" ht="15" customHeight="1" x14ac:dyDescent="0.35">
      <c r="A13" s="186" t="s">
        <v>54</v>
      </c>
      <c r="B13">
        <f>'GHG detailed, results per kg'!H61</f>
        <v>1.3664806232684032</v>
      </c>
      <c r="C13">
        <f>'GHG detailed, results per kg'!I61</f>
        <v>0.68612308228980734</v>
      </c>
      <c r="D13">
        <f>'GHG detailed, results per kg'!J61+'GHG detailed, results per kg'!K61</f>
        <v>3.3922753690468079</v>
      </c>
      <c r="E13">
        <f>'GHG detailed, results per kg'!L61+'GHG detailed, results per kg'!N61</f>
        <v>0.51912628476114087</v>
      </c>
      <c r="F13">
        <f>'GHG detailed, results per kg'!O61+'GHG detailed, results per kg'!Q61</f>
        <v>1.6233061692077102</v>
      </c>
      <c r="G13" s="308">
        <f>'GHG detailed, results per kg'!P61</f>
        <v>7.9871101108953971E-2</v>
      </c>
      <c r="H13" s="308">
        <f>'GHG detailed, results per kg'!R61</f>
        <v>0.28072828036888647</v>
      </c>
      <c r="I13">
        <f>'GHG detailed, results per kg'!S61</f>
        <v>15.214982698761219</v>
      </c>
      <c r="J13">
        <f>'GHG detailed, results per kg'!T61</f>
        <v>2.1695282624133281</v>
      </c>
      <c r="K13">
        <f>'GHG detailed, results per kg'!W61</f>
        <v>0.44290797438022189</v>
      </c>
      <c r="L13">
        <f>'GHG detailed, results per kg'!X61</f>
        <v>1.6272132715760609E-3</v>
      </c>
      <c r="M13">
        <f t="shared" si="0"/>
        <v>25.776957058878057</v>
      </c>
    </row>
    <row r="14" spans="1:13" ht="15" customHeight="1" x14ac:dyDescent="0.35">
      <c r="A14" s="117" t="s">
        <v>38</v>
      </c>
      <c r="B14">
        <f>'GHG detailed, results per kg'!H21</f>
        <v>0.78995280547480284</v>
      </c>
      <c r="C14">
        <f>'GHG detailed, results per kg'!I21</f>
        <v>0.60441002477834072</v>
      </c>
      <c r="D14">
        <f>'GHG detailed, results per kg'!J21+'GHG detailed, results per kg'!K21</f>
        <v>1.8927153652698441</v>
      </c>
      <c r="E14">
        <f>'GHG detailed, results per kg'!L21+'GHG detailed, results per kg'!N21</f>
        <v>0.35593280750190764</v>
      </c>
      <c r="F14">
        <f>'GHG detailed, results per kg'!O21+'GHG detailed, results per kg'!Q21</f>
        <v>1.7043705133341072</v>
      </c>
      <c r="G14">
        <f>'GHG detailed, results per kg'!P21</f>
        <v>0.23591072918768485</v>
      </c>
      <c r="H14">
        <f>'GHG detailed, results per kg'!R21</f>
        <v>0.30988502280008157</v>
      </c>
      <c r="I14">
        <f>'GHG detailed, results per kg'!S21</f>
        <v>15.063616033130701</v>
      </c>
      <c r="J14">
        <f>'GHG detailed, results per kg'!T21</f>
        <v>3.7995222082713842</v>
      </c>
      <c r="K14">
        <f>'GHG detailed, results per kg'!W21</f>
        <v>1.031034364149541</v>
      </c>
      <c r="L14">
        <f>'GHG detailed, results per kg'!X21</f>
        <v>3.6105481911567081E-2</v>
      </c>
      <c r="M14">
        <f t="shared" si="0"/>
        <v>25.823455355809958</v>
      </c>
    </row>
    <row r="15" spans="1:13" ht="15" customHeight="1" x14ac:dyDescent="0.35">
      <c r="A15" s="117" t="s">
        <v>36</v>
      </c>
      <c r="B15">
        <f>'GHG detailed, results per kg'!H16</f>
        <v>1.0745563085960894</v>
      </c>
      <c r="C15">
        <f>'GHG detailed, results per kg'!I16</f>
        <v>0.61237883647729596</v>
      </c>
      <c r="D15">
        <f>'GHG detailed, results per kg'!J16+'GHG detailed, results per kg'!K16</f>
        <v>2.6696468940148894</v>
      </c>
      <c r="E15">
        <f>'GHG detailed, results per kg'!L16+'GHG detailed, results per kg'!N16</f>
        <v>0.45049177195873163</v>
      </c>
      <c r="F15">
        <f>'GHG detailed, results per kg'!O16+'GHG detailed, results per kg'!Q16</f>
        <v>1.4285309585698833</v>
      </c>
      <c r="G15">
        <f>'GHG detailed, results per kg'!P16</f>
        <v>0.25048527668242471</v>
      </c>
      <c r="H15">
        <f>'GHG detailed, results per kg'!R16</f>
        <v>0.35746651733420576</v>
      </c>
      <c r="I15">
        <f>'GHG detailed, results per kg'!S16</f>
        <v>15.177842251637294</v>
      </c>
      <c r="J15">
        <f>'GHG detailed, results per kg'!T16</f>
        <v>2.9070555749436151</v>
      </c>
      <c r="K15">
        <f>'GHG detailed, results per kg'!W16</f>
        <v>0.44590589446912948</v>
      </c>
      <c r="L15">
        <f>'GHG detailed, results per kg'!X16</f>
        <v>1.6456263087502769E-3</v>
      </c>
      <c r="M15">
        <f t="shared" si="0"/>
        <v>25.376005910992308</v>
      </c>
    </row>
    <row r="16" spans="1:13" ht="15" customHeight="1" x14ac:dyDescent="0.35">
      <c r="A16" s="117" t="s">
        <v>52</v>
      </c>
      <c r="B16">
        <f>'GHG detailed, results per kg'!H56</f>
        <v>0.56980648451823623</v>
      </c>
      <c r="C16">
        <f>'GHG detailed, results per kg'!I56</f>
        <v>0.62063109735839683</v>
      </c>
      <c r="D16">
        <f>'GHG detailed, results per kg'!J56+'GHG detailed, results per kg'!K56</f>
        <v>2.561169367323425</v>
      </c>
      <c r="E16">
        <f>'GHG detailed, results per kg'!L56+'GHG detailed, results per kg'!N56</f>
        <v>0.83056978838981865</v>
      </c>
      <c r="F16">
        <f>'GHG detailed, results per kg'!O56+'GHG detailed, results per kg'!Q56</f>
        <v>1.1322993010180777</v>
      </c>
      <c r="G16">
        <f>'GHG detailed, results per kg'!P56</f>
        <v>0.55896493804052338</v>
      </c>
      <c r="H16">
        <f>'GHG detailed, results per kg'!R56</f>
        <v>0.58254605461683528</v>
      </c>
      <c r="I16">
        <f>'GHG detailed, results per kg'!S56</f>
        <v>15.05793203856477</v>
      </c>
      <c r="J16">
        <f>'GHG detailed, results per kg'!T56</f>
        <v>2.0788072793218135</v>
      </c>
      <c r="K16">
        <f>'GHG detailed, results per kg'!W56</f>
        <v>0.7644452347855295</v>
      </c>
      <c r="L16">
        <f>'GHG detailed, results per kg'!X56</f>
        <v>2.6345059534984259E-2</v>
      </c>
      <c r="M16">
        <f t="shared" si="0"/>
        <v>24.783516643472414</v>
      </c>
    </row>
    <row r="17" spans="1:18" ht="15" customHeight="1" x14ac:dyDescent="0.35">
      <c r="A17" s="117" t="s">
        <v>44</v>
      </c>
      <c r="B17">
        <f>'GHG detailed, results per kg'!H36</f>
        <v>1.1484849047517474</v>
      </c>
      <c r="C17">
        <f>'GHG detailed, results per kg'!I36</f>
        <v>0.62858167693004319</v>
      </c>
      <c r="D17">
        <f>'GHG detailed, results per kg'!J36+'GHG detailed, results per kg'!K36</f>
        <v>1.7407168136352822</v>
      </c>
      <c r="E17">
        <f>'GHG detailed, results per kg'!L36+'GHG detailed, results per kg'!N36</f>
        <v>0.3651909172545752</v>
      </c>
      <c r="F17">
        <f>'GHG detailed, results per kg'!O36+'GHG detailed, results per kg'!Q36</f>
        <v>0.36866263194871834</v>
      </c>
      <c r="G17">
        <f>'GHG detailed, results per kg'!P36</f>
        <v>6.6050788650518222E-2</v>
      </c>
      <c r="H17">
        <f>'GHG detailed, results per kg'!R36</f>
        <v>6.5395075845275263E-2</v>
      </c>
      <c r="I17">
        <f>'GHG detailed, results per kg'!S36</f>
        <v>15.130733039578608</v>
      </c>
      <c r="J17">
        <f>'GHG detailed, results per kg'!T36</f>
        <v>3.6465072416453284</v>
      </c>
      <c r="K17">
        <f>'GHG detailed, results per kg'!W36</f>
        <v>0.91448327277490526</v>
      </c>
      <c r="L17">
        <f>'GHG detailed, results per kg'!X36</f>
        <v>3.1838286610010591E-2</v>
      </c>
      <c r="M17">
        <f t="shared" si="0"/>
        <v>24.106644649625011</v>
      </c>
    </row>
    <row r="18" spans="1:18" ht="15" customHeight="1" x14ac:dyDescent="0.35">
      <c r="A18" s="248"/>
    </row>
    <row r="19" spans="1:18" ht="15" customHeight="1" x14ac:dyDescent="0.35">
      <c r="A19" s="247"/>
    </row>
    <row r="20" spans="1:18" ht="15" customHeight="1" x14ac:dyDescent="0.35">
      <c r="B20" s="10"/>
      <c r="C20" s="259"/>
      <c r="E20" s="259"/>
    </row>
    <row r="21" spans="1:18" x14ac:dyDescent="0.35">
      <c r="B21" s="10"/>
      <c r="C21" s="259"/>
      <c r="E21" s="259"/>
    </row>
    <row r="22" spans="1:18" ht="18.5" x14ac:dyDescent="0.45">
      <c r="A22" s="1" t="s">
        <v>528</v>
      </c>
      <c r="B22" s="10"/>
      <c r="C22" s="259"/>
      <c r="E22" s="259"/>
    </row>
    <row r="23" spans="1:18" x14ac:dyDescent="0.35">
      <c r="B23" s="10"/>
      <c r="C23" s="259"/>
      <c r="E23" s="259"/>
    </row>
    <row r="24" spans="1:18" ht="29" x14ac:dyDescent="0.35">
      <c r="A24" s="123" t="s">
        <v>537</v>
      </c>
      <c r="B24" s="414"/>
      <c r="C24" s="123"/>
      <c r="D24" s="299" t="s">
        <v>523</v>
      </c>
      <c r="E24" s="299" t="s">
        <v>473</v>
      </c>
      <c r="F24" s="299" t="s">
        <v>524</v>
      </c>
      <c r="G24" s="299" t="s">
        <v>474</v>
      </c>
      <c r="H24" s="299" t="s">
        <v>525</v>
      </c>
      <c r="I24" s="299" t="s">
        <v>521</v>
      </c>
    </row>
    <row r="25" spans="1:18" x14ac:dyDescent="0.35">
      <c r="A25" s="191" t="s">
        <v>522</v>
      </c>
      <c r="B25" t="s">
        <v>503</v>
      </c>
      <c r="C25" t="s">
        <v>526</v>
      </c>
      <c r="D25" s="116">
        <v>5.9394412106313297</v>
      </c>
      <c r="E25" s="5">
        <v>2.88211486154121</v>
      </c>
      <c r="F25" s="5">
        <v>1.89853787445953</v>
      </c>
      <c r="G25" s="5">
        <v>1.8519476966291999</v>
      </c>
      <c r="H25" s="5">
        <v>0.56060773366533601</v>
      </c>
      <c r="I25" s="116">
        <v>13.132649376926601</v>
      </c>
    </row>
    <row r="26" spans="1:18" x14ac:dyDescent="0.35">
      <c r="C26" t="s">
        <v>527</v>
      </c>
      <c r="D26" s="116">
        <f>D25/0.69</f>
        <v>8.6078858125091742</v>
      </c>
      <c r="E26" s="5">
        <f t="shared" ref="E26:I26" si="1">E25/0.69</f>
        <v>4.1769780602046529</v>
      </c>
      <c r="F26" s="5">
        <f t="shared" si="1"/>
        <v>2.751504165883377</v>
      </c>
      <c r="G26" s="5">
        <f t="shared" si="1"/>
        <v>2.6839821690278263</v>
      </c>
      <c r="H26" s="5">
        <f t="shared" si="1"/>
        <v>0.81247497632657395</v>
      </c>
      <c r="I26" s="116">
        <f t="shared" si="1"/>
        <v>19.032825183951598</v>
      </c>
    </row>
    <row r="27" spans="1:18" x14ac:dyDescent="0.35">
      <c r="A27" t="s">
        <v>529</v>
      </c>
      <c r="D27" s="116">
        <f>I17</f>
        <v>15.130733039578608</v>
      </c>
      <c r="E27" s="5">
        <f>J17</f>
        <v>3.6465072416453284</v>
      </c>
      <c r="F27" s="5">
        <f>D17</f>
        <v>1.7407168136352822</v>
      </c>
      <c r="G27" s="5">
        <f>B17+E17+F17+K17</f>
        <v>2.796821726729946</v>
      </c>
      <c r="H27" s="5">
        <f>C17+H17+L17</f>
        <v>0.7258150393853291</v>
      </c>
      <c r="I27" s="116">
        <f>SUM(D27:H27)</f>
        <v>24.040593860974489</v>
      </c>
    </row>
    <row r="29" spans="1:18" x14ac:dyDescent="0.35">
      <c r="A29" s="123" t="s">
        <v>538</v>
      </c>
      <c r="B29" s="414"/>
      <c r="C29" s="414"/>
    </row>
    <row r="30" spans="1:18" x14ac:dyDescent="0.35">
      <c r="A30" s="191" t="s">
        <v>522</v>
      </c>
      <c r="B30" t="s">
        <v>503</v>
      </c>
      <c r="C30" s="4">
        <f>0.2/0.695</f>
        <v>0.28776978417266191</v>
      </c>
      <c r="R30" s="167"/>
    </row>
    <row r="31" spans="1:18" x14ac:dyDescent="0.35">
      <c r="A31" t="s">
        <v>529</v>
      </c>
      <c r="C31" s="4">
        <f>'Footprints, only calves'!R17</f>
        <v>0.13602367300168858</v>
      </c>
      <c r="D31" t="s">
        <v>539</v>
      </c>
    </row>
    <row r="33" spans="1:26" x14ac:dyDescent="0.35">
      <c r="A33" s="123" t="s">
        <v>540</v>
      </c>
      <c r="B33" s="414"/>
      <c r="C33" s="414"/>
    </row>
    <row r="34" spans="1:26" x14ac:dyDescent="0.35">
      <c r="A34" s="191" t="s">
        <v>522</v>
      </c>
      <c r="B34" t="s">
        <v>503</v>
      </c>
      <c r="C34">
        <v>30</v>
      </c>
    </row>
    <row r="35" spans="1:26" x14ac:dyDescent="0.35">
      <c r="A35" t="s">
        <v>529</v>
      </c>
      <c r="C35" s="116">
        <f>'Footprints, only calves'!L17</f>
        <v>25.618253195156885</v>
      </c>
    </row>
    <row r="41" spans="1:26" x14ac:dyDescent="0.35">
      <c r="R41" s="167"/>
    </row>
    <row r="45" spans="1:26" x14ac:dyDescent="0.35">
      <c r="L45" s="15"/>
    </row>
    <row r="46" spans="1:26" x14ac:dyDescent="0.35">
      <c r="Z46" s="15"/>
    </row>
    <row r="65" spans="2:2" ht="17" x14ac:dyDescent="0.4">
      <c r="B65" s="370"/>
    </row>
    <row r="66" spans="2:2" x14ac:dyDescent="0.35">
      <c r="B66" s="167"/>
    </row>
    <row r="72" spans="2:2" x14ac:dyDescent="0.35">
      <c r="B72" s="167"/>
    </row>
    <row r="76" spans="2:2" x14ac:dyDescent="0.35">
      <c r="B76" s="369"/>
    </row>
    <row r="85" spans="2:2" x14ac:dyDescent="0.35">
      <c r="B85" s="3"/>
    </row>
    <row r="86" spans="2:2" x14ac:dyDescent="0.35">
      <c r="B86" s="3"/>
    </row>
    <row r="90" spans="2:2" x14ac:dyDescent="0.35">
      <c r="B90" s="369"/>
    </row>
    <row r="92" spans="2:2" x14ac:dyDescent="0.35">
      <c r="B92" s="10"/>
    </row>
    <row r="93" spans="2:2" x14ac:dyDescent="0.35">
      <c r="B93" s="10"/>
    </row>
    <row r="97" spans="2:2" x14ac:dyDescent="0.35">
      <c r="B97" s="3"/>
    </row>
    <row r="98" spans="2:2" x14ac:dyDescent="0.35">
      <c r="B98" s="3"/>
    </row>
  </sheetData>
  <autoFilter ref="A6:M6" xr:uid="{54BA76AF-D044-4984-908D-510EF5A11805}">
    <sortState xmlns:xlrd2="http://schemas.microsoft.com/office/spreadsheetml/2017/richdata2" ref="A7:M17">
      <sortCondition descending="1" ref="M6"/>
    </sortState>
  </autoFilter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6316B-2EE8-44B8-8B8A-4C4EAD6D7E80}">
  <sheetPr>
    <tabColor theme="9" tint="0.79998168889431442"/>
  </sheetPr>
  <dimension ref="A2:U20"/>
  <sheetViews>
    <sheetView topLeftCell="F3" zoomScaleNormal="100" workbookViewId="0">
      <selection activeCell="O7" sqref="O7"/>
    </sheetView>
  </sheetViews>
  <sheetFormatPr defaultColWidth="8.7265625" defaultRowHeight="14.5" x14ac:dyDescent="0.35"/>
  <cols>
    <col min="1" max="1" width="15.7265625" style="29" customWidth="1"/>
    <col min="2" max="2" width="17.54296875" customWidth="1"/>
    <col min="3" max="3" width="8.81640625" customWidth="1"/>
    <col min="4" max="4" width="12.7265625" customWidth="1"/>
    <col min="5" max="5" width="8.453125" customWidth="1"/>
    <col min="6" max="11" width="10.453125" customWidth="1"/>
    <col min="12" max="13" width="14.7265625" customWidth="1"/>
    <col min="14" max="14" width="14.7265625" style="11" customWidth="1"/>
    <col min="15" max="18" width="14.7265625" customWidth="1"/>
    <col min="19" max="19" width="8.54296875" customWidth="1"/>
    <col min="20" max="20" width="15.7265625" customWidth="1"/>
    <col min="21" max="21" width="18.453125" customWidth="1"/>
  </cols>
  <sheetData>
    <row r="2" spans="1:21" ht="21" x14ac:dyDescent="0.5">
      <c r="A2" s="58" t="s">
        <v>594</v>
      </c>
      <c r="M2" s="160"/>
      <c r="T2" t="s">
        <v>275</v>
      </c>
    </row>
    <row r="3" spans="1:21" x14ac:dyDescent="0.35">
      <c r="L3" s="6"/>
      <c r="P3" s="6"/>
      <c r="R3" s="6"/>
      <c r="S3" s="7"/>
      <c r="T3" s="7"/>
      <c r="U3" s="7"/>
    </row>
    <row r="4" spans="1:21" x14ac:dyDescent="0.35">
      <c r="A4" s="78"/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80"/>
      <c r="O4" s="79"/>
      <c r="P4" s="81"/>
      <c r="Q4" s="79"/>
      <c r="R4" s="81"/>
      <c r="S4" s="82"/>
      <c r="T4" s="82"/>
      <c r="U4" s="82"/>
    </row>
    <row r="5" spans="1:21" x14ac:dyDescent="0.35">
      <c r="A5" s="60" t="s">
        <v>5</v>
      </c>
      <c r="B5" s="41"/>
      <c r="C5" s="41"/>
      <c r="D5" s="47"/>
      <c r="E5" s="47"/>
      <c r="F5" s="170" t="s">
        <v>6</v>
      </c>
      <c r="G5" s="47"/>
      <c r="H5" s="47"/>
      <c r="I5" s="47"/>
      <c r="J5" s="47"/>
      <c r="K5" s="47"/>
      <c r="L5" s="39" t="s">
        <v>7</v>
      </c>
      <c r="M5" s="39" t="s">
        <v>238</v>
      </c>
      <c r="N5" s="39" t="s">
        <v>8</v>
      </c>
      <c r="O5" s="39" t="s">
        <v>9</v>
      </c>
      <c r="P5" s="40" t="s">
        <v>10</v>
      </c>
      <c r="Q5" s="40" t="s">
        <v>11</v>
      </c>
      <c r="R5" s="40" t="s">
        <v>12</v>
      </c>
      <c r="S5" s="40" t="s">
        <v>13</v>
      </c>
      <c r="T5" s="52" t="s">
        <v>273</v>
      </c>
      <c r="U5" s="52" t="s">
        <v>274</v>
      </c>
    </row>
    <row r="6" spans="1:21" s="8" customFormat="1" ht="58" x14ac:dyDescent="0.35">
      <c r="A6" s="62" t="s">
        <v>14</v>
      </c>
      <c r="B6" s="61" t="s">
        <v>15</v>
      </c>
      <c r="C6" s="61" t="s">
        <v>16</v>
      </c>
      <c r="D6" s="63" t="s">
        <v>17</v>
      </c>
      <c r="E6" s="64" t="s">
        <v>18</v>
      </c>
      <c r="F6" s="169" t="s">
        <v>19</v>
      </c>
      <c r="G6" s="168" t="s">
        <v>20</v>
      </c>
      <c r="H6" s="169" t="s">
        <v>21</v>
      </c>
      <c r="I6" s="169" t="s">
        <v>22</v>
      </c>
      <c r="J6" s="169" t="s">
        <v>23</v>
      </c>
      <c r="K6" s="168" t="s">
        <v>24</v>
      </c>
      <c r="L6" s="67" t="s">
        <v>25</v>
      </c>
      <c r="M6" s="67" t="s">
        <v>26</v>
      </c>
      <c r="N6" s="67" t="s">
        <v>27</v>
      </c>
      <c r="O6" s="68" t="s">
        <v>28</v>
      </c>
      <c r="P6" s="69" t="s">
        <v>29</v>
      </c>
      <c r="Q6" s="70" t="s">
        <v>30</v>
      </c>
      <c r="R6" s="70" t="s">
        <v>31</v>
      </c>
      <c r="S6" s="70" t="s">
        <v>32</v>
      </c>
      <c r="T6" s="46" t="s">
        <v>33</v>
      </c>
      <c r="U6" s="46" t="s">
        <v>272</v>
      </c>
    </row>
    <row r="7" spans="1:21" x14ac:dyDescent="0.35">
      <c r="A7" s="11" t="s">
        <v>592</v>
      </c>
      <c r="B7" s="11" t="s">
        <v>513</v>
      </c>
      <c r="C7" s="15" t="s">
        <v>514</v>
      </c>
      <c r="D7" t="s">
        <v>34</v>
      </c>
      <c r="E7" t="s">
        <v>35</v>
      </c>
      <c r="F7" s="10">
        <f>'GHG detailed, results per kg'!G11</f>
        <v>26.908844988548729</v>
      </c>
      <c r="G7" s="10">
        <f>'GHG detailed, results per kg'!G7</f>
        <v>4.1584805981521464</v>
      </c>
      <c r="H7" s="99">
        <f>'GHG detailed, results per kg'!G8</f>
        <v>2.0876964396535837E-2</v>
      </c>
      <c r="I7" s="42">
        <f>'GHG detailed, results per kg'!G9</f>
        <v>0.67527936421610746</v>
      </c>
      <c r="J7" s="42">
        <f>'GHG detailed, results per kg'!G10</f>
        <v>1.4269919478186517E-2</v>
      </c>
      <c r="L7" s="17">
        <f>'Footprints, only calves'!L7+Production!$B$7*'Footprints, mother animal'!L7/Production!$B$23</f>
        <v>22.105224749537619</v>
      </c>
      <c r="M7" s="17">
        <f>'Footprints, only calves'!M7+Production!$B$7*'Footprints, mother animal'!M7/Production!$B$23</f>
        <v>0.25601315091051335</v>
      </c>
      <c r="N7" s="17">
        <f>'Footprints, only calves'!N7+Production!$B$7*'Footprints, mother animal'!N7/Production!$B$23</f>
        <v>1.1609952412239511E-2</v>
      </c>
      <c r="O7" s="17">
        <f>'Footprints, only calves'!O7+Production!$B$7*'Footprints, mother animal'!O7/Production!$B$23</f>
        <v>0.21354119937778543</v>
      </c>
      <c r="P7" s="17">
        <f>'Footprints, only calves'!P7+Production!$B$7*'Footprints, mother animal'!P7/Production!$B$23</f>
        <v>0.69193227231993659</v>
      </c>
      <c r="Q7" s="27">
        <f>'Footprints, only calves'!Q7+Production!$B$7*'Footprints, mother animal'!Q7/Production!$B$23</f>
        <v>6.1779920132631073E-10</v>
      </c>
      <c r="R7" s="17">
        <f>'Footprints, only calves'!R7+Production!$B$7*'Footprints, mother animal'!R7/Production!$B$23</f>
        <v>0.15869623702090163</v>
      </c>
      <c r="S7" s="17">
        <f>'Footprints, only calves'!S7+Production!$B$7*'Footprints, mother animal'!S7/Production!$B$23</f>
        <v>0</v>
      </c>
      <c r="T7" s="17">
        <v>0.32534991605988056</v>
      </c>
      <c r="U7" s="17">
        <v>5.9802073215224372</v>
      </c>
    </row>
    <row r="8" spans="1:21" x14ac:dyDescent="0.35">
      <c r="A8" s="11" t="s">
        <v>592</v>
      </c>
      <c r="B8" s="11" t="s">
        <v>513</v>
      </c>
      <c r="C8" s="15" t="s">
        <v>514</v>
      </c>
      <c r="D8" t="s">
        <v>36</v>
      </c>
      <c r="E8" t="s">
        <v>37</v>
      </c>
      <c r="F8" s="10">
        <f>'GHG detailed, results per kg'!G16</f>
        <v>25.376005910992308</v>
      </c>
      <c r="G8" s="10">
        <f>'GHG detailed, results per kg'!G12</f>
        <v>3.4797961324611202</v>
      </c>
      <c r="H8" s="99">
        <f>'GHG detailed, results per kg'!G13</f>
        <v>1.5134033162572799E-2</v>
      </c>
      <c r="I8" s="42">
        <f>'GHG detailed, results per kg'!G14</f>
        <v>0.6076786306358315</v>
      </c>
      <c r="J8" s="42">
        <f>'GHG detailed, results per kg'!G15</f>
        <v>1.8453818912524067E-2</v>
      </c>
      <c r="L8" s="17">
        <f>'Footprints, only calves'!L8+Production!$C$7*'Footprints, mother animal'!L8/Production!$C$23</f>
        <v>20.544328467148308</v>
      </c>
      <c r="M8" s="17">
        <f>'Footprints, only calves'!M8+Production!$C$7*'Footprints, mother animal'!M8/Production!$C$23</f>
        <v>0.30263548402903739</v>
      </c>
      <c r="N8" s="17">
        <f>'Footprints, only calves'!N8+Production!$C$7*'Footprints, mother animal'!N8/Production!$C$23</f>
        <v>2.4382233553502684E-2</v>
      </c>
      <c r="O8" s="17">
        <f>'Footprints, only calves'!O8+Production!$C$7*'Footprints, mother animal'!O8/Production!$C$23</f>
        <v>0.70253040477542028</v>
      </c>
      <c r="P8" s="17">
        <f>'Footprints, only calves'!P8+Production!$C$7*'Footprints, mother animal'!P8/Production!$C$23</f>
        <v>1.3280314333644216</v>
      </c>
      <c r="Q8" s="27">
        <f>'Footprints, only calves'!Q8+Production!$C$7*'Footprints, mother animal'!Q8/Production!$C$23</f>
        <v>1.8609392279407323E-9</v>
      </c>
      <c r="R8" s="17">
        <f>'Footprints, only calves'!R8+Production!$C$7*'Footprints, mother animal'!R8/Production!$C$23</f>
        <v>0.15660255133101386</v>
      </c>
      <c r="S8" s="17">
        <f>'Footprints, only calves'!S8+Production!$C$7*'Footprints, mother animal'!S8/Production!$C$23</f>
        <v>0</v>
      </c>
      <c r="T8" s="17">
        <v>0.39946722030721749</v>
      </c>
      <c r="U8" s="17">
        <v>8.7454741736100825</v>
      </c>
    </row>
    <row r="9" spans="1:21" x14ac:dyDescent="0.35">
      <c r="A9" s="11" t="s">
        <v>592</v>
      </c>
      <c r="B9" s="11" t="s">
        <v>513</v>
      </c>
      <c r="C9" s="15" t="s">
        <v>514</v>
      </c>
      <c r="D9" t="s">
        <v>38</v>
      </c>
      <c r="E9" t="s">
        <v>39</v>
      </c>
      <c r="F9" s="10">
        <f>'GHG detailed, results per kg'!G21</f>
        <v>25.823455355809958</v>
      </c>
      <c r="G9" s="10">
        <f>'GHG detailed, results per kg'!G17</f>
        <v>4.0175058266056984</v>
      </c>
      <c r="H9" s="99">
        <f>'GHG detailed, results per kg'!G18</f>
        <v>1.5682520798885404E-2</v>
      </c>
      <c r="I9" s="42">
        <f>'GHG detailed, results per kg'!G19</f>
        <v>0.63692122852920907</v>
      </c>
      <c r="J9" s="42">
        <f>'GHG detailed, results per kg'!G20</f>
        <v>1.5171198678054333E-2</v>
      </c>
      <c r="L9" s="17">
        <f>'Footprints, only calves'!L9+Production!$D$7*'Footprints, mother animal'!L9/Production!$D$23</f>
        <v>14.181146785123541</v>
      </c>
      <c r="M9" s="17">
        <f>'Footprints, only calves'!M9+Production!$D$7*'Footprints, mother animal'!M9/Production!$D$23</f>
        <v>0.23634697760468767</v>
      </c>
      <c r="N9" s="17">
        <f>'Footprints, only calves'!N9+Production!$D$7*'Footprints, mother animal'!N9/Production!$D$23</f>
        <v>1.1812313607926853E-2</v>
      </c>
      <c r="O9" s="17">
        <f>'Footprints, only calves'!O9+Production!$D$7*'Footprints, mother animal'!O9/Production!$D$23</f>
        <v>0.19062819297092309</v>
      </c>
      <c r="P9" s="17">
        <f>'Footprints, only calves'!P9+Production!$D$7*'Footprints, mother animal'!P9/Production!$D$23</f>
        <v>0.76934035235090037</v>
      </c>
      <c r="Q9" s="27">
        <f>'Footprints, only calves'!Q9+Production!$D$7*'Footprints, mother animal'!Q9/Production!$D$23</f>
        <v>4.8386013248391831E-10</v>
      </c>
      <c r="R9" s="17">
        <f>'Footprints, only calves'!R9+Production!$D$7*'Footprints, mother animal'!R9/Production!$D$23</f>
        <v>0.17632361196478766</v>
      </c>
      <c r="S9" s="17">
        <f>'Footprints, only calves'!S9+Production!$D$7*'Footprints, mother animal'!S9/Production!$D$23</f>
        <v>0</v>
      </c>
      <c r="T9" s="17">
        <v>0.4579653709755927</v>
      </c>
      <c r="U9" s="17">
        <v>14.65228015351942</v>
      </c>
    </row>
    <row r="10" spans="1:21" x14ac:dyDescent="0.35">
      <c r="A10" s="11" t="s">
        <v>592</v>
      </c>
      <c r="B10" s="11" t="s">
        <v>513</v>
      </c>
      <c r="C10" s="15" t="s">
        <v>514</v>
      </c>
      <c r="D10" t="s">
        <v>40</v>
      </c>
      <c r="E10" t="s">
        <v>41</v>
      </c>
      <c r="F10" s="10">
        <f>'GHG detailed, results per kg'!G26</f>
        <v>28.648597520577461</v>
      </c>
      <c r="G10" s="10">
        <f>'GHG detailed, results per kg'!G22</f>
        <v>6.179928974068237</v>
      </c>
      <c r="H10" s="99">
        <f>'GHG detailed, results per kg'!G23</f>
        <v>1.3306375580348351E-2</v>
      </c>
      <c r="I10" s="42">
        <f>'GHG detailed, results per kg'!G24</f>
        <v>0.60210886025727373</v>
      </c>
      <c r="J10" s="42">
        <f>'GHG detailed, results per kg'!G25</f>
        <v>2.1301096436880787E-2</v>
      </c>
      <c r="L10" s="17">
        <f>'Footprints, only calves'!L10+Production!$E$7*'Footprints, mother animal'!L10/Production!$E$23</f>
        <v>32.559497898391179</v>
      </c>
      <c r="M10" s="17">
        <f>'Footprints, only calves'!M10+Production!$E$7*'Footprints, mother animal'!M10/Production!$E$23</f>
        <v>0.47768108788843278</v>
      </c>
      <c r="N10" s="17">
        <f>'Footprints, only calves'!N10+Production!$E$7*'Footprints, mother animal'!N10/Production!$E$23</f>
        <v>5.4031174698621648E-2</v>
      </c>
      <c r="O10" s="17">
        <f>'Footprints, only calves'!O10+Production!$E$7*'Footprints, mother animal'!O10/Production!$E$23</f>
        <v>1.9214941120756821</v>
      </c>
      <c r="P10" s="17">
        <f>'Footprints, only calves'!P10+Production!$E$7*'Footprints, mother animal'!P10/Production!$E$23</f>
        <v>1.3523146124029164</v>
      </c>
      <c r="Q10" s="27">
        <f>'Footprints, only calves'!Q10+Production!$E$7*'Footprints, mother animal'!Q10/Production!$E$23</f>
        <v>1.5414764399930166E-8</v>
      </c>
      <c r="R10" s="17">
        <f>'Footprints, only calves'!R10+Production!$E$7*'Footprints, mother animal'!R10/Production!$E$23</f>
        <v>0.18602505387278848</v>
      </c>
      <c r="S10" s="17">
        <f>'Footprints, only calves'!S10+Production!$E$7*'Footprints, mother animal'!S10/Production!$E$23</f>
        <v>0</v>
      </c>
      <c r="T10" s="17">
        <v>0.46223853563398781</v>
      </c>
      <c r="U10" s="17">
        <v>28.588805857120381</v>
      </c>
    </row>
    <row r="11" spans="1:21" x14ac:dyDescent="0.35">
      <c r="A11" s="11" t="s">
        <v>592</v>
      </c>
      <c r="B11" s="11" t="s">
        <v>513</v>
      </c>
      <c r="C11" s="15" t="s">
        <v>514</v>
      </c>
      <c r="D11" t="s">
        <v>42</v>
      </c>
      <c r="E11" t="s">
        <v>43</v>
      </c>
      <c r="F11" s="10">
        <f>'GHG detailed, results per kg'!G31</f>
        <v>29.961097439511047</v>
      </c>
      <c r="G11" s="10">
        <f>'GHG detailed, results per kg'!G27</f>
        <v>6.0834423541653466</v>
      </c>
      <c r="H11" s="99">
        <f>'GHG detailed, results per kg'!G28</f>
        <v>1.8408950993186513E-2</v>
      </c>
      <c r="I11" s="42">
        <f>'GHG detailed, results per kg'!G29</f>
        <v>0.66249804317676309</v>
      </c>
      <c r="J11" s="42">
        <f>'GHG detailed, results per kg'!G30</f>
        <v>1.9932678314930903E-2</v>
      </c>
      <c r="L11" s="17">
        <f>'Footprints, only calves'!L11+Production!$F$7*'Footprints, mother animal'!L11/Production!$F$23</f>
        <v>36.386012545755186</v>
      </c>
      <c r="M11" s="17">
        <f>'Footprints, only calves'!M11+Production!$F$7*'Footprints, mother animal'!M11/Production!$F$23</f>
        <v>0.50103554222848423</v>
      </c>
      <c r="N11" s="17">
        <f>'Footprints, only calves'!N11+Production!$F$7*'Footprints, mother animal'!N11/Production!$F$23</f>
        <v>4.3608658408915202E-2</v>
      </c>
      <c r="O11" s="17">
        <f>'Footprints, only calves'!O11+Production!$F$7*'Footprints, mother animal'!O11/Production!$F$23</f>
        <v>7.265187101682137E-2</v>
      </c>
      <c r="P11" s="17">
        <f>'Footprints, only calves'!P11+Production!$F$7*'Footprints, mother animal'!P11/Production!$F$23</f>
        <v>1.8223896604792966</v>
      </c>
      <c r="Q11" s="27">
        <f>'Footprints, only calves'!Q11+Production!$F$7*'Footprints, mother animal'!Q11/Production!$F$23</f>
        <v>1.1409672254191973E-9</v>
      </c>
      <c r="R11" s="17">
        <f>'Footprints, only calves'!R11+Production!$F$7*'Footprints, mother animal'!R11/Production!$F$23</f>
        <v>0.19064653108506749</v>
      </c>
      <c r="S11" s="17">
        <f>'Footprints, only calves'!S11+Production!$F$7*'Footprints, mother animal'!S11/Production!$F$23</f>
        <v>0</v>
      </c>
      <c r="T11" s="17">
        <v>0.48610931751881603</v>
      </c>
      <c r="U11" s="17">
        <v>22.282122706879171</v>
      </c>
    </row>
    <row r="12" spans="1:21" x14ac:dyDescent="0.35">
      <c r="A12" s="11" t="s">
        <v>592</v>
      </c>
      <c r="B12" s="11" t="s">
        <v>513</v>
      </c>
      <c r="C12" s="15" t="s">
        <v>514</v>
      </c>
      <c r="D12" t="s">
        <v>44</v>
      </c>
      <c r="E12" t="s">
        <v>45</v>
      </c>
      <c r="F12" s="10">
        <f>'GHG detailed, results per kg'!G36</f>
        <v>24.106644649625011</v>
      </c>
      <c r="G12" s="10">
        <f>'GHG detailed, results per kg'!G32</f>
        <v>2.9968110652862867</v>
      </c>
      <c r="H12" s="99">
        <f>'GHG detailed, results per kg'!G33</f>
        <v>4.8271858423931018E-3</v>
      </c>
      <c r="I12" s="42">
        <f>'GHG detailed, results per kg'!G34</f>
        <v>0.6316328850625027</v>
      </c>
      <c r="J12" s="42">
        <f>'GHG detailed, results per kg'!G35</f>
        <v>1.4329287727281467E-2</v>
      </c>
      <c r="L12" s="17">
        <f>'Footprints, only calves'!L12+Production!$G$7*'Footprints, mother animal'!L12/Production!$G$23</f>
        <v>6.8152461118818737</v>
      </c>
      <c r="M12" s="17">
        <f>'Footprints, only calves'!M12+Production!$G$7*'Footprints, mother animal'!M12/Production!$G$23</f>
        <v>0.35086283064703283</v>
      </c>
      <c r="N12" s="17">
        <f>'Footprints, only calves'!N12+Production!$G$7*'Footprints, mother animal'!N12/Production!$G$23</f>
        <v>1.8066691849585863E-2</v>
      </c>
      <c r="O12" s="17">
        <f>'Footprints, only calves'!O12+Production!$G$7*'Footprints, mother animal'!O12/Production!$G$23</f>
        <v>3.9731242813648752E-2</v>
      </c>
      <c r="P12" s="17">
        <f>'Footprints, only calves'!P12+Production!$G$7*'Footprints, mother animal'!P12/Production!$G$23</f>
        <v>2.0936718167235182</v>
      </c>
      <c r="Q12" s="27">
        <f>'Footprints, only calves'!Q12+Production!$G$7*'Footprints, mother animal'!Q12/Production!$G$23</f>
        <v>2.0749476187780996E-10</v>
      </c>
      <c r="R12" s="17">
        <f>'Footprints, only calves'!R12+Production!$G$7*'Footprints, mother animal'!R12/Production!$G$23</f>
        <v>0.15456515540592072</v>
      </c>
      <c r="S12" s="17">
        <f>'Footprints, only calves'!S12+Production!$G$7*'Footprints, mother animal'!S12/Production!$G$23</f>
        <v>0</v>
      </c>
      <c r="T12" s="17">
        <v>0.40565594153661733</v>
      </c>
      <c r="U12" s="17">
        <v>9.7002401921879908</v>
      </c>
    </row>
    <row r="13" spans="1:21" x14ac:dyDescent="0.35">
      <c r="A13" s="11" t="s">
        <v>592</v>
      </c>
      <c r="B13" s="11" t="s">
        <v>513</v>
      </c>
      <c r="C13" s="15" t="s">
        <v>514</v>
      </c>
      <c r="D13" t="s">
        <v>46</v>
      </c>
      <c r="E13" t="s">
        <v>47</v>
      </c>
      <c r="F13" s="10">
        <f>'GHG detailed, results per kg'!G41</f>
        <v>28.268778397316709</v>
      </c>
      <c r="G13" s="10">
        <f>'GHG detailed, results per kg'!G37</f>
        <v>4.0900976292890947</v>
      </c>
      <c r="H13" s="99">
        <f>'GHG detailed, results per kg'!G38</f>
        <v>1.4997211619021157E-2</v>
      </c>
      <c r="I13" s="42">
        <f>'GHG detailed, results per kg'!G39</f>
        <v>0.69299415021895516</v>
      </c>
      <c r="J13" s="42">
        <f>'GHG detailed, results per kg'!G40</f>
        <v>1.8391654966553084E-2</v>
      </c>
      <c r="L13" s="17">
        <f>'Footprints, only calves'!L13+Production!$H$7*'Footprints, mother animal'!L13/Production!$H$23</f>
        <v>18.711975947683698</v>
      </c>
      <c r="M13" s="17">
        <f>'Footprints, only calves'!M13+Production!$H$7*'Footprints, mother animal'!M13/Production!$H$23</f>
        <v>0.36409048427888929</v>
      </c>
      <c r="N13" s="17">
        <f>'Footprints, only calves'!N13+Production!$H$7*'Footprints, mother animal'!N13/Production!$H$23</f>
        <v>2.1748047340674391E-2</v>
      </c>
      <c r="O13" s="17">
        <f>'Footprints, only calves'!O13+Production!$H$7*'Footprints, mother animal'!O13/Production!$H$23</f>
        <v>0.65224428545703139</v>
      </c>
      <c r="P13" s="17">
        <f>'Footprints, only calves'!P13+Production!$H$7*'Footprints, mother animal'!P13/Production!$H$23</f>
        <v>1.3728683404652866</v>
      </c>
      <c r="Q13" s="27">
        <f>'Footprints, only calves'!Q13+Production!$H$7*'Footprints, mother animal'!Q13/Production!$H$23</f>
        <v>5.932140781416873E-9</v>
      </c>
      <c r="R13" s="17">
        <f>'Footprints, only calves'!R13+Production!$H$7*'Footprints, mother animal'!R13/Production!$H$23</f>
        <v>0.25338963125439634</v>
      </c>
      <c r="S13" s="17">
        <f>'Footprints, only calves'!S13+Production!$H$7*'Footprints, mother animal'!S13/Production!$H$23</f>
        <v>0</v>
      </c>
      <c r="T13" s="17">
        <v>0.5524170449766721</v>
      </c>
      <c r="U13" s="17">
        <v>36.046525991625877</v>
      </c>
    </row>
    <row r="14" spans="1:21" x14ac:dyDescent="0.35">
      <c r="A14" s="11" t="s">
        <v>592</v>
      </c>
      <c r="B14" s="11" t="s">
        <v>513</v>
      </c>
      <c r="C14" s="15" t="s">
        <v>514</v>
      </c>
      <c r="D14" t="s">
        <v>48</v>
      </c>
      <c r="E14" t="s">
        <v>49</v>
      </c>
      <c r="F14" s="10">
        <f>'GHG detailed, results per kg'!G46</f>
        <v>27.940908875489509</v>
      </c>
      <c r="G14" s="10">
        <f>'GHG detailed, results per kg'!G42</f>
        <v>5.7542312899146157</v>
      </c>
      <c r="H14" s="99">
        <f>'GHG detailed, results per kg'!G43</f>
        <v>1.4434473520092077E-2</v>
      </c>
      <c r="I14" s="42">
        <f>'GHG detailed, results per kg'!G44</f>
        <v>0.56172267448365876</v>
      </c>
      <c r="J14" s="42">
        <f>'GHG detailed, results per kg'!G45</f>
        <v>2.4139260306290704E-2</v>
      </c>
      <c r="L14" s="17">
        <f>'Footprints, only calves'!L14+Production!$I$7*'Footprints, mother animal'!L14/Production!$I$23</f>
        <v>17.35017686923581</v>
      </c>
      <c r="M14" s="17">
        <f>'Footprints, only calves'!M14+Production!$I$7*'Footprints, mother animal'!M14/Production!$I$23</f>
        <v>0.64282027624909643</v>
      </c>
      <c r="N14" s="17">
        <f>'Footprints, only calves'!N14+Production!$I$7*'Footprints, mother animal'!N14/Production!$I$23</f>
        <v>1.6720367342757104E-2</v>
      </c>
      <c r="O14" s="17">
        <f>'Footprints, only calves'!O14+Production!$I$7*'Footprints, mother animal'!O14/Production!$I$23</f>
        <v>0.219105183637749</v>
      </c>
      <c r="P14" s="17">
        <f>'Footprints, only calves'!P14+Production!$I$7*'Footprints, mother animal'!P14/Production!$I$23</f>
        <v>1.6285780732443231</v>
      </c>
      <c r="Q14" s="27">
        <f>'Footprints, only calves'!Q14+Production!$I$7*'Footprints, mother animal'!Q14/Production!$I$23</f>
        <v>8.6886080061029229E-10</v>
      </c>
      <c r="R14" s="17">
        <f>'Footprints, only calves'!R14+Production!$I$7*'Footprints, mother animal'!R14/Production!$I$23</f>
        <v>0.12617766241217626</v>
      </c>
      <c r="S14" s="17">
        <f>'Footprints, only calves'!S14+Production!$I$7*'Footprints, mother animal'!S14/Production!$I$23</f>
        <v>0</v>
      </c>
      <c r="T14" s="17">
        <v>0.40845560114039348</v>
      </c>
      <c r="U14" s="17">
        <v>7.3938528281058318</v>
      </c>
    </row>
    <row r="15" spans="1:21" x14ac:dyDescent="0.35">
      <c r="A15" s="11" t="s">
        <v>592</v>
      </c>
      <c r="B15" s="11" t="s">
        <v>513</v>
      </c>
      <c r="C15" s="15" t="s">
        <v>514</v>
      </c>
      <c r="D15" t="s">
        <v>50</v>
      </c>
      <c r="E15" t="s">
        <v>51</v>
      </c>
      <c r="F15" s="10">
        <f>'GHG detailed, results per kg'!G51</f>
        <v>29.177114047593626</v>
      </c>
      <c r="G15" s="10">
        <f>'GHG detailed, results per kg'!G47</f>
        <v>6.6892944385143087</v>
      </c>
      <c r="H15" s="99">
        <f>'GHG detailed, results per kg'!G48</f>
        <v>1.1742447832719599E-2</v>
      </c>
      <c r="I15" s="42">
        <f>'GHG detailed, results per kg'!G49</f>
        <v>0.58237224324035686</v>
      </c>
      <c r="J15" s="42">
        <f>'GHG detailed, results per kg'!G50</f>
        <v>2.3493934418222104E-2</v>
      </c>
      <c r="L15" s="17">
        <f>'Footprints, only calves'!L15+Production!$J$7*'Footprints, mother animal'!L15/Production!$J$23</f>
        <v>24.50484708795366</v>
      </c>
      <c r="M15" s="17">
        <f>'Footprints, only calves'!M15+Production!$J$7*'Footprints, mother animal'!M15/Production!$J$23</f>
        <v>0.39005059449050206</v>
      </c>
      <c r="N15" s="17">
        <f>'Footprints, only calves'!N15+Production!$J$7*'Footprints, mother animal'!N15/Production!$J$23</f>
        <v>3.435110650621942E-2</v>
      </c>
      <c r="O15" s="17">
        <f>'Footprints, only calves'!O15+Production!$J$7*'Footprints, mother animal'!O15/Production!$J$23</f>
        <v>8.6266020501934437E-2</v>
      </c>
      <c r="P15" s="17">
        <f>'Footprints, only calves'!P15+Production!$J$7*'Footprints, mother animal'!P15/Production!$J$23</f>
        <v>1.8979156975365121</v>
      </c>
      <c r="Q15" s="27">
        <f>'Footprints, only calves'!Q15+Production!$J$7*'Footprints, mother animal'!Q15/Production!$J$23</f>
        <v>8.2321651592449837E-10</v>
      </c>
      <c r="R15" s="17">
        <f>'Footprints, only calves'!R15+Production!$J$7*'Footprints, mother animal'!R15/Production!$J$23</f>
        <v>0.20617376188104242</v>
      </c>
      <c r="S15" s="17">
        <f>'Footprints, only calves'!S15+Production!$J$7*'Footprints, mother animal'!S15/Production!$J$23</f>
        <v>0</v>
      </c>
      <c r="T15" s="17">
        <v>0.52500985096075825</v>
      </c>
      <c r="U15" s="17">
        <v>46.317503242667534</v>
      </c>
    </row>
    <row r="16" spans="1:21" x14ac:dyDescent="0.35">
      <c r="A16" s="11" t="s">
        <v>592</v>
      </c>
      <c r="B16" s="11" t="s">
        <v>513</v>
      </c>
      <c r="C16" s="15" t="s">
        <v>514</v>
      </c>
      <c r="D16" t="s">
        <v>52</v>
      </c>
      <c r="E16" t="s">
        <v>53</v>
      </c>
      <c r="F16" s="10">
        <f>'GHG detailed, results per kg'!G56</f>
        <v>24.783516643472414</v>
      </c>
      <c r="G16" s="10">
        <f>'GHG detailed, results per kg'!G52</f>
        <v>4.4752124719839532</v>
      </c>
      <c r="H16" s="99">
        <f>'GHG detailed, results per kg'!G53</f>
        <v>9.6628073404532444E-3</v>
      </c>
      <c r="I16" s="42">
        <f>'GHG detailed, results per kg'!G54</f>
        <v>0.58698498807680077</v>
      </c>
      <c r="J16" s="42">
        <f>'GHG detailed, results per kg'!G55</f>
        <v>1.5281164229557985E-2</v>
      </c>
      <c r="L16" s="17">
        <f>'Footprints, only calves'!L16+Production!$K$7*'Footprints, mother animal'!L16/Production!$K$23</f>
        <v>26.06719473369856</v>
      </c>
      <c r="M16" s="17">
        <f>'Footprints, only calves'!M16+Production!$K$7*'Footprints, mother animal'!M16/Production!$K$23</f>
        <v>0.42116102929546356</v>
      </c>
      <c r="N16" s="17">
        <f>'Footprints, only calves'!N16+Production!$K$7*'Footprints, mother animal'!N16/Production!$K$23</f>
        <v>4.0764646661180799E-2</v>
      </c>
      <c r="O16" s="17">
        <f>'Footprints, only calves'!O16+Production!$K$7*'Footprints, mother animal'!O16/Production!$K$23</f>
        <v>1.9338383658647198</v>
      </c>
      <c r="P16" s="17">
        <f>'Footprints, only calves'!P16+Production!$K$7*'Footprints, mother animal'!P16/Production!$K$23</f>
        <v>1.7025173273212801</v>
      </c>
      <c r="Q16" s="27">
        <f>'Footprints, only calves'!Q16+Production!$K$7*'Footprints, mother animal'!Q16/Production!$K$23</f>
        <v>5.5044005211009699E-9</v>
      </c>
      <c r="R16" s="17">
        <f>'Footprints, only calves'!R16+Production!$K$7*'Footprints, mother animal'!R16/Production!$K$23</f>
        <v>0.13198398619255861</v>
      </c>
      <c r="S16" s="17">
        <f>'Footprints, only calves'!S16+Production!$K$7*'Footprints, mother animal'!S16/Production!$K$23</f>
        <v>0</v>
      </c>
      <c r="T16" s="17">
        <v>0.36675540809467511</v>
      </c>
      <c r="U16" s="17">
        <v>23.956277408286137</v>
      </c>
    </row>
    <row r="17" spans="1:21" x14ac:dyDescent="0.35">
      <c r="A17" s="11" t="s">
        <v>592</v>
      </c>
      <c r="B17" s="11" t="s">
        <v>513</v>
      </c>
      <c r="C17" s="15" t="s">
        <v>514</v>
      </c>
      <c r="D17" s="16" t="s">
        <v>54</v>
      </c>
      <c r="E17" s="16" t="s">
        <v>55</v>
      </c>
      <c r="F17" s="9">
        <f>'GHG detailed, results per kg'!G61</f>
        <v>25.776957058878057</v>
      </c>
      <c r="G17" s="10">
        <f>'GHG detailed, results per kg'!G57</f>
        <v>3.6648188683448737</v>
      </c>
      <c r="H17" s="99">
        <f>'GHG detailed, results per kg'!G58</f>
        <v>1.5911472067340084E-2</v>
      </c>
      <c r="I17" s="42">
        <f>'GHG detailed, results per kg'!G59</f>
        <v>0.59984781234515239</v>
      </c>
      <c r="J17" s="42">
        <f>'GHG detailed, results per kg'!G60</f>
        <v>1.9934378716510374E-2</v>
      </c>
      <c r="K17" s="16"/>
      <c r="L17" s="17">
        <f>'Footprints, only calves'!L17+Production!$L$7*'Footprints, mother animal'!L17/Production!$L$23</f>
        <v>32.361606878162284</v>
      </c>
      <c r="M17" s="17">
        <f>'Footprints, only calves'!M17+Production!$L$7*'Footprints, mother animal'!M17/Production!$L$23</f>
        <v>0.38324318246637601</v>
      </c>
      <c r="N17" s="17">
        <f>'Footprints, only calves'!N17+Production!$L$7*'Footprints, mother animal'!N17/Production!$L$23</f>
        <v>2.2362562391914198E-2</v>
      </c>
      <c r="O17" s="17">
        <f>'Footprints, only calves'!O17+Production!$L$7*'Footprints, mother animal'!O17/Production!$L$23</f>
        <v>0.12925757735799753</v>
      </c>
      <c r="P17" s="17">
        <f>'Footprints, only calves'!P17+Production!$L$7*'Footprints, mother animal'!P17/Production!$L$23</f>
        <v>1.0961478162294094</v>
      </c>
      <c r="Q17" s="27">
        <f>'Footprints, only calves'!Q17+Production!$L$7*'Footprints, mother animal'!Q17/Production!$L$23</f>
        <v>6.3403107562561075E-11</v>
      </c>
      <c r="R17" s="17">
        <f>'Footprints, only calves'!R17+Production!$L$7*'Footprints, mother animal'!R17/Production!$L$23</f>
        <v>0.13836550411866111</v>
      </c>
      <c r="S17" s="17">
        <f>'Footprints, only calves'!S17+Production!$L$7*'Footprints, mother animal'!S17/Production!$L$23</f>
        <v>0</v>
      </c>
      <c r="T17" s="17">
        <v>0.34037966761699462</v>
      </c>
      <c r="U17" s="17">
        <v>2.8978382122111062</v>
      </c>
    </row>
    <row r="18" spans="1:21" x14ac:dyDescent="0.35">
      <c r="A18" s="11" t="s">
        <v>592</v>
      </c>
      <c r="B18" s="11" t="s">
        <v>513</v>
      </c>
      <c r="C18" s="15" t="s">
        <v>514</v>
      </c>
      <c r="D18" s="16" t="s">
        <v>493</v>
      </c>
      <c r="E18" s="16" t="s">
        <v>495</v>
      </c>
      <c r="F18" s="9">
        <f>'GHG detailed, results per kg'!G66</f>
        <v>24.381451616183266</v>
      </c>
      <c r="G18" s="10">
        <f>'GHG detailed, results per kg'!G62</f>
        <v>3.2154430945334269</v>
      </c>
      <c r="H18" s="99">
        <f>'GHG detailed, results per kg'!G63</f>
        <v>4.0192299428112701E-3</v>
      </c>
      <c r="I18" s="42">
        <f>'GHG detailed, results per kg'!G64</f>
        <v>0.61899790193062354</v>
      </c>
      <c r="J18" s="42">
        <f>'GHG detailed, results per kg'!G65</f>
        <v>1.5872864898268228E-2</v>
      </c>
      <c r="L18" s="17">
        <f>'Footprints, only calves'!L18+Production!$M$7*'Footprints, mother animal'!L18/Production!$M$23</f>
        <v>24.671055069448009</v>
      </c>
      <c r="M18" s="17">
        <f>'Footprints, only calves'!M18+Production!$M$7*'Footprints, mother animal'!M18/Production!$M$23</f>
        <v>0.66147608694525595</v>
      </c>
      <c r="N18" s="17">
        <f>'Footprints, only calves'!N18+Production!$M$7*'Footprints, mother animal'!N18/Production!$M$23</f>
        <v>4.7761844500587319E-2</v>
      </c>
      <c r="O18" s="17">
        <f>'Footprints, only calves'!O18+Production!$M$7*'Footprints, mother animal'!O18/Production!$M$23</f>
        <v>9.1741307165127767E-2</v>
      </c>
      <c r="P18" s="17">
        <f>'Footprints, only calves'!P18+Production!$M$7*'Footprints, mother animal'!P18/Production!$M$23</f>
        <v>3.9596703670320159</v>
      </c>
      <c r="Q18" s="27">
        <f>'Footprints, only calves'!Q18+Production!$M$7*'Footprints, mother animal'!Q18/Production!$M$23</f>
        <v>2.2351625132195519E-10</v>
      </c>
      <c r="R18" s="17">
        <f>'Footprints, only calves'!R18+Production!$M$7*'Footprints, mother animal'!R18/Production!$M$23</f>
        <v>0.12122597019416068</v>
      </c>
      <c r="S18" s="17">
        <f>'Footprints, only calves'!S18+Production!$M$7*'Footprints, mother animal'!S18/Production!$M$23</f>
        <v>0</v>
      </c>
      <c r="T18" s="17">
        <v>0.37736464448793205</v>
      </c>
      <c r="U18" s="17">
        <v>8.1652032588367938</v>
      </c>
    </row>
    <row r="19" spans="1:21" x14ac:dyDescent="0.35">
      <c r="J19" s="42"/>
      <c r="M19" s="424"/>
      <c r="T19" s="6"/>
      <c r="U19" s="6"/>
    </row>
    <row r="20" spans="1:21" x14ac:dyDescent="0.35">
      <c r="T20" s="6"/>
      <c r="U20" s="6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4D2CF-D475-44DB-98E3-2898A6DF64F7}">
  <sheetPr>
    <tabColor theme="9" tint="0.59999389629810485"/>
  </sheetPr>
  <dimension ref="A1:AA231"/>
  <sheetViews>
    <sheetView topLeftCell="C34" zoomScale="80" zoomScaleNormal="80" workbookViewId="0">
      <selection activeCell="G62" sqref="G62"/>
    </sheetView>
  </sheetViews>
  <sheetFormatPr defaultColWidth="8.7265625" defaultRowHeight="14.5" x14ac:dyDescent="0.35"/>
  <cols>
    <col min="1" max="1" width="8.26953125" style="29" customWidth="1"/>
    <col min="2" max="2" width="22.453125" customWidth="1"/>
    <col min="3" max="3" width="27.26953125" customWidth="1"/>
    <col min="4" max="5" width="10.26953125" customWidth="1"/>
    <col min="6" max="6" width="7.7265625" customWidth="1"/>
    <col min="7" max="7" width="9.26953125" style="11" customWidth="1"/>
    <col min="8" max="20" width="14.7265625" customWidth="1"/>
    <col min="21" max="22" width="14.7265625" style="7" customWidth="1"/>
    <col min="23" max="24" width="14.7265625" customWidth="1"/>
    <col min="26" max="26" width="16" customWidth="1"/>
    <col min="27" max="27" width="19.26953125" customWidth="1"/>
  </cols>
  <sheetData>
    <row r="1" spans="1:27" x14ac:dyDescent="0.35">
      <c r="H1" s="160"/>
      <c r="N1" s="6"/>
    </row>
    <row r="2" spans="1:27" ht="21" x14ac:dyDescent="0.5">
      <c r="A2" s="58" t="s">
        <v>600</v>
      </c>
      <c r="H2" s="160"/>
      <c r="M2" s="6"/>
      <c r="N2" s="6"/>
      <c r="S2" s="10"/>
      <c r="T2" s="4"/>
    </row>
    <row r="3" spans="1:27" x14ac:dyDescent="0.35">
      <c r="J3" s="6"/>
      <c r="K3" s="160" t="s">
        <v>531</v>
      </c>
      <c r="L3" s="7"/>
      <c r="M3" s="7"/>
      <c r="N3" s="7"/>
      <c r="O3" s="7"/>
      <c r="P3" s="7"/>
      <c r="Q3" s="7"/>
      <c r="R3" s="7"/>
      <c r="S3" s="7"/>
      <c r="T3" s="7"/>
    </row>
    <row r="4" spans="1:27" x14ac:dyDescent="0.35">
      <c r="A4" s="59"/>
      <c r="B4" s="43"/>
      <c r="C4" s="43"/>
      <c r="D4" s="43"/>
      <c r="E4" s="43"/>
      <c r="F4" s="43"/>
      <c r="G4" s="43"/>
      <c r="H4" s="44"/>
      <c r="I4" s="44"/>
      <c r="J4" s="45"/>
      <c r="K4" s="45"/>
      <c r="L4" s="45"/>
      <c r="M4" s="45"/>
      <c r="N4" s="45"/>
      <c r="O4" s="45"/>
      <c r="P4" s="45"/>
      <c r="Q4" s="45"/>
      <c r="R4" s="45"/>
      <c r="S4" s="44" t="s">
        <v>56</v>
      </c>
      <c r="T4" s="44"/>
      <c r="U4" s="55"/>
      <c r="V4" s="55"/>
      <c r="W4" s="45" t="s">
        <v>57</v>
      </c>
      <c r="X4" s="45" t="s">
        <v>58</v>
      </c>
      <c r="Z4" s="44" t="s">
        <v>59</v>
      </c>
      <c r="AA4" s="44"/>
    </row>
    <row r="5" spans="1:27" x14ac:dyDescent="0.35">
      <c r="A5" s="60" t="s">
        <v>5</v>
      </c>
      <c r="B5" s="41"/>
      <c r="C5" s="41"/>
      <c r="D5" s="47"/>
      <c r="E5" s="47"/>
      <c r="F5" s="48"/>
      <c r="G5" s="49" t="s">
        <v>60</v>
      </c>
      <c r="H5" s="49" t="s">
        <v>61</v>
      </c>
      <c r="I5" s="50"/>
      <c r="J5" s="49" t="s">
        <v>62</v>
      </c>
      <c r="K5" s="51"/>
      <c r="L5" s="52" t="s">
        <v>63</v>
      </c>
      <c r="M5" s="51"/>
      <c r="N5" s="51"/>
      <c r="O5" s="51"/>
      <c r="P5" s="52" t="s">
        <v>64</v>
      </c>
      <c r="Q5" s="52" t="s">
        <v>291</v>
      </c>
      <c r="R5" s="52" t="s">
        <v>65</v>
      </c>
      <c r="S5" s="53"/>
      <c r="T5" s="53"/>
      <c r="U5" s="56"/>
      <c r="V5" s="56"/>
      <c r="W5" s="54"/>
      <c r="X5" s="54"/>
      <c r="Z5" s="49"/>
      <c r="AA5" s="49" t="s">
        <v>283</v>
      </c>
    </row>
    <row r="6" spans="1:27" ht="58" x14ac:dyDescent="0.35">
      <c r="A6" s="62" t="s">
        <v>66</v>
      </c>
      <c r="B6" s="61" t="s">
        <v>67</v>
      </c>
      <c r="C6" s="61" t="s">
        <v>68</v>
      </c>
      <c r="D6" s="63" t="s">
        <v>17</v>
      </c>
      <c r="E6" s="64" t="s">
        <v>18</v>
      </c>
      <c r="F6" s="63" t="s">
        <v>69</v>
      </c>
      <c r="G6" s="64" t="s">
        <v>70</v>
      </c>
      <c r="H6" s="46" t="s">
        <v>218</v>
      </c>
      <c r="I6" s="46" t="s">
        <v>71</v>
      </c>
      <c r="J6" s="46" t="s">
        <v>219</v>
      </c>
      <c r="K6" s="46" t="s">
        <v>532</v>
      </c>
      <c r="L6" s="46" t="s">
        <v>72</v>
      </c>
      <c r="M6" s="46" t="s">
        <v>73</v>
      </c>
      <c r="N6" s="46" t="s">
        <v>74</v>
      </c>
      <c r="O6" s="46" t="s">
        <v>75</v>
      </c>
      <c r="P6" s="46" t="s">
        <v>76</v>
      </c>
      <c r="Q6" s="46" t="s">
        <v>291</v>
      </c>
      <c r="R6" s="46" t="s">
        <v>77</v>
      </c>
      <c r="S6" s="64" t="s">
        <v>78</v>
      </c>
      <c r="T6" s="64" t="s">
        <v>79</v>
      </c>
      <c r="U6" s="65" t="s">
        <v>80</v>
      </c>
      <c r="V6" s="65" t="s">
        <v>81</v>
      </c>
      <c r="W6" s="46" t="s">
        <v>82</v>
      </c>
      <c r="X6" s="46" t="s">
        <v>83</v>
      </c>
      <c r="Z6" s="64" t="s">
        <v>84</v>
      </c>
      <c r="AA6" s="64" t="s">
        <v>479</v>
      </c>
    </row>
    <row r="7" spans="1:27" x14ac:dyDescent="0.35">
      <c r="A7" s="415" t="s">
        <v>543</v>
      </c>
      <c r="B7" s="415" t="s">
        <v>544</v>
      </c>
      <c r="C7" s="416" t="s">
        <v>545</v>
      </c>
      <c r="D7" s="121" t="s">
        <v>85</v>
      </c>
      <c r="E7" s="121" t="s">
        <v>35</v>
      </c>
      <c r="F7" s="132" t="s">
        <v>86</v>
      </c>
      <c r="G7" s="467">
        <f>SUM(H7:X7)</f>
        <v>4.1584805981521464</v>
      </c>
      <c r="H7" s="348">
        <f>'GHG detailed, only calves'!H7+Production!$B$7*'GHG detailed, mother animal'!H7/Production!$B$23</f>
        <v>0.30911973623066985</v>
      </c>
      <c r="I7" s="348">
        <f>'GHG detailed, only calves'!I7+Production!$B$7*'GHG detailed, mother animal'!I7/Production!$B$23</f>
        <v>0.58985082403293509</v>
      </c>
      <c r="J7" s="348">
        <f>'GHG detailed, only calves'!J7+Production!$B$7*'GHG detailed, mother animal'!J7/Production!$B$23</f>
        <v>0</v>
      </c>
      <c r="K7" s="348">
        <f>'GHG detailed, only calves'!K7+Production!$B$7*'GHG detailed, mother animal'!K7/Production!$B$23</f>
        <v>0</v>
      </c>
      <c r="L7" s="348">
        <f>'GHG detailed, only calves'!L7+Production!$B$7*'GHG detailed, mother animal'!L7/Production!$B$23</f>
        <v>0.33300410995363333</v>
      </c>
      <c r="M7" s="348">
        <f>'GHG detailed, only calves'!M7+Production!$B$7*'GHG detailed, mother animal'!M7/Production!$B$23</f>
        <v>0</v>
      </c>
      <c r="N7" s="348">
        <f>'GHG detailed, only calves'!N7+Production!$B$7*'GHG detailed, mother animal'!N7/Production!$B$23</f>
        <v>1.5580534847172221E-2</v>
      </c>
      <c r="O7" s="348">
        <f>'GHG detailed, only calves'!O7+Production!$B$7*'GHG detailed, mother animal'!O7/Production!$B$23</f>
        <v>7.5015949478773103E-2</v>
      </c>
      <c r="P7" s="348">
        <f>'GHG detailed, only calves'!P7+Production!$B$7*'GHG detailed, mother animal'!P7/Production!$B$23</f>
        <v>0.39669488028868299</v>
      </c>
      <c r="Q7" s="348">
        <f>'GHG detailed, only calves'!Q7+Production!$B$7*'GHG detailed, mother animal'!Q7/Production!$B$23</f>
        <v>1.1586000289051104</v>
      </c>
      <c r="R7" s="348">
        <f>'GHG detailed, only calves'!R7+Production!$B$7*'GHG detailed, mother animal'!R7/Production!$B$23</f>
        <v>0.39440150691301468</v>
      </c>
      <c r="S7" s="348">
        <f>'GHG detailed, only calves'!S7+Production!$B$7*'GHG detailed, mother animal'!S7/Production!$B$23</f>
        <v>0</v>
      </c>
      <c r="T7" s="348">
        <f>'GHG detailed, only calves'!T7+Production!$B$7*'GHG detailed, mother animal'!T7/Production!$B$23</f>
        <v>0</v>
      </c>
      <c r="U7" s="348">
        <f>'GHG detailed, only calves'!U7+Production!$B$7*'GHG detailed, mother animal'!U7/Production!$B$23</f>
        <v>0</v>
      </c>
      <c r="V7" s="348">
        <f>'GHG detailed, only calves'!V7+Production!$B$7*'GHG detailed, mother animal'!V7/Production!$B$23</f>
        <v>0</v>
      </c>
      <c r="W7" s="348">
        <f>'GHG detailed, only calves'!W7+Production!$B$7*'GHG detailed, mother animal'!W7/Production!$B$23</f>
        <v>0.85647076743187645</v>
      </c>
      <c r="X7" s="348">
        <f>'GHG detailed, only calves'!X7+Production!$B$7*'GHG detailed, mother animal'!X7/Production!$B$23</f>
        <v>2.974226007027856E-2</v>
      </c>
      <c r="Z7" s="18"/>
      <c r="AA7" s="18"/>
    </row>
    <row r="8" spans="1:27" x14ac:dyDescent="0.35">
      <c r="A8" s="11" t="s">
        <v>543</v>
      </c>
      <c r="B8" s="11" t="s">
        <v>546</v>
      </c>
      <c r="C8" s="15" t="s">
        <v>545</v>
      </c>
      <c r="D8" s="16" t="s">
        <v>85</v>
      </c>
      <c r="E8" s="16" t="s">
        <v>35</v>
      </c>
      <c r="F8" s="11" t="s">
        <v>87</v>
      </c>
      <c r="G8" s="17">
        <f t="shared" ref="G8:G63" si="0">SUM(H8:X8)</f>
        <v>2.0876964396535837E-2</v>
      </c>
      <c r="H8" s="18">
        <f>'GHG detailed, only calves'!H8+Production!$B$7*'GHG detailed, mother animal'!H8/Production!$B$23</f>
        <v>4.5988956701839795E-4</v>
      </c>
      <c r="I8" s="18">
        <f>'GHG detailed, only calves'!I8+Production!$B$7*'GHG detailed, mother animal'!I8/Production!$B$23</f>
        <v>2.0776947415806746E-3</v>
      </c>
      <c r="J8" s="18">
        <f>'GHG detailed, only calves'!J8+Production!$B$7*'GHG detailed, mother animal'!J8/Production!$B$23</f>
        <v>0</v>
      </c>
      <c r="K8" s="18">
        <f>'GHG detailed, only calves'!K8+Production!$B$7*'GHG detailed, mother animal'!K8/Production!$B$23</f>
        <v>0</v>
      </c>
      <c r="L8" s="18">
        <f>'GHG detailed, only calves'!L8+Production!$B$7*'GHG detailed, mother animal'!L8/Production!$B$23</f>
        <v>1.4948913721432109E-4</v>
      </c>
      <c r="M8" s="18">
        <f>'GHG detailed, only calves'!M8+Production!$B$7*'GHG detailed, mother animal'!M8/Production!$B$23</f>
        <v>0</v>
      </c>
      <c r="N8" s="18">
        <f>'GHG detailed, only calves'!N8+Production!$B$7*'GHG detailed, mother animal'!N8/Production!$B$23</f>
        <v>5.2410401712299799E-5</v>
      </c>
      <c r="O8" s="18">
        <f>'GHG detailed, only calves'!O8+Production!$B$7*'GHG detailed, mother animal'!O8/Production!$B$23</f>
        <v>5.0385500997549293E-5</v>
      </c>
      <c r="P8" s="18">
        <f>'GHG detailed, only calves'!P8+Production!$B$7*'GHG detailed, mother animal'!P8/Production!$B$23</f>
        <v>0</v>
      </c>
      <c r="Q8" s="18">
        <f>'GHG detailed, only calves'!Q8+Production!$B$7*'GHG detailed, mother animal'!Q8/Production!$B$23</f>
        <v>1.4475473155557163E-2</v>
      </c>
      <c r="R8" s="18">
        <f>'GHG detailed, only calves'!R8+Production!$B$7*'GHG detailed, mother animal'!R8/Production!$B$23</f>
        <v>2.7391228533053184E-3</v>
      </c>
      <c r="S8" s="18">
        <f>'GHG detailed, only calves'!S8+Production!$B$7*'GHG detailed, mother animal'!S8/Production!$B$23</f>
        <v>0</v>
      </c>
      <c r="T8" s="18">
        <f>'GHG detailed, only calves'!T8+Production!$B$7*'GHG detailed, mother animal'!T8/Production!$B$23</f>
        <v>0</v>
      </c>
      <c r="U8" s="18">
        <f>'GHG detailed, only calves'!U8+Production!$B$7*'GHG detailed, mother animal'!U8/Production!$B$23</f>
        <v>0</v>
      </c>
      <c r="V8" s="18">
        <f>'GHG detailed, only calves'!V8+Production!$B$7*'GHG detailed, mother animal'!V8/Production!$B$23</f>
        <v>0</v>
      </c>
      <c r="W8" s="18">
        <f>'GHG detailed, only calves'!W8+Production!$B$7*'GHG detailed, mother animal'!W8/Production!$B$23</f>
        <v>8.4308034891555266E-4</v>
      </c>
      <c r="X8" s="18">
        <f>'GHG detailed, only calves'!X8+Production!$B$7*'GHG detailed, mother animal'!X8/Production!$B$23</f>
        <v>2.9418690234559919E-5</v>
      </c>
      <c r="Z8" s="32"/>
      <c r="AA8" s="32"/>
    </row>
    <row r="9" spans="1:27" x14ac:dyDescent="0.35">
      <c r="A9" s="11" t="s">
        <v>543</v>
      </c>
      <c r="B9" s="11" t="s">
        <v>546</v>
      </c>
      <c r="C9" s="15" t="s">
        <v>545</v>
      </c>
      <c r="D9" s="16" t="s">
        <v>85</v>
      </c>
      <c r="E9" s="16" t="s">
        <v>35</v>
      </c>
      <c r="F9" s="11" t="s">
        <v>88</v>
      </c>
      <c r="G9" s="17">
        <f>SUM(H9:T9)</f>
        <v>0.67527936421610746</v>
      </c>
      <c r="H9" s="18">
        <f>'GHG detailed, only calves'!H9+Production!$B$7*'GHG detailed, mother animal'!H9/Production!$B$23</f>
        <v>0</v>
      </c>
      <c r="I9" s="18">
        <f>'GHG detailed, only calves'!I9+Production!$B$7*'GHG detailed, mother animal'!I9/Production!$B$23</f>
        <v>0</v>
      </c>
      <c r="J9" s="18">
        <f>'GHG detailed, only calves'!J9+Production!$B$7*'GHG detailed, mother animal'!J9/Production!$B$23</f>
        <v>0</v>
      </c>
      <c r="K9" s="18">
        <f>'GHG detailed, only calves'!K9+Production!$B$7*'GHG detailed, mother animal'!K9/Production!$B$23</f>
        <v>0</v>
      </c>
      <c r="L9" s="18">
        <f>'GHG detailed, only calves'!L9+Production!$B$7*'GHG detailed, mother animal'!L9/Production!$B$23</f>
        <v>0</v>
      </c>
      <c r="M9" s="18">
        <f>'GHG detailed, only calves'!M9+Production!$B$7*'GHG detailed, mother animal'!M9/Production!$B$23</f>
        <v>0</v>
      </c>
      <c r="N9" s="18">
        <f>'GHG detailed, only calves'!N9+Production!$B$7*'GHG detailed, mother animal'!N9/Production!$B$23</f>
        <v>0</v>
      </c>
      <c r="O9" s="18">
        <f>'GHG detailed, only calves'!O9+Production!$B$7*'GHG detailed, mother animal'!O9/Production!$B$23</f>
        <v>0</v>
      </c>
      <c r="P9" s="18">
        <f>'GHG detailed, only calves'!P9+Production!$B$7*'GHG detailed, mother animal'!P9/Production!$B$23</f>
        <v>0</v>
      </c>
      <c r="Q9" s="18">
        <f>'GHG detailed, only calves'!Q9+Production!$B$7*'GHG detailed, mother animal'!Q9/Production!$B$23</f>
        <v>0</v>
      </c>
      <c r="R9" s="18">
        <f>'GHG detailed, only calves'!R9+Production!$B$7*'GHG detailed, mother animal'!R9/Production!$B$23</f>
        <v>0</v>
      </c>
      <c r="S9" s="18">
        <f>'GHG detailed, only calves'!S9+Production!$B$7*'GHG detailed, mother animal'!S9/Production!$B$23</f>
        <v>0.56515765426262432</v>
      </c>
      <c r="T9" s="18">
        <f>'GHG detailed, only calves'!T9+Production!$B$7*'GHG detailed, mother animal'!T9/Production!$B$23</f>
        <v>0.11012170995348308</v>
      </c>
      <c r="U9" s="18">
        <f>'GHG detailed, only calves'!U9+Production!$B$7*'GHG detailed, mother animal'!U9/Production!$B$23</f>
        <v>0.11012170995348308</v>
      </c>
      <c r="V9" s="18">
        <f>'GHG detailed, only calves'!V9+Production!$B$7*'GHG detailed, mother animal'!V9/Production!$B$23</f>
        <v>0</v>
      </c>
      <c r="W9" s="18">
        <f>'GHG detailed, only calves'!W9+Production!$B$7*'GHG detailed, mother animal'!W9/Production!$B$23</f>
        <v>0</v>
      </c>
      <c r="X9" s="18">
        <f>'GHG detailed, only calves'!X9+Production!$B$7*'GHG detailed, mother animal'!X9/Production!$B$23</f>
        <v>0</v>
      </c>
      <c r="Z9" s="32"/>
      <c r="AA9" s="32"/>
    </row>
    <row r="10" spans="1:27" ht="15" thickBot="1" x14ac:dyDescent="0.4">
      <c r="A10" s="11" t="s">
        <v>543</v>
      </c>
      <c r="B10" s="11" t="s">
        <v>546</v>
      </c>
      <c r="C10" s="15" t="s">
        <v>545</v>
      </c>
      <c r="D10" s="16" t="s">
        <v>85</v>
      </c>
      <c r="E10" s="16" t="s">
        <v>35</v>
      </c>
      <c r="F10" s="34" t="s">
        <v>89</v>
      </c>
      <c r="G10" s="17">
        <f>SUM(H10:T10)+W10+X10</f>
        <v>1.4269919478186517E-2</v>
      </c>
      <c r="H10" s="18">
        <f>'GHG detailed, only calves'!H10+Production!$B$7*'GHG detailed, mother animal'!H10/Production!$B$23</f>
        <v>6.6368879236711371E-4</v>
      </c>
      <c r="I10" s="18">
        <f>'GHG detailed, only calves'!I10+Production!$B$7*'GHG detailed, mother animal'!I10/Production!$B$23</f>
        <v>2.3985085616490417E-5</v>
      </c>
      <c r="J10" s="18">
        <f>'GHG detailed, only calves'!J10+Production!$B$7*'GHG detailed, mother animal'!J10/Production!$B$23</f>
        <v>5.7084021690431402E-3</v>
      </c>
      <c r="K10" s="18">
        <f>'GHG detailed, only calves'!K10+Production!$B$7*'GHG detailed, mother animal'!K10/Production!$B$23</f>
        <v>5.7084021690431404E-4</v>
      </c>
      <c r="L10" s="18">
        <f>'GHG detailed, only calves'!L10+Production!$B$7*'GHG detailed, mother animal'!L10/Production!$B$23</f>
        <v>9.021913113287275E-6</v>
      </c>
      <c r="M10" s="18">
        <f>'GHG detailed, only calves'!M10+Production!$B$7*'GHG detailed, mother animal'!M10/Production!$B$23</f>
        <v>0</v>
      </c>
      <c r="N10" s="18">
        <f>'GHG detailed, only calves'!N10+Production!$B$7*'GHG detailed, mother animal'!N10/Production!$B$23</f>
        <v>6.4498649644502667E-7</v>
      </c>
      <c r="O10" s="18">
        <f>'GHG detailed, only calves'!O10+Production!$B$7*'GHG detailed, mother animal'!O10/Production!$B$23</f>
        <v>2.7576818520063152E-6</v>
      </c>
      <c r="P10" s="18">
        <f>'GHG detailed, only calves'!P10+Production!$B$7*'GHG detailed, mother animal'!P10/Production!$B$23</f>
        <v>0</v>
      </c>
      <c r="Q10" s="18">
        <f>'GHG detailed, only calves'!Q10+Production!$B$7*'GHG detailed, mother animal'!Q10/Production!$B$23</f>
        <v>1.3681979601082184E-3</v>
      </c>
      <c r="R10" s="18">
        <f>'GHG detailed, only calves'!R10+Production!$B$7*'GHG detailed, mother animal'!R10/Production!$B$23</f>
        <v>2.5425125230122314E-4</v>
      </c>
      <c r="S10" s="18">
        <f>'GHG detailed, only calves'!S10+Production!$B$7*'GHG detailed, mother animal'!S10/Production!$B$23</f>
        <v>0</v>
      </c>
      <c r="T10" s="18">
        <f>'GHG detailed, only calves'!T10+Production!$B$7*'GHG detailed, mother animal'!T10/Production!$B$23</f>
        <v>5.6315996446841638E-3</v>
      </c>
      <c r="U10" s="18">
        <f>'GHG detailed, only calves'!U10+Production!$B$7*'GHG detailed, mother animal'!U10/Production!$B$23</f>
        <v>3.771869315760614E-3</v>
      </c>
      <c r="V10" s="18">
        <f>'GHG detailed, only calves'!V10+Production!$B$7*'GHG detailed, mother animal'!V10/Production!$B$23</f>
        <v>1.8597303289235503E-3</v>
      </c>
      <c r="W10" s="18">
        <f>'GHG detailed, only calves'!W10+Production!$B$7*'GHG detailed, mother animal'!W10/Production!$B$23</f>
        <v>3.5185792501570142E-5</v>
      </c>
      <c r="X10" s="18">
        <f>'GHG detailed, only calves'!X10+Production!$B$7*'GHG detailed, mother animal'!X10/Production!$B$23</f>
        <v>1.3439831985453886E-6</v>
      </c>
      <c r="Z10" s="32"/>
      <c r="AA10" s="32"/>
    </row>
    <row r="11" spans="1:27" ht="15.5" thickTop="1" thickBot="1" x14ac:dyDescent="0.4">
      <c r="A11" s="125" t="s">
        <v>543</v>
      </c>
      <c r="B11" s="125" t="s">
        <v>546</v>
      </c>
      <c r="C11" s="126" t="s">
        <v>545</v>
      </c>
      <c r="D11" s="127" t="s">
        <v>85</v>
      </c>
      <c r="E11" s="127" t="s">
        <v>35</v>
      </c>
      <c r="F11" s="128" t="s">
        <v>90</v>
      </c>
      <c r="G11" s="137">
        <f>SUM(H11:X11)</f>
        <v>26.908844988548729</v>
      </c>
      <c r="H11" s="129">
        <f>SUMPRODUCT(H7:H10,'Parameters, general'!$B$23:$B$26)</f>
        <v>0.50401148564404019</v>
      </c>
      <c r="I11" s="129">
        <f>SUMPRODUCT(I7:I10,'Parameters, general'!$B$23:$B$26)</f>
        <v>0.65831405570534107</v>
      </c>
      <c r="J11" s="129">
        <f>SUMPRODUCT(J7:J10,'Parameters, general'!$B$23:$B$26)</f>
        <v>1.5583937921487772</v>
      </c>
      <c r="K11" s="129">
        <f>SUMPRODUCT(K7:K10,'Parameters, general'!$B$23:$B$26)</f>
        <v>0.15583937921487773</v>
      </c>
      <c r="L11" s="129">
        <f>SUMPRODUCT(L7:L10,'Parameters, general'!$B$23:$B$26)</f>
        <v>0.33992186852254752</v>
      </c>
      <c r="M11" s="129">
        <f>SUMPRODUCT(M7:M10,'Parameters, general'!$B$23:$B$26)</f>
        <v>0</v>
      </c>
      <c r="N11" s="129">
        <f>SUMPRODUCT(N7:N10,'Parameters, general'!$B$23:$B$26)</f>
        <v>1.7318446131728248E-2</v>
      </c>
      <c r="O11" s="129">
        <f>SUMPRODUCT(O7:O10,'Parameters, general'!$B$23:$B$26)</f>
        <v>7.7270284554097804E-2</v>
      </c>
      <c r="P11" s="129">
        <f>SUMPRODUCT(P7:P10,'Parameters, general'!$B$23:$B$26)</f>
        <v>0.39669488028868299</v>
      </c>
      <c r="Q11" s="129">
        <f>SUMPRODUCT(Q7:Q10,'Parameters, general'!$B$23:$B$26)</f>
        <v>1.9634871720502574</v>
      </c>
      <c r="R11" s="129">
        <f>SUMPRODUCT(R7:R10,'Parameters, general'!$B$23:$B$26)</f>
        <v>0.54543795981974708</v>
      </c>
      <c r="S11" s="129">
        <f>SUMPRODUCT(S7:S10,'Parameters, general'!$B$23:$B$26)</f>
        <v>15.259256665090856</v>
      </c>
      <c r="T11" s="129">
        <f>SUMPRODUCT(T7:T10,'Parameters, general'!$B$23:$B$26)</f>
        <v>4.51071287174282</v>
      </c>
      <c r="U11" s="129"/>
      <c r="V11" s="129"/>
      <c r="W11" s="129">
        <f>SUMPRODUCT(W7:W10,'Parameters, general'!$B$23:$B$26)</f>
        <v>0.89120028318248856</v>
      </c>
      <c r="X11" s="129">
        <f>SUMPRODUCT(X7:X10,'Parameters, general'!$B$23:$B$26)</f>
        <v>3.0985844452471337E-2</v>
      </c>
      <c r="Z11" s="103">
        <f>SUM(H11:R11)</f>
        <v>6.2166893240800976</v>
      </c>
      <c r="AA11" s="151">
        <f>'CO2 per kg feed'!F20+'CH4 per kg feed'!F20*CF_GWP_CH4_fossil+'N2O per kg feed'!F20*CF_GWP_N2O</f>
        <v>0.21046383183744502</v>
      </c>
    </row>
    <row r="12" spans="1:27" ht="15" thickTop="1" x14ac:dyDescent="0.35">
      <c r="A12" s="130" t="s">
        <v>543</v>
      </c>
      <c r="B12" s="130" t="s">
        <v>546</v>
      </c>
      <c r="C12" s="131" t="s">
        <v>545</v>
      </c>
      <c r="D12" s="16" t="s">
        <v>36</v>
      </c>
      <c r="E12" s="16" t="s">
        <v>37</v>
      </c>
      <c r="F12" s="36" t="s">
        <v>86</v>
      </c>
      <c r="G12" s="467">
        <f>SUM(H12:X12)</f>
        <v>3.4797961324611202</v>
      </c>
      <c r="H12" s="348">
        <f>'GHG detailed, only calves'!H12+Production!$C$7*'GHG detailed, mother animal'!H12/Production!$C$23</f>
        <v>0.6481170947265622</v>
      </c>
      <c r="I12" s="348">
        <f>'GHG detailed, only calves'!I12+Production!$C$7*'GHG detailed, mother animal'!I12/Production!$C$23</f>
        <v>0.54854128020727888</v>
      </c>
      <c r="J12" s="348">
        <f>'GHG detailed, only calves'!J12+Production!$C$7*'GHG detailed, mother animal'!J12/Production!$C$23</f>
        <v>0</v>
      </c>
      <c r="K12" s="348">
        <f>'GHG detailed, only calves'!K12+Production!$C$7*'GHG detailed, mother animal'!K12/Production!$C$23</f>
        <v>0</v>
      </c>
      <c r="L12" s="348">
        <f>'GHG detailed, only calves'!L12+Production!$C$7*'GHG detailed, mother animal'!L12/Production!$C$23</f>
        <v>0.38594931265685456</v>
      </c>
      <c r="M12" s="348">
        <f>'GHG detailed, only calves'!M12+Production!$C$7*'GHG detailed, mother animal'!M12/Production!$C$23</f>
        <v>0</v>
      </c>
      <c r="N12" s="348">
        <f>'GHG detailed, only calves'!N12+Production!$C$7*'GHG detailed, mother animal'!N12/Production!$C$23</f>
        <v>5.0827839141757057E-2</v>
      </c>
      <c r="O12" s="348">
        <f>'GHG detailed, only calves'!O12+Production!$C$7*'GHG detailed, mother animal'!O12/Production!$C$23</f>
        <v>0.11977034461912514</v>
      </c>
      <c r="P12" s="348">
        <f>'GHG detailed, only calves'!P12+Production!$C$7*'GHG detailed, mother animal'!P12/Production!$C$23</f>
        <v>0.25048527668242471</v>
      </c>
      <c r="Q12" s="348">
        <f>'GHG detailed, only calves'!Q12+Production!$C$7*'GHG detailed, mother animal'!Q12/Production!$C$23</f>
        <v>0.77240014398007939</v>
      </c>
      <c r="R12" s="348">
        <f>'GHG detailed, only calves'!R12+Production!$C$7*'GHG detailed, mother animal'!R12/Production!$C$23</f>
        <v>0.27179644410327519</v>
      </c>
      <c r="S12" s="348">
        <f>'GHG detailed, only calves'!S12+Production!$C$7*'GHG detailed, mother animal'!S12/Production!$C$23</f>
        <v>0</v>
      </c>
      <c r="T12" s="348">
        <f>'GHG detailed, only calves'!T12+Production!$C$7*'GHG detailed, mother animal'!T12/Production!$C$23</f>
        <v>0</v>
      </c>
      <c r="U12" s="348">
        <f>'GHG detailed, only calves'!U12+Production!$C$7*'GHG detailed, mother animal'!U12/Production!$C$23</f>
        <v>0</v>
      </c>
      <c r="V12" s="348">
        <f>'GHG detailed, only calves'!V12+Production!$C$7*'GHG detailed, mother animal'!V12/Production!$C$23</f>
        <v>0</v>
      </c>
      <c r="W12" s="348">
        <f>'GHG detailed, only calves'!W12+Production!$C$7*'GHG detailed, mother animal'!W12/Production!$C$23</f>
        <v>0.4303366893126534</v>
      </c>
      <c r="X12" s="348">
        <f>'GHG detailed, only calves'!X12+Production!$C$7*'GHG detailed, mother animal'!X12/Production!$C$23</f>
        <v>1.5717070311092192E-3</v>
      </c>
      <c r="Z12" s="18"/>
      <c r="AA12" s="18"/>
    </row>
    <row r="13" spans="1:27" x14ac:dyDescent="0.35">
      <c r="A13" s="11" t="s">
        <v>543</v>
      </c>
      <c r="B13" s="11" t="s">
        <v>546</v>
      </c>
      <c r="C13" s="15" t="s">
        <v>545</v>
      </c>
      <c r="D13" s="16" t="s">
        <v>36</v>
      </c>
      <c r="E13" s="16" t="s">
        <v>37</v>
      </c>
      <c r="F13" s="11" t="s">
        <v>87</v>
      </c>
      <c r="G13" s="17">
        <f t="shared" si="0"/>
        <v>1.5134033162572799E-2</v>
      </c>
      <c r="H13" s="18">
        <f>'GHG detailed, only calves'!H13+Production!$C$7*'GHG detailed, mother animal'!H13/Production!$C$23</f>
        <v>1.2151735844792635E-3</v>
      </c>
      <c r="I13" s="18">
        <f>'GHG detailed, only calves'!I13+Production!$C$7*'GHG detailed, mother animal'!I13/Production!$C$23</f>
        <v>1.9391319133277019E-3</v>
      </c>
      <c r="J13" s="18">
        <f>'GHG detailed, only calves'!J13+Production!$C$7*'GHG detailed, mother animal'!J13/Production!$C$23</f>
        <v>0</v>
      </c>
      <c r="K13" s="18">
        <f>'GHG detailed, only calves'!K13+Production!$C$7*'GHG detailed, mother animal'!K13/Production!$C$23</f>
        <v>0</v>
      </c>
      <c r="L13" s="18">
        <f>'GHG detailed, only calves'!L13+Production!$C$7*'GHG detailed, mother animal'!L13/Production!$C$23</f>
        <v>1.7317809937912612E-4</v>
      </c>
      <c r="M13" s="18">
        <f>'GHG detailed, only calves'!M13+Production!$C$7*'GHG detailed, mother animal'!M13/Production!$C$23</f>
        <v>0</v>
      </c>
      <c r="N13" s="18">
        <f>'GHG detailed, only calves'!N13+Production!$C$7*'GHG detailed, mother animal'!N13/Production!$C$23</f>
        <v>1.7062753819736874E-4</v>
      </c>
      <c r="O13" s="18">
        <f>'GHG detailed, only calves'!O13+Production!$C$7*'GHG detailed, mother animal'!O13/Production!$C$23</f>
        <v>6.9866070008894296E-5</v>
      </c>
      <c r="P13" s="18">
        <f>'GHG detailed, only calves'!P13+Production!$C$7*'GHG detailed, mother animal'!P13/Production!$C$23</f>
        <v>0</v>
      </c>
      <c r="Q13" s="18">
        <f>'GHG detailed, only calves'!Q13+Production!$C$7*'GHG detailed, mother animal'!Q13/Production!$C$23</f>
        <v>9.6226641955737928E-3</v>
      </c>
      <c r="R13" s="18">
        <f>'GHG detailed, only calves'!R13+Production!$C$7*'GHG detailed, mother animal'!R13/Production!$C$23</f>
        <v>1.5674311633635256E-3</v>
      </c>
      <c r="S13" s="18">
        <f>'GHG detailed, only calves'!S13+Production!$C$7*'GHG detailed, mother animal'!S13/Production!$C$23</f>
        <v>0</v>
      </c>
      <c r="T13" s="18">
        <f>'GHG detailed, only calves'!T13+Production!$C$7*'GHG detailed, mother animal'!T13/Production!$C$23</f>
        <v>0</v>
      </c>
      <c r="U13" s="18">
        <f>'GHG detailed, only calves'!U13+Production!$C$7*'GHG detailed, mother animal'!U13/Production!$C$23</f>
        <v>0</v>
      </c>
      <c r="V13" s="18">
        <f>'GHG detailed, only calves'!V13+Production!$C$7*'GHG detailed, mother animal'!V13/Production!$C$23</f>
        <v>0</v>
      </c>
      <c r="W13" s="18">
        <f>'GHG detailed, only calves'!W13+Production!$C$7*'GHG detailed, mother animal'!W13/Production!$C$23</f>
        <v>3.7421539891857835E-4</v>
      </c>
      <c r="X13" s="18">
        <f>'GHG detailed, only calves'!X13+Production!$C$7*'GHG detailed, mother animal'!X13/Production!$C$23</f>
        <v>1.7451993245491132E-6</v>
      </c>
      <c r="Z13" s="32"/>
      <c r="AA13" s="32"/>
    </row>
    <row r="14" spans="1:27" x14ac:dyDescent="0.35">
      <c r="A14" s="11" t="s">
        <v>543</v>
      </c>
      <c r="B14" s="11" t="s">
        <v>546</v>
      </c>
      <c r="C14" s="15" t="s">
        <v>545</v>
      </c>
      <c r="D14" s="16" t="s">
        <v>36</v>
      </c>
      <c r="E14" s="16" t="s">
        <v>37</v>
      </c>
      <c r="F14" s="11" t="s">
        <v>88</v>
      </c>
      <c r="G14" s="17">
        <f>SUM(H14:T14)</f>
        <v>0.6076786306358315</v>
      </c>
      <c r="H14" s="18">
        <f>'GHG detailed, only calves'!H14+Production!$C$7*'GHG detailed, mother animal'!H14/Production!$C$23</f>
        <v>0</v>
      </c>
      <c r="I14" s="18">
        <f>'GHG detailed, only calves'!I14+Production!$C$7*'GHG detailed, mother animal'!I14/Production!$C$23</f>
        <v>0</v>
      </c>
      <c r="J14" s="18">
        <f>'GHG detailed, only calves'!J14+Production!$C$7*'GHG detailed, mother animal'!J14/Production!$C$23</f>
        <v>0</v>
      </c>
      <c r="K14" s="18">
        <f>'GHG detailed, only calves'!K14+Production!$C$7*'GHG detailed, mother animal'!K14/Production!$C$23</f>
        <v>0</v>
      </c>
      <c r="L14" s="18">
        <f>'GHG detailed, only calves'!L14+Production!$C$7*'GHG detailed, mother animal'!L14/Production!$C$23</f>
        <v>0</v>
      </c>
      <c r="M14" s="18">
        <f>'GHG detailed, only calves'!M14+Production!$C$7*'GHG detailed, mother animal'!M14/Production!$C$23</f>
        <v>0</v>
      </c>
      <c r="N14" s="18">
        <f>'GHG detailed, only calves'!N14+Production!$C$7*'GHG detailed, mother animal'!N14/Production!$C$23</f>
        <v>0</v>
      </c>
      <c r="O14" s="18">
        <f>'GHG detailed, only calves'!O14+Production!$C$7*'GHG detailed, mother animal'!O14/Production!$C$23</f>
        <v>0</v>
      </c>
      <c r="P14" s="18">
        <f>'GHG detailed, only calves'!P14+Production!$C$7*'GHG detailed, mother animal'!P14/Production!$C$23</f>
        <v>0</v>
      </c>
      <c r="Q14" s="18">
        <f>'GHG detailed, only calves'!Q14+Production!$C$7*'GHG detailed, mother animal'!Q14/Production!$C$23</f>
        <v>0</v>
      </c>
      <c r="R14" s="18">
        <f>'GHG detailed, only calves'!R14+Production!$C$7*'GHG detailed, mother animal'!R14/Production!$C$23</f>
        <v>0</v>
      </c>
      <c r="S14" s="18">
        <f>'GHG detailed, only calves'!S14+Production!$C$7*'GHG detailed, mother animal'!S14/Production!$C$23</f>
        <v>0.56214230561619605</v>
      </c>
      <c r="T14" s="18">
        <f>'GHG detailed, only calves'!T14+Production!$C$7*'GHG detailed, mother animal'!T14/Production!$C$23</f>
        <v>4.5536325019635393E-2</v>
      </c>
      <c r="U14" s="18">
        <f>'GHG detailed, only calves'!U14+Production!$C$7*'GHG detailed, mother animal'!U14/Production!$C$23</f>
        <v>4.5536325019635393E-2</v>
      </c>
      <c r="V14" s="18">
        <f>'GHG detailed, only calves'!V14+Production!$C$7*'GHG detailed, mother animal'!V14/Production!$C$23</f>
        <v>0</v>
      </c>
      <c r="W14" s="18">
        <f>'GHG detailed, only calves'!W14+Production!$C$7*'GHG detailed, mother animal'!W14/Production!$C$23</f>
        <v>0</v>
      </c>
      <c r="X14" s="18">
        <f>'GHG detailed, only calves'!X14+Production!$C$7*'GHG detailed, mother animal'!X14/Production!$C$23</f>
        <v>0</v>
      </c>
      <c r="Z14" s="32"/>
      <c r="AA14" s="32"/>
    </row>
    <row r="15" spans="1:27" ht="15" thickBot="1" x14ac:dyDescent="0.4">
      <c r="A15" s="11" t="s">
        <v>543</v>
      </c>
      <c r="B15" s="11" t="s">
        <v>546</v>
      </c>
      <c r="C15" s="15" t="s">
        <v>545</v>
      </c>
      <c r="D15" s="16" t="s">
        <v>36</v>
      </c>
      <c r="E15" s="16" t="s">
        <v>37</v>
      </c>
      <c r="F15" s="34" t="s">
        <v>89</v>
      </c>
      <c r="G15" s="17">
        <f>SUM(H15:T15)+W15+X15</f>
        <v>1.8453818912524067E-2</v>
      </c>
      <c r="H15" s="18">
        <f>'GHG detailed, only calves'!H15+Production!$C$7*'GHG detailed, mother animal'!H15/Production!$C$23</f>
        <v>1.4294030807767226E-3</v>
      </c>
      <c r="I15" s="18">
        <f>'GHG detailed, only calves'!I15+Production!$C$7*'GHG detailed, mother animal'!I15/Production!$C$23</f>
        <v>2.2166392867588075E-5</v>
      </c>
      <c r="J15" s="18">
        <f>'GHG detailed, only calves'!J15+Production!$C$7*'GHG detailed, mother animal'!J15/Production!$C$23</f>
        <v>8.8899330470026301E-3</v>
      </c>
      <c r="K15" s="18">
        <f>'GHG detailed, only calves'!K15+Production!$C$7*'GHG detailed, mother animal'!K15/Production!$C$23</f>
        <v>8.8899330470026299E-4</v>
      </c>
      <c r="L15" s="18">
        <f>'GHG detailed, only calves'!L15+Production!$C$7*'GHG detailed, mother animal'!L15/Production!$C$23</f>
        <v>1.0607572818552831E-5</v>
      </c>
      <c r="M15" s="18">
        <f>'GHG detailed, only calves'!M15+Production!$C$7*'GHG detailed, mother animal'!M15/Production!$C$23</f>
        <v>0</v>
      </c>
      <c r="N15" s="18">
        <f>'GHG detailed, only calves'!N15+Production!$C$7*'GHG detailed, mother animal'!N15/Production!$C$23</f>
        <v>2.1001640325111359E-6</v>
      </c>
      <c r="O15" s="18">
        <f>'GHG detailed, only calves'!O15+Production!$C$7*'GHG detailed, mother animal'!O15/Production!$C$23</f>
        <v>4.4175478315391052E-6</v>
      </c>
      <c r="P15" s="18">
        <f>'GHG detailed, only calves'!P15+Production!$C$7*'GHG detailed, mother animal'!P15/Production!$C$23</f>
        <v>0</v>
      </c>
      <c r="Q15" s="18">
        <f>'GHG detailed, only calves'!Q15+Production!$C$7*'GHG detailed, mother animal'!Q15/Production!$C$23</f>
        <v>9.0226035713664643E-4</v>
      </c>
      <c r="R15" s="18">
        <f>'GHG detailed, only calves'!R15+Production!$C$7*'GHG detailed, mother animal'!R15/Production!$C$23</f>
        <v>1.4271291048607152E-4</v>
      </c>
      <c r="S15" s="18">
        <f>'GHG detailed, only calves'!S15+Production!$C$7*'GHG detailed, mother animal'!S15/Production!$C$23</f>
        <v>0</v>
      </c>
      <c r="T15" s="18">
        <f>'GHG detailed, only calves'!T15+Production!$C$7*'GHG detailed, mother animal'!T15/Production!$C$23</f>
        <v>6.1449626352141368E-3</v>
      </c>
      <c r="U15" s="18">
        <f>'GHG detailed, only calves'!U15+Production!$C$7*'GHG detailed, mother animal'!U15/Production!$C$23</f>
        <v>4.3677291954955788E-3</v>
      </c>
      <c r="V15" s="18">
        <f>'GHG detailed, only calves'!V15+Production!$C$7*'GHG detailed, mother animal'!V15/Production!$C$23</f>
        <v>1.7772334397185576E-3</v>
      </c>
      <c r="W15" s="18">
        <f>'GHG detailed, only calves'!W15+Production!$C$7*'GHG detailed, mother animal'!W15/Production!$C$23</f>
        <v>1.6181634683891638E-5</v>
      </c>
      <c r="X15" s="18">
        <f>'GHG detailed, only calves'!X15+Production!$C$7*'GHG detailed, mother animal'!X15/Production!$C$23</f>
        <v>8.0264973514629789E-8</v>
      </c>
      <c r="Z15" s="32"/>
      <c r="AA15" s="32"/>
    </row>
    <row r="16" spans="1:27" ht="15.5" thickTop="1" thickBot="1" x14ac:dyDescent="0.4">
      <c r="A16" s="125" t="s">
        <v>543</v>
      </c>
      <c r="B16" s="125" t="s">
        <v>546</v>
      </c>
      <c r="C16" s="126" t="s">
        <v>545</v>
      </c>
      <c r="D16" s="37" t="s">
        <v>36</v>
      </c>
      <c r="E16" s="37" t="s">
        <v>37</v>
      </c>
      <c r="F16" s="136" t="s">
        <v>90</v>
      </c>
      <c r="G16" s="137">
        <f t="shared" si="0"/>
        <v>25.376005910992308</v>
      </c>
      <c r="H16" s="129">
        <f>SUMPRODUCT(H12:H15,'Parameters, general'!$B$23:$B$26)</f>
        <v>1.0745563085960894</v>
      </c>
      <c r="I16" s="129">
        <f>SUMPRODUCT(I12:I15,'Parameters, general'!$B$23:$B$26)</f>
        <v>0.61237883647729596</v>
      </c>
      <c r="J16" s="129">
        <f>SUMPRODUCT(J12:J15,'Parameters, general'!$B$23:$B$26)</f>
        <v>2.4269517218317178</v>
      </c>
      <c r="K16" s="129">
        <f>SUMPRODUCT(K12:K15,'Parameters, general'!$B$23:$B$26)</f>
        <v>0.2426951721831718</v>
      </c>
      <c r="L16" s="129">
        <f>SUMPRODUCT(L12:L15,'Parameters, general'!$B$23:$B$26)</f>
        <v>0.39400588739781744</v>
      </c>
      <c r="M16" s="129">
        <f>SUMPRODUCT(M12:M15,'Parameters, general'!$B$23:$B$26)</f>
        <v>0</v>
      </c>
      <c r="N16" s="129">
        <f>SUMPRODUCT(N12:N15,'Parameters, general'!$B$23:$B$26)</f>
        <v>5.6485884560914183E-2</v>
      </c>
      <c r="O16" s="129">
        <f>SUMPRODUCT(O12:O15,'Parameters, general'!$B$23:$B$26)</f>
        <v>0.12305834406340035</v>
      </c>
      <c r="P16" s="129">
        <f>SUMPRODUCT(P12:P15,'Parameters, general'!$B$23:$B$26)</f>
        <v>0.25048527668242471</v>
      </c>
      <c r="Q16" s="129">
        <f>SUMPRODUCT(Q12:Q15,'Parameters, general'!$B$23:$B$26)</f>
        <v>1.305472614506483</v>
      </c>
      <c r="R16" s="129">
        <f>SUMPRODUCT(R12:R15,'Parameters, general'!$B$23:$B$26)</f>
        <v>0.35746651733420576</v>
      </c>
      <c r="S16" s="129">
        <f>SUMPRODUCT(S12:S15,'Parameters, general'!$B$23:$B$26)</f>
        <v>15.177842251637294</v>
      </c>
      <c r="T16" s="129">
        <f>SUMPRODUCT(T12:T15,'Parameters, general'!$B$23:$B$26)</f>
        <v>2.9070555749436151</v>
      </c>
      <c r="U16" s="129"/>
      <c r="V16" s="129"/>
      <c r="W16" s="129">
        <f>SUMPRODUCT(W12:W15,'Parameters, general'!$B$23:$B$26)</f>
        <v>0.44590589446912948</v>
      </c>
      <c r="X16" s="129">
        <f>SUMPRODUCT(X12:X15,'Parameters, general'!$B$23:$B$26)</f>
        <v>1.6456263087502769E-3</v>
      </c>
      <c r="Z16" s="103">
        <f>SUM(H16:R16)</f>
        <v>6.8435565636335198</v>
      </c>
      <c r="AA16" s="151">
        <f>'CO2 per kg feed'!F36+'CH4 per kg feed'!F36*CF_GWP_CH4_fossil+'N2O per kg feed'!F36*CF_GWP_N2O</f>
        <v>0.24350290514018569</v>
      </c>
    </row>
    <row r="17" spans="1:27" ht="15" thickTop="1" x14ac:dyDescent="0.35">
      <c r="A17" s="130" t="s">
        <v>543</v>
      </c>
      <c r="B17" s="130" t="s">
        <v>546</v>
      </c>
      <c r="C17" s="131" t="s">
        <v>545</v>
      </c>
      <c r="D17" s="121" t="s">
        <v>38</v>
      </c>
      <c r="E17" s="121" t="s">
        <v>39</v>
      </c>
      <c r="F17" s="132" t="s">
        <v>86</v>
      </c>
      <c r="G17" s="467">
        <f>SUM(H17:X17)</f>
        <v>4.0175058266056984</v>
      </c>
      <c r="H17" s="348">
        <f>'GHG detailed, only calves'!H17+Production!$D$7*'GHG detailed, mother animal'!H17/Production!$D$23</f>
        <v>0.47677430556304989</v>
      </c>
      <c r="I17" s="348">
        <f>'GHG detailed, only calves'!I17+Production!$D$7*'GHG detailed, mother animal'!I17/Production!$D$23</f>
        <v>0.54157730768769974</v>
      </c>
      <c r="J17" s="348">
        <f>'GHG detailed, only calves'!J17+Production!$D$7*'GHG detailed, mother animal'!J17/Production!$D$23</f>
        <v>0</v>
      </c>
      <c r="K17" s="348">
        <f>'GHG detailed, only calves'!K17+Production!$D$7*'GHG detailed, mother animal'!K17/Production!$D$23</f>
        <v>0</v>
      </c>
      <c r="L17" s="348">
        <f>'GHG detailed, only calves'!L17+Production!$D$7*'GHG detailed, mother animal'!L17/Production!$D$23</f>
        <v>0.33324935896391439</v>
      </c>
      <c r="M17" s="348">
        <f>'GHG detailed, only calves'!M17+Production!$D$7*'GHG detailed, mother animal'!M17/Production!$D$23</f>
        <v>0</v>
      </c>
      <c r="N17" s="348">
        <f>'GHG detailed, only calves'!N17+Production!$D$7*'GHG detailed, mother animal'!N17/Production!$D$23</f>
        <v>1.407549302480929E-2</v>
      </c>
      <c r="O17" s="348">
        <f>'GHG detailed, only calves'!O17+Production!$D$7*'GHG detailed, mother animal'!O17/Production!$D$23</f>
        <v>5.926339134354916E-2</v>
      </c>
      <c r="P17" s="348">
        <f>'GHG detailed, only calves'!P17+Production!$D$7*'GHG detailed, mother animal'!P17/Production!$D$23</f>
        <v>0.23591072918768485</v>
      </c>
      <c r="Q17" s="348">
        <f>'GHG detailed, only calves'!Q17+Production!$D$7*'GHG detailed, mother animal'!Q17/Production!$D$23</f>
        <v>1.0998169926064036</v>
      </c>
      <c r="R17" s="348">
        <f>'GHG detailed, only calves'!R17+Production!$D$7*'GHG detailed, mother animal'!R17/Production!$D$23</f>
        <v>0.24181810443504187</v>
      </c>
      <c r="S17" s="348">
        <f>'GHG detailed, only calves'!S17+Production!$D$7*'GHG detailed, mother animal'!S17/Production!$D$23</f>
        <v>0</v>
      </c>
      <c r="T17" s="348">
        <f>'GHG detailed, only calves'!T17+Production!$D$7*'GHG detailed, mother animal'!T17/Production!$D$23</f>
        <v>0</v>
      </c>
      <c r="U17" s="348">
        <f>'GHG detailed, only calves'!U17+Production!$D$7*'GHG detailed, mother animal'!U17/Production!$D$23</f>
        <v>0</v>
      </c>
      <c r="V17" s="348">
        <f>'GHG detailed, only calves'!V17+Production!$D$7*'GHG detailed, mother animal'!V17/Production!$D$23</f>
        <v>0</v>
      </c>
      <c r="W17" s="348">
        <f>'GHG detailed, only calves'!W17+Production!$D$7*'GHG detailed, mother animal'!W17/Production!$D$23</f>
        <v>0.98072853000731142</v>
      </c>
      <c r="X17" s="348">
        <f>'GHG detailed, only calves'!X17+Production!$D$7*'GHG detailed, mother animal'!X17/Production!$D$23</f>
        <v>3.4291613786233632E-2</v>
      </c>
      <c r="Z17" s="18"/>
      <c r="AA17" s="18"/>
    </row>
    <row r="18" spans="1:27" x14ac:dyDescent="0.35">
      <c r="A18" s="11" t="s">
        <v>543</v>
      </c>
      <c r="B18" s="11" t="s">
        <v>546</v>
      </c>
      <c r="C18" s="15" t="s">
        <v>545</v>
      </c>
      <c r="D18" s="16" t="s">
        <v>38</v>
      </c>
      <c r="E18" s="16" t="s">
        <v>39</v>
      </c>
      <c r="F18" s="11" t="s">
        <v>87</v>
      </c>
      <c r="G18" s="17">
        <f t="shared" si="0"/>
        <v>1.5682520798885404E-2</v>
      </c>
      <c r="H18" s="18">
        <f>'GHG detailed, only calves'!H18+Production!$D$7*'GHG detailed, mother animal'!H18/Production!$D$23</f>
        <v>8.8939652681451539E-4</v>
      </c>
      <c r="I18" s="18">
        <f>'GHG detailed, only calves'!I18+Production!$D$7*'GHG detailed, mother animal'!I18/Production!$D$23</f>
        <v>1.9065272017576326E-3</v>
      </c>
      <c r="J18" s="18">
        <f>'GHG detailed, only calves'!J18+Production!$D$7*'GHG detailed, mother animal'!J18/Production!$D$23</f>
        <v>0</v>
      </c>
      <c r="K18" s="18">
        <f>'GHG detailed, only calves'!K18+Production!$D$7*'GHG detailed, mother animal'!K18/Production!$D$23</f>
        <v>0</v>
      </c>
      <c r="L18" s="18">
        <f>'GHG detailed, only calves'!L18+Production!$D$7*'GHG detailed, mother animal'!L18/Production!$D$23</f>
        <v>1.5272783650543715E-4</v>
      </c>
      <c r="M18" s="18">
        <f>'GHG detailed, only calves'!M18+Production!$D$7*'GHG detailed, mother animal'!M18/Production!$D$23</f>
        <v>0</v>
      </c>
      <c r="N18" s="18">
        <f>'GHG detailed, only calves'!N18+Production!$D$7*'GHG detailed, mother animal'!N18/Production!$D$23</f>
        <v>4.7044460741111901E-5</v>
      </c>
      <c r="O18" s="18">
        <f>'GHG detailed, only calves'!O18+Production!$D$7*'GHG detailed, mother animal'!O18/Production!$D$23</f>
        <v>3.9986716409983874E-5</v>
      </c>
      <c r="P18" s="18">
        <f>'GHG detailed, only calves'!P18+Production!$D$7*'GHG detailed, mother animal'!P18/Production!$D$23</f>
        <v>0</v>
      </c>
      <c r="Q18" s="18">
        <f>'GHG detailed, only calves'!Q18+Production!$D$7*'GHG detailed, mother animal'!Q18/Production!$D$23</f>
        <v>1.0003557897460042E-2</v>
      </c>
      <c r="R18" s="18">
        <f>'GHG detailed, only calves'!R18+Production!$D$7*'GHG detailed, mother animal'!R18/Production!$D$23</f>
        <v>1.2504663862100041E-3</v>
      </c>
      <c r="S18" s="18">
        <f>'GHG detailed, only calves'!S18+Production!$D$7*'GHG detailed, mother animal'!S18/Production!$D$23</f>
        <v>0</v>
      </c>
      <c r="T18" s="18">
        <f>'GHG detailed, only calves'!T18+Production!$D$7*'GHG detailed, mother animal'!T18/Production!$D$23</f>
        <v>0</v>
      </c>
      <c r="U18" s="18">
        <f>'GHG detailed, only calves'!U18+Production!$D$7*'GHG detailed, mother animal'!U18/Production!$D$23</f>
        <v>0</v>
      </c>
      <c r="V18" s="18">
        <f>'GHG detailed, only calves'!V18+Production!$D$7*'GHG detailed, mother animal'!V18/Production!$D$23</f>
        <v>0</v>
      </c>
      <c r="W18" s="18">
        <f>'GHG detailed, only calves'!W18+Production!$D$7*'GHG detailed, mother animal'!W18/Production!$D$23</f>
        <v>1.3450180253658588E-3</v>
      </c>
      <c r="X18" s="18">
        <f>'GHG detailed, only calves'!X18+Production!$D$7*'GHG detailed, mother animal'!X18/Production!$D$23</f>
        <v>4.7795747620820035E-5</v>
      </c>
      <c r="Z18" s="32"/>
      <c r="AA18" s="32"/>
    </row>
    <row r="19" spans="1:27" x14ac:dyDescent="0.35">
      <c r="A19" s="11" t="s">
        <v>543</v>
      </c>
      <c r="B19" s="11" t="s">
        <v>546</v>
      </c>
      <c r="C19" s="15" t="s">
        <v>545</v>
      </c>
      <c r="D19" s="16" t="s">
        <v>38</v>
      </c>
      <c r="E19" s="16" t="s">
        <v>39</v>
      </c>
      <c r="F19" s="11" t="s">
        <v>88</v>
      </c>
      <c r="G19" s="17">
        <f>SUM(H19:T19)</f>
        <v>0.63692122852920907</v>
      </c>
      <c r="H19" s="18">
        <f>'GHG detailed, only calves'!H19+Production!$D$7*'GHG detailed, mother animal'!H19/Production!$D$23</f>
        <v>0</v>
      </c>
      <c r="I19" s="18">
        <f>'GHG detailed, only calves'!I19+Production!$D$7*'GHG detailed, mother animal'!I19/Production!$D$23</f>
        <v>0</v>
      </c>
      <c r="J19" s="18">
        <f>'GHG detailed, only calves'!J19+Production!$D$7*'GHG detailed, mother animal'!J19/Production!$D$23</f>
        <v>0</v>
      </c>
      <c r="K19" s="18">
        <f>'GHG detailed, only calves'!K19+Production!$D$7*'GHG detailed, mother animal'!K19/Production!$D$23</f>
        <v>0</v>
      </c>
      <c r="L19" s="18">
        <f>'GHG detailed, only calves'!L19+Production!$D$7*'GHG detailed, mother animal'!L19/Production!$D$23</f>
        <v>0</v>
      </c>
      <c r="M19" s="18">
        <f>'GHG detailed, only calves'!M19+Production!$D$7*'GHG detailed, mother animal'!M19/Production!$D$23</f>
        <v>0</v>
      </c>
      <c r="N19" s="18">
        <f>'GHG detailed, only calves'!N19+Production!$D$7*'GHG detailed, mother animal'!N19/Production!$D$23</f>
        <v>0</v>
      </c>
      <c r="O19" s="18">
        <f>'GHG detailed, only calves'!O19+Production!$D$7*'GHG detailed, mother animal'!O19/Production!$D$23</f>
        <v>0</v>
      </c>
      <c r="P19" s="18">
        <f>'GHG detailed, only calves'!P19+Production!$D$7*'GHG detailed, mother animal'!P19/Production!$D$23</f>
        <v>0</v>
      </c>
      <c r="Q19" s="18">
        <f>'GHG detailed, only calves'!Q19+Production!$D$7*'GHG detailed, mother animal'!Q19/Production!$D$23</f>
        <v>0</v>
      </c>
      <c r="R19" s="18">
        <f>'GHG detailed, only calves'!R19+Production!$D$7*'GHG detailed, mother animal'!R19/Production!$D$23</f>
        <v>0</v>
      </c>
      <c r="S19" s="18">
        <f>'GHG detailed, only calves'!S19+Production!$D$7*'GHG detailed, mother animal'!S19/Production!$D$23</f>
        <v>0.55791170493076669</v>
      </c>
      <c r="T19" s="18">
        <f>'GHG detailed, only calves'!T19+Production!$D$7*'GHG detailed, mother animal'!T19/Production!$D$23</f>
        <v>7.9009523598442405E-2</v>
      </c>
      <c r="U19" s="18">
        <f>'GHG detailed, only calves'!U19+Production!$D$7*'GHG detailed, mother animal'!U19/Production!$D$23</f>
        <v>7.9009523598442405E-2</v>
      </c>
      <c r="V19" s="18">
        <f>'GHG detailed, only calves'!V19+Production!$D$7*'GHG detailed, mother animal'!V19/Production!$D$23</f>
        <v>0</v>
      </c>
      <c r="W19" s="18">
        <f>'GHG detailed, only calves'!W19+Production!$D$7*'GHG detailed, mother animal'!W19/Production!$D$23</f>
        <v>0</v>
      </c>
      <c r="X19" s="18">
        <f>'GHG detailed, only calves'!X19+Production!$D$7*'GHG detailed, mother animal'!X19/Production!$D$23</f>
        <v>0</v>
      </c>
      <c r="Z19" s="32"/>
      <c r="AA19" s="32"/>
    </row>
    <row r="20" spans="1:27" ht="15" thickBot="1" x14ac:dyDescent="0.4">
      <c r="A20" s="11" t="s">
        <v>543</v>
      </c>
      <c r="B20" s="11" t="s">
        <v>546</v>
      </c>
      <c r="C20" s="15" t="s">
        <v>545</v>
      </c>
      <c r="D20" s="16" t="s">
        <v>38</v>
      </c>
      <c r="E20" s="16" t="s">
        <v>39</v>
      </c>
      <c r="F20" s="34" t="s">
        <v>89</v>
      </c>
      <c r="G20" s="17">
        <f>SUM(H20:T20)+W20+X20</f>
        <v>1.5171198678054333E-2</v>
      </c>
      <c r="H20" s="18">
        <f>'GHG detailed, only calves'!H20+Production!$D$7*'GHG detailed, mother animal'!H20/Production!$D$23</f>
        <v>1.0500896828303311E-3</v>
      </c>
      <c r="I20" s="18">
        <f>'GHG detailed, only calves'!I20+Production!$D$7*'GHG detailed, mother animal'!I20/Production!$D$23</f>
        <v>2.2044712374591782E-5</v>
      </c>
      <c r="J20" s="18">
        <f>'GHG detailed, only calves'!J20+Production!$D$7*'GHG detailed, mother animal'!J20/Production!$D$23</f>
        <v>6.3027484690970498E-3</v>
      </c>
      <c r="K20" s="18">
        <f>'GHG detailed, only calves'!K20+Production!$D$7*'GHG detailed, mother animal'!K20/Production!$D$23</f>
        <v>6.3027484690970502E-4</v>
      </c>
      <c r="L20" s="18">
        <f>'GHG detailed, only calves'!L20+Production!$D$7*'GHG detailed, mother animal'!L20/Production!$D$23</f>
        <v>9.1453571612519081E-6</v>
      </c>
      <c r="M20" s="18">
        <f>'GHG detailed, only calves'!M20+Production!$D$7*'GHG detailed, mother animal'!M20/Production!$D$23</f>
        <v>0</v>
      </c>
      <c r="N20" s="18">
        <f>'GHG detailed, only calves'!N20+Production!$D$7*'GHG detailed, mother animal'!N20/Production!$D$23</f>
        <v>5.7896904840665368E-7</v>
      </c>
      <c r="O20" s="18">
        <f>'GHG detailed, only calves'!O20+Production!$D$7*'GHG detailed, mother animal'!O20/Production!$D$23</f>
        <v>2.1290792606816957E-6</v>
      </c>
      <c r="P20" s="18">
        <f>'GHG detailed, only calves'!P20+Production!$D$7*'GHG detailed, mother animal'!P20/Production!$D$23</f>
        <v>0</v>
      </c>
      <c r="Q20" s="18">
        <f>'GHG detailed, only calves'!Q20+Production!$D$7*'GHG detailed, mother animal'!Q20/Production!$D$23</f>
        <v>8.9894234891084749E-4</v>
      </c>
      <c r="R20" s="18">
        <f>'GHG detailed, only calves'!R20+Production!$D$7*'GHG detailed, mother animal'!R20/Production!$D$23</f>
        <v>1.1283157529663571E-4</v>
      </c>
      <c r="S20" s="18">
        <f>'GHG detailed, only calves'!S20+Production!$D$7*'GHG detailed, mother animal'!S20/Production!$D$23</f>
        <v>0</v>
      </c>
      <c r="T20" s="18">
        <f>'GHG detailed, only calves'!T20+Production!$D$7*'GHG detailed, mother animal'!T20/Production!$D$23</f>
        <v>6.1035350590235866E-3</v>
      </c>
      <c r="U20" s="18">
        <f>'GHG detailed, only calves'!U20+Production!$D$7*'GHG detailed, mother animal'!U20/Production!$D$23</f>
        <v>4.0501396578722032E-3</v>
      </c>
      <c r="V20" s="18">
        <f>'GHG detailed, only calves'!V20+Production!$D$7*'GHG detailed, mother animal'!V20/Production!$D$23</f>
        <v>2.0533954011513833E-3</v>
      </c>
      <c r="W20" s="18">
        <f>'GHG detailed, only calves'!W20+Production!$D$7*'GHG detailed, mother animal'!W20/Production!$D$23</f>
        <v>3.7451637312553023E-5</v>
      </c>
      <c r="X20" s="18">
        <f>'GHG detailed, only calves'!X20+Production!$D$7*'GHG detailed, mother animal'!X20/Production!$D$23</f>
        <v>1.4269408286923551E-6</v>
      </c>
      <c r="Z20" s="32"/>
      <c r="AA20" s="32"/>
    </row>
    <row r="21" spans="1:27" ht="15.5" thickTop="1" thickBot="1" x14ac:dyDescent="0.4">
      <c r="A21" s="125" t="s">
        <v>543</v>
      </c>
      <c r="B21" s="125" t="s">
        <v>546</v>
      </c>
      <c r="C21" s="126" t="s">
        <v>545</v>
      </c>
      <c r="D21" s="127" t="s">
        <v>38</v>
      </c>
      <c r="E21" s="127" t="s">
        <v>39</v>
      </c>
      <c r="F21" s="128" t="s">
        <v>90</v>
      </c>
      <c r="G21" s="137">
        <f t="shared" si="0"/>
        <v>25.823455355809958</v>
      </c>
      <c r="H21" s="129">
        <f>SUMPRODUCT(H17:H20,'Parameters, general'!$B$23:$B$26)</f>
        <v>0.78995280547480284</v>
      </c>
      <c r="I21" s="129">
        <f>SUMPRODUCT(I17:I20,'Parameters, general'!$B$23:$B$26)</f>
        <v>0.60441002477834072</v>
      </c>
      <c r="J21" s="129">
        <f>SUMPRODUCT(J17:J20,'Parameters, general'!$B$23:$B$26)</f>
        <v>1.7206503320634945</v>
      </c>
      <c r="K21" s="129">
        <f>SUMPRODUCT(K17:K20,'Parameters, general'!$B$23:$B$26)</f>
        <v>0.17206503320634947</v>
      </c>
      <c r="L21" s="129">
        <f>SUMPRODUCT(L17:L20,'Parameters, general'!$B$23:$B$26)</f>
        <v>0.34029733099679821</v>
      </c>
      <c r="M21" s="129">
        <f>SUMPRODUCT(M17:M20,'Parameters, general'!$B$23:$B$26)</f>
        <v>0</v>
      </c>
      <c r="N21" s="129">
        <f>SUMPRODUCT(N17:N20,'Parameters, general'!$B$23:$B$26)</f>
        <v>1.5635476505109439E-2</v>
      </c>
      <c r="O21" s="129">
        <f>SUMPRODUCT(O17:O20,'Parameters, general'!$B$23:$B$26)</f>
        <v>6.103623413073278E-2</v>
      </c>
      <c r="P21" s="129">
        <f>SUMPRODUCT(P17:P20,'Parameters, general'!$B$23:$B$26)</f>
        <v>0.23591072918768485</v>
      </c>
      <c r="Q21" s="129">
        <f>SUMPRODUCT(Q17:Q20,'Parameters, general'!$B$23:$B$26)</f>
        <v>1.6433342792033743</v>
      </c>
      <c r="R21" s="129">
        <f>SUMPRODUCT(R17:R20,'Parameters, general'!$B$23:$B$26)</f>
        <v>0.30988502280008157</v>
      </c>
      <c r="S21" s="129">
        <f>SUMPRODUCT(S17:S20,'Parameters, general'!$B$23:$B$26)</f>
        <v>15.063616033130701</v>
      </c>
      <c r="T21" s="129">
        <f>SUMPRODUCT(T17:T20,'Parameters, general'!$B$23:$B$26)</f>
        <v>3.7995222082713842</v>
      </c>
      <c r="U21" s="129"/>
      <c r="V21" s="129"/>
      <c r="W21" s="129">
        <f>SUMPRODUCT(W17:W20,'Parameters, general'!$B$23:$B$26)</f>
        <v>1.031034364149541</v>
      </c>
      <c r="X21" s="129">
        <f>SUMPRODUCT(X17:X20,'Parameters, general'!$B$23:$B$26)</f>
        <v>3.6105481911567081E-2</v>
      </c>
      <c r="Z21" s="103">
        <f>SUM(H21:R21)</f>
        <v>5.8931772683467685</v>
      </c>
      <c r="AA21" s="151">
        <f>'CO2 per kg feed'!F52+'CH4 per kg feed'!F52*CF_GWP_CH4_fossil+'N2O per kg feed'!F52*CF_GWP_N2O</f>
        <v>0.23743923928480265</v>
      </c>
    </row>
    <row r="22" spans="1:27" ht="15" thickTop="1" x14ac:dyDescent="0.35">
      <c r="A22" s="130" t="s">
        <v>543</v>
      </c>
      <c r="B22" s="130" t="s">
        <v>546</v>
      </c>
      <c r="C22" s="131" t="s">
        <v>545</v>
      </c>
      <c r="D22" s="16" t="s">
        <v>40</v>
      </c>
      <c r="E22" s="16" t="s">
        <v>41</v>
      </c>
      <c r="F22" s="36" t="s">
        <v>86</v>
      </c>
      <c r="G22" s="467">
        <f>SUM(H22:X22)</f>
        <v>6.179928974068237</v>
      </c>
      <c r="H22" s="348">
        <f>'GHG detailed, only calves'!H22+Production!$E$7*'GHG detailed, mother animal'!H22/Production!$E$23</f>
        <v>1.1962922957439845</v>
      </c>
      <c r="I22" s="348">
        <f>'GHG detailed, only calves'!I22+Production!$E$7*'GHG detailed, mother animal'!I22/Production!$E$23</f>
        <v>0.57340166141432369</v>
      </c>
      <c r="J22" s="348">
        <f>'GHG detailed, only calves'!J22+Production!$E$7*'GHG detailed, mother animal'!J22/Production!$E$23</f>
        <v>0</v>
      </c>
      <c r="K22" s="348">
        <f>'GHG detailed, only calves'!K22+Production!$E$7*'GHG detailed, mother animal'!K22/Production!$E$23</f>
        <v>0</v>
      </c>
      <c r="L22" s="348">
        <f>'GHG detailed, only calves'!L22+Production!$E$7*'GHG detailed, mother animal'!L22/Production!$E$23</f>
        <v>0.77868266174953549</v>
      </c>
      <c r="M22" s="348">
        <f>'GHG detailed, only calves'!M22+Production!$E$7*'GHG detailed, mother animal'!M22/Production!$E$23</f>
        <v>0</v>
      </c>
      <c r="N22" s="348">
        <f>'GHG detailed, only calves'!N22+Production!$E$7*'GHG detailed, mother animal'!N22/Production!$E$23</f>
        <v>0.13248750343622651</v>
      </c>
      <c r="O22" s="348">
        <f>'GHG detailed, only calves'!O22+Production!$E$7*'GHG detailed, mother animal'!O22/Production!$E$23</f>
        <v>0.4122311325321531</v>
      </c>
      <c r="P22" s="348">
        <f>'GHG detailed, only calves'!P22+Production!$E$7*'GHG detailed, mother animal'!P22/Production!$E$23</f>
        <v>0.46222465171057481</v>
      </c>
      <c r="Q22" s="348">
        <f>'GHG detailed, only calves'!Q22+Production!$E$7*'GHG detailed, mother animal'!Q22/Production!$E$23</f>
        <v>0.96455275686099839</v>
      </c>
      <c r="R22" s="348">
        <f>'GHG detailed, only calves'!R22+Production!$E$7*'GHG detailed, mother animal'!R22/Production!$E$23</f>
        <v>0.40056034375991995</v>
      </c>
      <c r="S22" s="348">
        <f>'GHG detailed, only calves'!S22+Production!$E$7*'GHG detailed, mother animal'!S22/Production!$E$23</f>
        <v>0</v>
      </c>
      <c r="T22" s="348">
        <f>'GHG detailed, only calves'!T22+Production!$E$7*'GHG detailed, mother animal'!T22/Production!$E$23</f>
        <v>0</v>
      </c>
      <c r="U22" s="348">
        <f>'GHG detailed, only calves'!U22+Production!$E$7*'GHG detailed, mother animal'!U22/Production!$E$23</f>
        <v>0</v>
      </c>
      <c r="V22" s="348">
        <f>'GHG detailed, only calves'!V22+Production!$E$7*'GHG detailed, mother animal'!V22/Production!$E$23</f>
        <v>0</v>
      </c>
      <c r="W22" s="348">
        <f>'GHG detailed, only calves'!W22+Production!$E$7*'GHG detailed, mother animal'!W22/Production!$E$23</f>
        <v>1.2165696826759931</v>
      </c>
      <c r="X22" s="348">
        <f>'GHG detailed, only calves'!X22+Production!$E$7*'GHG detailed, mother animal'!X22/Production!$E$23</f>
        <v>4.2926284184527957E-2</v>
      </c>
      <c r="Z22" s="18"/>
      <c r="AA22" s="18"/>
    </row>
    <row r="23" spans="1:27" x14ac:dyDescent="0.35">
      <c r="A23" s="11" t="s">
        <v>543</v>
      </c>
      <c r="B23" s="11" t="s">
        <v>546</v>
      </c>
      <c r="C23" s="15" t="s">
        <v>545</v>
      </c>
      <c r="D23" s="16" t="s">
        <v>40</v>
      </c>
      <c r="E23" s="16" t="s">
        <v>41</v>
      </c>
      <c r="F23" s="11" t="s">
        <v>87</v>
      </c>
      <c r="G23" s="17">
        <f t="shared" si="0"/>
        <v>1.3306375580348351E-2</v>
      </c>
      <c r="H23" s="18">
        <f>'GHG detailed, only calves'!H23+Production!$E$7*'GHG detailed, mother animal'!H23/Production!$E$23</f>
        <v>2.2597076885070137E-3</v>
      </c>
      <c r="I23" s="18">
        <f>'GHG detailed, only calves'!I23+Production!$E$7*'GHG detailed, mother animal'!I23/Production!$E$23</f>
        <v>2.0574850297206165E-3</v>
      </c>
      <c r="J23" s="18">
        <f>'GHG detailed, only calves'!J23+Production!$E$7*'GHG detailed, mother animal'!J23/Production!$E$23</f>
        <v>0</v>
      </c>
      <c r="K23" s="18">
        <f>'GHG detailed, only calves'!K23+Production!$E$7*'GHG detailed, mother animal'!K23/Production!$E$23</f>
        <v>0</v>
      </c>
      <c r="L23" s="18">
        <f>'GHG detailed, only calves'!L23+Production!$E$7*'GHG detailed, mother animal'!L23/Production!$E$23</f>
        <v>3.5381287032790616E-4</v>
      </c>
      <c r="M23" s="18">
        <f>'GHG detailed, only calves'!M23+Production!$E$7*'GHG detailed, mother animal'!M23/Production!$E$23</f>
        <v>0</v>
      </c>
      <c r="N23" s="18">
        <f>'GHG detailed, only calves'!N23+Production!$E$7*'GHG detailed, mother animal'!N23/Production!$E$23</f>
        <v>4.4896668702557561E-4</v>
      </c>
      <c r="O23" s="18">
        <f>'GHG detailed, only calves'!O23+Production!$E$7*'GHG detailed, mother animal'!O23/Production!$E$23</f>
        <v>3.3747671616173475E-4</v>
      </c>
      <c r="P23" s="18">
        <f>'GHG detailed, only calves'!P23+Production!$E$7*'GHG detailed, mother animal'!P23/Production!$E$23</f>
        <v>0</v>
      </c>
      <c r="Q23" s="18">
        <f>'GHG detailed, only calves'!Q23+Production!$E$7*'GHG detailed, mother animal'!Q23/Production!$E$23</f>
        <v>4.6957782075422849E-3</v>
      </c>
      <c r="R23" s="18">
        <f>'GHG detailed, only calves'!R23+Production!$E$7*'GHG detailed, mother animal'!R23/Production!$E$23</f>
        <v>1.2286196918969436E-3</v>
      </c>
      <c r="S23" s="18">
        <f>'GHG detailed, only calves'!S23+Production!$E$7*'GHG detailed, mother animal'!S23/Production!$E$23</f>
        <v>0</v>
      </c>
      <c r="T23" s="18">
        <f>'GHG detailed, only calves'!T23+Production!$E$7*'GHG detailed, mother animal'!T23/Production!$E$23</f>
        <v>0</v>
      </c>
      <c r="U23" s="18">
        <f>'GHG detailed, only calves'!U23+Production!$E$7*'GHG detailed, mother animal'!U23/Production!$E$23</f>
        <v>0</v>
      </c>
      <c r="V23" s="18">
        <f>'GHG detailed, only calves'!V23+Production!$E$7*'GHG detailed, mother animal'!V23/Production!$E$23</f>
        <v>0</v>
      </c>
      <c r="W23" s="18">
        <f>'GHG detailed, only calves'!W23+Production!$E$7*'GHG detailed, mother animal'!W23/Production!$E$23</f>
        <v>1.8579532397758889E-3</v>
      </c>
      <c r="X23" s="18">
        <f>'GHG detailed, only calves'!X23+Production!$E$7*'GHG detailed, mother animal'!X23/Production!$E$23</f>
        <v>6.6575449390388202E-5</v>
      </c>
      <c r="Z23" s="32"/>
      <c r="AA23" s="32"/>
    </row>
    <row r="24" spans="1:27" x14ac:dyDescent="0.35">
      <c r="A24" s="11" t="s">
        <v>543</v>
      </c>
      <c r="B24" s="11" t="s">
        <v>546</v>
      </c>
      <c r="C24" s="15" t="s">
        <v>545</v>
      </c>
      <c r="D24" s="16" t="s">
        <v>40</v>
      </c>
      <c r="E24" s="16" t="s">
        <v>41</v>
      </c>
      <c r="F24" s="11" t="s">
        <v>88</v>
      </c>
      <c r="G24" s="17">
        <f>SUM(H24:T24)</f>
        <v>0.60210886025727373</v>
      </c>
      <c r="H24" s="18">
        <f>'GHG detailed, only calves'!H24+Production!$E$7*'GHG detailed, mother animal'!H24/Production!$E$23</f>
        <v>0</v>
      </c>
      <c r="I24" s="18">
        <f>'GHG detailed, only calves'!I24+Production!$E$7*'GHG detailed, mother animal'!I24/Production!$E$23</f>
        <v>0</v>
      </c>
      <c r="J24" s="18">
        <f>'GHG detailed, only calves'!J24+Production!$E$7*'GHG detailed, mother animal'!J24/Production!$E$23</f>
        <v>0</v>
      </c>
      <c r="K24" s="18">
        <f>'GHG detailed, only calves'!K24+Production!$E$7*'GHG detailed, mother animal'!K24/Production!$E$23</f>
        <v>0</v>
      </c>
      <c r="L24" s="18">
        <f>'GHG detailed, only calves'!L24+Production!$E$7*'GHG detailed, mother animal'!L24/Production!$E$23</f>
        <v>0</v>
      </c>
      <c r="M24" s="18">
        <f>'GHG detailed, only calves'!M24+Production!$E$7*'GHG detailed, mother animal'!M24/Production!$E$23</f>
        <v>0</v>
      </c>
      <c r="N24" s="18">
        <f>'GHG detailed, only calves'!N24+Production!$E$7*'GHG detailed, mother animal'!N24/Production!$E$23</f>
        <v>0</v>
      </c>
      <c r="O24" s="18">
        <f>'GHG detailed, only calves'!O24+Production!$E$7*'GHG detailed, mother animal'!O24/Production!$E$23</f>
        <v>0</v>
      </c>
      <c r="P24" s="18">
        <f>'GHG detailed, only calves'!P24+Production!$E$7*'GHG detailed, mother animal'!P24/Production!$E$23</f>
        <v>0</v>
      </c>
      <c r="Q24" s="18">
        <f>'GHG detailed, only calves'!Q24+Production!$E$7*'GHG detailed, mother animal'!Q24/Production!$E$23</f>
        <v>0</v>
      </c>
      <c r="R24" s="18">
        <f>'GHG detailed, only calves'!R24+Production!$E$7*'GHG detailed, mother animal'!R24/Production!$E$23</f>
        <v>0</v>
      </c>
      <c r="S24" s="18">
        <f>'GHG detailed, only calves'!S24+Production!$E$7*'GHG detailed, mother animal'!S24/Production!$E$23</f>
        <v>0.56066022017902761</v>
      </c>
      <c r="T24" s="18">
        <f>'GHG detailed, only calves'!T24+Production!$E$7*'GHG detailed, mother animal'!T24/Production!$E$23</f>
        <v>4.1448640078246071E-2</v>
      </c>
      <c r="U24" s="18">
        <f>'GHG detailed, only calves'!U24+Production!$E$7*'GHG detailed, mother animal'!U24/Production!$E$23</f>
        <v>4.1448640078246071E-2</v>
      </c>
      <c r="V24" s="18">
        <f>'GHG detailed, only calves'!V24+Production!$E$7*'GHG detailed, mother animal'!V24/Production!$E$23</f>
        <v>0</v>
      </c>
      <c r="W24" s="18">
        <f>'GHG detailed, only calves'!W24+Production!$E$7*'GHG detailed, mother animal'!W24/Production!$E$23</f>
        <v>0</v>
      </c>
      <c r="X24" s="18">
        <f>'GHG detailed, only calves'!X24+Production!$E$7*'GHG detailed, mother animal'!X24/Production!$E$23</f>
        <v>0</v>
      </c>
      <c r="Z24" s="32"/>
      <c r="AA24" s="32"/>
    </row>
    <row r="25" spans="1:27" ht="15" thickBot="1" x14ac:dyDescent="0.4">
      <c r="A25" s="11" t="s">
        <v>543</v>
      </c>
      <c r="B25" s="11" t="s">
        <v>546</v>
      </c>
      <c r="C25" s="15" t="s">
        <v>545</v>
      </c>
      <c r="D25" s="16" t="s">
        <v>40</v>
      </c>
      <c r="E25" s="16" t="s">
        <v>41</v>
      </c>
      <c r="F25" s="34" t="s">
        <v>89</v>
      </c>
      <c r="G25" s="17">
        <f>SUM(H25:T25)+W25+X25</f>
        <v>2.1301096436880787E-2</v>
      </c>
      <c r="H25" s="18">
        <f>'GHG detailed, only calves'!H25+Production!$E$7*'GHG detailed, mother animal'!H25/Production!$E$23</f>
        <v>2.6442454484076356E-3</v>
      </c>
      <c r="I25" s="18">
        <f>'GHG detailed, only calves'!I25+Production!$E$7*'GHG detailed, mother animal'!I25/Production!$E$23</f>
        <v>2.2561595118290323E-5</v>
      </c>
      <c r="J25" s="18">
        <f>'GHG detailed, only calves'!J25+Production!$E$7*'GHG detailed, mother animal'!J25/Production!$E$23</f>
        <v>9.3794706680881672E-3</v>
      </c>
      <c r="K25" s="18">
        <f>'GHG detailed, only calves'!K25+Production!$E$7*'GHG detailed, mother animal'!K25/Production!$E$23</f>
        <v>9.379470668088169E-4</v>
      </c>
      <c r="L25" s="18">
        <f>'GHG detailed, only calves'!L25+Production!$E$7*'GHG detailed, mother animal'!L25/Production!$E$23</f>
        <v>2.1112366366319112E-5</v>
      </c>
      <c r="M25" s="18">
        <f>'GHG detailed, only calves'!M25+Production!$E$7*'GHG detailed, mother animal'!M25/Production!$E$23</f>
        <v>0</v>
      </c>
      <c r="N25" s="18">
        <f>'GHG detailed, only calves'!N25+Production!$E$7*'GHG detailed, mother animal'!N25/Production!$E$23</f>
        <v>5.5240097598736326E-6</v>
      </c>
      <c r="O25" s="18">
        <f>'GHG detailed, only calves'!O25+Production!$E$7*'GHG detailed, mother animal'!O25/Production!$E$23</f>
        <v>1.4507164683732934E-5</v>
      </c>
      <c r="P25" s="18">
        <f>'GHG detailed, only calves'!P25+Production!$E$7*'GHG detailed, mother animal'!P25/Production!$E$23</f>
        <v>0</v>
      </c>
      <c r="Q25" s="18">
        <f>'GHG detailed, only calves'!Q25+Production!$E$7*'GHG detailed, mother animal'!Q25/Production!$E$23</f>
        <v>3.4299670119975666E-4</v>
      </c>
      <c r="R25" s="18">
        <f>'GHG detailed, only calves'!R25+Production!$E$7*'GHG detailed, mother animal'!R25/Production!$E$23</f>
        <v>1.0450999258875061E-4</v>
      </c>
      <c r="S25" s="18">
        <f>'GHG detailed, only calves'!S25+Production!$E$7*'GHG detailed, mother animal'!S25/Production!$E$23</f>
        <v>0</v>
      </c>
      <c r="T25" s="18">
        <f>'GHG detailed, only calves'!T25+Production!$E$7*'GHG detailed, mother animal'!T25/Production!$E$23</f>
        <v>7.7875919647476073E-3</v>
      </c>
      <c r="U25" s="18">
        <f>'GHG detailed, only calves'!U25+Production!$E$7*'GHG detailed, mother animal'!U25/Production!$E$23</f>
        <v>5.7656082276564885E-3</v>
      </c>
      <c r="V25" s="18">
        <f>'GHG detailed, only calves'!V25+Production!$E$7*'GHG detailed, mother animal'!V25/Production!$E$23</f>
        <v>2.0219837370911192E-3</v>
      </c>
      <c r="W25" s="18">
        <f>'GHG detailed, only calves'!W25+Production!$E$7*'GHG detailed, mother animal'!W25/Production!$E$23</f>
        <v>3.9140678711863615E-5</v>
      </c>
      <c r="X25" s="18">
        <f>'GHG detailed, only calves'!X25+Production!$E$7*'GHG detailed, mother animal'!X25/Production!$E$23</f>
        <v>1.4887803999762072E-6</v>
      </c>
      <c r="Z25" s="32"/>
      <c r="AA25" s="32"/>
    </row>
    <row r="26" spans="1:27" ht="15.5" thickTop="1" thickBot="1" x14ac:dyDescent="0.4">
      <c r="A26" s="125" t="s">
        <v>543</v>
      </c>
      <c r="B26" s="125" t="s">
        <v>546</v>
      </c>
      <c r="C26" s="126" t="s">
        <v>545</v>
      </c>
      <c r="D26" s="37" t="s">
        <v>40</v>
      </c>
      <c r="E26" s="37" t="s">
        <v>41</v>
      </c>
      <c r="F26" s="128" t="s">
        <v>90</v>
      </c>
      <c r="G26" s="137">
        <f t="shared" si="0"/>
        <v>28.648597520577461</v>
      </c>
      <c r="H26" s="129">
        <f>SUMPRODUCT(H22:H25,'Parameters, general'!$B$23:$B$26)</f>
        <v>1.9855105922767782</v>
      </c>
      <c r="I26" s="129">
        <f>SUMPRODUCT(I22:I25,'Parameters, general'!$B$23:$B$26)</f>
        <v>0.64087403076729133</v>
      </c>
      <c r="J26" s="129">
        <f>SUMPRODUCT(J22:J25,'Parameters, general'!$B$23:$B$26)</f>
        <v>2.5605954923880696</v>
      </c>
      <c r="K26" s="129">
        <f>SUMPRODUCT(K22:K25,'Parameters, general'!$B$23:$B$26)</f>
        <v>0.25605954923880703</v>
      </c>
      <c r="L26" s="129">
        <f>SUMPRODUCT(L22:L25,'Parameters, general'!$B$23:$B$26)</f>
        <v>0.79498996130331223</v>
      </c>
      <c r="M26" s="129">
        <f>SUMPRODUCT(M22:M25,'Parameters, general'!$B$23:$B$26)</f>
        <v>0</v>
      </c>
      <c r="N26" s="129">
        <f>SUMPRODUCT(N22:N25,'Parameters, general'!$B$23:$B$26)</f>
        <v>0.14737476537403416</v>
      </c>
      <c r="O26" s="129">
        <f>SUMPRODUCT(O22:O25,'Parameters, general'!$B$23:$B$26)</f>
        <v>0.42624839463243186</v>
      </c>
      <c r="P26" s="129">
        <f>SUMPRODUCT(P22:P25,'Parameters, general'!$B$23:$B$26)</f>
        <v>0.46222465171057481</v>
      </c>
      <c r="Q26" s="129">
        <f>SUMPRODUCT(Q22:Q25,'Parameters, general'!$B$23:$B$26)</f>
        <v>1.198125046873292</v>
      </c>
      <c r="R26" s="129">
        <f>SUMPRODUCT(R22:R25,'Parameters, general'!$B$23:$B$26)</f>
        <v>0.46570443855517779</v>
      </c>
      <c r="S26" s="129">
        <f>SUMPRODUCT(S22:S25,'Parameters, general'!$B$23:$B$26)</f>
        <v>15.137825944833745</v>
      </c>
      <c r="T26" s="129">
        <f>SUMPRODUCT(T22:T25,'Parameters, general'!$B$23:$B$26)</f>
        <v>3.2451258884887406</v>
      </c>
      <c r="U26" s="129"/>
      <c r="V26" s="129"/>
      <c r="W26" s="129">
        <f>SUMPRODUCT(W22:W25,'Parameters, general'!$B$23:$B$26)</f>
        <v>1.2826220945096534</v>
      </c>
      <c r="X26" s="129">
        <f>SUMPRODUCT(X22:X25,'Parameters, general'!$B$23:$B$26)</f>
        <v>4.5316669625555028E-2</v>
      </c>
      <c r="Z26" s="103">
        <f>SUM(H26:R26)</f>
        <v>8.9377069231197694</v>
      </c>
      <c r="AA26" s="151">
        <f>'CO2 per kg feed'!F68+'CH4 per kg feed'!F68*CF_GWP_CH4_fossil+'N2O per kg feed'!F68*CF_GWP_N2O</f>
        <v>0.35845795509657985</v>
      </c>
    </row>
    <row r="27" spans="1:27" ht="15" thickTop="1" x14ac:dyDescent="0.35">
      <c r="A27" s="130" t="s">
        <v>543</v>
      </c>
      <c r="B27" s="130" t="s">
        <v>546</v>
      </c>
      <c r="C27" s="131" t="s">
        <v>545</v>
      </c>
      <c r="D27" s="121" t="s">
        <v>91</v>
      </c>
      <c r="E27" s="121" t="s">
        <v>43</v>
      </c>
      <c r="F27" s="132" t="s">
        <v>86</v>
      </c>
      <c r="G27" s="467">
        <f>SUM(H27:X27)</f>
        <v>6.0834423541653466</v>
      </c>
      <c r="H27" s="348">
        <f>'GHG detailed, only calves'!H27+Production!$F$7*'GHG detailed, mother animal'!H27/Production!$F$23</f>
        <v>0.84074066466835751</v>
      </c>
      <c r="I27" s="348">
        <f>'GHG detailed, only calves'!I27+Production!$F$7*'GHG detailed, mother animal'!I27/Production!$F$23</f>
        <v>0.54625596506620078</v>
      </c>
      <c r="J27" s="348">
        <f>'GHG detailed, only calves'!J27+Production!$F$7*'GHG detailed, mother animal'!J27/Production!$F$23</f>
        <v>0</v>
      </c>
      <c r="K27" s="348">
        <f>'GHG detailed, only calves'!K27+Production!$F$7*'GHG detailed, mother animal'!K27/Production!$F$23</f>
        <v>0</v>
      </c>
      <c r="L27" s="348">
        <f>'GHG detailed, only calves'!L27+Production!$F$7*'GHG detailed, mother animal'!L27/Production!$F$23</f>
        <v>0.66200432643442719</v>
      </c>
      <c r="M27" s="348">
        <f>'GHG detailed, only calves'!M27+Production!$F$7*'GHG detailed, mother animal'!M27/Production!$F$23</f>
        <v>0</v>
      </c>
      <c r="N27" s="348">
        <f>'GHG detailed, only calves'!N27+Production!$F$7*'GHG detailed, mother animal'!N27/Production!$F$23</f>
        <v>2.0448259335155788E-3</v>
      </c>
      <c r="O27" s="348">
        <f>'GHG detailed, only calves'!O27+Production!$F$7*'GHG detailed, mother animal'!O27/Production!$F$23</f>
        <v>0.23618092923289924</v>
      </c>
      <c r="P27" s="348">
        <f>'GHG detailed, only calves'!P27+Production!$F$7*'GHG detailed, mother animal'!P27/Production!$F$23</f>
        <v>0.68504229255126681</v>
      </c>
      <c r="Q27" s="348">
        <f>'GHG detailed, only calves'!Q27+Production!$F$7*'GHG detailed, mother animal'!Q27/Production!$F$23</f>
        <v>1.6088620190645158</v>
      </c>
      <c r="R27" s="348">
        <f>'GHG detailed, only calves'!R27+Production!$F$7*'GHG detailed, mother animal'!R27/Production!$F$23</f>
        <v>0.52379992477441073</v>
      </c>
      <c r="S27" s="348">
        <f>'GHG detailed, only calves'!S27+Production!$F$7*'GHG detailed, mother animal'!S27/Production!$F$23</f>
        <v>0</v>
      </c>
      <c r="T27" s="348">
        <f>'GHG detailed, only calves'!T27+Production!$F$7*'GHG detailed, mother animal'!T27/Production!$F$23</f>
        <v>0</v>
      </c>
      <c r="U27" s="348">
        <f>'GHG detailed, only calves'!U27+Production!$F$7*'GHG detailed, mother animal'!U27/Production!$F$23</f>
        <v>0</v>
      </c>
      <c r="V27" s="348">
        <f>'GHG detailed, only calves'!V27+Production!$F$7*'GHG detailed, mother animal'!V27/Production!$F$23</f>
        <v>0</v>
      </c>
      <c r="W27" s="348">
        <f>'GHG detailed, only calves'!W27+Production!$F$7*'GHG detailed, mother animal'!W27/Production!$F$23</f>
        <v>0.9455092490494662</v>
      </c>
      <c r="X27" s="348">
        <f>'GHG detailed, only calves'!X27+Production!$F$7*'GHG detailed, mother animal'!X27/Production!$F$23</f>
        <v>3.3002157390287598E-2</v>
      </c>
      <c r="Z27" s="18"/>
      <c r="AA27" s="18"/>
    </row>
    <row r="28" spans="1:27" x14ac:dyDescent="0.35">
      <c r="A28" s="11" t="s">
        <v>543</v>
      </c>
      <c r="B28" s="11" t="s">
        <v>546</v>
      </c>
      <c r="C28" s="15" t="s">
        <v>545</v>
      </c>
      <c r="D28" s="16" t="s">
        <v>91</v>
      </c>
      <c r="E28" s="16" t="s">
        <v>43</v>
      </c>
      <c r="F28" s="11" t="s">
        <v>87</v>
      </c>
      <c r="G28" s="17">
        <f t="shared" si="0"/>
        <v>1.8408950993186513E-2</v>
      </c>
      <c r="H28" s="18">
        <f>'GHG detailed, only calves'!H28+Production!$F$7*'GHG detailed, mother animal'!H28/Production!$F$23</f>
        <v>1.582899291314192E-3</v>
      </c>
      <c r="I28" s="18">
        <f>'GHG detailed, only calves'!I28+Production!$F$7*'GHG detailed, mother animal'!I28/Production!$F$23</f>
        <v>1.9422648046899104E-3</v>
      </c>
      <c r="J28" s="18">
        <f>'GHG detailed, only calves'!J28+Production!$F$7*'GHG detailed, mother animal'!J28/Production!$F$23</f>
        <v>0</v>
      </c>
      <c r="K28" s="18">
        <f>'GHG detailed, only calves'!K28+Production!$F$7*'GHG detailed, mother animal'!K28/Production!$F$23</f>
        <v>0</v>
      </c>
      <c r="L28" s="18">
        <f>'GHG detailed, only calves'!L28+Production!$F$7*'GHG detailed, mother animal'!L28/Production!$F$23</f>
        <v>3.0988834594341316E-4</v>
      </c>
      <c r="M28" s="18">
        <f>'GHG detailed, only calves'!M28+Production!$F$7*'GHG detailed, mother animal'!M28/Production!$F$23</f>
        <v>0</v>
      </c>
      <c r="N28" s="18">
        <f>'GHG detailed, only calves'!N28+Production!$F$7*'GHG detailed, mother animal'!N28/Production!$F$23</f>
        <v>8.2646963750921334E-6</v>
      </c>
      <c r="O28" s="18">
        <f>'GHG detailed, only calves'!O28+Production!$F$7*'GHG detailed, mother animal'!O28/Production!$F$23</f>
        <v>1.9018832897918747E-4</v>
      </c>
      <c r="P28" s="18">
        <f>'GHG detailed, only calves'!P28+Production!$F$7*'GHG detailed, mother animal'!P28/Production!$F$23</f>
        <v>0</v>
      </c>
      <c r="Q28" s="18">
        <f>'GHG detailed, only calves'!Q28+Production!$F$7*'GHG detailed, mother animal'!Q28/Production!$F$23</f>
        <v>1.1109503964584272E-2</v>
      </c>
      <c r="R28" s="18">
        <f>'GHG detailed, only calves'!R28+Production!$F$7*'GHG detailed, mother animal'!R28/Production!$F$23</f>
        <v>1.5723205098539066E-3</v>
      </c>
      <c r="S28" s="18">
        <f>'GHG detailed, only calves'!S28+Production!$F$7*'GHG detailed, mother animal'!S28/Production!$F$23</f>
        <v>0</v>
      </c>
      <c r="T28" s="18">
        <f>'GHG detailed, only calves'!T28+Production!$F$7*'GHG detailed, mother animal'!T28/Production!$F$23</f>
        <v>0</v>
      </c>
      <c r="U28" s="18">
        <f>'GHG detailed, only calves'!U28+Production!$F$7*'GHG detailed, mother animal'!U28/Production!$F$23</f>
        <v>0</v>
      </c>
      <c r="V28" s="18">
        <f>'GHG detailed, only calves'!V28+Production!$F$7*'GHG detailed, mother animal'!V28/Production!$F$23</f>
        <v>0</v>
      </c>
      <c r="W28" s="18">
        <f>'GHG detailed, only calves'!W28+Production!$F$7*'GHG detailed, mother animal'!W28/Production!$F$23</f>
        <v>1.6352010561176014E-3</v>
      </c>
      <c r="X28" s="18">
        <f>'GHG detailed, only calves'!X28+Production!$F$7*'GHG detailed, mother animal'!X28/Production!$F$23</f>
        <v>5.841999532893489E-5</v>
      </c>
      <c r="Z28" s="32"/>
      <c r="AA28" s="32"/>
    </row>
    <row r="29" spans="1:27" x14ac:dyDescent="0.35">
      <c r="A29" s="11" t="s">
        <v>543</v>
      </c>
      <c r="B29" s="11" t="s">
        <v>546</v>
      </c>
      <c r="C29" s="15" t="s">
        <v>545</v>
      </c>
      <c r="D29" s="16" t="s">
        <v>91</v>
      </c>
      <c r="E29" s="16" t="s">
        <v>43</v>
      </c>
      <c r="F29" s="11" t="s">
        <v>88</v>
      </c>
      <c r="G29" s="17">
        <f>SUM(H29:T29)</f>
        <v>0.66249804317676309</v>
      </c>
      <c r="H29" s="18">
        <f>'GHG detailed, only calves'!H29+Production!$F$7*'GHG detailed, mother animal'!H29/Production!$F$23</f>
        <v>0</v>
      </c>
      <c r="I29" s="18">
        <f>'GHG detailed, only calves'!I29+Production!$F$7*'GHG detailed, mother animal'!I29/Production!$F$23</f>
        <v>0</v>
      </c>
      <c r="J29" s="18">
        <f>'GHG detailed, only calves'!J29+Production!$F$7*'GHG detailed, mother animal'!J29/Production!$F$23</f>
        <v>0</v>
      </c>
      <c r="K29" s="18">
        <f>'GHG detailed, only calves'!K29+Production!$F$7*'GHG detailed, mother animal'!K29/Production!$F$23</f>
        <v>0</v>
      </c>
      <c r="L29" s="18">
        <f>'GHG detailed, only calves'!L29+Production!$F$7*'GHG detailed, mother animal'!L29/Production!$F$23</f>
        <v>0</v>
      </c>
      <c r="M29" s="18">
        <f>'GHG detailed, only calves'!M29+Production!$F$7*'GHG detailed, mother animal'!M29/Production!$F$23</f>
        <v>0</v>
      </c>
      <c r="N29" s="18">
        <f>'GHG detailed, only calves'!N29+Production!$F$7*'GHG detailed, mother animal'!N29/Production!$F$23</f>
        <v>0</v>
      </c>
      <c r="O29" s="18">
        <f>'GHG detailed, only calves'!O29+Production!$F$7*'GHG detailed, mother animal'!O29/Production!$F$23</f>
        <v>0</v>
      </c>
      <c r="P29" s="18">
        <f>'GHG detailed, only calves'!P29+Production!$F$7*'GHG detailed, mother animal'!P29/Production!$F$23</f>
        <v>0</v>
      </c>
      <c r="Q29" s="18">
        <f>'GHG detailed, only calves'!Q29+Production!$F$7*'GHG detailed, mother animal'!Q29/Production!$F$23</f>
        <v>0</v>
      </c>
      <c r="R29" s="18">
        <f>'GHG detailed, only calves'!R29+Production!$F$7*'GHG detailed, mother animal'!R29/Production!$F$23</f>
        <v>0</v>
      </c>
      <c r="S29" s="18">
        <f>'GHG detailed, only calves'!S29+Production!$F$7*'GHG detailed, mother animal'!S29/Production!$F$23</f>
        <v>0.56382529065684817</v>
      </c>
      <c r="T29" s="18">
        <f>'GHG detailed, only calves'!T29+Production!$F$7*'GHG detailed, mother animal'!T29/Production!$F$23</f>
        <v>9.8672752519914975E-2</v>
      </c>
      <c r="U29" s="18">
        <f>'GHG detailed, only calves'!U29+Production!$F$7*'GHG detailed, mother animal'!U29/Production!$F$23</f>
        <v>9.8672752519914975E-2</v>
      </c>
      <c r="V29" s="18">
        <f>'GHG detailed, only calves'!V29+Production!$F$7*'GHG detailed, mother animal'!V29/Production!$F$23</f>
        <v>0</v>
      </c>
      <c r="W29" s="18">
        <f>'GHG detailed, only calves'!W29+Production!$F$7*'GHG detailed, mother animal'!W29/Production!$F$23</f>
        <v>0</v>
      </c>
      <c r="X29" s="18">
        <f>'GHG detailed, only calves'!X29+Production!$F$7*'GHG detailed, mother animal'!X29/Production!$F$23</f>
        <v>0</v>
      </c>
      <c r="Z29" s="32"/>
      <c r="AA29" s="32"/>
    </row>
    <row r="30" spans="1:27" ht="15" thickBot="1" x14ac:dyDescent="0.4">
      <c r="A30" s="11" t="s">
        <v>543</v>
      </c>
      <c r="B30" s="11" t="s">
        <v>546</v>
      </c>
      <c r="C30" s="15" t="s">
        <v>545</v>
      </c>
      <c r="D30" s="16" t="s">
        <v>91</v>
      </c>
      <c r="E30" s="16" t="s">
        <v>43</v>
      </c>
      <c r="F30" s="34" t="s">
        <v>89</v>
      </c>
      <c r="G30" s="17">
        <f>SUM(H30:T30)+W30+X30</f>
        <v>1.9932678314930903E-2</v>
      </c>
      <c r="H30" s="18">
        <f>'GHG detailed, only calves'!H30+Production!$F$7*'GHG detailed, mother animal'!H30/Production!$F$23</f>
        <v>1.8538683870781263E-3</v>
      </c>
      <c r="I30" s="18">
        <f>'GHG detailed, only calves'!I30+Production!$F$7*'GHG detailed, mother animal'!I30/Production!$F$23</f>
        <v>2.1849811135779692E-5</v>
      </c>
      <c r="J30" s="18">
        <f>'GHG detailed, only calves'!J30+Production!$F$7*'GHG detailed, mother animal'!J30/Production!$F$23</f>
        <v>7.6815755585808738E-3</v>
      </c>
      <c r="K30" s="18">
        <f>'GHG detailed, only calves'!K30+Production!$F$7*'GHG detailed, mother animal'!K30/Production!$F$23</f>
        <v>7.6815755585808742E-4</v>
      </c>
      <c r="L30" s="18">
        <f>'GHG detailed, only calves'!L30+Production!$F$7*'GHG detailed, mother animal'!L30/Production!$F$23</f>
        <v>1.8164591059066058E-5</v>
      </c>
      <c r="M30" s="18">
        <f>'GHG detailed, only calves'!M30+Production!$F$7*'GHG detailed, mother animal'!M30/Production!$F$23</f>
        <v>0</v>
      </c>
      <c r="N30" s="18">
        <f>'GHG detailed, only calves'!N30+Production!$F$7*'GHG detailed, mother animal'!N30/Production!$F$23</f>
        <v>1.0171300074376336E-7</v>
      </c>
      <c r="O30" s="18">
        <f>'GHG detailed, only calves'!O30+Production!$F$7*'GHG detailed, mother animal'!O30/Production!$F$23</f>
        <v>8.4240406908323252E-6</v>
      </c>
      <c r="P30" s="18">
        <f>'GHG detailed, only calves'!P30+Production!$F$7*'GHG detailed, mother animal'!P30/Production!$F$23</f>
        <v>0</v>
      </c>
      <c r="Q30" s="18">
        <f>'GHG detailed, only calves'!Q30+Production!$F$7*'GHG detailed, mother animal'!Q30/Production!$F$23</f>
        <v>8.6890321626594956E-4</v>
      </c>
      <c r="R30" s="18">
        <f>'GHG detailed, only calves'!R30+Production!$F$7*'GHG detailed, mother animal'!R30/Production!$F$23</f>
        <v>1.3272968953085713E-4</v>
      </c>
      <c r="S30" s="18">
        <f>'GHG detailed, only calves'!S30+Production!$F$7*'GHG detailed, mother animal'!S30/Production!$F$23</f>
        <v>0</v>
      </c>
      <c r="T30" s="18">
        <f>'GHG detailed, only calves'!T30+Production!$F$7*'GHG detailed, mother animal'!T30/Production!$F$23</f>
        <v>8.5475659340698007E-3</v>
      </c>
      <c r="U30" s="18">
        <f>'GHG detailed, only calves'!U30+Production!$F$7*'GHG detailed, mother animal'!U30/Production!$F$23</f>
        <v>6.4081650247271305E-3</v>
      </c>
      <c r="V30" s="18">
        <f>'GHG detailed, only calves'!V30+Production!$F$7*'GHG detailed, mother animal'!V30/Production!$F$23</f>
        <v>2.1394009093426711E-3</v>
      </c>
      <c r="W30" s="18">
        <f>'GHG detailed, only calves'!W30+Production!$F$7*'GHG detailed, mother animal'!W30/Production!$F$23</f>
        <v>3.017720983993243E-5</v>
      </c>
      <c r="X30" s="18">
        <f>'GHG detailed, only calves'!X30+Production!$F$7*'GHG detailed, mother animal'!X30/Production!$F$23</f>
        <v>1.1606078208537399E-6</v>
      </c>
      <c r="Z30" s="32"/>
      <c r="AA30" s="32"/>
    </row>
    <row r="31" spans="1:27" ht="15.5" thickTop="1" thickBot="1" x14ac:dyDescent="0.4">
      <c r="A31" s="125" t="s">
        <v>543</v>
      </c>
      <c r="B31" s="125" t="s">
        <v>546</v>
      </c>
      <c r="C31" s="126" t="s">
        <v>545</v>
      </c>
      <c r="D31" s="127" t="s">
        <v>91</v>
      </c>
      <c r="E31" s="127" t="s">
        <v>43</v>
      </c>
      <c r="F31" s="128" t="s">
        <v>90</v>
      </c>
      <c r="G31" s="137">
        <f t="shared" si="0"/>
        <v>29.961097439511047</v>
      </c>
      <c r="H31" s="129">
        <f>SUMPRODUCT(H27:H30,'Parameters, general'!$B$23:$B$26)</f>
        <v>1.3940171332218489</v>
      </c>
      <c r="I31" s="129">
        <f>SUMPRODUCT(I27:I30,'Parameters, general'!$B$23:$B$26)</f>
        <v>0.61010045468602792</v>
      </c>
      <c r="J31" s="129">
        <f>SUMPRODUCT(J27:J30,'Parameters, general'!$B$23:$B$26)</f>
        <v>2.0970701274925787</v>
      </c>
      <c r="K31" s="129">
        <f>SUMPRODUCT(K27:K30,'Parameters, general'!$B$23:$B$26)</f>
        <v>0.20970701274925788</v>
      </c>
      <c r="L31" s="129">
        <f>SUMPRODUCT(L27:L30,'Parameters, general'!$B$23:$B$26)</f>
        <v>0.67619793250266591</v>
      </c>
      <c r="M31" s="129">
        <f>SUMPRODUCT(M27:M30,'Parameters, general'!$B$23:$B$26)</f>
        <v>0</v>
      </c>
      <c r="N31" s="129">
        <f>SUMPRODUCT(N27:N30,'Parameters, general'!$B$23:$B$26)</f>
        <v>2.3188815346963719E-3</v>
      </c>
      <c r="O31" s="129">
        <f>SUMPRODUCT(O27:O30,'Parameters, general'!$B$23:$B$26)</f>
        <v>0.24414830454507624</v>
      </c>
      <c r="P31" s="129">
        <f>SUMPRODUCT(P27:P30,'Parameters, general'!$B$23:$B$26)</f>
        <v>0.68504229255126681</v>
      </c>
      <c r="Q31" s="129">
        <f>SUMPRODUCT(Q27:Q30,'Parameters, general'!$B$23:$B$26)</f>
        <v>2.1771358152497315</v>
      </c>
      <c r="R31" s="129">
        <f>SUMPRODUCT(R27:R30,'Parameters, general'!$B$23:$B$26)</f>
        <v>0.60689028120998112</v>
      </c>
      <c r="S31" s="129">
        <f>SUMPRODUCT(S27:S30,'Parameters, general'!$B$23:$B$26)</f>
        <v>15.2232828477349</v>
      </c>
      <c r="T31" s="129">
        <f>SUMPRODUCT(T27:T30,'Parameters, general'!$B$23:$B$26)</f>
        <v>4.9976498180387594</v>
      </c>
      <c r="U31" s="129"/>
      <c r="V31" s="129"/>
      <c r="W31" s="129">
        <f>SUMPRODUCT(W27:W30,'Parameters, general'!$B$23:$B$26)</f>
        <v>1.0024766188080723</v>
      </c>
      <c r="X31" s="129">
        <f>SUMPRODUCT(X27:X30,'Parameters, general'!$B$23:$B$26)</f>
        <v>3.5059919186182925E-2</v>
      </c>
      <c r="Z31" s="103">
        <f>SUM(H31:R31)</f>
        <v>8.7026282357431324</v>
      </c>
      <c r="AA31" s="151">
        <f>'CO2 per kg feed'!F84+'CH4 per kg feed'!F84*CF_GWP_CH4_fossil+'N2O per kg feed'!F84*CF_GWP_N2O</f>
        <v>0.35762232240402381</v>
      </c>
    </row>
    <row r="32" spans="1:27" ht="15" thickTop="1" x14ac:dyDescent="0.35">
      <c r="A32" s="130" t="s">
        <v>543</v>
      </c>
      <c r="B32" s="130" t="s">
        <v>546</v>
      </c>
      <c r="C32" s="131" t="s">
        <v>545</v>
      </c>
      <c r="D32" s="121" t="s">
        <v>92</v>
      </c>
      <c r="E32" s="121" t="s">
        <v>45</v>
      </c>
      <c r="F32" s="132" t="s">
        <v>86</v>
      </c>
      <c r="G32" s="467">
        <f>SUM(H32:X32)</f>
        <v>2.9968110652862867</v>
      </c>
      <c r="H32" s="348">
        <f>'GHG detailed, only calves'!H32+Production!$G$7*'GHG detailed, mother animal'!H32/Production!$G$23</f>
        <v>0.69139989572517035</v>
      </c>
      <c r="I32" s="348">
        <f>'GHG detailed, only calves'!I32+Production!$G$7*'GHG detailed, mother animal'!I32/Production!$G$23</f>
        <v>0.56288320192415953</v>
      </c>
      <c r="J32" s="348">
        <f>'GHG detailed, only calves'!J32+Production!$G$7*'GHG detailed, mother animal'!J32/Production!$G$23</f>
        <v>0</v>
      </c>
      <c r="K32" s="348">
        <f>'GHG detailed, only calves'!K32+Production!$G$7*'GHG detailed, mother animal'!K32/Production!$G$23</f>
        <v>0</v>
      </c>
      <c r="L32" s="348">
        <f>'GHG detailed, only calves'!L32+Production!$G$7*'GHG detailed, mother animal'!L32/Production!$G$23</f>
        <v>0.35516197236072045</v>
      </c>
      <c r="M32" s="348">
        <f>'GHG detailed, only calves'!M32+Production!$G$7*'GHG detailed, mother animal'!M32/Production!$G$23</f>
        <v>0</v>
      </c>
      <c r="N32" s="348">
        <f>'GHG detailed, only calves'!N32+Production!$G$7*'GHG detailed, mother animal'!N32/Production!$G$23</f>
        <v>2.3807098199053623E-3</v>
      </c>
      <c r="O32" s="348">
        <f>'GHG detailed, only calves'!O32+Production!$G$7*'GHG detailed, mother animal'!O32/Production!$G$23</f>
        <v>0.15138025475500427</v>
      </c>
      <c r="P32" s="348">
        <f>'GHG detailed, only calves'!P32+Production!$G$7*'GHG detailed, mother animal'!P32/Production!$G$23</f>
        <v>6.6050788650518222E-2</v>
      </c>
      <c r="Q32" s="348">
        <f>'GHG detailed, only calves'!Q32+Production!$G$7*'GHG detailed, mother animal'!Q32/Production!$G$23</f>
        <v>0.18956298886092124</v>
      </c>
      <c r="R32" s="348">
        <f>'GHG detailed, only calves'!R32+Production!$G$7*'GHG detailed, mother animal'!R32/Production!$G$23</f>
        <v>6.2212770404706338E-2</v>
      </c>
      <c r="S32" s="348">
        <f>'GHG detailed, only calves'!S32+Production!$G$7*'GHG detailed, mother animal'!S32/Production!$G$23</f>
        <v>0</v>
      </c>
      <c r="T32" s="348">
        <f>'GHG detailed, only calves'!T32+Production!$G$7*'GHG detailed, mother animal'!T32/Production!$G$23</f>
        <v>0</v>
      </c>
      <c r="U32" s="348">
        <f>'GHG detailed, only calves'!U32+Production!$G$7*'GHG detailed, mother animal'!U32/Production!$G$23</f>
        <v>0</v>
      </c>
      <c r="V32" s="348">
        <f>'GHG detailed, only calves'!V32+Production!$G$7*'GHG detailed, mother animal'!V32/Production!$G$23</f>
        <v>0</v>
      </c>
      <c r="W32" s="348">
        <f>'GHG detailed, only calves'!W32+Production!$G$7*'GHG detailed, mother animal'!W32/Production!$G$23</f>
        <v>0.88499199691644959</v>
      </c>
      <c r="X32" s="348">
        <f>'GHG detailed, only calves'!X32+Production!$G$7*'GHG detailed, mother animal'!X32/Production!$G$23</f>
        <v>3.0786485868731023E-2</v>
      </c>
      <c r="Z32" s="18"/>
      <c r="AA32" s="18"/>
    </row>
    <row r="33" spans="1:27" x14ac:dyDescent="0.35">
      <c r="A33" s="11" t="s">
        <v>543</v>
      </c>
      <c r="B33" s="11" t="s">
        <v>546</v>
      </c>
      <c r="C33" s="15" t="s">
        <v>545</v>
      </c>
      <c r="D33" s="16" t="s">
        <v>92</v>
      </c>
      <c r="E33" s="16" t="s">
        <v>45</v>
      </c>
      <c r="F33" s="11" t="s">
        <v>87</v>
      </c>
      <c r="G33" s="17">
        <f t="shared" si="0"/>
        <v>4.8271858423931018E-3</v>
      </c>
      <c r="H33" s="18">
        <f>'GHG detailed, only calves'!H33+Production!$G$7*'GHG detailed, mother animal'!H33/Production!$G$23</f>
        <v>1.2858876627552954E-3</v>
      </c>
      <c r="I33" s="18">
        <f>'GHG detailed, only calves'!I33+Production!$G$7*'GHG detailed, mother animal'!I33/Production!$G$23</f>
        <v>1.9977136899829171E-3</v>
      </c>
      <c r="J33" s="18">
        <f>'GHG detailed, only calves'!J33+Production!$G$7*'GHG detailed, mother animal'!J33/Production!$G$23</f>
        <v>0</v>
      </c>
      <c r="K33" s="18">
        <f>'GHG detailed, only calves'!K33+Production!$G$7*'GHG detailed, mother animal'!K33/Production!$G$23</f>
        <v>0</v>
      </c>
      <c r="L33" s="18">
        <f>'GHG detailed, only calves'!L33+Production!$G$7*'GHG detailed, mother animal'!L33/Production!$G$23</f>
        <v>1.5787779337214379E-4</v>
      </c>
      <c r="M33" s="18">
        <f>'GHG detailed, only calves'!M33+Production!$G$7*'GHG detailed, mother animal'!M33/Production!$G$23</f>
        <v>0</v>
      </c>
      <c r="N33" s="18">
        <f>'GHG detailed, only calves'!N33+Production!$G$7*'GHG detailed, mother animal'!N33/Production!$G$23</f>
        <v>9.9476517993291771E-6</v>
      </c>
      <c r="O33" s="18">
        <f>'GHG detailed, only calves'!O33+Production!$G$7*'GHG detailed, mother animal'!O33/Production!$G$23</f>
        <v>7.9426949839704429E-5</v>
      </c>
      <c r="P33" s="18">
        <f>'GHG detailed, only calves'!P33+Production!$G$7*'GHG detailed, mother animal'!P33/Production!$G$23</f>
        <v>0</v>
      </c>
      <c r="Q33" s="18">
        <f>'GHG detailed, only calves'!Q33+Production!$G$7*'GHG detailed, mother animal'!Q33/Production!$G$23</f>
        <v>4.7736518960743608E-4</v>
      </c>
      <c r="R33" s="18">
        <f>'GHG detailed, only calves'!R33+Production!$G$7*'GHG detailed, mother animal'!R33/Production!$G$23</f>
        <v>6.9440865819465994E-5</v>
      </c>
      <c r="S33" s="18">
        <f>'GHG detailed, only calves'!S33+Production!$G$7*'GHG detailed, mother animal'!S33/Production!$G$23</f>
        <v>0</v>
      </c>
      <c r="T33" s="18">
        <f>'GHG detailed, only calves'!T33+Production!$G$7*'GHG detailed, mother animal'!T33/Production!$G$23</f>
        <v>0</v>
      </c>
      <c r="U33" s="18">
        <f>'GHG detailed, only calves'!U33+Production!$G$7*'GHG detailed, mother animal'!U33/Production!$G$23</f>
        <v>0</v>
      </c>
      <c r="V33" s="18">
        <f>'GHG detailed, only calves'!V33+Production!$G$7*'GHG detailed, mother animal'!V33/Production!$G$23</f>
        <v>0</v>
      </c>
      <c r="W33" s="18">
        <f>'GHG detailed, only calves'!W33+Production!$G$7*'GHG detailed, mother animal'!W33/Production!$G$23</f>
        <v>7.2445064685519589E-4</v>
      </c>
      <c r="X33" s="18">
        <f>'GHG detailed, only calves'!X33+Production!$G$7*'GHG detailed, mother animal'!X33/Production!$G$23</f>
        <v>2.5075392361613841E-5</v>
      </c>
      <c r="Z33" s="32"/>
      <c r="AA33" s="32"/>
    </row>
    <row r="34" spans="1:27" x14ac:dyDescent="0.35">
      <c r="A34" s="11" t="s">
        <v>543</v>
      </c>
      <c r="B34" s="11" t="s">
        <v>546</v>
      </c>
      <c r="C34" s="15" t="s">
        <v>545</v>
      </c>
      <c r="D34" s="16" t="s">
        <v>92</v>
      </c>
      <c r="E34" s="16" t="s">
        <v>45</v>
      </c>
      <c r="F34" s="11" t="s">
        <v>88</v>
      </c>
      <c r="G34" s="17">
        <f>SUM(H34:T34)</f>
        <v>0.6316328850625027</v>
      </c>
      <c r="H34" s="18">
        <f>'GHG detailed, only calves'!H34+Production!$G$7*'GHG detailed, mother animal'!H34/Production!$G$23</f>
        <v>0</v>
      </c>
      <c r="I34" s="18">
        <f>'GHG detailed, only calves'!I34+Production!$G$7*'GHG detailed, mother animal'!I34/Production!$G$23</f>
        <v>0</v>
      </c>
      <c r="J34" s="18">
        <f>'GHG detailed, only calves'!J34+Production!$G$7*'GHG detailed, mother animal'!J34/Production!$G$23</f>
        <v>0</v>
      </c>
      <c r="K34" s="18">
        <f>'GHG detailed, only calves'!K34+Production!$G$7*'GHG detailed, mother animal'!K34/Production!$G$23</f>
        <v>0</v>
      </c>
      <c r="L34" s="18">
        <f>'GHG detailed, only calves'!L34+Production!$G$7*'GHG detailed, mother animal'!L34/Production!$G$23</f>
        <v>0</v>
      </c>
      <c r="M34" s="18">
        <f>'GHG detailed, only calves'!M34+Production!$G$7*'GHG detailed, mother animal'!M34/Production!$G$23</f>
        <v>0</v>
      </c>
      <c r="N34" s="18">
        <f>'GHG detailed, only calves'!N34+Production!$G$7*'GHG detailed, mother animal'!N34/Production!$G$23</f>
        <v>0</v>
      </c>
      <c r="O34" s="18">
        <f>'GHG detailed, only calves'!O34+Production!$G$7*'GHG detailed, mother animal'!O34/Production!$G$23</f>
        <v>0</v>
      </c>
      <c r="P34" s="18">
        <f>'GHG detailed, only calves'!P34+Production!$G$7*'GHG detailed, mother animal'!P34/Production!$G$23</f>
        <v>0</v>
      </c>
      <c r="Q34" s="18">
        <f>'GHG detailed, only calves'!Q34+Production!$G$7*'GHG detailed, mother animal'!Q34/Production!$G$23</f>
        <v>0</v>
      </c>
      <c r="R34" s="18">
        <f>'GHG detailed, only calves'!R34+Production!$G$7*'GHG detailed, mother animal'!R34/Production!$G$23</f>
        <v>0</v>
      </c>
      <c r="S34" s="18">
        <f>'GHG detailed, only calves'!S34+Production!$G$7*'GHG detailed, mother animal'!S34/Production!$G$23</f>
        <v>0.56039751998439291</v>
      </c>
      <c r="T34" s="18">
        <f>'GHG detailed, only calves'!T34+Production!$G$7*'GHG detailed, mother animal'!T34/Production!$G$23</f>
        <v>7.123536507810975E-2</v>
      </c>
      <c r="U34" s="18">
        <f>'GHG detailed, only calves'!U34+Production!$G$7*'GHG detailed, mother animal'!U34/Production!$G$23</f>
        <v>7.123536507810975E-2</v>
      </c>
      <c r="V34" s="18">
        <f>'GHG detailed, only calves'!V34+Production!$G$7*'GHG detailed, mother animal'!V34/Production!$G$23</f>
        <v>0</v>
      </c>
      <c r="W34" s="18">
        <f>'GHG detailed, only calves'!W34+Production!$G$7*'GHG detailed, mother animal'!W34/Production!$G$23</f>
        <v>0</v>
      </c>
      <c r="X34" s="18">
        <f>'GHG detailed, only calves'!X34+Production!$G$7*'GHG detailed, mother animal'!X34/Production!$G$23</f>
        <v>0</v>
      </c>
      <c r="Z34" s="32"/>
      <c r="AA34" s="32"/>
    </row>
    <row r="35" spans="1:27" ht="15" thickBot="1" x14ac:dyDescent="0.4">
      <c r="A35" s="11" t="s">
        <v>543</v>
      </c>
      <c r="B35" s="11" t="s">
        <v>546</v>
      </c>
      <c r="C35" s="15" t="s">
        <v>545</v>
      </c>
      <c r="D35" s="16" t="s">
        <v>92</v>
      </c>
      <c r="E35" s="16" t="s">
        <v>45</v>
      </c>
      <c r="F35" s="34" t="s">
        <v>89</v>
      </c>
      <c r="G35" s="17">
        <f>SUM(H35:T35)+W35+X35</f>
        <v>1.4329287727281467E-2</v>
      </c>
      <c r="H35" s="18">
        <f>'GHG detailed, only calves'!H35+Production!$G$7*'GHG detailed, mother animal'!H35/Production!$G$23</f>
        <v>1.5339397680456746E-3</v>
      </c>
      <c r="I35" s="18">
        <f>'GHG detailed, only calves'!I35+Production!$G$7*'GHG detailed, mother animal'!I35/Production!$G$23</f>
        <v>2.2588304191914938E-5</v>
      </c>
      <c r="J35" s="18">
        <f>'GHG detailed, only calves'!J35+Production!$G$7*'GHG detailed, mother animal'!J35/Production!$G$23</f>
        <v>5.7965927859982757E-3</v>
      </c>
      <c r="K35" s="18">
        <f>'GHG detailed, only calves'!K35+Production!$G$7*'GHG detailed, mother animal'!K35/Production!$G$23</f>
        <v>5.7965927859982762E-4</v>
      </c>
      <c r="L35" s="18">
        <f>'GHG detailed, only calves'!L35+Production!$G$7*'GHG detailed, mother animal'!L35/Production!$G$23</f>
        <v>9.5736964124472389E-6</v>
      </c>
      <c r="M35" s="18">
        <f>'GHG detailed, only calves'!M35+Production!$G$7*'GHG detailed, mother animal'!M35/Production!$G$23</f>
        <v>0</v>
      </c>
      <c r="N35" s="18">
        <f>'GHG detailed, only calves'!N35+Production!$G$7*'GHG detailed, mother animal'!N35/Production!$G$23</f>
        <v>1.2240911077434481E-7</v>
      </c>
      <c r="O35" s="18">
        <f>'GHG detailed, only calves'!O35+Production!$G$7*'GHG detailed, mother animal'!O35/Production!$G$23</f>
        <v>5.3946177073915824E-6</v>
      </c>
      <c r="P35" s="18">
        <f>'GHG detailed, only calves'!P35+Production!$G$7*'GHG detailed, mother animal'!P35/Production!$G$23</f>
        <v>0</v>
      </c>
      <c r="Q35" s="18">
        <f>'GHG detailed, only calves'!Q35+Production!$G$7*'GHG detailed, mother animal'!Q35/Production!$G$23</f>
        <v>3.5363560231319248E-5</v>
      </c>
      <c r="R35" s="18">
        <f>'GHG detailed, only calves'!R35+Production!$G$7*'GHG detailed, mother animal'!R35/Production!$G$23</f>
        <v>4.0768045390067154E-6</v>
      </c>
      <c r="S35" s="18">
        <f>'GHG detailed, only calves'!S35+Production!$G$7*'GHG detailed, mother animal'!S35/Production!$G$23</f>
        <v>0</v>
      </c>
      <c r="T35" s="18">
        <f>'GHG detailed, only calves'!T35+Production!$G$7*'GHG detailed, mother animal'!T35/Production!$G$23</f>
        <v>6.3119134964702023E-3</v>
      </c>
      <c r="U35" s="18">
        <f>'GHG detailed, only calves'!U35+Production!$G$7*'GHG detailed, mother animal'!U35/Production!$G$23</f>
        <v>4.5794388335604671E-3</v>
      </c>
      <c r="V35" s="18">
        <f>'GHG detailed, only calves'!V35+Production!$G$7*'GHG detailed, mother animal'!V35/Production!$G$23</f>
        <v>1.7324746629097359E-3</v>
      </c>
      <c r="W35" s="18">
        <f>'GHG detailed, only calves'!W35+Production!$G$7*'GHG detailed, mother animal'!W35/Production!$G$23</f>
        <v>2.8947423377915296E-5</v>
      </c>
      <c r="X35" s="18">
        <f>'GHG detailed, only calves'!X35+Production!$G$7*'GHG detailed, mother animal'!X35/Production!$G$23</f>
        <v>1.1155825967160331E-6</v>
      </c>
      <c r="Z35" s="32"/>
      <c r="AA35" s="32"/>
    </row>
    <row r="36" spans="1:27" ht="15.5" thickTop="1" thickBot="1" x14ac:dyDescent="0.4">
      <c r="A36" s="125" t="s">
        <v>543</v>
      </c>
      <c r="B36" s="125" t="s">
        <v>546</v>
      </c>
      <c r="C36" s="126" t="s">
        <v>545</v>
      </c>
      <c r="D36" s="37" t="s">
        <v>92</v>
      </c>
      <c r="E36" s="37" t="s">
        <v>45</v>
      </c>
      <c r="F36" s="128" t="s">
        <v>90</v>
      </c>
      <c r="G36" s="137">
        <f t="shared" si="0"/>
        <v>24.106644649625011</v>
      </c>
      <c r="H36" s="129">
        <f>SUMPRODUCT(H32:H35,'Parameters, general'!$B$23:$B$26)</f>
        <v>1.1484849047517474</v>
      </c>
      <c r="I36" s="129">
        <f>SUMPRODUCT(I32:I35,'Parameters, general'!$B$23:$B$26)</f>
        <v>0.62858167693004319</v>
      </c>
      <c r="J36" s="129">
        <f>SUMPRODUCT(J32:J35,'Parameters, general'!$B$23:$B$26)</f>
        <v>1.5824698305775293</v>
      </c>
      <c r="K36" s="129">
        <f>SUMPRODUCT(K32:K35,'Parameters, general'!$B$23:$B$26)</f>
        <v>0.15824698305775295</v>
      </c>
      <c r="L36" s="129">
        <f>SUMPRODUCT(L32:L35,'Parameters, general'!$B$23:$B$26)</f>
        <v>0.36248034972380844</v>
      </c>
      <c r="M36" s="129">
        <f>SUMPRODUCT(M32:M35,'Parameters, general'!$B$23:$B$26)</f>
        <v>0</v>
      </c>
      <c r="N36" s="129">
        <f>SUMPRODUCT(N32:N35,'Parameters, general'!$B$23:$B$26)</f>
        <v>2.7105675307667679E-3</v>
      </c>
      <c r="O36" s="129">
        <f>SUMPRODUCT(O32:O35,'Parameters, general'!$B$23:$B$26)</f>
        <v>0.15521990849434536</v>
      </c>
      <c r="P36" s="129">
        <f>SUMPRODUCT(P32:P35,'Parameters, general'!$B$23:$B$26)</f>
        <v>6.6050788650518222E-2</v>
      </c>
      <c r="Q36" s="129">
        <f>SUMPRODUCT(Q32:Q35,'Parameters, general'!$B$23:$B$26)</f>
        <v>0.21344272345437298</v>
      </c>
      <c r="R36" s="129">
        <f>SUMPRODUCT(R32:R35,'Parameters, general'!$B$23:$B$26)</f>
        <v>6.5395075845275263E-2</v>
      </c>
      <c r="S36" s="129">
        <f>SUMPRODUCT(S32:S35,'Parameters, general'!$B$23:$B$26)</f>
        <v>15.130733039578608</v>
      </c>
      <c r="T36" s="129">
        <f>SUMPRODUCT(T32:T35,'Parameters, general'!$B$23:$B$26)</f>
        <v>3.6465072416453284</v>
      </c>
      <c r="U36" s="129"/>
      <c r="V36" s="129"/>
      <c r="W36" s="129">
        <f>SUMPRODUCT(W32:W35,'Parameters, general'!$B$23:$B$26)</f>
        <v>0.91448327277490526</v>
      </c>
      <c r="X36" s="129">
        <f>SUMPRODUCT(X32:X35,'Parameters, general'!$B$23:$B$26)</f>
        <v>3.1838286610010591E-2</v>
      </c>
      <c r="Z36" s="103">
        <f>SUM(H36:R36)</f>
        <v>4.3830828090161607</v>
      </c>
      <c r="AA36" s="151">
        <f>'CO2 per kg feed'!F100+'CH4 per kg feed'!F100*CF_GWP_CH4_fossil+'N2O per kg feed'!F100*CF_GWP_N2O</f>
        <v>0.20313260562009389</v>
      </c>
    </row>
    <row r="37" spans="1:27" ht="15" thickTop="1" x14ac:dyDescent="0.35">
      <c r="A37" s="130" t="s">
        <v>543</v>
      </c>
      <c r="B37" s="130" t="s">
        <v>546</v>
      </c>
      <c r="C37" s="131" t="s">
        <v>545</v>
      </c>
      <c r="D37" s="121" t="s">
        <v>46</v>
      </c>
      <c r="E37" s="121" t="s">
        <v>47</v>
      </c>
      <c r="F37" s="132" t="s">
        <v>86</v>
      </c>
      <c r="G37" s="467">
        <f>SUM(H37:X37)</f>
        <v>4.0900976292890947</v>
      </c>
      <c r="H37" s="348">
        <f>'GHG detailed, only calves'!H37+Production!$H$7*'GHG detailed, mother animal'!H37/Production!$H$23</f>
        <v>0.58168409532063481</v>
      </c>
      <c r="I37" s="348">
        <f>'GHG detailed, only calves'!I37+Production!$H$7*'GHG detailed, mother animal'!I37/Production!$H$23</f>
        <v>0.48946356427854643</v>
      </c>
      <c r="J37" s="348">
        <f>'GHG detailed, only calves'!J37+Production!$H$7*'GHG detailed, mother animal'!J37/Production!$H$23</f>
        <v>0</v>
      </c>
      <c r="K37" s="348">
        <f>'GHG detailed, only calves'!K37+Production!$H$7*'GHG detailed, mother animal'!K37/Production!$H$23</f>
        <v>0</v>
      </c>
      <c r="L37" s="348">
        <f>'GHG detailed, only calves'!L37+Production!$H$7*'GHG detailed, mother animal'!L37/Production!$H$23</f>
        <v>0.31900528741538481</v>
      </c>
      <c r="M37" s="348">
        <f>'GHG detailed, only calves'!M37+Production!$H$7*'GHG detailed, mother animal'!M37/Production!$H$23</f>
        <v>0</v>
      </c>
      <c r="N37" s="348">
        <f>'GHG detailed, only calves'!N37+Production!$H$7*'GHG detailed, mother animal'!N37/Production!$H$23</f>
        <v>4.287115005629575E-2</v>
      </c>
      <c r="O37" s="348">
        <f>'GHG detailed, only calves'!O37+Production!$H$7*'GHG detailed, mother animal'!O37/Production!$H$23</f>
        <v>6.5789458429210398E-2</v>
      </c>
      <c r="P37" s="348">
        <f>'GHG detailed, only calves'!P37+Production!$H$7*'GHG detailed, mother animal'!P37/Production!$H$23</f>
        <v>0.3507311512182486</v>
      </c>
      <c r="Q37" s="348">
        <f>'GHG detailed, only calves'!Q37+Production!$H$7*'GHG detailed, mother animal'!Q37/Production!$H$23</f>
        <v>1.0309717854139335</v>
      </c>
      <c r="R37" s="348">
        <f>'GHG detailed, only calves'!R37+Production!$H$7*'GHG detailed, mother animal'!R37/Production!$H$23</f>
        <v>0.31305440993742012</v>
      </c>
      <c r="S37" s="348">
        <f>'GHG detailed, only calves'!S37+Production!$H$7*'GHG detailed, mother animal'!S37/Production!$H$23</f>
        <v>0</v>
      </c>
      <c r="T37" s="348">
        <f>'GHG detailed, only calves'!T37+Production!$H$7*'GHG detailed, mother animal'!T37/Production!$H$23</f>
        <v>0</v>
      </c>
      <c r="U37" s="348">
        <f>'GHG detailed, only calves'!U37+Production!$H$7*'GHG detailed, mother animal'!U37/Production!$H$23</f>
        <v>0</v>
      </c>
      <c r="V37" s="348">
        <f>'GHG detailed, only calves'!V37+Production!$H$7*'GHG detailed, mother animal'!V37/Production!$H$23</f>
        <v>0</v>
      </c>
      <c r="W37" s="348">
        <f>'GHG detailed, only calves'!W37+Production!$H$7*'GHG detailed, mother animal'!W37/Production!$H$23</f>
        <v>0.8664201963736986</v>
      </c>
      <c r="X37" s="348">
        <f>'GHG detailed, only calves'!X37+Production!$H$7*'GHG detailed, mother animal'!X37/Production!$H$23</f>
        <v>3.0106530845721111E-2</v>
      </c>
      <c r="Z37" s="18"/>
      <c r="AA37" s="18"/>
    </row>
    <row r="38" spans="1:27" x14ac:dyDescent="0.35">
      <c r="A38" s="11" t="s">
        <v>543</v>
      </c>
      <c r="B38" s="11" t="s">
        <v>546</v>
      </c>
      <c r="C38" s="15" t="s">
        <v>545</v>
      </c>
      <c r="D38" s="16" t="s">
        <v>46</v>
      </c>
      <c r="E38" s="16" t="s">
        <v>47</v>
      </c>
      <c r="F38" s="11" t="s">
        <v>87</v>
      </c>
      <c r="G38" s="17">
        <f t="shared" si="0"/>
        <v>1.4997211619021157E-2</v>
      </c>
      <c r="H38" s="18">
        <f>'GHG detailed, only calves'!H38+Production!$H$7*'GHG detailed, mother animal'!H38/Production!$H$23</f>
        <v>1.0796831950916324E-3</v>
      </c>
      <c r="I38" s="18">
        <f>'GHG detailed, only calves'!I38+Production!$H$7*'GHG detailed, mother animal'!I38/Production!$H$23</f>
        <v>1.7259106778426694E-3</v>
      </c>
      <c r="J38" s="18">
        <f>'GHG detailed, only calves'!J38+Production!$H$7*'GHG detailed, mother animal'!J38/Production!$H$23</f>
        <v>0</v>
      </c>
      <c r="K38" s="18">
        <f>'GHG detailed, only calves'!K38+Production!$H$7*'GHG detailed, mother animal'!K38/Production!$H$23</f>
        <v>0</v>
      </c>
      <c r="L38" s="18">
        <f>'GHG detailed, only calves'!L38+Production!$H$7*'GHG detailed, mother animal'!L38/Production!$H$23</f>
        <v>1.5811397058564051E-4</v>
      </c>
      <c r="M38" s="18">
        <f>'GHG detailed, only calves'!M38+Production!$H$7*'GHG detailed, mother animal'!M38/Production!$H$23</f>
        <v>0</v>
      </c>
      <c r="N38" s="18">
        <f>'GHG detailed, only calves'!N38+Production!$H$7*'GHG detailed, mother animal'!N38/Production!$H$23</f>
        <v>1.4249886844178018E-4</v>
      </c>
      <c r="O38" s="18">
        <f>'GHG detailed, only calves'!O38+Production!$H$7*'GHG detailed, mother animal'!O38/Production!$H$23</f>
        <v>6.0284807489170385E-5</v>
      </c>
      <c r="P38" s="18">
        <f>'GHG detailed, only calves'!P38+Production!$H$7*'GHG detailed, mother animal'!P38/Production!$H$23</f>
        <v>0</v>
      </c>
      <c r="Q38" s="18">
        <f>'GHG detailed, only calves'!Q38+Production!$H$7*'GHG detailed, mother animal'!Q38/Production!$H$23</f>
        <v>8.2545450353630704E-3</v>
      </c>
      <c r="R38" s="18">
        <f>'GHG detailed, only calves'!R38+Production!$H$7*'GHG detailed, mother animal'!R38/Production!$H$23</f>
        <v>1.1352447553886979E-3</v>
      </c>
      <c r="S38" s="18">
        <f>'GHG detailed, only calves'!S38+Production!$H$7*'GHG detailed, mother animal'!S38/Production!$H$23</f>
        <v>0</v>
      </c>
      <c r="T38" s="18">
        <f>'GHG detailed, only calves'!T38+Production!$H$7*'GHG detailed, mother animal'!T38/Production!$H$23</f>
        <v>0</v>
      </c>
      <c r="U38" s="18">
        <f>'GHG detailed, only calves'!U38+Production!$H$7*'GHG detailed, mother animal'!U38/Production!$H$23</f>
        <v>0</v>
      </c>
      <c r="V38" s="18">
        <f>'GHG detailed, only calves'!V38+Production!$H$7*'GHG detailed, mother animal'!V38/Production!$H$23</f>
        <v>0</v>
      </c>
      <c r="W38" s="18">
        <f>'GHG detailed, only calves'!W38+Production!$H$7*'GHG detailed, mother animal'!W38/Production!$H$23</f>
        <v>2.3561160097827559E-3</v>
      </c>
      <c r="X38" s="18">
        <f>'GHG detailed, only calves'!X38+Production!$H$7*'GHG detailed, mother animal'!X38/Production!$H$23</f>
        <v>8.4814299035740267E-5</v>
      </c>
      <c r="Z38" s="32"/>
      <c r="AA38" s="32"/>
    </row>
    <row r="39" spans="1:27" x14ac:dyDescent="0.35">
      <c r="A39" s="11" t="s">
        <v>543</v>
      </c>
      <c r="B39" s="11" t="s">
        <v>546</v>
      </c>
      <c r="C39" s="15" t="s">
        <v>545</v>
      </c>
      <c r="D39" s="16" t="s">
        <v>46</v>
      </c>
      <c r="E39" s="16" t="s">
        <v>47</v>
      </c>
      <c r="F39" s="11" t="s">
        <v>88</v>
      </c>
      <c r="G39" s="17">
        <f>SUM(H39:T39)</f>
        <v>0.69299415021895516</v>
      </c>
      <c r="H39" s="18">
        <f>'GHG detailed, only calves'!H39+Production!$H$7*'GHG detailed, mother animal'!H39/Production!$H$23</f>
        <v>0</v>
      </c>
      <c r="I39" s="18">
        <f>'GHG detailed, only calves'!I39+Production!$H$7*'GHG detailed, mother animal'!I39/Production!$H$23</f>
        <v>0</v>
      </c>
      <c r="J39" s="18">
        <f>'GHG detailed, only calves'!J39+Production!$H$7*'GHG detailed, mother animal'!J39/Production!$H$23</f>
        <v>0</v>
      </c>
      <c r="K39" s="18">
        <f>'GHG detailed, only calves'!K39+Production!$H$7*'GHG detailed, mother animal'!K39/Production!$H$23</f>
        <v>0</v>
      </c>
      <c r="L39" s="18">
        <f>'GHG detailed, only calves'!L39+Production!$H$7*'GHG detailed, mother animal'!L39/Production!$H$23</f>
        <v>0</v>
      </c>
      <c r="M39" s="18">
        <f>'GHG detailed, only calves'!M39+Production!$H$7*'GHG detailed, mother animal'!M39/Production!$H$23</f>
        <v>0</v>
      </c>
      <c r="N39" s="18">
        <f>'GHG detailed, only calves'!N39+Production!$H$7*'GHG detailed, mother animal'!N39/Production!$H$23</f>
        <v>0</v>
      </c>
      <c r="O39" s="18">
        <f>'GHG detailed, only calves'!O39+Production!$H$7*'GHG detailed, mother animal'!O39/Production!$H$23</f>
        <v>0</v>
      </c>
      <c r="P39" s="18">
        <f>'GHG detailed, only calves'!P39+Production!$H$7*'GHG detailed, mother animal'!P39/Production!$H$23</f>
        <v>0</v>
      </c>
      <c r="Q39" s="18">
        <f>'GHG detailed, only calves'!Q39+Production!$H$7*'GHG detailed, mother animal'!Q39/Production!$H$23</f>
        <v>0</v>
      </c>
      <c r="R39" s="18">
        <f>'GHG detailed, only calves'!R39+Production!$H$7*'GHG detailed, mother animal'!R39/Production!$H$23</f>
        <v>0</v>
      </c>
      <c r="S39" s="18">
        <f>'GHG detailed, only calves'!S39+Production!$H$7*'GHG detailed, mother animal'!S39/Production!$H$23</f>
        <v>0.55928429943122293</v>
      </c>
      <c r="T39" s="18">
        <f>'GHG detailed, only calves'!T39+Production!$H$7*'GHG detailed, mother animal'!T39/Production!$H$23</f>
        <v>0.13370985078773226</v>
      </c>
      <c r="U39" s="18">
        <f>'GHG detailed, only calves'!U39+Production!$H$7*'GHG detailed, mother animal'!U39/Production!$H$23</f>
        <v>0.13370985078773226</v>
      </c>
      <c r="V39" s="18">
        <f>'GHG detailed, only calves'!V39+Production!$H$7*'GHG detailed, mother animal'!V39/Production!$H$23</f>
        <v>0</v>
      </c>
      <c r="W39" s="18">
        <f>'GHG detailed, only calves'!W39+Production!$H$7*'GHG detailed, mother animal'!W39/Production!$H$23</f>
        <v>0</v>
      </c>
      <c r="X39" s="18">
        <f>'GHG detailed, only calves'!X39+Production!$H$7*'GHG detailed, mother animal'!X39/Production!$H$23</f>
        <v>0</v>
      </c>
      <c r="Z39" s="32"/>
      <c r="AA39" s="32"/>
    </row>
    <row r="40" spans="1:27" ht="15" thickBot="1" x14ac:dyDescent="0.4">
      <c r="A40" s="11" t="s">
        <v>543</v>
      </c>
      <c r="B40" s="11" t="s">
        <v>546</v>
      </c>
      <c r="C40" s="15" t="s">
        <v>545</v>
      </c>
      <c r="D40" s="16" t="s">
        <v>46</v>
      </c>
      <c r="E40" s="16" t="s">
        <v>47</v>
      </c>
      <c r="F40" s="34" t="s">
        <v>89</v>
      </c>
      <c r="G40" s="17">
        <f>SUM(H40:T40)+W40+X40</f>
        <v>1.8391654966553084E-2</v>
      </c>
      <c r="H40" s="18">
        <f>'GHG detailed, only calves'!H40+Production!$H$7*'GHG detailed, mother animal'!H40/Production!$H$23</f>
        <v>1.2801551038731684E-3</v>
      </c>
      <c r="I40" s="18">
        <f>'GHG detailed, only calves'!I40+Production!$H$7*'GHG detailed, mother animal'!I40/Production!$H$23</f>
        <v>1.9866626918540663E-5</v>
      </c>
      <c r="J40" s="18">
        <f>'GHG detailed, only calves'!J40+Production!$H$7*'GHG detailed, mother animal'!J40/Production!$H$23</f>
        <v>6.6733868177037865E-3</v>
      </c>
      <c r="K40" s="18">
        <f>'GHG detailed, only calves'!K40+Production!$H$7*'GHG detailed, mother animal'!K40/Production!$H$23</f>
        <v>6.6733868177037861E-4</v>
      </c>
      <c r="L40" s="18">
        <f>'GHG detailed, only calves'!L40+Production!$H$7*'GHG detailed, mother animal'!L40/Production!$H$23</f>
        <v>8.8849093922658739E-6</v>
      </c>
      <c r="M40" s="18">
        <f>'GHG detailed, only calves'!M40+Production!$H$7*'GHG detailed, mother animal'!M40/Production!$H$23</f>
        <v>0</v>
      </c>
      <c r="N40" s="18">
        <f>'GHG detailed, only calves'!N40+Production!$H$7*'GHG detailed, mother animal'!N40/Production!$H$23</f>
        <v>1.7537650930484816E-6</v>
      </c>
      <c r="O40" s="18">
        <f>'GHG detailed, only calves'!O40+Production!$H$7*'GHG detailed, mother animal'!O40/Production!$H$23</f>
        <v>2.4106949279168517E-6</v>
      </c>
      <c r="P40" s="18">
        <f>'GHG detailed, only calves'!P40+Production!$H$7*'GHG detailed, mother animal'!P40/Production!$H$23</f>
        <v>0</v>
      </c>
      <c r="Q40" s="18">
        <f>'GHG detailed, only calves'!Q40+Production!$H$7*'GHG detailed, mother animal'!Q40/Production!$H$23</f>
        <v>5.5900722661375558E-4</v>
      </c>
      <c r="R40" s="18">
        <f>'GHG detailed, only calves'!R40+Production!$H$7*'GHG detailed, mother animal'!R40/Production!$H$23</f>
        <v>9.9750303626012013E-5</v>
      </c>
      <c r="S40" s="18">
        <f>'GHG detailed, only calves'!S40+Production!$H$7*'GHG detailed, mother animal'!S40/Production!$H$23</f>
        <v>0</v>
      </c>
      <c r="T40" s="18">
        <f>'GHG detailed, only calves'!T40+Production!$H$7*'GHG detailed, mother animal'!T40/Production!$H$23</f>
        <v>9.0461943831610502E-3</v>
      </c>
      <c r="U40" s="18">
        <f>'GHG detailed, only calves'!U40+Production!$H$7*'GHG detailed, mother animal'!U40/Production!$H$23</f>
        <v>6.1114535880914507E-3</v>
      </c>
      <c r="V40" s="18">
        <f>'GHG detailed, only calves'!V40+Production!$H$7*'GHG detailed, mother animal'!V40/Production!$H$23</f>
        <v>2.9347407950695982E-3</v>
      </c>
      <c r="W40" s="18">
        <f>'GHG detailed, only calves'!W40+Production!$H$7*'GHG detailed, mother animal'!W40/Production!$H$23</f>
        <v>3.1690442819240643E-5</v>
      </c>
      <c r="X40" s="18">
        <f>'GHG detailed, only calves'!X40+Production!$H$7*'GHG detailed, mother animal'!X40/Production!$H$23</f>
        <v>1.2160106539229596E-6</v>
      </c>
      <c r="Z40" s="32"/>
      <c r="AA40" s="32"/>
    </row>
    <row r="41" spans="1:27" ht="15.5" thickTop="1" thickBot="1" x14ac:dyDescent="0.4">
      <c r="A41" s="125" t="s">
        <v>543</v>
      </c>
      <c r="B41" s="125" t="s">
        <v>546</v>
      </c>
      <c r="C41" s="126" t="s">
        <v>545</v>
      </c>
      <c r="D41" s="127" t="s">
        <v>46</v>
      </c>
      <c r="E41" s="127" t="s">
        <v>47</v>
      </c>
      <c r="F41" s="128" t="s">
        <v>90</v>
      </c>
      <c r="G41" s="137">
        <f t="shared" si="0"/>
        <v>28.268778397316709</v>
      </c>
      <c r="H41" s="129">
        <f>SUMPRODUCT(H37:H40,'Parameters, general'!$B$23:$B$26)</f>
        <v>0.96334099789174044</v>
      </c>
      <c r="I41" s="129">
        <f>SUMPRODUCT(I37:I40,'Parameters, general'!$B$23:$B$26)</f>
        <v>0.54631929162701964</v>
      </c>
      <c r="J41" s="129">
        <f>SUMPRODUCT(J37:J40,'Parameters, general'!$B$23:$B$26)</f>
        <v>1.8218346012331337</v>
      </c>
      <c r="K41" s="129">
        <f>SUMPRODUCT(K37:K40,'Parameters, general'!$B$23:$B$26)</f>
        <v>0.18218346012331335</v>
      </c>
      <c r="L41" s="129">
        <f>SUMPRODUCT(L37:L40,'Parameters, general'!$B$23:$B$26)</f>
        <v>0.32614266400292546</v>
      </c>
      <c r="M41" s="129">
        <f>SUMPRODUCT(M37:M40,'Parameters, general'!$B$23:$B$26)</f>
        <v>0</v>
      </c>
      <c r="N41" s="129">
        <f>SUMPRODUCT(N37:N40,'Parameters, general'!$B$23:$B$26)</f>
        <v>4.7596394206263035E-2</v>
      </c>
      <c r="O41" s="129">
        <f>SUMPRODUCT(O37:O40,'Parameters, general'!$B$23:$B$26)</f>
        <v>6.824406540770897E-2</v>
      </c>
      <c r="P41" s="129">
        <f>SUMPRODUCT(P37:P40,'Parameters, general'!$B$23:$B$26)</f>
        <v>0.3507311512182486</v>
      </c>
      <c r="Q41" s="129">
        <f>SUMPRODUCT(Q37:Q40,'Parameters, general'!$B$23:$B$26)</f>
        <v>1.4295662003333083</v>
      </c>
      <c r="R41" s="129">
        <f>SUMPRODUCT(R37:R40,'Parameters, general'!$B$23:$B$26)</f>
        <v>0.37411653653790461</v>
      </c>
      <c r="S41" s="129">
        <f>SUMPRODUCT(S37:S40,'Parameters, general'!$B$23:$B$26)</f>
        <v>15.10067608464302</v>
      </c>
      <c r="T41" s="129">
        <f>SUMPRODUCT(T37:T40,'Parameters, general'!$B$23:$B$26)</f>
        <v>6.0797770378717377</v>
      </c>
      <c r="U41" s="129"/>
      <c r="V41" s="129"/>
      <c r="W41" s="129">
        <f>SUMPRODUCT(W37:W40,'Parameters, general'!$B$23:$B$26)</f>
        <v>0.94528394435487739</v>
      </c>
      <c r="X41" s="129">
        <f>SUMPRODUCT(X37:X40,'Parameters, general'!$B$23:$B$26)</f>
        <v>3.2965967865507137E-2</v>
      </c>
      <c r="Z41" s="103">
        <f>SUM(H41:R41)</f>
        <v>6.1100753625815667</v>
      </c>
      <c r="AA41" s="151">
        <f>'CO2 per kg feed'!F116+'CH4 per kg feed'!F116*CF_GWP_CH4_fossil+'N2O per kg feed'!F116*CF_GWP_N2O</f>
        <v>0.25136897041529582</v>
      </c>
    </row>
    <row r="42" spans="1:27" ht="15" thickTop="1" x14ac:dyDescent="0.35">
      <c r="A42" s="130" t="s">
        <v>543</v>
      </c>
      <c r="B42" s="130" t="s">
        <v>546</v>
      </c>
      <c r="C42" s="131" t="s">
        <v>545</v>
      </c>
      <c r="D42" t="s">
        <v>93</v>
      </c>
      <c r="E42" s="16" t="s">
        <v>49</v>
      </c>
      <c r="F42" s="132" t="s">
        <v>86</v>
      </c>
      <c r="G42" s="467">
        <f>SUM(H42:X42)</f>
        <v>5.7542312899146157</v>
      </c>
      <c r="H42" s="348">
        <f>'GHG detailed, only calves'!H42+Production!$I$7*'GHG detailed, mother animal'!H42/Production!$I$23</f>
        <v>1.715674036646573</v>
      </c>
      <c r="I42" s="348">
        <f>'GHG detailed, only calves'!I42+Production!$I$7*'GHG detailed, mother animal'!I42/Production!$I$23</f>
        <v>0.55956512528648894</v>
      </c>
      <c r="J42" s="348">
        <f>'GHG detailed, only calves'!J42+Production!$I$7*'GHG detailed, mother animal'!J42/Production!$I$23</f>
        <v>0</v>
      </c>
      <c r="K42" s="348">
        <f>'GHG detailed, only calves'!K42+Production!$I$7*'GHG detailed, mother animal'!K42/Production!$I$23</f>
        <v>0</v>
      </c>
      <c r="L42" s="348">
        <f>'GHG detailed, only calves'!L42+Production!$I$7*'GHG detailed, mother animal'!L42/Production!$I$23</f>
        <v>0.47947844714826438</v>
      </c>
      <c r="M42" s="348">
        <f>'GHG detailed, only calves'!M42+Production!$I$7*'GHG detailed, mother animal'!M42/Production!$I$23</f>
        <v>0</v>
      </c>
      <c r="N42" s="348">
        <f>'GHG detailed, only calves'!N42+Production!$I$7*'GHG detailed, mother animal'!N42/Production!$I$23</f>
        <v>1.6960085555135139E-2</v>
      </c>
      <c r="O42" s="348">
        <f>'GHG detailed, only calves'!O42+Production!$I$7*'GHG detailed, mother animal'!O42/Production!$I$23</f>
        <v>0.13987066668164178</v>
      </c>
      <c r="P42" s="348">
        <f>'GHG detailed, only calves'!P42+Production!$I$7*'GHG detailed, mother animal'!P42/Production!$I$23</f>
        <v>0.51982796314875546</v>
      </c>
      <c r="Q42" s="348">
        <f>'GHG detailed, only calves'!Q42+Production!$I$7*'GHG detailed, mother animal'!Q42/Production!$I$23</f>
        <v>0.86162117079958966</v>
      </c>
      <c r="R42" s="348">
        <f>'GHG detailed, only calves'!R42+Production!$I$7*'GHG detailed, mother animal'!R42/Production!$I$23</f>
        <v>0.40017725041745167</v>
      </c>
      <c r="S42" s="348">
        <f>'GHG detailed, only calves'!S42+Production!$I$7*'GHG detailed, mother animal'!S42/Production!$I$23</f>
        <v>0</v>
      </c>
      <c r="T42" s="348">
        <f>'GHG detailed, only calves'!T42+Production!$I$7*'GHG detailed, mother animal'!T42/Production!$I$23</f>
        <v>0</v>
      </c>
      <c r="U42" s="348">
        <f>'GHG detailed, only calves'!U42+Production!$I$7*'GHG detailed, mother animal'!U42/Production!$I$23</f>
        <v>0</v>
      </c>
      <c r="V42" s="348">
        <f>'GHG detailed, only calves'!V42+Production!$I$7*'GHG detailed, mother animal'!V42/Production!$I$23</f>
        <v>0</v>
      </c>
      <c r="W42" s="348">
        <f>'GHG detailed, only calves'!W42+Production!$I$7*'GHG detailed, mother animal'!W42/Production!$I$23</f>
        <v>1.0251389653935736</v>
      </c>
      <c r="X42" s="348">
        <f>'GHG detailed, only calves'!X42+Production!$I$7*'GHG detailed, mother animal'!X42/Production!$I$23</f>
        <v>3.5917578837141584E-2</v>
      </c>
      <c r="Z42" s="18"/>
      <c r="AA42" s="18"/>
    </row>
    <row r="43" spans="1:27" x14ac:dyDescent="0.35">
      <c r="A43" s="11" t="s">
        <v>543</v>
      </c>
      <c r="B43" s="11" t="s">
        <v>546</v>
      </c>
      <c r="C43" s="15" t="s">
        <v>545</v>
      </c>
      <c r="D43" t="s">
        <v>93</v>
      </c>
      <c r="E43" s="16" t="s">
        <v>49</v>
      </c>
      <c r="F43" s="11" t="s">
        <v>87</v>
      </c>
      <c r="G43" s="17">
        <f t="shared" si="0"/>
        <v>1.4434473520092077E-2</v>
      </c>
      <c r="H43" s="18">
        <f>'GHG detailed, only calves'!H43+Production!$I$7*'GHG detailed, mother animal'!H43/Production!$I$23</f>
        <v>3.1821879944257405E-3</v>
      </c>
      <c r="I43" s="18">
        <f>'GHG detailed, only calves'!I43+Production!$I$7*'GHG detailed, mother animal'!I43/Production!$I$23</f>
        <v>1.9738893484715974E-3</v>
      </c>
      <c r="J43" s="18">
        <f>'GHG detailed, only calves'!J43+Production!$I$7*'GHG detailed, mother animal'!J43/Production!$I$23</f>
        <v>0</v>
      </c>
      <c r="K43" s="18">
        <f>'GHG detailed, only calves'!K43+Production!$I$7*'GHG detailed, mother animal'!K43/Production!$I$23</f>
        <v>0</v>
      </c>
      <c r="L43" s="18">
        <f>'GHG detailed, only calves'!L43+Production!$I$7*'GHG detailed, mother animal'!L43/Production!$I$23</f>
        <v>2.1718619840641892E-4</v>
      </c>
      <c r="M43" s="18">
        <f>'GHG detailed, only calves'!M43+Production!$I$7*'GHG detailed, mother animal'!M43/Production!$I$23</f>
        <v>0</v>
      </c>
      <c r="N43" s="18">
        <f>'GHG detailed, only calves'!N43+Production!$I$7*'GHG detailed, mother animal'!N43/Production!$I$23</f>
        <v>5.6443879685399795E-5</v>
      </c>
      <c r="O43" s="18">
        <f>'GHG detailed, only calves'!O43+Production!$I$7*'GHG detailed, mother animal'!O43/Production!$I$23</f>
        <v>9.8032696043130318E-5</v>
      </c>
      <c r="P43" s="18">
        <f>'GHG detailed, only calves'!P43+Production!$I$7*'GHG detailed, mother animal'!P43/Production!$I$23</f>
        <v>0</v>
      </c>
      <c r="Q43" s="18">
        <f>'GHG detailed, only calves'!Q43+Production!$I$7*'GHG detailed, mother animal'!Q43/Production!$I$23</f>
        <v>6.2141128810639067E-3</v>
      </c>
      <c r="R43" s="18">
        <f>'GHG detailed, only calves'!R43+Production!$I$7*'GHG detailed, mother animal'!R43/Production!$I$23</f>
        <v>1.1656379093824018E-3</v>
      </c>
      <c r="S43" s="18">
        <f>'GHG detailed, only calves'!S43+Production!$I$7*'GHG detailed, mother animal'!S43/Production!$I$23</f>
        <v>0</v>
      </c>
      <c r="T43" s="18">
        <f>'GHG detailed, only calves'!T43+Production!$I$7*'GHG detailed, mother animal'!T43/Production!$I$23</f>
        <v>0</v>
      </c>
      <c r="U43" s="18">
        <f>'GHG detailed, only calves'!U43+Production!$I$7*'GHG detailed, mother animal'!U43/Production!$I$23</f>
        <v>0</v>
      </c>
      <c r="V43" s="18">
        <f>'GHG detailed, only calves'!V43+Production!$I$7*'GHG detailed, mother animal'!V43/Production!$I$23</f>
        <v>0</v>
      </c>
      <c r="W43" s="18">
        <f>'GHG detailed, only calves'!W43+Production!$I$7*'GHG detailed, mother animal'!W43/Production!$I$23</f>
        <v>1.474448139938523E-3</v>
      </c>
      <c r="X43" s="18">
        <f>'GHG detailed, only calves'!X43+Production!$I$7*'GHG detailed, mother animal'!X43/Production!$I$23</f>
        <v>5.2534472674960406E-5</v>
      </c>
      <c r="Z43" s="32"/>
      <c r="AA43" s="32"/>
    </row>
    <row r="44" spans="1:27" x14ac:dyDescent="0.35">
      <c r="A44" s="11" t="s">
        <v>543</v>
      </c>
      <c r="B44" s="11" t="s">
        <v>546</v>
      </c>
      <c r="C44" s="15" t="s">
        <v>545</v>
      </c>
      <c r="D44" t="s">
        <v>93</v>
      </c>
      <c r="E44" s="16" t="s">
        <v>49</v>
      </c>
      <c r="F44" s="11" t="s">
        <v>88</v>
      </c>
      <c r="G44" s="17">
        <f>SUM(H44:T44)</f>
        <v>0.56172267448365876</v>
      </c>
      <c r="H44" s="18">
        <f>'GHG detailed, only calves'!H44+Production!$I$7*'GHG detailed, mother animal'!H44/Production!$I$23</f>
        <v>0</v>
      </c>
      <c r="I44" s="18">
        <f>'GHG detailed, only calves'!I44+Production!$I$7*'GHG detailed, mother animal'!I44/Production!$I$23</f>
        <v>0</v>
      </c>
      <c r="J44" s="18">
        <f>'GHG detailed, only calves'!J44+Production!$I$7*'GHG detailed, mother animal'!J44/Production!$I$23</f>
        <v>0</v>
      </c>
      <c r="K44" s="18">
        <f>'GHG detailed, only calves'!K44+Production!$I$7*'GHG detailed, mother animal'!K44/Production!$I$23</f>
        <v>0</v>
      </c>
      <c r="L44" s="18">
        <f>'GHG detailed, only calves'!L44+Production!$I$7*'GHG detailed, mother animal'!L44/Production!$I$23</f>
        <v>0</v>
      </c>
      <c r="M44" s="18">
        <f>'GHG detailed, only calves'!M44+Production!$I$7*'GHG detailed, mother animal'!M44/Production!$I$23</f>
        <v>0</v>
      </c>
      <c r="N44" s="18">
        <f>'GHG detailed, only calves'!N44+Production!$I$7*'GHG detailed, mother animal'!N44/Production!$I$23</f>
        <v>0</v>
      </c>
      <c r="O44" s="18">
        <f>'GHG detailed, only calves'!O44+Production!$I$7*'GHG detailed, mother animal'!O44/Production!$I$23</f>
        <v>0</v>
      </c>
      <c r="P44" s="18">
        <f>'GHG detailed, only calves'!P44+Production!$I$7*'GHG detailed, mother animal'!P44/Production!$I$23</f>
        <v>0</v>
      </c>
      <c r="Q44" s="18">
        <f>'GHG detailed, only calves'!Q44+Production!$I$7*'GHG detailed, mother animal'!Q44/Production!$I$23</f>
        <v>0</v>
      </c>
      <c r="R44" s="18">
        <f>'GHG detailed, only calves'!R44+Production!$I$7*'GHG detailed, mother animal'!R44/Production!$I$23</f>
        <v>0</v>
      </c>
      <c r="S44" s="18">
        <f>'GHG detailed, only calves'!S44+Production!$I$7*'GHG detailed, mother animal'!S44/Production!$I$23</f>
        <v>0.56172139304153457</v>
      </c>
      <c r="T44" s="18">
        <f>'GHG detailed, only calves'!T44+Production!$I$7*'GHG detailed, mother animal'!T44/Production!$I$23</f>
        <v>1.2814421242287894E-6</v>
      </c>
      <c r="U44" s="18">
        <f>'GHG detailed, only calves'!U44+Production!$I$7*'GHG detailed, mother animal'!U44/Production!$I$23</f>
        <v>1.2814421242287894E-6</v>
      </c>
      <c r="V44" s="18">
        <f>'GHG detailed, only calves'!V44+Production!$I$7*'GHG detailed, mother animal'!V44/Production!$I$23</f>
        <v>0</v>
      </c>
      <c r="W44" s="18">
        <f>'GHG detailed, only calves'!W44+Production!$I$7*'GHG detailed, mother animal'!W44/Production!$I$23</f>
        <v>0</v>
      </c>
      <c r="X44" s="18">
        <f>'GHG detailed, only calves'!X44+Production!$I$7*'GHG detailed, mother animal'!X44/Production!$I$23</f>
        <v>0</v>
      </c>
      <c r="Z44" s="32"/>
      <c r="AA44" s="32"/>
    </row>
    <row r="45" spans="1:27" ht="15" thickBot="1" x14ac:dyDescent="0.4">
      <c r="A45" s="11" t="s">
        <v>543</v>
      </c>
      <c r="B45" s="11" t="s">
        <v>546</v>
      </c>
      <c r="C45" s="15" t="s">
        <v>545</v>
      </c>
      <c r="D45" t="s">
        <v>93</v>
      </c>
      <c r="E45" s="16" t="s">
        <v>49</v>
      </c>
      <c r="F45" s="34" t="s">
        <v>89</v>
      </c>
      <c r="G45" s="17">
        <f>SUM(H45:T45)+W45+X45</f>
        <v>2.4139260306290704E-2</v>
      </c>
      <c r="H45" s="18">
        <f>'GHG detailed, only calves'!H45+Production!$I$7*'GHG detailed, mother animal'!H45/Production!$I$23</f>
        <v>3.7832070147005609E-3</v>
      </c>
      <c r="I45" s="18">
        <f>'GHG detailed, only calves'!I45+Production!$I$7*'GHG detailed, mother animal'!I45/Production!$I$23</f>
        <v>2.2696115840177939E-5</v>
      </c>
      <c r="J45" s="18">
        <f>'GHG detailed, only calves'!J45+Production!$I$7*'GHG detailed, mother animal'!J45/Production!$I$23</f>
        <v>1.4942820222004933E-2</v>
      </c>
      <c r="K45" s="18">
        <f>'GHG detailed, only calves'!K45+Production!$I$7*'GHG detailed, mother animal'!K45/Production!$I$23</f>
        <v>1.4942820222004934E-3</v>
      </c>
      <c r="L45" s="18">
        <f>'GHG detailed, only calves'!L45+Production!$I$7*'GHG detailed, mother animal'!L45/Production!$I$23</f>
        <v>1.3062074491177415E-5</v>
      </c>
      <c r="M45" s="18">
        <f>'GHG detailed, only calves'!M45+Production!$I$7*'GHG detailed, mother animal'!M45/Production!$I$23</f>
        <v>0</v>
      </c>
      <c r="N45" s="18">
        <f>'GHG detailed, only calves'!N45+Production!$I$7*'GHG detailed, mother animal'!N45/Production!$I$23</f>
        <v>6.9459509072215632E-7</v>
      </c>
      <c r="O45" s="18">
        <f>'GHG detailed, only calves'!O45+Production!$I$7*'GHG detailed, mother animal'!O45/Production!$I$23</f>
        <v>5.038585044301148E-6</v>
      </c>
      <c r="P45" s="18">
        <f>'GHG detailed, only calves'!P45+Production!$I$7*'GHG detailed, mother animal'!P45/Production!$I$23</f>
        <v>0</v>
      </c>
      <c r="Q45" s="18">
        <f>'GHG detailed, only calves'!Q45+Production!$I$7*'GHG detailed, mother animal'!Q45/Production!$I$23</f>
        <v>5.3871000909437258E-4</v>
      </c>
      <c r="R45" s="18">
        <f>'GHG detailed, only calves'!R45+Production!$I$7*'GHG detailed, mother animal'!R45/Production!$I$23</f>
        <v>9.7253314800667127E-5</v>
      </c>
      <c r="S45" s="18">
        <f>'GHG detailed, only calves'!S45+Production!$I$7*'GHG detailed, mother animal'!S45/Production!$I$23</f>
        <v>0</v>
      </c>
      <c r="T45" s="18">
        <f>'GHG detailed, only calves'!T45+Production!$I$7*'GHG detailed, mother animal'!T45/Production!$I$23</f>
        <v>3.2037490888689292E-3</v>
      </c>
      <c r="U45" s="18">
        <f>'GHG detailed, only calves'!U45+Production!$I$7*'GHG detailed, mother animal'!U45/Production!$I$23</f>
        <v>1.9982290733285757E-3</v>
      </c>
      <c r="V45" s="18">
        <f>'GHG detailed, only calves'!V45+Production!$I$7*'GHG detailed, mother animal'!V45/Production!$I$23</f>
        <v>1.2055200155403536E-3</v>
      </c>
      <c r="W45" s="18">
        <f>'GHG detailed, only calves'!W45+Production!$I$7*'GHG detailed, mother animal'!W45/Production!$I$23</f>
        <v>3.63602803376688E-5</v>
      </c>
      <c r="X45" s="18">
        <f>'GHG detailed, only calves'!X45+Production!$I$7*'GHG detailed, mother animal'!X45/Production!$I$23</f>
        <v>1.3869838167019864E-6</v>
      </c>
      <c r="Z45" s="32"/>
      <c r="AA45" s="32"/>
    </row>
    <row r="46" spans="1:27" ht="15.5" thickTop="1" thickBot="1" x14ac:dyDescent="0.4">
      <c r="A46" s="125" t="s">
        <v>543</v>
      </c>
      <c r="B46" s="125" t="s">
        <v>546</v>
      </c>
      <c r="C46" s="126" t="s">
        <v>545</v>
      </c>
      <c r="D46" s="152" t="s">
        <v>93</v>
      </c>
      <c r="E46" s="127" t="s">
        <v>49</v>
      </c>
      <c r="F46" s="128" t="s">
        <v>90</v>
      </c>
      <c r="G46" s="137">
        <f t="shared" si="0"/>
        <v>27.940908875489509</v>
      </c>
      <c r="H46" s="129">
        <f>SUMPRODUCT(H42:H45,'Parameters, general'!$B$23:$B$26)</f>
        <v>2.8433187538937132</v>
      </c>
      <c r="I46" s="129">
        <f>SUMPRODUCT(I42:I45,'Parameters, general'!$B$23:$B$26)</f>
        <v>0.62458306749531112</v>
      </c>
      <c r="J46" s="129">
        <f>SUMPRODUCT(J42:J45,'Parameters, general'!$B$23:$B$26)</f>
        <v>4.0793899206073467</v>
      </c>
      <c r="K46" s="129">
        <f>SUMPRODUCT(K42:K45,'Parameters, general'!$B$23:$B$26)</f>
        <v>0.4079389920607347</v>
      </c>
      <c r="L46" s="129">
        <f>SUMPRODUCT(L42:L45,'Parameters, general'!$B$23:$B$26)</f>
        <v>0.48951654219686708</v>
      </c>
      <c r="M46" s="129">
        <f>SUMPRODUCT(M42:M45,'Parameters, general'!$B$23:$B$26)</f>
        <v>0</v>
      </c>
      <c r="N46" s="129">
        <f>SUMPRODUCT(N42:N45,'Parameters, general'!$B$23:$B$26)</f>
        <v>1.8831737629527199E-2</v>
      </c>
      <c r="O46" s="129">
        <f>SUMPRODUCT(O42:O45,'Parameters, general'!$B$23:$B$26)</f>
        <v>0.14416757474082126</v>
      </c>
      <c r="P46" s="129">
        <f>SUMPRODUCT(P42:P45,'Parameters, general'!$B$23:$B$26)</f>
        <v>0.51982796314875546</v>
      </c>
      <c r="Q46" s="129">
        <f>SUMPRODUCT(Q42:Q45,'Parameters, general'!$B$23:$B$26)</f>
        <v>1.1938695671380577</v>
      </c>
      <c r="R46" s="129">
        <f>SUMPRODUCT(R42:R45,'Parameters, general'!$B$23:$B$26)</f>
        <v>0.46146341505762933</v>
      </c>
      <c r="S46" s="129">
        <f>SUMPRODUCT(S42:S45,'Parameters, general'!$B$23:$B$26)</f>
        <v>15.166477612121433</v>
      </c>
      <c r="T46" s="129">
        <f>SUMPRODUCT(T42:T45,'Parameters, general'!$B$23:$B$26)</f>
        <v>0.87465810019857182</v>
      </c>
      <c r="U46" s="129"/>
      <c r="V46" s="129"/>
      <c r="W46" s="129">
        <f>SUMPRODUCT(W42:W45,'Parameters, general'!$B$23:$B$26)</f>
        <v>1.0790038764959253</v>
      </c>
      <c r="X46" s="129">
        <f>SUMPRODUCT(X42:X45,'Parameters, general'!$B$23:$B$26)</f>
        <v>3.7861752704815045E-2</v>
      </c>
      <c r="Z46" s="103">
        <f>SUM(H46:R46)</f>
        <v>10.782907533968764</v>
      </c>
      <c r="AA46" s="151">
        <f>'CO2 per kg feed'!F132+'CH4 per kg feed'!F132*CF_GWP_CH4_fossil+'N2O per kg feed'!F132*CF_GWP_N2O</f>
        <v>0.4588994034129909</v>
      </c>
    </row>
    <row r="47" spans="1:27" ht="15" thickTop="1" x14ac:dyDescent="0.35">
      <c r="A47" s="130" t="s">
        <v>543</v>
      </c>
      <c r="B47" s="130" t="s">
        <v>546</v>
      </c>
      <c r="C47" s="131" t="s">
        <v>545</v>
      </c>
      <c r="D47" t="s">
        <v>50</v>
      </c>
      <c r="E47" s="16" t="s">
        <v>51</v>
      </c>
      <c r="F47" s="132" t="s">
        <v>86</v>
      </c>
      <c r="G47" s="467">
        <f>SUM(H47:X47)</f>
        <v>6.6892944385143087</v>
      </c>
      <c r="H47" s="348">
        <f>'GHG detailed, only calves'!H47+Production!$J$7*'GHG detailed, mother animal'!H47/Production!$J$23</f>
        <v>1.8540311524654993</v>
      </c>
      <c r="I47" s="348">
        <f>'GHG detailed, only calves'!I47+Production!$J$7*'GHG detailed, mother animal'!I47/Production!$J$23</f>
        <v>0.5971424946377355</v>
      </c>
      <c r="J47" s="348">
        <f>'GHG detailed, only calves'!J47+Production!$J$7*'GHG detailed, mother animal'!J47/Production!$J$23</f>
        <v>0</v>
      </c>
      <c r="K47" s="348">
        <f>'GHG detailed, only calves'!K47+Production!$J$7*'GHG detailed, mother animal'!K47/Production!$J$23</f>
        <v>0</v>
      </c>
      <c r="L47" s="348">
        <f>'GHG detailed, only calves'!L47+Production!$J$7*'GHG detailed, mother animal'!L47/Production!$J$23</f>
        <v>1.3228515206640044</v>
      </c>
      <c r="M47" s="348">
        <f>'GHG detailed, only calves'!M47+Production!$J$7*'GHG detailed, mother animal'!M47/Production!$J$23</f>
        <v>0</v>
      </c>
      <c r="N47" s="348">
        <f>'GHG detailed, only calves'!N47+Production!$J$7*'GHG detailed, mother animal'!N47/Production!$J$23</f>
        <v>3.7948757894364402E-2</v>
      </c>
      <c r="O47" s="348">
        <f>'GHG detailed, only calves'!O47+Production!$J$7*'GHG detailed, mother animal'!O47/Production!$J$23</f>
        <v>0.92464855239813937</v>
      </c>
      <c r="P47" s="348">
        <f>'GHG detailed, only calves'!P47+Production!$J$7*'GHG detailed, mother animal'!P47/Production!$J$23</f>
        <v>8.9109135080733051E-2</v>
      </c>
      <c r="Q47" s="348">
        <f>'GHG detailed, only calves'!Q47+Production!$J$7*'GHG detailed, mother animal'!Q47/Production!$J$23</f>
        <v>6.9632550458795434E-2</v>
      </c>
      <c r="R47" s="348">
        <f>'GHG detailed, only calves'!R47+Production!$J$7*'GHG detailed, mother animal'!R47/Production!$J$23</f>
        <v>6.9632550458795434E-2</v>
      </c>
      <c r="S47" s="348">
        <f>'GHG detailed, only calves'!S47+Production!$J$7*'GHG detailed, mother animal'!S47/Production!$J$23</f>
        <v>0</v>
      </c>
      <c r="T47" s="348">
        <f>'GHG detailed, only calves'!T47+Production!$J$7*'GHG detailed, mother animal'!T47/Production!$J$23</f>
        <v>0</v>
      </c>
      <c r="U47" s="348">
        <f>'GHG detailed, only calves'!U47+Production!$J$7*'GHG detailed, mother animal'!U47/Production!$J$23</f>
        <v>0</v>
      </c>
      <c r="V47" s="348">
        <f>'GHG detailed, only calves'!V47+Production!$J$7*'GHG detailed, mother animal'!V47/Production!$J$23</f>
        <v>0</v>
      </c>
      <c r="W47" s="348">
        <f>'GHG detailed, only calves'!W47+Production!$J$7*'GHG detailed, mother animal'!W47/Production!$J$23</f>
        <v>1.6649550522336738</v>
      </c>
      <c r="X47" s="348">
        <f>'GHG detailed, only calves'!X47+Production!$J$7*'GHG detailed, mother animal'!X47/Production!$J$23</f>
        <v>5.9342672222569053E-2</v>
      </c>
      <c r="Z47" s="18"/>
      <c r="AA47" s="18"/>
    </row>
    <row r="48" spans="1:27" x14ac:dyDescent="0.35">
      <c r="A48" s="11" t="s">
        <v>543</v>
      </c>
      <c r="B48" s="11" t="s">
        <v>546</v>
      </c>
      <c r="C48" s="15" t="s">
        <v>545</v>
      </c>
      <c r="D48" t="s">
        <v>50</v>
      </c>
      <c r="E48" s="16" t="s">
        <v>51</v>
      </c>
      <c r="F48" s="11" t="s">
        <v>87</v>
      </c>
      <c r="G48" s="17">
        <f t="shared" si="0"/>
        <v>1.1742447832719599E-2</v>
      </c>
      <c r="H48" s="18">
        <f>'GHG detailed, only calves'!H48+Production!$J$7*'GHG detailed, mother animal'!H48/Production!$J$23</f>
        <v>3.4653798849244638E-3</v>
      </c>
      <c r="I48" s="18">
        <f>'GHG detailed, only calves'!I48+Production!$J$7*'GHG detailed, mother animal'!I48/Production!$J$23</f>
        <v>2.1996115551769419E-3</v>
      </c>
      <c r="J48" s="18">
        <f>'GHG detailed, only calves'!J48+Production!$J$7*'GHG detailed, mother animal'!J48/Production!$J$23</f>
        <v>0</v>
      </c>
      <c r="K48" s="18">
        <f>'GHG detailed, only calves'!K48+Production!$J$7*'GHG detailed, mother animal'!K48/Production!$J$23</f>
        <v>0</v>
      </c>
      <c r="L48" s="18">
        <f>'GHG detailed, only calves'!L48+Production!$J$7*'GHG detailed, mother animal'!L48/Production!$J$23</f>
        <v>5.871785196696548E-4</v>
      </c>
      <c r="M48" s="18">
        <f>'GHG detailed, only calves'!M48+Production!$J$7*'GHG detailed, mother animal'!M48/Production!$J$23</f>
        <v>0</v>
      </c>
      <c r="N48" s="18">
        <f>'GHG detailed, only calves'!N48+Production!$J$7*'GHG detailed, mother animal'!N48/Production!$J$23</f>
        <v>1.2378429405407554E-4</v>
      </c>
      <c r="O48" s="18">
        <f>'GHG detailed, only calves'!O48+Production!$J$7*'GHG detailed, mother animal'!O48/Production!$J$23</f>
        <v>7.683970785565677E-4</v>
      </c>
      <c r="P48" s="18">
        <f>'GHG detailed, only calves'!P48+Production!$J$7*'GHG detailed, mother animal'!P48/Production!$J$23</f>
        <v>0</v>
      </c>
      <c r="Q48" s="18">
        <f>'GHG detailed, only calves'!Q48+Production!$J$7*'GHG detailed, mother animal'!Q48/Production!$J$23</f>
        <v>9.1492523844488593E-4</v>
      </c>
      <c r="R48" s="18">
        <f>'GHG detailed, only calves'!R48+Production!$J$7*'GHG detailed, mother animal'!R48/Production!$J$23</f>
        <v>9.1492523844488593E-4</v>
      </c>
      <c r="S48" s="18">
        <f>'GHG detailed, only calves'!S48+Production!$J$7*'GHG detailed, mother animal'!S48/Production!$J$23</f>
        <v>0</v>
      </c>
      <c r="T48" s="18">
        <f>'GHG detailed, only calves'!T48+Production!$J$7*'GHG detailed, mother animal'!T48/Production!$J$23</f>
        <v>0</v>
      </c>
      <c r="U48" s="18">
        <f>'GHG detailed, only calves'!U48+Production!$J$7*'GHG detailed, mother animal'!U48/Production!$J$23</f>
        <v>0</v>
      </c>
      <c r="V48" s="18">
        <f>'GHG detailed, only calves'!V48+Production!$J$7*'GHG detailed, mother animal'!V48/Production!$J$23</f>
        <v>0</v>
      </c>
      <c r="W48" s="18">
        <f>'GHG detailed, only calves'!W48+Production!$J$7*'GHG detailed, mother animal'!W48/Production!$J$23</f>
        <v>2.671871222124045E-3</v>
      </c>
      <c r="X48" s="18">
        <f>'GHG detailed, only calves'!X48+Production!$J$7*'GHG detailed, mother animal'!X48/Production!$J$23</f>
        <v>9.6374801324077835E-5</v>
      </c>
      <c r="Z48" s="32"/>
      <c r="AA48" s="32"/>
    </row>
    <row r="49" spans="1:27" x14ac:dyDescent="0.35">
      <c r="A49" s="11" t="s">
        <v>543</v>
      </c>
      <c r="B49" s="11" t="s">
        <v>546</v>
      </c>
      <c r="C49" s="15" t="s">
        <v>545</v>
      </c>
      <c r="D49" t="s">
        <v>50</v>
      </c>
      <c r="E49" s="16" t="s">
        <v>51</v>
      </c>
      <c r="F49" s="11" t="s">
        <v>88</v>
      </c>
      <c r="G49" s="17">
        <f>SUM(H49:T49)</f>
        <v>0.58237224324035686</v>
      </c>
      <c r="H49" s="18">
        <f>'GHG detailed, only calves'!H49+Production!$J$7*'GHG detailed, mother animal'!H49/Production!$J$23</f>
        <v>0</v>
      </c>
      <c r="I49" s="18">
        <f>'GHG detailed, only calves'!I49+Production!$J$7*'GHG detailed, mother animal'!I49/Production!$J$23</f>
        <v>0</v>
      </c>
      <c r="J49" s="18">
        <f>'GHG detailed, only calves'!J49+Production!$J$7*'GHG detailed, mother animal'!J49/Production!$J$23</f>
        <v>0</v>
      </c>
      <c r="K49" s="18">
        <f>'GHG detailed, only calves'!K49+Production!$J$7*'GHG detailed, mother animal'!K49/Production!$J$23</f>
        <v>0</v>
      </c>
      <c r="L49" s="18">
        <f>'GHG detailed, only calves'!L49+Production!$J$7*'GHG detailed, mother animal'!L49/Production!$J$23</f>
        <v>0</v>
      </c>
      <c r="M49" s="18">
        <f>'GHG detailed, only calves'!M49+Production!$J$7*'GHG detailed, mother animal'!M49/Production!$J$23</f>
        <v>0</v>
      </c>
      <c r="N49" s="18">
        <f>'GHG detailed, only calves'!N49+Production!$J$7*'GHG detailed, mother animal'!N49/Production!$J$23</f>
        <v>0</v>
      </c>
      <c r="O49" s="18">
        <f>'GHG detailed, only calves'!O49+Production!$J$7*'GHG detailed, mother animal'!O49/Production!$J$23</f>
        <v>0</v>
      </c>
      <c r="P49" s="18">
        <f>'GHG detailed, only calves'!P49+Production!$J$7*'GHG detailed, mother animal'!P49/Production!$J$23</f>
        <v>0</v>
      </c>
      <c r="Q49" s="18">
        <f>'GHG detailed, only calves'!Q49+Production!$J$7*'GHG detailed, mother animal'!Q49/Production!$J$23</f>
        <v>0</v>
      </c>
      <c r="R49" s="18">
        <f>'GHG detailed, only calves'!R49+Production!$J$7*'GHG detailed, mother animal'!R49/Production!$J$23</f>
        <v>0</v>
      </c>
      <c r="S49" s="18">
        <f>'GHG detailed, only calves'!S49+Production!$J$7*'GHG detailed, mother animal'!S49/Production!$J$23</f>
        <v>0.5636791522220489</v>
      </c>
      <c r="T49" s="18">
        <f>'GHG detailed, only calves'!T49+Production!$J$7*'GHG detailed, mother animal'!T49/Production!$J$23</f>
        <v>1.8693091018307975E-2</v>
      </c>
      <c r="U49" s="18">
        <f>'GHG detailed, only calves'!U49+Production!$J$7*'GHG detailed, mother animal'!U49/Production!$J$23</f>
        <v>1.8693091018307975E-2</v>
      </c>
      <c r="V49" s="18">
        <f>'GHG detailed, only calves'!V49+Production!$J$7*'GHG detailed, mother animal'!V49/Production!$J$23</f>
        <v>0</v>
      </c>
      <c r="W49" s="18">
        <f>'GHG detailed, only calves'!W49+Production!$J$7*'GHG detailed, mother animal'!W49/Production!$J$23</f>
        <v>0</v>
      </c>
      <c r="X49" s="18">
        <f>'GHG detailed, only calves'!X49+Production!$J$7*'GHG detailed, mother animal'!X49/Production!$J$23</f>
        <v>0</v>
      </c>
      <c r="Z49" s="32"/>
      <c r="AA49" s="32"/>
    </row>
    <row r="50" spans="1:27" ht="15" thickBot="1" x14ac:dyDescent="0.4">
      <c r="A50" s="11" t="s">
        <v>543</v>
      </c>
      <c r="B50" s="11" t="s">
        <v>546</v>
      </c>
      <c r="C50" s="15" t="s">
        <v>545</v>
      </c>
      <c r="D50" t="s">
        <v>50</v>
      </c>
      <c r="E50" s="16" t="s">
        <v>51</v>
      </c>
      <c r="F50" s="34" t="s">
        <v>89</v>
      </c>
      <c r="G50" s="17">
        <f>SUM(H50:T50)+W50+X50</f>
        <v>2.3493934418222104E-2</v>
      </c>
      <c r="H50" s="18">
        <f>'GHG detailed, only calves'!H50+Production!$J$7*'GHG detailed, mother animal'!H50/Production!$J$23</f>
        <v>4.076823303098903E-3</v>
      </c>
      <c r="I50" s="18">
        <f>'GHG detailed, only calves'!I50+Production!$J$7*'GHG detailed, mother animal'!I50/Production!$J$23</f>
        <v>2.2356934967320664E-5</v>
      </c>
      <c r="J50" s="18">
        <f>'GHG detailed, only calves'!J50+Production!$J$7*'GHG detailed, mother animal'!J50/Production!$J$23</f>
        <v>8.71924792708678E-3</v>
      </c>
      <c r="K50" s="18">
        <f>'GHG detailed, only calves'!K50+Production!$J$7*'GHG detailed, mother animal'!K50/Production!$J$23</f>
        <v>8.7192479270867805E-4</v>
      </c>
      <c r="L50" s="18">
        <f>'GHG detailed, only calves'!L50+Production!$J$7*'GHG detailed, mother animal'!L50/Production!$J$23</f>
        <v>3.5668042444520248E-5</v>
      </c>
      <c r="M50" s="18">
        <f>'GHG detailed, only calves'!M50+Production!$J$7*'GHG detailed, mother animal'!M50/Production!$J$23</f>
        <v>0</v>
      </c>
      <c r="N50" s="18">
        <f>'GHG detailed, only calves'!N50+Production!$J$7*'GHG detailed, mother animal'!N50/Production!$J$23</f>
        <v>1.524526141752181E-6</v>
      </c>
      <c r="O50" s="18">
        <f>'GHG detailed, only calves'!O50+Production!$J$7*'GHG detailed, mother animal'!O50/Production!$J$23</f>
        <v>3.2068665149156909E-5</v>
      </c>
      <c r="P50" s="18">
        <f>'GHG detailed, only calves'!P50+Production!$J$7*'GHG detailed, mother animal'!P50/Production!$J$23</f>
        <v>0</v>
      </c>
      <c r="Q50" s="18">
        <f>'GHG detailed, only calves'!Q50+Production!$J$7*'GHG detailed, mother animal'!Q50/Production!$J$23</f>
        <v>8.8238415049954073E-5</v>
      </c>
      <c r="R50" s="18">
        <f>'GHG detailed, only calves'!R50+Production!$J$7*'GHG detailed, mother animal'!R50/Production!$J$23</f>
        <v>8.8238415049954073E-5</v>
      </c>
      <c r="S50" s="18">
        <f>'GHG detailed, only calves'!S50+Production!$J$7*'GHG detailed, mother animal'!S50/Production!$J$23</f>
        <v>0</v>
      </c>
      <c r="T50" s="18">
        <f>'GHG detailed, only calves'!T50+Production!$J$7*'GHG detailed, mother animal'!T50/Production!$J$23</f>
        <v>9.5233407703937539E-3</v>
      </c>
      <c r="U50" s="18">
        <f>'GHG detailed, only calves'!U50+Production!$J$7*'GHG detailed, mother animal'!U50/Production!$J$23</f>
        <v>7.1698465854131291E-3</v>
      </c>
      <c r="V50" s="18">
        <f>'GHG detailed, only calves'!V50+Production!$J$7*'GHG detailed, mother animal'!V50/Production!$J$23</f>
        <v>2.3534941849806244E-3</v>
      </c>
      <c r="W50" s="18">
        <f>'GHG detailed, only calves'!W50+Production!$J$7*'GHG detailed, mother animal'!W50/Production!$J$23</f>
        <v>3.3230240067234984E-5</v>
      </c>
      <c r="X50" s="18">
        <f>'GHG detailed, only calves'!X50+Production!$J$7*'GHG detailed, mother animal'!X50/Production!$J$23</f>
        <v>1.272386064092829E-6</v>
      </c>
      <c r="Z50" s="32"/>
      <c r="AA50" s="32"/>
    </row>
    <row r="51" spans="1:27" ht="15.5" thickTop="1" thickBot="1" x14ac:dyDescent="0.4">
      <c r="A51" s="125" t="s">
        <v>543</v>
      </c>
      <c r="B51" s="125" t="s">
        <v>546</v>
      </c>
      <c r="C51" s="126" t="s">
        <v>545</v>
      </c>
      <c r="D51" s="152" t="s">
        <v>50</v>
      </c>
      <c r="E51" s="37" t="s">
        <v>51</v>
      </c>
      <c r="F51" s="128" t="s">
        <v>90</v>
      </c>
      <c r="G51" s="137">
        <f t="shared" si="0"/>
        <v>29.177114047593626</v>
      </c>
      <c r="H51" s="129">
        <f>SUMPRODUCT(H47:H50,'Parameters, general'!$B$23:$B$26)</f>
        <v>3.0702722347822489</v>
      </c>
      <c r="I51" s="129">
        <f>SUMPRODUCT(I47:I50,'Parameters, general'!$B$23:$B$26)</f>
        <v>0.66879436222808697</v>
      </c>
      <c r="J51" s="129">
        <f>SUMPRODUCT(J47:J50,'Parameters, general'!$B$23:$B$26)</f>
        <v>2.3803546840946908</v>
      </c>
      <c r="K51" s="129">
        <f>SUMPRODUCT(K47:K50,'Parameters, general'!$B$23:$B$26)</f>
        <v>0.2380354684094691</v>
      </c>
      <c r="L51" s="129">
        <f>SUMPRODUCT(L47:L50,'Parameters, general'!$B$23:$B$26)</f>
        <v>1.3500868161375141</v>
      </c>
      <c r="M51" s="129">
        <f>SUMPRODUCT(M47:M50,'Parameters, general'!$B$23:$B$26)</f>
        <v>0</v>
      </c>
      <c r="N51" s="129">
        <f>SUMPRODUCT(N47:N50,'Parameters, general'!$B$23:$B$26)</f>
        <v>4.2053725493874199E-2</v>
      </c>
      <c r="O51" s="129">
        <f>SUMPRODUCT(O47:O50,'Parameters, general'!$B$23:$B$26)</f>
        <v>0.95630153092484493</v>
      </c>
      <c r="P51" s="129">
        <f>SUMPRODUCT(P47:P50,'Parameters, general'!$B$23:$B$26)</f>
        <v>8.9109135080733051E-2</v>
      </c>
      <c r="Q51" s="129">
        <f>SUMPRODUCT(Q47:Q50,'Parameters, general'!$B$23:$B$26)</f>
        <v>0.12098640987309049</v>
      </c>
      <c r="R51" s="129">
        <f>SUMPRODUCT(R47:R50,'Parameters, general'!$B$23:$B$26)</f>
        <v>0.12098640987309049</v>
      </c>
      <c r="S51" s="129">
        <f>SUMPRODUCT(S47:S50,'Parameters, general'!$B$23:$B$26)</f>
        <v>15.219337109995321</v>
      </c>
      <c r="T51" s="129">
        <f>SUMPRODUCT(T47:T50,'Parameters, general'!$B$23:$B$26)</f>
        <v>3.1045854878118098</v>
      </c>
      <c r="U51" s="129"/>
      <c r="V51" s="129"/>
      <c r="W51" s="129">
        <f>SUMPRODUCT(W47:W50,'Parameters, general'!$B$23:$B$26)</f>
        <v>1.7536486701913254</v>
      </c>
      <c r="X51" s="129">
        <f>SUMPRODUCT(X47:X50,'Parameters, general'!$B$23:$B$26)</f>
        <v>6.2562002697523919E-2</v>
      </c>
      <c r="Z51" s="103">
        <f>SUM(H51:R51)</f>
        <v>9.0369807768976429</v>
      </c>
      <c r="AA51" s="151">
        <f>'CO2 per kg feed'!F148+'CH4 per kg feed'!F148*CF_GWP_CH4_fossil+'N2O per kg feed'!F148*CF_GWP_N2O</f>
        <v>0.3359990499665208</v>
      </c>
    </row>
    <row r="52" spans="1:27" ht="15" thickTop="1" x14ac:dyDescent="0.35">
      <c r="A52" s="130" t="s">
        <v>543</v>
      </c>
      <c r="B52" s="130" t="s">
        <v>546</v>
      </c>
      <c r="C52" s="131" t="s">
        <v>545</v>
      </c>
      <c r="D52" t="s">
        <v>52</v>
      </c>
      <c r="E52" s="121" t="s">
        <v>53</v>
      </c>
      <c r="F52" s="132" t="s">
        <v>86</v>
      </c>
      <c r="G52" s="467">
        <f>SUM(H52:X52)</f>
        <v>4.4752124719839532</v>
      </c>
      <c r="H52" s="348">
        <f>'GHG detailed, only calves'!H52+Production!$K$7*'GHG detailed, mother animal'!H52/Production!$K$23</f>
        <v>0.34392628495033362</v>
      </c>
      <c r="I52" s="348">
        <f>'GHG detailed, only calves'!I52+Production!$K$7*'GHG detailed, mother animal'!I52/Production!$K$23</f>
        <v>0.555409647439705</v>
      </c>
      <c r="J52" s="348">
        <f>'GHG detailed, only calves'!J52+Production!$K$7*'GHG detailed, mother animal'!J52/Production!$K$23</f>
        <v>0</v>
      </c>
      <c r="K52" s="348">
        <f>'GHG detailed, only calves'!K52+Production!$K$7*'GHG detailed, mother animal'!K52/Production!$K$23</f>
        <v>0</v>
      </c>
      <c r="L52" s="348">
        <f>'GHG detailed, only calves'!L52+Production!$K$7*'GHG detailed, mother animal'!L52/Production!$K$23</f>
        <v>0.669990395793993</v>
      </c>
      <c r="M52" s="348">
        <f>'GHG detailed, only calves'!M52+Production!$K$7*'GHG detailed, mother animal'!M52/Production!$K$23</f>
        <v>0</v>
      </c>
      <c r="N52" s="348">
        <f>'GHG detailed, only calves'!N52+Production!$K$7*'GHG detailed, mother animal'!N52/Production!$K$23</f>
        <v>0.13199051125071065</v>
      </c>
      <c r="O52" s="348">
        <f>'GHG detailed, only calves'!O52+Production!$K$7*'GHG detailed, mother animal'!O52/Production!$K$23</f>
        <v>0.31353078928999034</v>
      </c>
      <c r="P52" s="348">
        <f>'GHG detailed, only calves'!P52+Production!$K$7*'GHG detailed, mother animal'!P52/Production!$K$23</f>
        <v>0.55896493804052338</v>
      </c>
      <c r="Q52" s="348">
        <f>'GHG detailed, only calves'!Q52+Production!$K$7*'GHG detailed, mother animal'!Q52/Production!$K$23</f>
        <v>0.62143593410630038</v>
      </c>
      <c r="R52" s="348">
        <f>'GHG detailed, only calves'!R52+Production!$K$7*'GHG detailed, mother animal'!R52/Production!$K$23</f>
        <v>0.53564445020037077</v>
      </c>
      <c r="S52" s="348">
        <f>'GHG detailed, only calves'!S52+Production!$K$7*'GHG detailed, mother animal'!S52/Production!$K$23</f>
        <v>0</v>
      </c>
      <c r="T52" s="348">
        <f>'GHG detailed, only calves'!T52+Production!$K$7*'GHG detailed, mother animal'!T52/Production!$K$23</f>
        <v>0</v>
      </c>
      <c r="U52" s="348">
        <f>'GHG detailed, only calves'!U52+Production!$K$7*'GHG detailed, mother animal'!U52/Production!$K$23</f>
        <v>0</v>
      </c>
      <c r="V52" s="348">
        <f>'GHG detailed, only calves'!V52+Production!$K$7*'GHG detailed, mother animal'!V52/Production!$K$23</f>
        <v>0</v>
      </c>
      <c r="W52" s="348">
        <f>'GHG detailed, only calves'!W52+Production!$K$7*'GHG detailed, mother animal'!W52/Production!$K$23</f>
        <v>0.71958881431846144</v>
      </c>
      <c r="X52" s="348">
        <f>'GHG detailed, only calves'!X52+Production!$K$7*'GHG detailed, mother animal'!X52/Production!$K$23</f>
        <v>2.4730706593563943E-2</v>
      </c>
      <c r="Z52" s="18"/>
      <c r="AA52" s="18"/>
    </row>
    <row r="53" spans="1:27" x14ac:dyDescent="0.35">
      <c r="A53" s="11" t="s">
        <v>543</v>
      </c>
      <c r="B53" s="11" t="s">
        <v>546</v>
      </c>
      <c r="C53" s="15" t="s">
        <v>545</v>
      </c>
      <c r="D53" t="s">
        <v>52</v>
      </c>
      <c r="E53" s="16" t="s">
        <v>53</v>
      </c>
      <c r="F53" s="11" t="s">
        <v>87</v>
      </c>
      <c r="G53" s="17">
        <f t="shared" si="0"/>
        <v>9.6628073404532444E-3</v>
      </c>
      <c r="H53" s="18">
        <f>'GHG detailed, only calves'!H53+Production!$K$7*'GHG detailed, mother animal'!H53/Production!$K$23</f>
        <v>6.4139753880934419E-4</v>
      </c>
      <c r="I53" s="18">
        <f>'GHG detailed, only calves'!I53+Production!$K$7*'GHG detailed, mother animal'!I53/Production!$K$23</f>
        <v>1.9874290857170981E-3</v>
      </c>
      <c r="J53" s="18">
        <f>'GHG detailed, only calves'!J53+Production!$K$7*'GHG detailed, mother animal'!J53/Production!$K$23</f>
        <v>0</v>
      </c>
      <c r="K53" s="18">
        <f>'GHG detailed, only calves'!K53+Production!$K$7*'GHG detailed, mother animal'!K53/Production!$K$23</f>
        <v>0</v>
      </c>
      <c r="L53" s="18">
        <f>'GHG detailed, only calves'!L53+Production!$K$7*'GHG detailed, mother animal'!L53/Production!$K$23</f>
        <v>3.0746596320852638E-4</v>
      </c>
      <c r="M53" s="18">
        <f>'GHG detailed, only calves'!M53+Production!$K$7*'GHG detailed, mother animal'!M53/Production!$K$23</f>
        <v>0</v>
      </c>
      <c r="N53" s="18">
        <f>'GHG detailed, only calves'!N53+Production!$K$7*'GHG detailed, mother animal'!N53/Production!$K$23</f>
        <v>4.3516451506772137E-4</v>
      </c>
      <c r="O53" s="18">
        <f>'GHG detailed, only calves'!O53+Production!$K$7*'GHG detailed, mother animal'!O53/Production!$K$23</f>
        <v>2.3841357968449291E-4</v>
      </c>
      <c r="P53" s="18">
        <f>'GHG detailed, only calves'!P53+Production!$K$7*'GHG detailed, mother animal'!P53/Production!$K$23</f>
        <v>0</v>
      </c>
      <c r="Q53" s="18">
        <f>'GHG detailed, only calves'!Q53+Production!$K$7*'GHG detailed, mother animal'!Q53/Production!$K$23</f>
        <v>3.8109766515122107E-3</v>
      </c>
      <c r="R53" s="18">
        <f>'GHG detailed, only calves'!R53+Production!$K$7*'GHG detailed, mother animal'!R53/Production!$K$23</f>
        <v>9.2928927471785743E-4</v>
      </c>
      <c r="S53" s="18">
        <f>'GHG detailed, only calves'!S53+Production!$K$7*'GHG detailed, mother animal'!S53/Production!$K$23</f>
        <v>0</v>
      </c>
      <c r="T53" s="18">
        <f>'GHG detailed, only calves'!T53+Production!$K$7*'GHG detailed, mother animal'!T53/Production!$K$23</f>
        <v>0</v>
      </c>
      <c r="U53" s="18">
        <f>'GHG detailed, only calves'!U53+Production!$K$7*'GHG detailed, mother animal'!U53/Production!$K$23</f>
        <v>0</v>
      </c>
      <c r="V53" s="18">
        <f>'GHG detailed, only calves'!V53+Production!$K$7*'GHG detailed, mother animal'!V53/Production!$K$23</f>
        <v>0</v>
      </c>
      <c r="W53" s="18">
        <f>'GHG detailed, only calves'!W53+Production!$K$7*'GHG detailed, mother animal'!W53/Production!$K$23</f>
        <v>1.2677055656313127E-3</v>
      </c>
      <c r="X53" s="18">
        <f>'GHG detailed, only calves'!X53+Production!$K$7*'GHG detailed, mother animal'!X53/Production!$K$23</f>
        <v>4.4965166104679674E-5</v>
      </c>
      <c r="Z53" s="32"/>
      <c r="AA53" s="32"/>
    </row>
    <row r="54" spans="1:27" x14ac:dyDescent="0.35">
      <c r="A54" s="11" t="s">
        <v>543</v>
      </c>
      <c r="B54" s="11" t="s">
        <v>546</v>
      </c>
      <c r="C54" s="15" t="s">
        <v>545</v>
      </c>
      <c r="D54" t="s">
        <v>52</v>
      </c>
      <c r="E54" s="16" t="s">
        <v>53</v>
      </c>
      <c r="F54" s="11" t="s">
        <v>88</v>
      </c>
      <c r="G54" s="17">
        <f>SUM(H54:T54)</f>
        <v>0.58698498807680077</v>
      </c>
      <c r="H54" s="18">
        <f>'GHG detailed, only calves'!H54+Production!$K$7*'GHG detailed, mother animal'!H54/Production!$K$23</f>
        <v>0</v>
      </c>
      <c r="I54" s="18">
        <f>'GHG detailed, only calves'!I54+Production!$K$7*'GHG detailed, mother animal'!I54/Production!$K$23</f>
        <v>0</v>
      </c>
      <c r="J54" s="18">
        <f>'GHG detailed, only calves'!J54+Production!$K$7*'GHG detailed, mother animal'!J54/Production!$K$23</f>
        <v>0</v>
      </c>
      <c r="K54" s="18">
        <f>'GHG detailed, only calves'!K54+Production!$K$7*'GHG detailed, mother animal'!K54/Production!$K$23</f>
        <v>0</v>
      </c>
      <c r="L54" s="18">
        <f>'GHG detailed, only calves'!L54+Production!$K$7*'GHG detailed, mother animal'!L54/Production!$K$23</f>
        <v>0</v>
      </c>
      <c r="M54" s="18">
        <f>'GHG detailed, only calves'!M54+Production!$K$7*'GHG detailed, mother animal'!M54/Production!$K$23</f>
        <v>0</v>
      </c>
      <c r="N54" s="18">
        <f>'GHG detailed, only calves'!N54+Production!$K$7*'GHG detailed, mother animal'!N54/Production!$K$23</f>
        <v>0</v>
      </c>
      <c r="O54" s="18">
        <f>'GHG detailed, only calves'!O54+Production!$K$7*'GHG detailed, mother animal'!O54/Production!$K$23</f>
        <v>0</v>
      </c>
      <c r="P54" s="18">
        <f>'GHG detailed, only calves'!P54+Production!$K$7*'GHG detailed, mother animal'!P54/Production!$K$23</f>
        <v>0</v>
      </c>
      <c r="Q54" s="18">
        <f>'GHG detailed, only calves'!Q54+Production!$K$7*'GHG detailed, mother animal'!Q54/Production!$K$23</f>
        <v>0</v>
      </c>
      <c r="R54" s="18">
        <f>'GHG detailed, only calves'!R54+Production!$K$7*'GHG detailed, mother animal'!R54/Production!$K$23</f>
        <v>0</v>
      </c>
      <c r="S54" s="18">
        <f>'GHG detailed, only calves'!S54+Production!$K$7*'GHG detailed, mother animal'!S54/Production!$K$23</f>
        <v>0.55770118661350998</v>
      </c>
      <c r="T54" s="18">
        <f>'GHG detailed, only calves'!T54+Production!$K$7*'GHG detailed, mother animal'!T54/Production!$K$23</f>
        <v>2.9283801463290793E-2</v>
      </c>
      <c r="U54" s="18">
        <f>'GHG detailed, only calves'!U54+Production!$K$7*'GHG detailed, mother animal'!U54/Production!$K$23</f>
        <v>2.9283801463290793E-2</v>
      </c>
      <c r="V54" s="18">
        <f>'GHG detailed, only calves'!V54+Production!$K$7*'GHG detailed, mother animal'!V54/Production!$K$23</f>
        <v>0</v>
      </c>
      <c r="W54" s="18">
        <f>'GHG detailed, only calves'!W54+Production!$K$7*'GHG detailed, mother animal'!W54/Production!$K$23</f>
        <v>0</v>
      </c>
      <c r="X54" s="18">
        <f>'GHG detailed, only calves'!X54+Production!$K$7*'GHG detailed, mother animal'!X54/Production!$K$23</f>
        <v>0</v>
      </c>
      <c r="Z54" s="32"/>
      <c r="AA54" s="32"/>
    </row>
    <row r="55" spans="1:27" ht="15" thickBot="1" x14ac:dyDescent="0.4">
      <c r="A55" s="11" t="s">
        <v>543</v>
      </c>
      <c r="B55" s="11" t="s">
        <v>546</v>
      </c>
      <c r="C55" s="15" t="s">
        <v>545</v>
      </c>
      <c r="D55" t="s">
        <v>52</v>
      </c>
      <c r="E55" s="16" t="s">
        <v>53</v>
      </c>
      <c r="F55" s="34" t="s">
        <v>89</v>
      </c>
      <c r="G55" s="17">
        <f>SUM(H55:T55)+W55+X55</f>
        <v>1.5281164229557985E-2</v>
      </c>
      <c r="H55" s="18">
        <f>'GHG detailed, only calves'!H55+Production!$K$7*'GHG detailed, mother animal'!H55/Production!$K$23</f>
        <v>7.5738664070104102E-4</v>
      </c>
      <c r="I55" s="18">
        <f>'GHG detailed, only calves'!I55+Production!$K$7*'GHG detailed, mother animal'!I55/Production!$K$23</f>
        <v>2.1963601334514158E-5</v>
      </c>
      <c r="J55" s="18">
        <f>'GHG detailed, only calves'!J55+Production!$K$7*'GHG detailed, mother animal'!J55/Production!$K$23</f>
        <v>8.5287025218895272E-3</v>
      </c>
      <c r="K55" s="18">
        <f>'GHG detailed, only calves'!K55+Production!$K$7*'GHG detailed, mother animal'!K55/Production!$K$23</f>
        <v>8.528702521889527E-4</v>
      </c>
      <c r="L55" s="18">
        <f>'GHG detailed, only calves'!L55+Production!$K$7*'GHG detailed, mother animal'!L55/Production!$K$23</f>
        <v>1.8302087730676553E-5</v>
      </c>
      <c r="M55" s="18">
        <f>'GHG detailed, only calves'!M55+Production!$K$7*'GHG detailed, mother animal'!M55/Production!$K$23</f>
        <v>0</v>
      </c>
      <c r="N55" s="18">
        <f>'GHG detailed, only calves'!N55+Production!$K$7*'GHG detailed, mother animal'!N55/Production!$K$23</f>
        <v>5.3553961245720246E-6</v>
      </c>
      <c r="O55" s="18">
        <f>'GHG detailed, only calves'!O55+Production!$K$7*'GHG detailed, mother animal'!O55/Production!$K$23</f>
        <v>1.1598777976062235E-5</v>
      </c>
      <c r="P55" s="18">
        <f>'GHG detailed, only calves'!P55+Production!$K$7*'GHG detailed, mother animal'!P55/Production!$K$23</f>
        <v>0</v>
      </c>
      <c r="Q55" s="18">
        <f>'GHG detailed, only calves'!Q55+Production!$K$7*'GHG detailed, mother animal'!Q55/Production!$K$23</f>
        <v>2.6920982543831575E-4</v>
      </c>
      <c r="R55" s="18">
        <f>'GHG detailed, only calves'!R55+Production!$K$7*'GHG detailed, mother animal'!R55/Production!$K$23</f>
        <v>7.0361846263268919E-5</v>
      </c>
      <c r="S55" s="18">
        <f>'GHG detailed, only calves'!S55+Production!$K$7*'GHG detailed, mother animal'!S55/Production!$K$23</f>
        <v>0</v>
      </c>
      <c r="T55" s="18">
        <f>'GHG detailed, only calves'!T55+Production!$K$7*'GHG detailed, mother animal'!T55/Production!$K$23</f>
        <v>4.718478534113414E-3</v>
      </c>
      <c r="U55" s="18">
        <f>'GHG detailed, only calves'!U55+Production!$K$7*'GHG detailed, mother animal'!U55/Production!$K$23</f>
        <v>3.2718715613036164E-3</v>
      </c>
      <c r="V55" s="18">
        <f>'GHG detailed, only calves'!V55+Production!$K$7*'GHG detailed, mother animal'!V55/Production!$K$23</f>
        <v>1.446606972809798E-3</v>
      </c>
      <c r="W55" s="18">
        <f>'GHG detailed, only calves'!W55+Production!$K$7*'GHG detailed, mother animal'!W55/Production!$K$23</f>
        <v>2.5929650590677477E-5</v>
      </c>
      <c r="X55" s="18">
        <f>'GHG detailed, only calves'!X55+Production!$K$7*'GHG detailed, mother animal'!X55/Production!$K$23</f>
        <v>1.0050952069628673E-6</v>
      </c>
      <c r="Z55" s="32"/>
      <c r="AA55" s="32"/>
    </row>
    <row r="56" spans="1:27" ht="15.5" thickTop="1" thickBot="1" x14ac:dyDescent="0.4">
      <c r="A56" s="125" t="s">
        <v>543</v>
      </c>
      <c r="B56" s="125" t="s">
        <v>546</v>
      </c>
      <c r="C56" s="126" t="s">
        <v>545</v>
      </c>
      <c r="D56" s="152" t="s">
        <v>52</v>
      </c>
      <c r="E56" s="127" t="s">
        <v>53</v>
      </c>
      <c r="F56" s="128" t="s">
        <v>90</v>
      </c>
      <c r="G56" s="137">
        <f>SUM(H56:X56)</f>
        <v>24.783516643472414</v>
      </c>
      <c r="H56" s="129">
        <f>SUMPRODUCT(H52:H55,'Parameters, general'!$B$23:$B$26)</f>
        <v>0.56980648451823623</v>
      </c>
      <c r="I56" s="129">
        <f>SUMPRODUCT(I52:I55,'Parameters, general'!$B$23:$B$26)</f>
        <v>0.62063109735839683</v>
      </c>
      <c r="J56" s="129">
        <f>SUMPRODUCT(J52:J55,'Parameters, general'!$B$23:$B$26)</f>
        <v>2.3283357884758411</v>
      </c>
      <c r="K56" s="129">
        <f>SUMPRODUCT(K52:K55,'Parameters, general'!$B$23:$B$26)</f>
        <v>0.2328335788475841</v>
      </c>
      <c r="L56" s="129">
        <f>SUMPRODUCT(L52:L55,'Parameters, general'!$B$23:$B$26)</f>
        <v>0.68414935144808176</v>
      </c>
      <c r="M56" s="129">
        <f>SUMPRODUCT(M52:M55,'Parameters, general'!$B$23:$B$26)</f>
        <v>0</v>
      </c>
      <c r="N56" s="129">
        <f>SUMPRODUCT(N52:N55,'Parameters, general'!$B$23:$B$26)</f>
        <v>0.1464204369417369</v>
      </c>
      <c r="O56" s="129">
        <f>SUMPRODUCT(O52:O55,'Parameters, general'!$B$23:$B$26)</f>
        <v>0.32380198035205321</v>
      </c>
      <c r="P56" s="129">
        <f>SUMPRODUCT(P52:P55,'Parameters, general'!$B$23:$B$26)</f>
        <v>0.55896493804052338</v>
      </c>
      <c r="Q56" s="129">
        <f>SUMPRODUCT(Q52:Q55,'Parameters, general'!$B$23:$B$26)</f>
        <v>0.80849732066602442</v>
      </c>
      <c r="R56" s="129">
        <f>SUMPRODUCT(R52:R55,'Parameters, general'!$B$23:$B$26)</f>
        <v>0.58254605461683528</v>
      </c>
      <c r="S56" s="129">
        <f>SUMPRODUCT(S52:S55,'Parameters, general'!$B$23:$B$26)</f>
        <v>15.05793203856477</v>
      </c>
      <c r="T56" s="129">
        <f>SUMPRODUCT(T52:T55,'Parameters, general'!$B$23:$B$26)</f>
        <v>2.0788072793218135</v>
      </c>
      <c r="U56" s="129"/>
      <c r="V56" s="129"/>
      <c r="W56" s="129">
        <f>SUMPRODUCT(W52:W55,'Parameters, general'!$B$23:$B$26)</f>
        <v>0.7644452347855295</v>
      </c>
      <c r="X56" s="129">
        <f>SUMPRODUCT(X52:X55,'Parameters, general'!$B$23:$B$26)</f>
        <v>2.6345059534984259E-2</v>
      </c>
      <c r="Z56" s="103">
        <f>SUM(H56:R56)</f>
        <v>6.8559870312653128</v>
      </c>
      <c r="AA56" s="151">
        <f>'CO2 per kg feed'!F164+'CH4 per kg feed'!F164*CF_GWP_CH4_fossil+'N2O per kg feed'!F164*CF_GWP_N2O</f>
        <v>0.26798787567453475</v>
      </c>
    </row>
    <row r="57" spans="1:27" ht="15" thickTop="1" x14ac:dyDescent="0.35">
      <c r="A57" s="130" t="s">
        <v>543</v>
      </c>
      <c r="B57" s="130" t="s">
        <v>546</v>
      </c>
      <c r="C57" s="131" t="s">
        <v>545</v>
      </c>
      <c r="D57" s="16" t="s">
        <v>54</v>
      </c>
      <c r="E57" s="16" t="s">
        <v>55</v>
      </c>
      <c r="F57" s="36" t="s">
        <v>86</v>
      </c>
      <c r="G57" s="467">
        <f>SUM(H57:X57)</f>
        <v>3.6648188683448737</v>
      </c>
      <c r="H57" s="348">
        <f>'GHG detailed, only calves'!H57+Production!$L$7*'GHG detailed, mother animal'!H57/Production!$L$23</f>
        <v>0.85748131500373392</v>
      </c>
      <c r="I57" s="348">
        <f>'GHG detailed, only calves'!I57+Production!$L$7*'GHG detailed, mother animal'!I57/Production!$L$23</f>
        <v>0.61499255985887857</v>
      </c>
      <c r="J57" s="348">
        <f>'GHG detailed, only calves'!J57+Production!$L$7*'GHG detailed, mother animal'!J57/Production!$L$23</f>
        <v>0</v>
      </c>
      <c r="K57" s="348">
        <f>'GHG detailed, only calves'!K57+Production!$L$7*'GHG detailed, mother animal'!K57/Production!$L$23</f>
        <v>0</v>
      </c>
      <c r="L57" s="348">
        <f>'GHG detailed, only calves'!L57+Production!$L$7*'GHG detailed, mother animal'!L57/Production!$L$23</f>
        <v>0.4990353410868964</v>
      </c>
      <c r="M57" s="348">
        <f>'GHG detailed, only calves'!M57+Production!$L$7*'GHG detailed, mother animal'!M57/Production!$L$23</f>
        <v>0</v>
      </c>
      <c r="N57" s="348">
        <f>'GHG detailed, only calves'!N57+Production!$L$7*'GHG detailed, mother animal'!N57/Production!$L$23</f>
        <v>8.8335224392651554E-3</v>
      </c>
      <c r="O57" s="348">
        <f>'GHG detailed, only calves'!O57+Production!$L$7*'GHG detailed, mother animal'!O57/Production!$L$23</f>
        <v>0.27827383781690335</v>
      </c>
      <c r="P57" s="348">
        <f>'GHG detailed, only calves'!P57+Production!$L$7*'GHG detailed, mother animal'!P57/Production!$L$23</f>
        <v>7.9871101108953971E-2</v>
      </c>
      <c r="Q57" s="348">
        <f>'GHG detailed, only calves'!Q57+Production!$L$7*'GHG detailed, mother animal'!Q57/Production!$L$23</f>
        <v>0.73352544583845969</v>
      </c>
      <c r="R57" s="348">
        <f>'GHG detailed, only calves'!R57+Production!$L$7*'GHG detailed, mother animal'!R57/Production!$L$23</f>
        <v>0.15983041959272781</v>
      </c>
      <c r="S57" s="348">
        <f>'GHG detailed, only calves'!S57+Production!$L$7*'GHG detailed, mother animal'!S57/Production!$L$23</f>
        <v>0</v>
      </c>
      <c r="T57" s="348">
        <f>'GHG detailed, only calves'!T57+Production!$L$7*'GHG detailed, mother animal'!T57/Production!$L$23</f>
        <v>0</v>
      </c>
      <c r="U57" s="348">
        <f>'GHG detailed, only calves'!U57+Production!$L$7*'GHG detailed, mother animal'!U57/Production!$L$23</f>
        <v>0</v>
      </c>
      <c r="V57" s="348">
        <f>'GHG detailed, only calves'!V57+Production!$L$7*'GHG detailed, mother animal'!V57/Production!$L$23</f>
        <v>0</v>
      </c>
      <c r="W57" s="348">
        <f>'GHG detailed, only calves'!W57+Production!$L$7*'GHG detailed, mother animal'!W57/Production!$L$23</f>
        <v>0.43139723491029458</v>
      </c>
      <c r="X57" s="348">
        <f>'GHG detailed, only calves'!X57+Production!$L$7*'GHG detailed, mother animal'!X57/Production!$L$23</f>
        <v>1.578090688760684E-3</v>
      </c>
    </row>
    <row r="58" spans="1:27" x14ac:dyDescent="0.35">
      <c r="A58" s="11" t="s">
        <v>543</v>
      </c>
      <c r="B58" s="11" t="s">
        <v>546</v>
      </c>
      <c r="C58" s="15" t="s">
        <v>545</v>
      </c>
      <c r="D58" s="16" t="s">
        <v>54</v>
      </c>
      <c r="E58" s="16" t="s">
        <v>55</v>
      </c>
      <c r="F58" s="11" t="s">
        <v>87</v>
      </c>
      <c r="G58" s="17">
        <f t="shared" si="0"/>
        <v>1.5911472067340084E-2</v>
      </c>
      <c r="H58" s="18">
        <f>'GHG detailed, only calves'!H58+Production!$L$7*'GHG detailed, mother animal'!H58/Production!$L$23</f>
        <v>1.8890204516920853E-4</v>
      </c>
      <c r="I58" s="18">
        <f>'GHG detailed, only calves'!I58+Production!$L$7*'GHG detailed, mother animal'!I58/Production!$L$23</f>
        <v>2.1638627106145736E-3</v>
      </c>
      <c r="J58" s="18">
        <f>'GHG detailed, only calves'!J58+Production!$L$7*'GHG detailed, mother animal'!J58/Production!$L$23</f>
        <v>0</v>
      </c>
      <c r="K58" s="18">
        <f>'GHG detailed, only calves'!K58+Production!$L$7*'GHG detailed, mother animal'!K58/Production!$L$23</f>
        <v>0</v>
      </c>
      <c r="L58" s="18">
        <f>'GHG detailed, only calves'!L58+Production!$L$7*'GHG detailed, mother animal'!L58/Production!$L$23</f>
        <v>2.2150142568662479E-4</v>
      </c>
      <c r="M58" s="18">
        <f>'GHG detailed, only calves'!M58+Production!$L$7*'GHG detailed, mother animal'!M58/Production!$L$23</f>
        <v>0</v>
      </c>
      <c r="N58" s="18">
        <f>'GHG detailed, only calves'!N58+Production!$L$7*'GHG detailed, mother animal'!N58/Production!$L$23</f>
        <v>2.948557529556431E-5</v>
      </c>
      <c r="O58" s="18">
        <f>'GHG detailed, only calves'!O58+Production!$L$7*'GHG detailed, mother animal'!O58/Production!$L$23</f>
        <v>1.0838727043646152E-4</v>
      </c>
      <c r="P58" s="18">
        <f>'GHG detailed, only calves'!P58+Production!$L$7*'GHG detailed, mother animal'!P58/Production!$L$23</f>
        <v>0</v>
      </c>
      <c r="Q58" s="18">
        <f>'GHG detailed, only calves'!Q58+Production!$L$7*'GHG detailed, mother animal'!Q58/Production!$L$23</f>
        <v>1.0800257258599585E-2</v>
      </c>
      <c r="R58" s="18">
        <f>'GHG detailed, only calves'!R58+Production!$L$7*'GHG detailed, mother animal'!R58/Production!$L$23</f>
        <v>2.1601987894862063E-3</v>
      </c>
      <c r="S58" s="18">
        <f>'GHG detailed, only calves'!S58+Production!$L$7*'GHG detailed, mother animal'!S58/Production!$L$23</f>
        <v>0</v>
      </c>
      <c r="T58" s="18">
        <f>'GHG detailed, only calves'!T58+Production!$L$7*'GHG detailed, mother animal'!T58/Production!$L$23</f>
        <v>0</v>
      </c>
      <c r="U58" s="18">
        <f>'GHG detailed, only calves'!U58+Production!$L$7*'GHG detailed, mother animal'!U58/Production!$L$23</f>
        <v>0</v>
      </c>
      <c r="V58" s="18">
        <f>'GHG detailed, only calves'!V58+Production!$L$7*'GHG detailed, mother animal'!V58/Production!$L$23</f>
        <v>0</v>
      </c>
      <c r="W58" s="18">
        <f>'GHG detailed, only calves'!W58+Production!$L$7*'GHG detailed, mother animal'!W58/Production!$L$23</f>
        <v>2.3796420664648284E-4</v>
      </c>
      <c r="X58" s="18">
        <f>'GHG detailed, only calves'!X58+Production!$L$7*'GHG detailed, mother animal'!X58/Production!$L$23</f>
        <v>9.1278540537906373E-7</v>
      </c>
    </row>
    <row r="59" spans="1:27" x14ac:dyDescent="0.35">
      <c r="A59" s="11" t="s">
        <v>543</v>
      </c>
      <c r="B59" s="11" t="s">
        <v>546</v>
      </c>
      <c r="C59" s="15" t="s">
        <v>545</v>
      </c>
      <c r="D59" s="16" t="s">
        <v>54</v>
      </c>
      <c r="E59" s="16" t="s">
        <v>55</v>
      </c>
      <c r="F59" s="11" t="s">
        <v>88</v>
      </c>
      <c r="G59" s="17">
        <f>SUM(H59:T59)</f>
        <v>0.59984781234515239</v>
      </c>
      <c r="H59" s="18">
        <f>'GHG detailed, only calves'!H59+Production!$L$7*'GHG detailed, mother animal'!H59/Production!$L$23</f>
        <v>0</v>
      </c>
      <c r="I59" s="18">
        <f>'GHG detailed, only calves'!I59+Production!$L$7*'GHG detailed, mother animal'!I59/Production!$L$23</f>
        <v>0</v>
      </c>
      <c r="J59" s="18">
        <f>'GHG detailed, only calves'!J59+Production!$L$7*'GHG detailed, mother animal'!J59/Production!$L$23</f>
        <v>0</v>
      </c>
      <c r="K59" s="18">
        <f>'GHG detailed, only calves'!K59+Production!$L$7*'GHG detailed, mother animal'!K59/Production!$L$23</f>
        <v>0</v>
      </c>
      <c r="L59" s="18">
        <f>'GHG detailed, only calves'!L59+Production!$L$7*'GHG detailed, mother animal'!L59/Production!$L$23</f>
        <v>0</v>
      </c>
      <c r="M59" s="18">
        <f>'GHG detailed, only calves'!M59+Production!$L$7*'GHG detailed, mother animal'!M59/Production!$L$23</f>
        <v>0</v>
      </c>
      <c r="N59" s="18">
        <f>'GHG detailed, only calves'!N59+Production!$L$7*'GHG detailed, mother animal'!N59/Production!$L$23</f>
        <v>0</v>
      </c>
      <c r="O59" s="18">
        <f>'GHG detailed, only calves'!O59+Production!$L$7*'GHG detailed, mother animal'!O59/Production!$L$23</f>
        <v>0</v>
      </c>
      <c r="P59" s="18">
        <f>'GHG detailed, only calves'!P59+Production!$L$7*'GHG detailed, mother animal'!P59/Production!$L$23</f>
        <v>0</v>
      </c>
      <c r="Q59" s="18">
        <f>'GHG detailed, only calves'!Q59+Production!$L$7*'GHG detailed, mother animal'!Q59/Production!$L$23</f>
        <v>0</v>
      </c>
      <c r="R59" s="18">
        <f>'GHG detailed, only calves'!R59+Production!$L$7*'GHG detailed, mother animal'!R59/Production!$L$23</f>
        <v>0</v>
      </c>
      <c r="S59" s="18">
        <f>'GHG detailed, only calves'!S59+Production!$L$7*'GHG detailed, mother animal'!S59/Production!$L$23</f>
        <v>0.56351787773189699</v>
      </c>
      <c r="T59" s="18">
        <f>'GHG detailed, only calves'!T59+Production!$L$7*'GHG detailed, mother animal'!T59/Production!$L$23</f>
        <v>3.6329934613255378E-2</v>
      </c>
      <c r="U59" s="18">
        <f>'GHG detailed, only calves'!U59+Production!$L$7*'GHG detailed, mother animal'!U59/Production!$L$23</f>
        <v>3.6329934613255378E-2</v>
      </c>
      <c r="V59" s="18">
        <f>'GHG detailed, only calves'!V59+Production!$L$7*'GHG detailed, mother animal'!V59/Production!$L$23</f>
        <v>0</v>
      </c>
      <c r="W59" s="18">
        <f>'GHG detailed, only calves'!W59+Production!$L$7*'GHG detailed, mother animal'!W59/Production!$L$23</f>
        <v>0</v>
      </c>
      <c r="X59" s="18">
        <f>'GHG detailed, only calves'!X59+Production!$L$7*'GHG detailed, mother animal'!X59/Production!$L$23</f>
        <v>0</v>
      </c>
      <c r="Z59" s="32"/>
      <c r="AA59" s="32"/>
    </row>
    <row r="60" spans="1:27" ht="15" thickBot="1" x14ac:dyDescent="0.4">
      <c r="A60" s="11" t="s">
        <v>543</v>
      </c>
      <c r="B60" s="11" t="s">
        <v>546</v>
      </c>
      <c r="C60" s="15" t="s">
        <v>545</v>
      </c>
      <c r="D60" s="16" t="s">
        <v>54</v>
      </c>
      <c r="E60" s="16" t="s">
        <v>55</v>
      </c>
      <c r="F60" s="34" t="s">
        <v>89</v>
      </c>
      <c r="G60" s="17">
        <f>SUM(H60:T60)+W60+X60</f>
        <v>1.9934378716510374E-2</v>
      </c>
      <c r="H60" s="18">
        <f>'GHG detailed, only calves'!H60+Production!$L$7*'GHG detailed, mother animal'!H60/Production!$L$23</f>
        <v>1.843846253914384E-3</v>
      </c>
      <c r="I60" s="18">
        <f>'GHG detailed, only calves'!I60+Production!$L$7*'GHG detailed, mother animal'!I60/Production!$L$23</f>
        <v>2.4349500566353467E-5</v>
      </c>
      <c r="J60" s="18">
        <f>'GHG detailed, only calves'!J60+Production!$L$7*'GHG detailed, mother animal'!J60/Production!$L$23</f>
        <v>1.1296288275214146E-2</v>
      </c>
      <c r="K60" s="18">
        <f>'GHG detailed, only calves'!K60+Production!$L$7*'GHG detailed, mother animal'!K60/Production!$L$23</f>
        <v>1.1296288275214146E-3</v>
      </c>
      <c r="L60" s="18">
        <f>'GHG detailed, only calves'!L60+Production!$L$7*'GHG detailed, mother animal'!L60/Production!$L$23</f>
        <v>1.3433807995370706E-5</v>
      </c>
      <c r="M60" s="18">
        <f>'GHG detailed, only calves'!M60+Production!$L$7*'GHG detailed, mother animal'!M60/Production!$L$23</f>
        <v>0</v>
      </c>
      <c r="N60" s="18">
        <f>'GHG detailed, only calves'!N60+Production!$L$7*'GHG detailed, mother animal'!N60/Production!$L$23</f>
        <v>4.0505136620454826E-7</v>
      </c>
      <c r="O60" s="18">
        <f>'GHG detailed, only calves'!O60+Production!$L$7*'GHG detailed, mother animal'!O60/Production!$L$23</f>
        <v>1.0488459249252412E-5</v>
      </c>
      <c r="P60" s="18">
        <f>'GHG detailed, only calves'!P60+Production!$L$7*'GHG detailed, mother animal'!P60/Production!$L$23</f>
        <v>0</v>
      </c>
      <c r="Q60" s="18">
        <f>'GHG detailed, only calves'!Q60+Production!$L$7*'GHG detailed, mother animal'!Q60/Production!$L$23</f>
        <v>1.0387030374066917E-3</v>
      </c>
      <c r="R60" s="18">
        <f>'GHG detailed, only calves'!R60+Production!$L$7*'GHG detailed, mother animal'!R60/Production!$L$23</f>
        <v>2.070473877269952E-4</v>
      </c>
      <c r="S60" s="18">
        <f>'GHG detailed, only calves'!S60+Production!$L$7*'GHG detailed, mother animal'!S60/Production!$L$23</f>
        <v>0</v>
      </c>
      <c r="T60" s="18">
        <f>'GHG detailed, only calves'!T60+Production!$L$7*'GHG detailed, mother animal'!T60/Production!$L$23</f>
        <v>4.3539195159539674E-3</v>
      </c>
      <c r="U60" s="18">
        <f>'GHG detailed, only calves'!U60+Production!$L$7*'GHG detailed, mother animal'!U60/Production!$L$23</f>
        <v>2.8618470222961613E-3</v>
      </c>
      <c r="V60" s="18">
        <f>'GHG detailed, only calves'!V60+Production!$L$7*'GHG detailed, mother animal'!V60/Production!$L$23</f>
        <v>1.4920724936578057E-3</v>
      </c>
      <c r="W60" s="18">
        <f>'GHG detailed, only calves'!W60+Production!$L$7*'GHG detailed, mother animal'!W60/Production!$L$23</f>
        <v>1.618830077605186E-5</v>
      </c>
      <c r="X60" s="18">
        <f>'GHG detailed, only calves'!X60+Production!$L$7*'GHG detailed, mother animal'!X60/Production!$L$23</f>
        <v>8.0298819542420406E-8</v>
      </c>
    </row>
    <row r="61" spans="1:27" ht="15" thickTop="1" x14ac:dyDescent="0.35">
      <c r="A61" s="125" t="s">
        <v>543</v>
      </c>
      <c r="B61" s="125" t="s">
        <v>546</v>
      </c>
      <c r="C61" s="126" t="s">
        <v>545</v>
      </c>
      <c r="D61" s="127" t="s">
        <v>54</v>
      </c>
      <c r="E61" s="127" t="s">
        <v>55</v>
      </c>
      <c r="F61" s="128" t="s">
        <v>90</v>
      </c>
      <c r="G61" s="364">
        <f t="shared" si="0"/>
        <v>25.776957058878057</v>
      </c>
      <c r="H61" s="365">
        <f>SUMPRODUCT(H57:H60,'Parameters, general'!$B$23:$B$26)</f>
        <v>1.3664806232684032</v>
      </c>
      <c r="I61" s="129">
        <f>SUMPRODUCT(I57:I60,'Parameters, general'!$B$23:$B$26)</f>
        <v>0.68612308228980734</v>
      </c>
      <c r="J61" s="129">
        <f>SUMPRODUCT(J57:J60,'Parameters, general'!$B$23:$B$26)</f>
        <v>3.0838866991334619</v>
      </c>
      <c r="K61" s="129">
        <f>SUMPRODUCT(K57:K60,'Parameters, general'!$B$23:$B$26)</f>
        <v>0.30838866991334618</v>
      </c>
      <c r="L61" s="129">
        <f>SUMPRODUCT(L57:L60,'Parameters, general'!$B$23:$B$26)</f>
        <v>0.50930351315509403</v>
      </c>
      <c r="M61" s="129">
        <f>SUMPRODUCT(M57:M60,'Parameters, general'!$B$23:$B$26)</f>
        <v>0</v>
      </c>
      <c r="N61" s="129">
        <f>SUMPRODUCT(N57:N60,'Parameters, general'!$B$23:$B$26)</f>
        <v>9.8227716060468127E-3</v>
      </c>
      <c r="O61" s="129">
        <f>SUMPRODUCT(O57:O60,'Parameters, general'!$B$23:$B$26)</f>
        <v>0.2843671278509558</v>
      </c>
      <c r="P61" s="129">
        <f>SUMPRODUCT(P57:P60,'Parameters, general'!$B$23:$B$26)</f>
        <v>7.9871101108953971E-2</v>
      </c>
      <c r="Q61" s="129">
        <f>SUMPRODUCT(Q57:Q60,'Parameters, general'!$B$23:$B$26)</f>
        <v>1.3389390413567543</v>
      </c>
      <c r="R61" s="129">
        <f>SUMPRODUCT(R57:R60,'Parameters, general'!$B$23:$B$26)</f>
        <v>0.28072828036888647</v>
      </c>
      <c r="S61" s="129">
        <f>SUMPRODUCT(S57:S60,'Parameters, general'!$B$23:$B$26)</f>
        <v>15.214982698761219</v>
      </c>
      <c r="T61" s="129">
        <f>SUMPRODUCT(T57:T60,'Parameters, general'!$B$23:$B$26)</f>
        <v>2.1695282624133281</v>
      </c>
      <c r="U61" s="129"/>
      <c r="V61" s="129"/>
      <c r="W61" s="129">
        <f>SUMPRODUCT(W57:W60,'Parameters, general'!$B$23:$B$26)</f>
        <v>0.44290797438022189</v>
      </c>
      <c r="X61" s="129">
        <f>SUMPRODUCT(X57:X60,'Parameters, general'!$B$23:$B$26)</f>
        <v>1.6272132715760609E-3</v>
      </c>
      <c r="Z61" s="103">
        <f>SUM(H61:R61)</f>
        <v>7.9479109100517089</v>
      </c>
      <c r="AA61" s="366">
        <f>'CO2 per kg feed'!F180+'CH4 per kg feed'!F180*CF_GWP_CH4_fossil+'N2O per kg feed'!F180*CF_GWP_N2O</f>
        <v>0.13965420055462979</v>
      </c>
    </row>
    <row r="62" spans="1:27" x14ac:dyDescent="0.35">
      <c r="A62" s="130" t="s">
        <v>543</v>
      </c>
      <c r="B62" s="130" t="s">
        <v>546</v>
      </c>
      <c r="C62" s="131" t="s">
        <v>545</v>
      </c>
      <c r="D62" s="16" t="s">
        <v>493</v>
      </c>
      <c r="E62" s="16" t="s">
        <v>495</v>
      </c>
      <c r="F62" s="36" t="s">
        <v>86</v>
      </c>
      <c r="G62" s="467">
        <f>SUM(H62:X62)</f>
        <v>3.2154430945334269</v>
      </c>
      <c r="H62" s="348">
        <f>'GHG detailed, only calves'!H62+Production!$M$7*'GHG detailed, mother animal'!H62/Production!$M$23</f>
        <v>0.96444624304588622</v>
      </c>
      <c r="I62" s="348">
        <f>'GHG detailed, only calves'!I62+Production!$M$7*'GHG detailed, mother animal'!I62/Production!$M$23</f>
        <v>0.598352378986446</v>
      </c>
      <c r="J62" s="348">
        <f>'GHG detailed, only calves'!J62+Production!$M$7*'GHG detailed, mother animal'!J62/Production!$M$23</f>
        <v>0</v>
      </c>
      <c r="K62" s="348">
        <f>'GHG detailed, only calves'!K62+Production!$M$7*'GHG detailed, mother animal'!K62/Production!$M$23</f>
        <v>0</v>
      </c>
      <c r="L62" s="348">
        <f>'GHG detailed, only calves'!L62+Production!$M$7*'GHG detailed, mother animal'!L62/Production!$M$23</f>
        <v>0.39923572627764081</v>
      </c>
      <c r="M62" s="348">
        <f>'GHG detailed, only calves'!M62+Production!$M$7*'GHG detailed, mother animal'!M62/Production!$M$23</f>
        <v>0</v>
      </c>
      <c r="N62" s="348">
        <f>'GHG detailed, only calves'!N62+Production!$M$7*'GHG detailed, mother animal'!N62/Production!$M$23</f>
        <v>1.5606374197328108E-2</v>
      </c>
      <c r="O62" s="348">
        <f>'GHG detailed, only calves'!O62+Production!$M$7*'GHG detailed, mother animal'!O62/Production!$M$23</f>
        <v>0.29272267090781562</v>
      </c>
      <c r="P62" s="348">
        <f>'GHG detailed, only calves'!P62+Production!$M$7*'GHG detailed, mother animal'!P62/Production!$M$23</f>
        <v>5.1945091297528169E-3</v>
      </c>
      <c r="Q62" s="348">
        <f>'GHG detailed, only calves'!Q62+Production!$M$7*'GHG detailed, mother animal'!Q62/Production!$M$23</f>
        <v>1.4375074921534836E-2</v>
      </c>
      <c r="R62" s="348">
        <f>'GHG detailed, only calves'!R62+Production!$M$7*'GHG detailed, mother animal'!R62/Production!$M$23</f>
        <v>9.54186824184791E-3</v>
      </c>
      <c r="S62" s="348">
        <f>'GHG detailed, only calves'!S62+Production!$M$7*'GHG detailed, mother animal'!S62/Production!$M$23</f>
        <v>0</v>
      </c>
      <c r="T62" s="348">
        <f>'GHG detailed, only calves'!T62+Production!$M$7*'GHG detailed, mother animal'!T62/Production!$M$23</f>
        <v>0</v>
      </c>
      <c r="U62" s="348">
        <f>'GHG detailed, only calves'!U62+Production!$M$7*'GHG detailed, mother animal'!U62/Production!$M$23</f>
        <v>0</v>
      </c>
      <c r="V62" s="348">
        <f>'GHG detailed, only calves'!V62+Production!$M$7*'GHG detailed, mother animal'!V62/Production!$M$23</f>
        <v>0</v>
      </c>
      <c r="W62" s="348">
        <f>'GHG detailed, only calves'!W62+Production!$M$7*'GHG detailed, mother animal'!W62/Production!$M$23</f>
        <v>0.88665079393107327</v>
      </c>
      <c r="X62" s="348">
        <f>'GHG detailed, only calves'!X62+Production!$M$7*'GHG detailed, mother animal'!X62/Production!$M$23</f>
        <v>2.9317454894101147E-2</v>
      </c>
    </row>
    <row r="63" spans="1:27" x14ac:dyDescent="0.35">
      <c r="A63" s="11" t="s">
        <v>543</v>
      </c>
      <c r="B63" s="11" t="s">
        <v>546</v>
      </c>
      <c r="C63" s="15" t="s">
        <v>545</v>
      </c>
      <c r="D63" s="16" t="s">
        <v>493</v>
      </c>
      <c r="E63" s="16" t="s">
        <v>495</v>
      </c>
      <c r="F63" s="11" t="s">
        <v>87</v>
      </c>
      <c r="G63" s="17">
        <f t="shared" si="0"/>
        <v>4.0192299428112701E-3</v>
      </c>
      <c r="H63" s="18">
        <f>'GHG detailed, only calves'!H63+Production!$M$7*'GHG detailed, mother animal'!H63/Production!$M$23</f>
        <v>1.7772864320842789E-4</v>
      </c>
      <c r="I63" s="18">
        <f>'GHG detailed, only calves'!I63+Production!$M$7*'GHG detailed, mother animal'!I63/Production!$M$23</f>
        <v>2.576480835978048E-3</v>
      </c>
      <c r="J63" s="18">
        <f>'GHG detailed, only calves'!J63+Production!$M$7*'GHG detailed, mother animal'!J63/Production!$M$23</f>
        <v>0</v>
      </c>
      <c r="K63" s="18">
        <f>'GHG detailed, only calves'!K63+Production!$M$7*'GHG detailed, mother animal'!K63/Production!$M$23</f>
        <v>0</v>
      </c>
      <c r="L63" s="18">
        <f>'GHG detailed, only calves'!L63+Production!$M$7*'GHG detailed, mother animal'!L63/Production!$M$23</f>
        <v>1.0745141493269297E-4</v>
      </c>
      <c r="M63" s="18">
        <f>'GHG detailed, only calves'!M63+Production!$M$7*'GHG detailed, mother animal'!M63/Production!$M$23</f>
        <v>0</v>
      </c>
      <c r="N63" s="18">
        <f>'GHG detailed, only calves'!N63+Production!$M$7*'GHG detailed, mother animal'!N63/Production!$M$23</f>
        <v>5.0848757122286244E-5</v>
      </c>
      <c r="O63" s="18">
        <f>'GHG detailed, only calves'!O63+Production!$M$7*'GHG detailed, mother animal'!O63/Production!$M$23</f>
        <v>1.98926840028116E-5</v>
      </c>
      <c r="P63" s="18">
        <f>'GHG detailed, only calves'!P63+Production!$M$7*'GHG detailed, mother animal'!P63/Production!$M$23</f>
        <v>1.516778166456456E-4</v>
      </c>
      <c r="Q63" s="18">
        <f>'GHG detailed, only calves'!Q63+Production!$M$7*'GHG detailed, mother animal'!Q63/Production!$M$23</f>
        <v>4.4591926698906387E-5</v>
      </c>
      <c r="R63" s="18">
        <f>'GHG detailed, only calves'!R63+Production!$M$7*'GHG detailed, mother animal'!R63/Production!$M$23</f>
        <v>2.8819715674603472E-5</v>
      </c>
      <c r="S63" s="18">
        <f>'GHG detailed, only calves'!S63+Production!$M$7*'GHG detailed, mother animal'!S63/Production!$M$23</f>
        <v>0</v>
      </c>
      <c r="T63" s="18">
        <f>'GHG detailed, only calves'!T63+Production!$M$7*'GHG detailed, mother animal'!T63/Production!$M$23</f>
        <v>0</v>
      </c>
      <c r="U63" s="18">
        <f>'GHG detailed, only calves'!U63+Production!$M$7*'GHG detailed, mother animal'!U63/Production!$M$23</f>
        <v>0</v>
      </c>
      <c r="V63" s="18">
        <f>'GHG detailed, only calves'!V63+Production!$M$7*'GHG detailed, mother animal'!V63/Production!$M$23</f>
        <v>0</v>
      </c>
      <c r="W63" s="18">
        <f>'GHG detailed, only calves'!W63+Production!$M$7*'GHG detailed, mother animal'!W63/Production!$M$23</f>
        <v>8.3823159002551536E-4</v>
      </c>
      <c r="X63" s="18">
        <f>'GHG detailed, only calves'!X63+Production!$M$7*'GHG detailed, mother animal'!X63/Production!$M$23</f>
        <v>2.3506558522332697E-5</v>
      </c>
    </row>
    <row r="64" spans="1:27" x14ac:dyDescent="0.35">
      <c r="A64" s="11" t="s">
        <v>543</v>
      </c>
      <c r="B64" s="11" t="s">
        <v>546</v>
      </c>
      <c r="C64" s="15" t="s">
        <v>545</v>
      </c>
      <c r="D64" s="16" t="s">
        <v>493</v>
      </c>
      <c r="E64" s="16" t="s">
        <v>495</v>
      </c>
      <c r="F64" s="11" t="s">
        <v>88</v>
      </c>
      <c r="G64" s="17">
        <f>SUM(H64:T64)</f>
        <v>0.61899790193062354</v>
      </c>
      <c r="H64" s="18">
        <f>'GHG detailed, only calves'!H64+Production!$M$7*'GHG detailed, mother animal'!H64/Production!$M$23</f>
        <v>0</v>
      </c>
      <c r="I64" s="18">
        <f>'GHG detailed, only calves'!I64+Production!$M$7*'GHG detailed, mother animal'!I64/Production!$M$23</f>
        <v>0</v>
      </c>
      <c r="J64" s="18">
        <f>'GHG detailed, only calves'!J64+Production!$M$7*'GHG detailed, mother animal'!J64/Production!$M$23</f>
        <v>0</v>
      </c>
      <c r="K64" s="18">
        <f>'GHG detailed, only calves'!K64+Production!$M$7*'GHG detailed, mother animal'!K64/Production!$M$23</f>
        <v>0</v>
      </c>
      <c r="L64" s="18">
        <f>'GHG detailed, only calves'!L64+Production!$M$7*'GHG detailed, mother animal'!L64/Production!$M$23</f>
        <v>0</v>
      </c>
      <c r="M64" s="18">
        <f>'GHG detailed, only calves'!M64+Production!$M$7*'GHG detailed, mother animal'!M64/Production!$M$23</f>
        <v>0</v>
      </c>
      <c r="N64" s="18">
        <f>'GHG detailed, only calves'!N64+Production!$M$7*'GHG detailed, mother animal'!N64/Production!$M$23</f>
        <v>0</v>
      </c>
      <c r="O64" s="18">
        <f>'GHG detailed, only calves'!O64+Production!$M$7*'GHG detailed, mother animal'!O64/Production!$M$23</f>
        <v>0</v>
      </c>
      <c r="P64" s="18">
        <f>'GHG detailed, only calves'!P64+Production!$M$7*'GHG detailed, mother animal'!P64/Production!$M$23</f>
        <v>0</v>
      </c>
      <c r="Q64" s="18">
        <f>'GHG detailed, only calves'!Q64+Production!$M$7*'GHG detailed, mother animal'!Q64/Production!$M$23</f>
        <v>0</v>
      </c>
      <c r="R64" s="18">
        <f>'GHG detailed, only calves'!R64+Production!$M$7*'GHG detailed, mother animal'!R64/Production!$M$23</f>
        <v>0</v>
      </c>
      <c r="S64" s="18">
        <f>'GHG detailed, only calves'!S64+Production!$M$7*'GHG detailed, mother animal'!S64/Production!$M$23</f>
        <v>0.56039751998439291</v>
      </c>
      <c r="T64" s="18">
        <f>'GHG detailed, only calves'!T64+Production!$M$7*'GHG detailed, mother animal'!T64/Production!$M$23</f>
        <v>5.8600381946230649E-2</v>
      </c>
      <c r="U64" s="18">
        <f>'GHG detailed, only calves'!U64+Production!$M$7*'GHG detailed, mother animal'!U64/Production!$M$23</f>
        <v>5.8600381946230649E-2</v>
      </c>
      <c r="V64" s="18">
        <f>'GHG detailed, only calves'!V64+Production!$M$7*'GHG detailed, mother animal'!V64/Production!$M$23</f>
        <v>0</v>
      </c>
      <c r="W64" s="18">
        <f>'GHG detailed, only calves'!W64+Production!$M$7*'GHG detailed, mother animal'!W64/Production!$M$23</f>
        <v>0</v>
      </c>
      <c r="X64" s="18">
        <f>'GHG detailed, only calves'!X64+Production!$M$7*'GHG detailed, mother animal'!X64/Production!$M$23</f>
        <v>0</v>
      </c>
      <c r="Z64" s="32"/>
      <c r="AA64" s="32"/>
    </row>
    <row r="65" spans="1:27" ht="15" thickBot="1" x14ac:dyDescent="0.4">
      <c r="A65" s="11" t="s">
        <v>543</v>
      </c>
      <c r="B65" s="11" t="s">
        <v>546</v>
      </c>
      <c r="C65" s="15" t="s">
        <v>545</v>
      </c>
      <c r="D65" s="16" t="s">
        <v>493</v>
      </c>
      <c r="E65" s="16" t="s">
        <v>495</v>
      </c>
      <c r="F65" s="34" t="s">
        <v>89</v>
      </c>
      <c r="G65" s="17">
        <f>SUM(H65:T65)+W65+X65</f>
        <v>1.5872864898268228E-2</v>
      </c>
      <c r="H65" s="18">
        <f>'GHG detailed, only calves'!H65+Production!$M$7*'GHG detailed, mother animal'!H65/Production!$M$23</f>
        <v>6.8732226107064975E-3</v>
      </c>
      <c r="I65" s="18">
        <f>'GHG detailed, only calves'!I65+Production!$M$7*'GHG detailed, mother animal'!I65/Production!$M$23</f>
        <v>1.2576901826954199E-3</v>
      </c>
      <c r="J65" s="18">
        <f>'GHG detailed, only calves'!J65+Production!$M$7*'GHG detailed, mother animal'!J65/Production!$M$23</f>
        <v>3.5701276862893467E-3</v>
      </c>
      <c r="K65" s="18">
        <f>'GHG detailed, only calves'!K65+Production!$M$7*'GHG detailed, mother animal'!K65/Production!$M$23</f>
        <v>3.5701276862893473E-4</v>
      </c>
      <c r="L65" s="18">
        <f>'GHG detailed, only calves'!L65+Production!$M$7*'GHG detailed, mother animal'!L65/Production!$M$23</f>
        <v>4.3598270756777088E-4</v>
      </c>
      <c r="M65" s="18">
        <f>'GHG detailed, only calves'!M65+Production!$M$7*'GHG detailed, mother animal'!M65/Production!$M$23</f>
        <v>0</v>
      </c>
      <c r="N65" s="18">
        <f>'GHG detailed, only calves'!N65+Production!$M$7*'GHG detailed, mother animal'!N65/Production!$M$23</f>
        <v>6.257884318628197E-7</v>
      </c>
      <c r="O65" s="18">
        <f>'GHG detailed, only calves'!O65+Production!$M$7*'GHG detailed, mother animal'!O65/Production!$M$23</f>
        <v>1.1680803319783487E-6</v>
      </c>
      <c r="P65" s="18">
        <f>'GHG detailed, only calves'!P65+Production!$M$7*'GHG detailed, mother animal'!P65/Production!$M$23</f>
        <v>9.213942443339406E-6</v>
      </c>
      <c r="Q65" s="18">
        <f>'GHG detailed, only calves'!Q65+Production!$M$7*'GHG detailed, mother animal'!Q65/Production!$M$23</f>
        <v>4.0088002182669206E-6</v>
      </c>
      <c r="R65" s="18">
        <f>'GHG detailed, only calves'!R65+Production!$M$7*'GHG detailed, mother animal'!R65/Production!$M$23</f>
        <v>1.8925490920534445E-6</v>
      </c>
      <c r="S65" s="18">
        <f>'GHG detailed, only calves'!S65+Production!$M$7*'GHG detailed, mother animal'!S65/Production!$M$23</f>
        <v>0</v>
      </c>
      <c r="T65" s="18">
        <f>'GHG detailed, only calves'!T65+Production!$M$7*'GHG detailed, mother animal'!T65/Production!$M$23</f>
        <v>3.3322026148372885E-3</v>
      </c>
      <c r="U65" s="18">
        <f>'GHG detailed, only calves'!U65+Production!$M$7*'GHG detailed, mother animal'!U65/Production!$M$23</f>
        <v>2.0286298324801526E-3</v>
      </c>
      <c r="V65" s="18">
        <f>'GHG detailed, only calves'!V65+Production!$M$7*'GHG detailed, mother animal'!V65/Production!$M$23</f>
        <v>1.3035727823571361E-3</v>
      </c>
      <c r="W65" s="18">
        <f>'GHG detailed, only calves'!W65+Production!$M$7*'GHG detailed, mother animal'!W65/Production!$M$23</f>
        <v>2.8631716440343921E-5</v>
      </c>
      <c r="X65" s="18">
        <f>'GHG detailed, only calves'!X65+Production!$M$7*'GHG detailed, mother animal'!X65/Production!$M$23</f>
        <v>1.0854505851271246E-6</v>
      </c>
    </row>
    <row r="66" spans="1:27" ht="15" thickTop="1" x14ac:dyDescent="0.35">
      <c r="A66" s="125" t="s">
        <v>543</v>
      </c>
      <c r="B66" s="125" t="s">
        <v>546</v>
      </c>
      <c r="C66" s="126" t="s">
        <v>545</v>
      </c>
      <c r="D66" s="127" t="s">
        <v>493</v>
      </c>
      <c r="E66" s="127" t="s">
        <v>495</v>
      </c>
      <c r="F66" s="128" t="s">
        <v>90</v>
      </c>
      <c r="G66" s="364">
        <f t="shared" ref="G66" si="1">SUM(H66:X66)</f>
        <v>24.381451616183266</v>
      </c>
      <c r="H66" s="365">
        <f>SUMPRODUCT(H62:H65,'Parameters, general'!$B$23:$B$26)</f>
        <v>2.8461323293363714</v>
      </c>
      <c r="I66" s="129">
        <f>SUMPRODUCT(I62:I65,'Parameters, general'!$B$23:$B$26)</f>
        <v>1.0184809277744413</v>
      </c>
      <c r="J66" s="129">
        <f>SUMPRODUCT(J62:J65,'Parameters, general'!$B$23:$B$26)</f>
        <v>0.97464485835699166</v>
      </c>
      <c r="K66" s="129">
        <f>SUMPRODUCT(K62:K65,'Parameters, general'!$B$23:$B$26)</f>
        <v>9.746448583569918E-2</v>
      </c>
      <c r="L66" s="129">
        <f>SUMPRODUCT(L62:L65,'Parameters, general'!$B$23:$B$26)</f>
        <v>0.52146105760863648</v>
      </c>
      <c r="M66" s="129">
        <f>SUMPRODUCT(M62:M65,'Parameters, general'!$B$23:$B$26)</f>
        <v>0</v>
      </c>
      <c r="N66" s="129">
        <f>SUMPRODUCT(N62:N65,'Parameters, general'!$B$23:$B$26)</f>
        <v>1.7292507401470786E-2</v>
      </c>
      <c r="O66" s="129">
        <f>SUMPRODUCT(O62:O65,'Parameters, general'!$B$23:$B$26)</f>
        <v>0.29363435882172945</v>
      </c>
      <c r="P66" s="129">
        <f>SUMPRODUCT(P62:P65,'Parameters, general'!$B$23:$B$26)</f>
        <v>1.2229914352824714E-2</v>
      </c>
      <c r="Q66" s="129">
        <f>SUMPRODUCT(Q62:Q65,'Parameters, general'!$B$23:$B$26)</f>
        <v>1.6798316796749115E-2</v>
      </c>
      <c r="R66" s="129">
        <f>SUMPRODUCT(R62:R65,'Parameters, general'!$B$23:$B$26)</f>
        <v>1.0917361671081684E-2</v>
      </c>
      <c r="S66" s="129">
        <f>SUMPRODUCT(S62:S65,'Parameters, general'!$B$23:$B$26)</f>
        <v>15.130733039578608</v>
      </c>
      <c r="T66" s="129">
        <f>SUMPRODUCT(T62:T65,'Parameters, general'!$B$23:$B$26)</f>
        <v>2.4919016263988074</v>
      </c>
      <c r="U66" s="129"/>
      <c r="V66" s="129"/>
      <c r="W66" s="129">
        <f>SUMPRODUCT(W62:W65,'Parameters, general'!$B$23:$B$26)</f>
        <v>0.91944655390204755</v>
      </c>
      <c r="X66" s="129">
        <f>SUMPRODUCT(X62:X65,'Parameters, general'!$B$23:$B$26)</f>
        <v>3.0314278347806367E-2</v>
      </c>
      <c r="Z66" s="103">
        <f>SUM(H66:R66)</f>
        <v>5.8090561179559961</v>
      </c>
      <c r="AA66" s="366">
        <f>'CO2 per kg feed'!F185+'CH4 per kg feed'!F185*CF_GWP_CH4_fossil+'N2O per kg feed'!F185*CF_GWP_N2O</f>
        <v>0.65557037552321695</v>
      </c>
    </row>
    <row r="67" spans="1:27" x14ac:dyDescent="0.35">
      <c r="T67" s="42"/>
      <c r="U67" s="42"/>
    </row>
    <row r="68" spans="1:27" x14ac:dyDescent="0.35">
      <c r="T68" s="42"/>
      <c r="U68" s="42"/>
    </row>
    <row r="69" spans="1:27" x14ac:dyDescent="0.35">
      <c r="T69" s="42"/>
      <c r="U69" s="42"/>
    </row>
    <row r="70" spans="1:27" x14ac:dyDescent="0.35">
      <c r="T70" s="42"/>
      <c r="U70" s="42"/>
    </row>
    <row r="71" spans="1:27" x14ac:dyDescent="0.35">
      <c r="T71" s="42"/>
      <c r="U71" s="42"/>
    </row>
    <row r="72" spans="1:27" x14ac:dyDescent="0.35">
      <c r="T72" s="42"/>
      <c r="U72" s="42"/>
    </row>
    <row r="73" spans="1:27" x14ac:dyDescent="0.35">
      <c r="T73" s="42"/>
      <c r="U73" s="42"/>
    </row>
    <row r="74" spans="1:27" x14ac:dyDescent="0.35">
      <c r="T74" s="42"/>
      <c r="U74" s="42"/>
    </row>
    <row r="75" spans="1:27" x14ac:dyDescent="0.35">
      <c r="T75" s="42"/>
      <c r="U75" s="42"/>
    </row>
    <row r="76" spans="1:27" x14ac:dyDescent="0.35">
      <c r="T76" s="42"/>
      <c r="U76" s="42"/>
    </row>
    <row r="77" spans="1:27" x14ac:dyDescent="0.35">
      <c r="T77" s="42"/>
      <c r="U77" s="42"/>
    </row>
    <row r="78" spans="1:27" x14ac:dyDescent="0.35">
      <c r="T78" s="42"/>
      <c r="U78" s="42"/>
    </row>
    <row r="79" spans="1:27" x14ac:dyDescent="0.35">
      <c r="T79" s="42"/>
      <c r="U79" s="42"/>
    </row>
    <row r="80" spans="1:27" x14ac:dyDescent="0.35">
      <c r="T80" s="42"/>
      <c r="U80" s="42"/>
    </row>
    <row r="81" spans="20:21" x14ac:dyDescent="0.35">
      <c r="T81" s="42"/>
      <c r="U81" s="42"/>
    </row>
    <row r="82" spans="20:21" x14ac:dyDescent="0.35">
      <c r="T82" s="42"/>
      <c r="U82" s="42"/>
    </row>
    <row r="83" spans="20:21" x14ac:dyDescent="0.35">
      <c r="T83" s="42"/>
      <c r="U83" s="42"/>
    </row>
    <row r="84" spans="20:21" x14ac:dyDescent="0.35">
      <c r="T84" s="42"/>
      <c r="U84" s="42"/>
    </row>
    <row r="85" spans="20:21" x14ac:dyDescent="0.35">
      <c r="T85" s="42"/>
      <c r="U85" s="42"/>
    </row>
    <row r="86" spans="20:21" x14ac:dyDescent="0.35">
      <c r="T86" s="42"/>
      <c r="U86" s="42"/>
    </row>
    <row r="87" spans="20:21" x14ac:dyDescent="0.35">
      <c r="T87" s="42"/>
      <c r="U87" s="42"/>
    </row>
    <row r="88" spans="20:21" x14ac:dyDescent="0.35">
      <c r="T88" s="42"/>
      <c r="U88" s="42"/>
    </row>
    <row r="89" spans="20:21" x14ac:dyDescent="0.35">
      <c r="T89" s="42"/>
      <c r="U89" s="42"/>
    </row>
    <row r="90" spans="20:21" x14ac:dyDescent="0.35">
      <c r="T90" s="42"/>
      <c r="U90" s="42"/>
    </row>
    <row r="91" spans="20:21" x14ac:dyDescent="0.35">
      <c r="T91" s="42"/>
      <c r="U91" s="42"/>
    </row>
    <row r="92" spans="20:21" x14ac:dyDescent="0.35">
      <c r="T92" s="42"/>
      <c r="U92" s="42"/>
    </row>
    <row r="93" spans="20:21" x14ac:dyDescent="0.35">
      <c r="T93" s="42"/>
      <c r="U93" s="42"/>
    </row>
    <row r="94" spans="20:21" x14ac:dyDescent="0.35">
      <c r="T94" s="42"/>
      <c r="U94" s="42"/>
    </row>
    <row r="95" spans="20:21" x14ac:dyDescent="0.35">
      <c r="T95" s="42"/>
      <c r="U95" s="42"/>
    </row>
    <row r="96" spans="20:21" x14ac:dyDescent="0.35">
      <c r="T96" s="42"/>
      <c r="U96" s="42"/>
    </row>
    <row r="97" spans="20:21" x14ac:dyDescent="0.35">
      <c r="T97" s="42"/>
      <c r="U97" s="42"/>
    </row>
    <row r="98" spans="20:21" x14ac:dyDescent="0.35">
      <c r="T98" s="42"/>
      <c r="U98" s="42"/>
    </row>
    <row r="99" spans="20:21" x14ac:dyDescent="0.35">
      <c r="T99" s="42"/>
      <c r="U99" s="42"/>
    </row>
    <row r="100" spans="20:21" x14ac:dyDescent="0.35">
      <c r="T100" s="42"/>
      <c r="U100" s="42"/>
    </row>
    <row r="101" spans="20:21" x14ac:dyDescent="0.35">
      <c r="T101" s="42"/>
      <c r="U101" s="42"/>
    </row>
    <row r="102" spans="20:21" x14ac:dyDescent="0.35">
      <c r="T102" s="42"/>
      <c r="U102" s="42"/>
    </row>
    <row r="103" spans="20:21" x14ac:dyDescent="0.35">
      <c r="T103" s="42"/>
      <c r="U103" s="42"/>
    </row>
    <row r="104" spans="20:21" x14ac:dyDescent="0.35">
      <c r="T104" s="42"/>
      <c r="U104" s="42"/>
    </row>
    <row r="105" spans="20:21" x14ac:dyDescent="0.35">
      <c r="T105" s="42"/>
      <c r="U105" s="42"/>
    </row>
    <row r="106" spans="20:21" x14ac:dyDescent="0.35">
      <c r="T106" s="42"/>
      <c r="U106" s="42"/>
    </row>
    <row r="107" spans="20:21" x14ac:dyDescent="0.35">
      <c r="T107" s="42"/>
      <c r="U107" s="42"/>
    </row>
    <row r="108" spans="20:21" x14ac:dyDescent="0.35">
      <c r="T108" s="42"/>
      <c r="U108" s="42"/>
    </row>
    <row r="109" spans="20:21" x14ac:dyDescent="0.35">
      <c r="T109" s="42"/>
      <c r="U109" s="42"/>
    </row>
    <row r="110" spans="20:21" x14ac:dyDescent="0.35">
      <c r="T110" s="42"/>
      <c r="U110" s="42"/>
    </row>
    <row r="111" spans="20:21" x14ac:dyDescent="0.35">
      <c r="T111" s="42"/>
      <c r="U111" s="42"/>
    </row>
    <row r="112" spans="20:21" x14ac:dyDescent="0.35">
      <c r="T112" s="42"/>
      <c r="U112" s="42"/>
    </row>
    <row r="113" spans="20:21" x14ac:dyDescent="0.35">
      <c r="T113" s="42"/>
      <c r="U113" s="42"/>
    </row>
    <row r="114" spans="20:21" x14ac:dyDescent="0.35">
      <c r="T114" s="42"/>
      <c r="U114" s="42"/>
    </row>
    <row r="115" spans="20:21" x14ac:dyDescent="0.35">
      <c r="T115" s="42"/>
      <c r="U115" s="42"/>
    </row>
    <row r="116" spans="20:21" x14ac:dyDescent="0.35">
      <c r="T116" s="42"/>
      <c r="U116" s="42"/>
    </row>
    <row r="117" spans="20:21" x14ac:dyDescent="0.35">
      <c r="T117" s="42"/>
      <c r="U117" s="42"/>
    </row>
    <row r="118" spans="20:21" x14ac:dyDescent="0.35">
      <c r="T118" s="42"/>
      <c r="U118" s="42"/>
    </row>
    <row r="119" spans="20:21" x14ac:dyDescent="0.35">
      <c r="T119" s="42"/>
      <c r="U119" s="42"/>
    </row>
    <row r="120" spans="20:21" x14ac:dyDescent="0.35">
      <c r="T120" s="42"/>
      <c r="U120" s="42"/>
    </row>
    <row r="121" spans="20:21" x14ac:dyDescent="0.35">
      <c r="T121" s="42"/>
      <c r="U121" s="42"/>
    </row>
    <row r="122" spans="20:21" x14ac:dyDescent="0.35">
      <c r="T122" s="42"/>
      <c r="U122" s="42"/>
    </row>
    <row r="123" spans="20:21" x14ac:dyDescent="0.35">
      <c r="T123" s="42"/>
      <c r="U123" s="42"/>
    </row>
    <row r="124" spans="20:21" x14ac:dyDescent="0.35">
      <c r="T124" s="42"/>
      <c r="U124" s="42"/>
    </row>
    <row r="125" spans="20:21" x14ac:dyDescent="0.35">
      <c r="T125" s="42"/>
      <c r="U125" s="42"/>
    </row>
    <row r="126" spans="20:21" x14ac:dyDescent="0.35">
      <c r="T126" s="42"/>
      <c r="U126" s="42"/>
    </row>
    <row r="127" spans="20:21" x14ac:dyDescent="0.35">
      <c r="T127" s="42"/>
      <c r="U127" s="42"/>
    </row>
    <row r="128" spans="20:21" x14ac:dyDescent="0.35">
      <c r="T128" s="42"/>
      <c r="U128" s="42"/>
    </row>
    <row r="129" spans="20:21" x14ac:dyDescent="0.35">
      <c r="T129" s="42"/>
      <c r="U129" s="42"/>
    </row>
    <row r="130" spans="20:21" x14ac:dyDescent="0.35">
      <c r="T130" s="42"/>
      <c r="U130" s="42"/>
    </row>
    <row r="131" spans="20:21" x14ac:dyDescent="0.35">
      <c r="T131" s="42"/>
      <c r="U131" s="42"/>
    </row>
    <row r="132" spans="20:21" x14ac:dyDescent="0.35">
      <c r="T132" s="42"/>
      <c r="U132" s="42"/>
    </row>
    <row r="133" spans="20:21" x14ac:dyDescent="0.35">
      <c r="T133" s="42"/>
      <c r="U133" s="42"/>
    </row>
    <row r="134" spans="20:21" x14ac:dyDescent="0.35">
      <c r="T134" s="42"/>
      <c r="U134" s="42"/>
    </row>
    <row r="135" spans="20:21" x14ac:dyDescent="0.35">
      <c r="T135" s="42"/>
      <c r="U135" s="42"/>
    </row>
    <row r="136" spans="20:21" x14ac:dyDescent="0.35">
      <c r="T136" s="42"/>
      <c r="U136" s="42"/>
    </row>
    <row r="137" spans="20:21" x14ac:dyDescent="0.35">
      <c r="T137" s="42"/>
      <c r="U137" s="42"/>
    </row>
    <row r="138" spans="20:21" x14ac:dyDescent="0.35">
      <c r="T138" s="42"/>
      <c r="U138" s="42"/>
    </row>
    <row r="139" spans="20:21" x14ac:dyDescent="0.35">
      <c r="T139" s="42"/>
      <c r="U139" s="42"/>
    </row>
    <row r="140" spans="20:21" x14ac:dyDescent="0.35">
      <c r="T140" s="42"/>
      <c r="U140" s="42"/>
    </row>
    <row r="141" spans="20:21" x14ac:dyDescent="0.35">
      <c r="T141" s="42"/>
      <c r="U141" s="42"/>
    </row>
    <row r="142" spans="20:21" x14ac:dyDescent="0.35">
      <c r="T142" s="42"/>
      <c r="U142" s="42"/>
    </row>
    <row r="143" spans="20:21" x14ac:dyDescent="0.35">
      <c r="T143" s="42"/>
      <c r="U143" s="42"/>
    </row>
    <row r="144" spans="20:21" x14ac:dyDescent="0.35">
      <c r="T144" s="42"/>
      <c r="U144" s="42"/>
    </row>
    <row r="145" spans="20:21" x14ac:dyDescent="0.35">
      <c r="T145" s="42"/>
      <c r="U145" s="42"/>
    </row>
    <row r="146" spans="20:21" x14ac:dyDescent="0.35">
      <c r="T146" s="42"/>
      <c r="U146" s="42"/>
    </row>
    <row r="147" spans="20:21" x14ac:dyDescent="0.35">
      <c r="T147" s="42"/>
      <c r="U147" s="42"/>
    </row>
    <row r="148" spans="20:21" x14ac:dyDescent="0.35">
      <c r="T148" s="42"/>
      <c r="U148" s="42"/>
    </row>
    <row r="149" spans="20:21" x14ac:dyDescent="0.35">
      <c r="T149" s="42"/>
      <c r="U149" s="42"/>
    </row>
    <row r="150" spans="20:21" x14ac:dyDescent="0.35">
      <c r="T150" s="42"/>
      <c r="U150" s="42"/>
    </row>
    <row r="151" spans="20:21" x14ac:dyDescent="0.35">
      <c r="T151" s="42"/>
      <c r="U151" s="42"/>
    </row>
    <row r="152" spans="20:21" x14ac:dyDescent="0.35">
      <c r="T152" s="42"/>
      <c r="U152" s="42"/>
    </row>
    <row r="153" spans="20:21" x14ac:dyDescent="0.35">
      <c r="T153" s="42"/>
      <c r="U153" s="42"/>
    </row>
    <row r="154" spans="20:21" x14ac:dyDescent="0.35">
      <c r="T154" s="42"/>
      <c r="U154" s="42"/>
    </row>
    <row r="155" spans="20:21" x14ac:dyDescent="0.35">
      <c r="T155" s="42"/>
      <c r="U155" s="42"/>
    </row>
    <row r="156" spans="20:21" x14ac:dyDescent="0.35">
      <c r="T156" s="42"/>
      <c r="U156" s="42"/>
    </row>
    <row r="157" spans="20:21" x14ac:dyDescent="0.35">
      <c r="T157" s="42"/>
      <c r="U157" s="42"/>
    </row>
    <row r="158" spans="20:21" x14ac:dyDescent="0.35">
      <c r="T158" s="42"/>
      <c r="U158" s="42"/>
    </row>
    <row r="159" spans="20:21" x14ac:dyDescent="0.35">
      <c r="T159" s="42"/>
      <c r="U159" s="42"/>
    </row>
    <row r="160" spans="20:21" x14ac:dyDescent="0.35">
      <c r="T160" s="42"/>
      <c r="U160" s="42"/>
    </row>
    <row r="161" spans="20:21" x14ac:dyDescent="0.35">
      <c r="T161" s="42"/>
      <c r="U161" s="42"/>
    </row>
    <row r="162" spans="20:21" x14ac:dyDescent="0.35">
      <c r="T162" s="42"/>
      <c r="U162" s="42"/>
    </row>
    <row r="163" spans="20:21" x14ac:dyDescent="0.35">
      <c r="T163" s="42"/>
      <c r="U163" s="42"/>
    </row>
    <row r="164" spans="20:21" x14ac:dyDescent="0.35">
      <c r="T164" s="42"/>
      <c r="U164" s="42"/>
    </row>
    <row r="165" spans="20:21" x14ac:dyDescent="0.35">
      <c r="T165" s="42"/>
      <c r="U165" s="42"/>
    </row>
    <row r="166" spans="20:21" x14ac:dyDescent="0.35">
      <c r="T166" s="42"/>
      <c r="U166" s="42"/>
    </row>
    <row r="167" spans="20:21" x14ac:dyDescent="0.35">
      <c r="T167" s="42"/>
      <c r="U167" s="42"/>
    </row>
    <row r="168" spans="20:21" x14ac:dyDescent="0.35">
      <c r="T168" s="42"/>
      <c r="U168" s="42"/>
    </row>
    <row r="169" spans="20:21" x14ac:dyDescent="0.35">
      <c r="T169" s="42"/>
      <c r="U169" s="42"/>
    </row>
    <row r="170" spans="20:21" x14ac:dyDescent="0.35">
      <c r="T170" s="42"/>
      <c r="U170" s="42"/>
    </row>
    <row r="171" spans="20:21" x14ac:dyDescent="0.35">
      <c r="T171" s="42"/>
      <c r="U171" s="42"/>
    </row>
    <row r="172" spans="20:21" x14ac:dyDescent="0.35">
      <c r="T172" s="42"/>
      <c r="U172" s="42"/>
    </row>
    <row r="173" spans="20:21" x14ac:dyDescent="0.35">
      <c r="T173" s="42"/>
      <c r="U173" s="42"/>
    </row>
    <row r="174" spans="20:21" x14ac:dyDescent="0.35">
      <c r="T174" s="42"/>
      <c r="U174" s="42"/>
    </row>
    <row r="175" spans="20:21" x14ac:dyDescent="0.35">
      <c r="T175" s="42"/>
      <c r="U175" s="42"/>
    </row>
    <row r="176" spans="20:21" x14ac:dyDescent="0.35">
      <c r="T176" s="42"/>
      <c r="U176" s="42"/>
    </row>
    <row r="177" spans="20:21" x14ac:dyDescent="0.35">
      <c r="T177" s="42"/>
      <c r="U177" s="42"/>
    </row>
    <row r="178" spans="20:21" x14ac:dyDescent="0.35">
      <c r="T178" s="42"/>
      <c r="U178" s="42"/>
    </row>
    <row r="179" spans="20:21" x14ac:dyDescent="0.35">
      <c r="T179" s="42"/>
      <c r="U179" s="42"/>
    </row>
    <row r="180" spans="20:21" x14ac:dyDescent="0.35">
      <c r="T180" s="42"/>
      <c r="U180" s="42"/>
    </row>
    <row r="181" spans="20:21" x14ac:dyDescent="0.35">
      <c r="T181" s="42"/>
      <c r="U181" s="42"/>
    </row>
    <row r="182" spans="20:21" x14ac:dyDescent="0.35">
      <c r="T182" s="42"/>
      <c r="U182" s="42"/>
    </row>
    <row r="183" spans="20:21" x14ac:dyDescent="0.35">
      <c r="T183" s="42"/>
      <c r="U183" s="42"/>
    </row>
    <row r="184" spans="20:21" x14ac:dyDescent="0.35">
      <c r="T184" s="42"/>
      <c r="U184" s="42"/>
    </row>
    <row r="185" spans="20:21" x14ac:dyDescent="0.35">
      <c r="T185" s="42"/>
      <c r="U185" s="42"/>
    </row>
    <row r="186" spans="20:21" x14ac:dyDescent="0.35">
      <c r="T186" s="42"/>
      <c r="U186" s="42"/>
    </row>
    <row r="187" spans="20:21" x14ac:dyDescent="0.35">
      <c r="T187" s="42"/>
      <c r="U187" s="42"/>
    </row>
    <row r="188" spans="20:21" x14ac:dyDescent="0.35">
      <c r="T188" s="42"/>
      <c r="U188" s="42"/>
    </row>
    <row r="189" spans="20:21" x14ac:dyDescent="0.35">
      <c r="T189" s="42"/>
      <c r="U189" s="42"/>
    </row>
    <row r="190" spans="20:21" x14ac:dyDescent="0.35">
      <c r="T190" s="42"/>
      <c r="U190" s="42"/>
    </row>
    <row r="191" spans="20:21" x14ac:dyDescent="0.35">
      <c r="T191" s="42"/>
      <c r="U191" s="42"/>
    </row>
    <row r="192" spans="20:21" x14ac:dyDescent="0.35">
      <c r="T192" s="42"/>
      <c r="U192" s="42"/>
    </row>
    <row r="193" spans="20:21" x14ac:dyDescent="0.35">
      <c r="T193" s="42"/>
      <c r="U193" s="42"/>
    </row>
    <row r="194" spans="20:21" x14ac:dyDescent="0.35">
      <c r="T194" s="42"/>
      <c r="U194" s="42"/>
    </row>
    <row r="195" spans="20:21" x14ac:dyDescent="0.35">
      <c r="T195" s="42"/>
      <c r="U195" s="42"/>
    </row>
    <row r="196" spans="20:21" x14ac:dyDescent="0.35">
      <c r="T196" s="42"/>
      <c r="U196" s="42"/>
    </row>
    <row r="197" spans="20:21" x14ac:dyDescent="0.35">
      <c r="T197" s="42"/>
      <c r="U197" s="42"/>
    </row>
    <row r="198" spans="20:21" x14ac:dyDescent="0.35">
      <c r="T198" s="42"/>
      <c r="U198" s="42"/>
    </row>
    <row r="199" spans="20:21" x14ac:dyDescent="0.35">
      <c r="T199" s="42"/>
      <c r="U199" s="42"/>
    </row>
    <row r="200" spans="20:21" x14ac:dyDescent="0.35">
      <c r="T200" s="42"/>
      <c r="U200" s="42"/>
    </row>
    <row r="201" spans="20:21" x14ac:dyDescent="0.35">
      <c r="T201" s="42"/>
      <c r="U201" s="42"/>
    </row>
    <row r="202" spans="20:21" x14ac:dyDescent="0.35">
      <c r="T202" s="42"/>
      <c r="U202" s="42"/>
    </row>
    <row r="203" spans="20:21" x14ac:dyDescent="0.35">
      <c r="T203" s="42"/>
      <c r="U203" s="42"/>
    </row>
    <row r="204" spans="20:21" x14ac:dyDescent="0.35">
      <c r="T204" s="42"/>
      <c r="U204" s="42"/>
    </row>
    <row r="205" spans="20:21" x14ac:dyDescent="0.35">
      <c r="T205" s="42"/>
      <c r="U205" s="42"/>
    </row>
    <row r="206" spans="20:21" x14ac:dyDescent="0.35">
      <c r="T206" s="42"/>
      <c r="U206" s="42"/>
    </row>
    <row r="207" spans="20:21" x14ac:dyDescent="0.35">
      <c r="T207" s="42"/>
      <c r="U207" s="42"/>
    </row>
    <row r="208" spans="20:21" x14ac:dyDescent="0.35">
      <c r="T208" s="42"/>
      <c r="U208" s="42"/>
    </row>
    <row r="209" spans="20:21" x14ac:dyDescent="0.35">
      <c r="T209" s="42"/>
      <c r="U209" s="42"/>
    </row>
    <row r="210" spans="20:21" x14ac:dyDescent="0.35">
      <c r="T210" s="42"/>
      <c r="U210" s="42"/>
    </row>
    <row r="211" spans="20:21" x14ac:dyDescent="0.35">
      <c r="T211" s="42"/>
      <c r="U211" s="42"/>
    </row>
    <row r="212" spans="20:21" x14ac:dyDescent="0.35">
      <c r="T212" s="42"/>
      <c r="U212" s="42"/>
    </row>
    <row r="213" spans="20:21" x14ac:dyDescent="0.35">
      <c r="T213" s="42"/>
      <c r="U213" s="42"/>
    </row>
    <row r="214" spans="20:21" x14ac:dyDescent="0.35">
      <c r="T214" s="42"/>
      <c r="U214" s="42"/>
    </row>
    <row r="215" spans="20:21" x14ac:dyDescent="0.35">
      <c r="T215" s="42"/>
      <c r="U215" s="42"/>
    </row>
    <row r="216" spans="20:21" x14ac:dyDescent="0.35">
      <c r="T216" s="42"/>
      <c r="U216" s="42"/>
    </row>
    <row r="217" spans="20:21" x14ac:dyDescent="0.35">
      <c r="T217" s="42"/>
      <c r="U217" s="42"/>
    </row>
    <row r="218" spans="20:21" x14ac:dyDescent="0.35">
      <c r="T218" s="42"/>
      <c r="U218" s="42"/>
    </row>
    <row r="219" spans="20:21" x14ac:dyDescent="0.35">
      <c r="T219" s="42"/>
      <c r="U219" s="42"/>
    </row>
    <row r="220" spans="20:21" x14ac:dyDescent="0.35">
      <c r="T220" s="42"/>
      <c r="U220" s="42"/>
    </row>
    <row r="221" spans="20:21" x14ac:dyDescent="0.35">
      <c r="T221" s="42"/>
      <c r="U221" s="42"/>
    </row>
    <row r="222" spans="20:21" x14ac:dyDescent="0.35">
      <c r="T222" s="42"/>
      <c r="U222" s="42"/>
    </row>
    <row r="223" spans="20:21" x14ac:dyDescent="0.35">
      <c r="T223" s="42"/>
      <c r="U223" s="42"/>
    </row>
    <row r="224" spans="20:21" x14ac:dyDescent="0.35">
      <c r="T224" s="42"/>
      <c r="U224" s="42"/>
    </row>
    <row r="225" spans="20:21" x14ac:dyDescent="0.35">
      <c r="T225" s="42"/>
      <c r="U225" s="42"/>
    </row>
    <row r="226" spans="20:21" x14ac:dyDescent="0.35">
      <c r="T226" s="42"/>
      <c r="U226" s="42"/>
    </row>
    <row r="227" spans="20:21" x14ac:dyDescent="0.35">
      <c r="T227" s="42"/>
      <c r="U227" s="42"/>
    </row>
    <row r="228" spans="20:21" x14ac:dyDescent="0.35">
      <c r="T228" s="42"/>
      <c r="U228" s="42"/>
    </row>
    <row r="229" spans="20:21" x14ac:dyDescent="0.35">
      <c r="T229" s="42"/>
      <c r="U229" s="42"/>
    </row>
    <row r="230" spans="20:21" x14ac:dyDescent="0.35">
      <c r="T230" s="42"/>
      <c r="U230" s="42"/>
    </row>
    <row r="231" spans="20:21" x14ac:dyDescent="0.35">
      <c r="T231" s="42"/>
      <c r="U231" s="42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EBC17-2EF5-413B-ABFE-A358F32DDB08}">
  <sheetPr>
    <tabColor theme="3" tint="0.59999389629810485"/>
  </sheetPr>
  <dimension ref="A2:U20"/>
  <sheetViews>
    <sheetView zoomScaleNormal="100" workbookViewId="0">
      <selection activeCell="L7" sqref="L7"/>
    </sheetView>
  </sheetViews>
  <sheetFormatPr defaultColWidth="8.7265625" defaultRowHeight="14.5" x14ac:dyDescent="0.35"/>
  <cols>
    <col min="1" max="1" width="15.7265625" style="29" customWidth="1"/>
    <col min="2" max="2" width="17.54296875" customWidth="1"/>
    <col min="3" max="3" width="8.81640625" customWidth="1"/>
    <col min="4" max="4" width="12.7265625" customWidth="1"/>
    <col min="5" max="5" width="8.453125" customWidth="1"/>
    <col min="6" max="11" width="10.453125" customWidth="1"/>
    <col min="12" max="13" width="14.7265625" customWidth="1"/>
    <col min="14" max="14" width="14.7265625" style="11" customWidth="1"/>
    <col min="15" max="18" width="14.7265625" customWidth="1"/>
    <col min="19" max="19" width="8.54296875" customWidth="1"/>
    <col min="20" max="20" width="15.7265625" customWidth="1"/>
    <col min="21" max="21" width="18.453125" customWidth="1"/>
  </cols>
  <sheetData>
    <row r="2" spans="1:21" ht="21" x14ac:dyDescent="0.5">
      <c r="A2" s="58" t="s">
        <v>593</v>
      </c>
      <c r="M2" s="160"/>
      <c r="T2" t="s">
        <v>275</v>
      </c>
    </row>
    <row r="3" spans="1:21" x14ac:dyDescent="0.35">
      <c r="L3" s="6"/>
      <c r="P3" s="6"/>
      <c r="R3" s="6"/>
      <c r="S3" s="7"/>
      <c r="T3" s="7"/>
      <c r="U3" s="7"/>
    </row>
    <row r="4" spans="1:21" x14ac:dyDescent="0.35">
      <c r="A4" s="511"/>
      <c r="B4" s="512"/>
      <c r="C4" s="512"/>
      <c r="D4" s="512"/>
      <c r="E4" s="512"/>
      <c r="F4" s="512"/>
      <c r="G4" s="512"/>
      <c r="H4" s="512"/>
      <c r="I4" s="512"/>
      <c r="J4" s="512"/>
      <c r="K4" s="512"/>
      <c r="L4" s="512"/>
      <c r="M4" s="512"/>
      <c r="N4" s="513"/>
      <c r="O4" s="512"/>
      <c r="P4" s="514"/>
      <c r="Q4" s="512"/>
      <c r="R4" s="514"/>
      <c r="S4" s="515"/>
      <c r="T4" s="515"/>
      <c r="U4" s="515"/>
    </row>
    <row r="5" spans="1:21" x14ac:dyDescent="0.35">
      <c r="A5" s="527" t="s">
        <v>5</v>
      </c>
      <c r="B5" s="528"/>
      <c r="C5" s="528"/>
      <c r="D5" s="529"/>
      <c r="E5" s="529"/>
      <c r="F5" s="530" t="s">
        <v>6</v>
      </c>
      <c r="G5" s="529"/>
      <c r="H5" s="529"/>
      <c r="I5" s="529"/>
      <c r="J5" s="529"/>
      <c r="K5" s="529"/>
      <c r="L5" s="531" t="s">
        <v>7</v>
      </c>
      <c r="M5" s="531" t="s">
        <v>238</v>
      </c>
      <c r="N5" s="531" t="s">
        <v>8</v>
      </c>
      <c r="O5" s="531" t="s">
        <v>9</v>
      </c>
      <c r="P5" s="532" t="s">
        <v>10</v>
      </c>
      <c r="Q5" s="532" t="s">
        <v>11</v>
      </c>
      <c r="R5" s="532" t="s">
        <v>12</v>
      </c>
      <c r="S5" s="532" t="s">
        <v>13</v>
      </c>
      <c r="T5" s="533" t="s">
        <v>273</v>
      </c>
      <c r="U5" s="533" t="s">
        <v>274</v>
      </c>
    </row>
    <row r="6" spans="1:21" s="8" customFormat="1" ht="58" x14ac:dyDescent="0.35">
      <c r="A6" s="516" t="s">
        <v>14</v>
      </c>
      <c r="B6" s="517" t="s">
        <v>15</v>
      </c>
      <c r="C6" s="517" t="s">
        <v>16</v>
      </c>
      <c r="D6" s="518" t="s">
        <v>17</v>
      </c>
      <c r="E6" s="519" t="s">
        <v>18</v>
      </c>
      <c r="F6" s="520" t="s">
        <v>19</v>
      </c>
      <c r="G6" s="521" t="s">
        <v>20</v>
      </c>
      <c r="H6" s="520" t="s">
        <v>21</v>
      </c>
      <c r="I6" s="520" t="s">
        <v>22</v>
      </c>
      <c r="J6" s="520" t="s">
        <v>23</v>
      </c>
      <c r="K6" s="521" t="s">
        <v>24</v>
      </c>
      <c r="L6" s="522" t="s">
        <v>25</v>
      </c>
      <c r="M6" s="522" t="s">
        <v>26</v>
      </c>
      <c r="N6" s="522" t="s">
        <v>27</v>
      </c>
      <c r="O6" s="523" t="s">
        <v>28</v>
      </c>
      <c r="P6" s="524" t="s">
        <v>29</v>
      </c>
      <c r="Q6" s="525" t="s">
        <v>30</v>
      </c>
      <c r="R6" s="525" t="s">
        <v>31</v>
      </c>
      <c r="S6" s="525" t="s">
        <v>32</v>
      </c>
      <c r="T6" s="526" t="s">
        <v>33</v>
      </c>
      <c r="U6" s="526" t="s">
        <v>272</v>
      </c>
    </row>
    <row r="7" spans="1:21" x14ac:dyDescent="0.35">
      <c r="A7" s="11" t="s">
        <v>592</v>
      </c>
      <c r="B7" s="11" t="s">
        <v>513</v>
      </c>
      <c r="C7" s="15" t="s">
        <v>514</v>
      </c>
      <c r="D7" t="s">
        <v>34</v>
      </c>
      <c r="E7" t="s">
        <v>35</v>
      </c>
      <c r="F7" s="10">
        <f>'GHG detailed, only calves'!G11</f>
        <v>23.272929158778314</v>
      </c>
      <c r="G7" s="10">
        <f>'GHG detailed, only calves'!G7</f>
        <v>3.1189918560704597</v>
      </c>
      <c r="H7" s="99">
        <f>'GHG detailed, only calves'!G8</f>
        <v>1.4875792224190372E-2</v>
      </c>
      <c r="I7" s="42">
        <f>'GHG detailed, only calves'!G9</f>
        <v>0.60498101485405442</v>
      </c>
      <c r="J7" s="42">
        <f>'GHG detailed, only calves'!G10</f>
        <v>1.2366854554459765E-2</v>
      </c>
      <c r="L7" s="17">
        <f>(Production!$B$5*'Parameters, country spec'!$B$51*'EFP per kg feed'!F20+(Production!$B$6+Production!$B$7)*'Parameters, country spec'!$B$52*'EFP per kg feed'!F21)/Production!$B$23</f>
        <v>17.264741463078931</v>
      </c>
      <c r="M7" s="289">
        <f>(Production!$B$5*'Parameters, country spec'!$B$51*'EFP per kg feed'!G20+(Production!$B$6+Production!$B$7)*'Parameters, country spec'!$B$52*'EFP per kg feed'!G21-Excreted_N_after_losses_DK*Manure_repl_factor_DK)/Production!$B$23</f>
        <v>0.19833870852887042</v>
      </c>
      <c r="N7" s="289">
        <f>(Production!$B$5*'Parameters, country spec'!$B$51*'EFP per kg feed'!H20+(Production!$B$6+Production!$B$7)*'Parameters, country spec'!$B$52*'EFP per kg feed'!H21)/Production!$B$23</f>
        <v>7.5945248723143103E-3</v>
      </c>
      <c r="O7" s="289">
        <f>(Production!$B$5*'Parameters, country spec'!$B$51*'EFP per kg feed'!I20+(Production!$B$6+Production!$B$7)*'Parameters, country spec'!$B$52*'EFP per kg feed'!I21)/Production!$B$23</f>
        <v>0.21121699761629317</v>
      </c>
      <c r="P7" s="289">
        <f>(Production!$B$5*'Parameters, country spec'!$B$51*'EFP per kg feed'!J20+(Production!$B$6+Production!$B$7)*'Parameters, country spec'!$B$52*'EFP per kg feed'!J21)/Production!$B$23</f>
        <v>0.45051551374243987</v>
      </c>
      <c r="Q7" s="337">
        <f>(Production!$B$5*'Parameters, country spec'!$B$51*'EFP per kg feed'!K20+(Production!$B$6+Production!$B$7)*'Parameters, country spec'!$B$52*'EFP per kg feed'!K21)/Production!$B$23</f>
        <v>1.6488047367307801E-10</v>
      </c>
      <c r="R7" s="18">
        <f>(Production!$B$5*'Parameters, country spec'!$B$51*'EFP per kg feed'!L20+(Production!$B$6+Production!$B$7)*'Parameters, country spec'!$B$52*'EFP per kg feed'!L21+Manure!C160)/Production!$B$23</f>
        <v>0.15722851690206416</v>
      </c>
      <c r="S7" s="17"/>
      <c r="T7" s="18">
        <v>0.27753207629504656</v>
      </c>
      <c r="U7" s="423">
        <v>38.799999999999997</v>
      </c>
    </row>
    <row r="8" spans="1:21" x14ac:dyDescent="0.35">
      <c r="A8" s="11" t="s">
        <v>592</v>
      </c>
      <c r="B8" s="11" t="s">
        <v>513</v>
      </c>
      <c r="C8" s="15" t="s">
        <v>514</v>
      </c>
      <c r="D8" t="s">
        <v>36</v>
      </c>
      <c r="E8" t="s">
        <v>37</v>
      </c>
      <c r="F8" s="10">
        <f>'GHG detailed, only calves'!G16</f>
        <v>22.288373541786171</v>
      </c>
      <c r="G8" s="10">
        <f>'GHG detailed, only calves'!G12</f>
        <v>2.8766622262068267</v>
      </c>
      <c r="H8" s="99">
        <f>'GHG detailed, only calves'!G13</f>
        <v>1.1645547263987605E-2</v>
      </c>
      <c r="I8" s="42">
        <f>'GHG detailed, only calves'!G14</f>
        <v>0.54039674080778166</v>
      </c>
      <c r="J8" s="42">
        <f>'GHG detailed, only calves'!G15</f>
        <v>1.6388139213561942E-2</v>
      </c>
      <c r="L8" s="17">
        <f>(Production!$C$5*'Parameters, country spec'!$C$51*'EFP per kg feed'!F36+(Production!$C$6+Production!$C$7)*'Parameters, country spec'!$C$52*'EFP per kg feed'!F37)/Production!$C$23</f>
        <v>16.733419858209622</v>
      </c>
      <c r="M8" s="289">
        <f>(Production!$C$5*'Parameters, country spec'!$C$51*'EFP per kg feed'!G36+(Production!$C$6+Production!$C$7)*'Parameters, country spec'!$C$52*'EFP per kg feed'!G37-Excreted_N_after_losses_FR*Manure_repl_factor_FR)/Production!C23</f>
        <v>0.24198969165172116</v>
      </c>
      <c r="N8" s="289">
        <f>(Production!$C$5*'Parameters, country spec'!$C$51*'EFP per kg feed'!H36+(Production!$C$6+Production!$C$7)*'Parameters, country spec'!$C$52*'EFP per kg feed'!H37)/Production!C23</f>
        <v>1.8761315851106873E-2</v>
      </c>
      <c r="O8" s="289">
        <f>(Production!$C$5*'Parameters, country spec'!$C$51*'EFP per kg feed'!I36+(Production!$C$6+Production!$C$7)*'Parameters, country spec'!$C$52*'EFP per kg feed'!I37)/Production!C23</f>
        <v>0.66911344635185122</v>
      </c>
      <c r="P8" s="289">
        <f>(Production!$C$5*'Parameters, country spec'!$C$51*'EFP per kg feed'!J36+(Production!$C$6+Production!$C$7)*'Parameters, country spec'!$C$52*'EFP per kg feed'!J37)/Production!C23</f>
        <v>1.0360471439621897</v>
      </c>
      <c r="Q8" s="337">
        <f>(Production!$C$5*'Parameters, country spec'!$C$51*'EFP per kg feed'!K36+(Production!$C$6+Production!$C$7)*'Parameters, country spec'!$C$52*'EFP per kg feed'!K37)/Production!C23</f>
        <v>3.5683127777273293E-10</v>
      </c>
      <c r="R8" s="18">
        <f>(Production!$C$5*'Parameters, country spec'!$C$51*'EFP per kg feed'!L36+(Production!$C$6+Production!$C$7)*'Parameters, country spec'!$C$52*'EFP per kg feed'!L37+Manure!E160)/Production!C23</f>
        <v>0.15435212957968583</v>
      </c>
      <c r="S8" s="9"/>
      <c r="T8" s="18">
        <v>0.26414069841730681</v>
      </c>
      <c r="U8" s="423">
        <v>76.2</v>
      </c>
    </row>
    <row r="9" spans="1:21" x14ac:dyDescent="0.35">
      <c r="A9" s="11" t="s">
        <v>592</v>
      </c>
      <c r="B9" s="11" t="s">
        <v>513</v>
      </c>
      <c r="C9" s="15" t="s">
        <v>514</v>
      </c>
      <c r="D9" t="s">
        <v>38</v>
      </c>
      <c r="E9" t="s">
        <v>39</v>
      </c>
      <c r="F9" s="10">
        <f>'GHG detailed, only calves'!G21</f>
        <v>22.935657212986591</v>
      </c>
      <c r="G9" s="10">
        <f>'GHG detailed, only calves'!G17</f>
        <v>3.3019662703845309</v>
      </c>
      <c r="H9" s="99">
        <f>'GHG detailed, only calves'!G18</f>
        <v>1.2507141888080543E-2</v>
      </c>
      <c r="I9" s="42">
        <f>'GHG detailed, only calves'!G19</f>
        <v>0.57386904608196099</v>
      </c>
      <c r="J9" s="42">
        <f>'GHG detailed, only calves'!G20</f>
        <v>1.3796754103019462E-2</v>
      </c>
      <c r="L9" s="17">
        <f>(Production!$D$5*'Parameters, country spec'!$D$51*'EFP per kg feed'!F52+(Production!$D$6+Production!$D$7)*'Parameters, country spec'!$D$52*'EFP per kg feed'!F53)/Production!$D$23</f>
        <v>12.290669410639424</v>
      </c>
      <c r="M9" s="289">
        <f>(Production!$D$5*'Parameters, country spec'!$D$51*'EFP per kg feed'!G52+(Production!$D$6+Production!$D$7)*'Parameters, country spec'!$D$52*'EFP per kg feed'!G53-Excreted_N_after_losses_DE*Manure_repl_factor_DE)/Production!$D$23</f>
        <v>0.19891928643728421</v>
      </c>
      <c r="N9" s="289">
        <f>(Production!$D$5*'Parameters, country spec'!$D$51*'EFP per kg feed'!H52+(Production!$D$6+Production!$D$7)*'Parameters, country spec'!$D$52*'EFP per kg feed'!H53)/Production!$D$23</f>
        <v>9.6815617902020652E-3</v>
      </c>
      <c r="O9" s="289">
        <f>(Production!$D$5*'Parameters, country spec'!$D$51*'EFP per kg feed'!I52+(Production!$D$6+Production!$D$7)*'Parameters, country spec'!$D$52*'EFP per kg feed'!I53)/Production!$D$23</f>
        <v>0.18947725542612864</v>
      </c>
      <c r="P9" s="289">
        <f>(Production!$D$5*'Parameters, country spec'!$D$51*'EFP per kg feed'!J52+(Production!$D$6+Production!$D$7)*'Parameters, country spec'!$D$52*'EFP per kg feed'!J53)/Production!$D$23</f>
        <v>0.64401200835296957</v>
      </c>
      <c r="Q9" s="337">
        <f>(Production!$D$5*'Parameters, country spec'!$D$51*'EFP per kg feed'!K52+(Production!$D$6+Production!$D$7)*'Parameters, country spec'!$D$52*'EFP per kg feed'!K53)/Production!$D$23</f>
        <v>2.3339518286436482E-10</v>
      </c>
      <c r="R9" s="18">
        <f>(Production!$D$5*'Parameters, country spec'!$D$51*'EFP per kg feed'!L52+(Production!$D$6+Production!$D$7)*'Parameters, country spec'!$D$52*'EFP per kg feed'!L53+Manure!G160)/Production!$D$23</f>
        <v>0.17513553876784146</v>
      </c>
      <c r="S9" s="9"/>
      <c r="T9" s="18">
        <v>0.29846858206799881</v>
      </c>
      <c r="U9" s="423">
        <v>100.7</v>
      </c>
    </row>
    <row r="10" spans="1:21" x14ac:dyDescent="0.35">
      <c r="A10" s="11" t="s">
        <v>592</v>
      </c>
      <c r="B10" s="11" t="s">
        <v>513</v>
      </c>
      <c r="C10" s="15" t="s">
        <v>514</v>
      </c>
      <c r="D10" t="s">
        <v>40</v>
      </c>
      <c r="E10" t="s">
        <v>41</v>
      </c>
      <c r="F10" s="10">
        <f>'GHG detailed, only calves'!G26</f>
        <v>24.908449641603941</v>
      </c>
      <c r="G10" s="10">
        <f>'GHG detailed, only calves'!G22</f>
        <v>5.0097410596252114</v>
      </c>
      <c r="H10" s="99">
        <f>'GHG detailed, only calves'!G23</f>
        <v>9.6734055780808605E-3</v>
      </c>
      <c r="I10" s="42">
        <f>'GHG detailed, only calves'!G24</f>
        <v>0.5363091414208222</v>
      </c>
      <c r="J10" s="42">
        <f>'GHG detailed, only calves'!G25</f>
        <v>1.8791554129632668E-2</v>
      </c>
      <c r="L10" s="17">
        <f>(Production!$E$5*'Parameters, country spec'!$E$51*'EFP per kg feed'!F68+(Production!$E$6+Production!$E$7)*'Parameters, country spec'!$E$52*'EFP per kg feed'!F69)/Production!$E$23</f>
        <v>26.320585292775124</v>
      </c>
      <c r="M10" s="289">
        <f>(Production!$E$5*'Parameters, country spec'!$E$51*'EFP per kg feed'!G68+(Production!$E$6+Production!$E$7)*'Parameters, country spec'!$E$52*'EFP per kg feed'!G69-Excreted_N_after_losses_GR*Manure_repl_factor_GR)/Production!$E$23</f>
        <v>0.39161315126187657</v>
      </c>
      <c r="N10" s="289">
        <f>(Production!$E$5*'Parameters, country spec'!$E$51*'EFP per kg feed'!H68+(Production!$E$6+Production!$E$7)*'Parameters, country spec'!$E$52*'EFP per kg feed'!H69)/Production!$E$23</f>
        <v>4.3815426128948259E-2</v>
      </c>
      <c r="O10" s="289">
        <f>(Production!$E$5*'Parameters, country spec'!$E$51*'EFP per kg feed'!I68+(Production!$E$6+Production!$E$7)*'Parameters, country spec'!$E$52*'EFP per kg feed'!I69)/Production!$E$23</f>
        <v>1.5717130977644926</v>
      </c>
      <c r="P10" s="289">
        <f>(Production!$E$5*'Parameters, country spec'!$E$51*'EFP per kg feed'!J68+(Production!$E$6+Production!$E$7)*'Parameters, country spec'!$E$52*'EFP per kg feed'!J69)/Production!$E$23</f>
        <v>1.1321354007679563</v>
      </c>
      <c r="Q10" s="337">
        <f>(Production!$E$5*'Parameters, country spec'!$E$51*'EFP per kg feed'!K68+(Production!$E$6+Production!$E$7)*'Parameters, country spec'!$E$52*'EFP per kg feed'!K69)/Production!$E$23</f>
        <v>2.3405984826368146E-9</v>
      </c>
      <c r="R10" s="18">
        <f>(Production!$E$5*'Parameters, country spec'!$E$51*'EFP per kg feed'!L68+(Production!$E$6+Production!$E$7)*'Parameters, country spec'!$E$52*'EFP per kg feed'!L69+Manure!I160)/Production!$E$23</f>
        <v>0.18204294754693012</v>
      </c>
      <c r="S10" s="9"/>
      <c r="T10" s="18">
        <v>0.30296370357825098</v>
      </c>
      <c r="U10" s="423">
        <v>223.3</v>
      </c>
    </row>
    <row r="11" spans="1:21" x14ac:dyDescent="0.35">
      <c r="A11" s="11" t="s">
        <v>592</v>
      </c>
      <c r="B11" s="11" t="s">
        <v>513</v>
      </c>
      <c r="C11" s="15" t="s">
        <v>514</v>
      </c>
      <c r="D11" t="s">
        <v>42</v>
      </c>
      <c r="E11" t="s">
        <v>43</v>
      </c>
      <c r="F11" s="10">
        <f>'GHG detailed, only calves'!G31</f>
        <v>26.41598880444355</v>
      </c>
      <c r="G11" s="10">
        <f>'GHG detailed, only calves'!G27</f>
        <v>5.0315744653454351</v>
      </c>
      <c r="H11" s="99">
        <f>'GHG detailed, only calves'!G28</f>
        <v>1.4552855818255578E-2</v>
      </c>
      <c r="I11" s="42">
        <f>'GHG detailed, only calves'!G29</f>
        <v>0.59353299162373097</v>
      </c>
      <c r="J11" s="42">
        <f>'GHG detailed, only calves'!G30</f>
        <v>1.8041569457411585E-2</v>
      </c>
      <c r="L11" s="17">
        <f>(Production!$F$5*'Parameters, country spec'!$F$51*'EFP per kg feed'!F84+(Production!$F$6+Production!$F$7)*'Parameters, country spec'!$F$52*'EFP per kg feed'!F85)/Production!$F$23</f>
        <v>29.882725000608389</v>
      </c>
      <c r="M11" s="289">
        <f>(Production!$F$5*'Parameters, country spec'!$F$51*'EFP per kg feed'!G84+(Production!$F$6+Production!$F$7)*'Parameters, country spec'!$F$52*'EFP per kg feed'!G85-Excreted_N_after_losses_HU*Manure_repl_factor_HU)/Production!$F$23</f>
        <v>0.41202391362607771</v>
      </c>
      <c r="N11" s="289">
        <f>(Production!$F$5*'Parameters, country spec'!$F$51*'EFP per kg feed'!H84+(Production!$F$6+Production!$F$7)*'Parameters, country spec'!$F$52*'EFP per kg feed'!H85)/Production!$F$23</f>
        <v>3.3662336746518001E-2</v>
      </c>
      <c r="O11" s="289">
        <f>(Production!$F$5*'Parameters, country spec'!$F$51*'EFP per kg feed'!I84+(Production!$F$6+Production!$F$7)*'Parameters, country spec'!$F$52*'EFP per kg feed'!I85)/Production!$F$23</f>
        <v>6.0260317617822093E-2</v>
      </c>
      <c r="P11" s="289">
        <f>(Production!$F$5*'Parameters, country spec'!$F$51*'EFP per kg feed'!J84+(Production!$F$6+Production!$F$7)*'Parameters, country spec'!$F$52*'EFP per kg feed'!J85)/Production!$F$23</f>
        <v>1.430831633041703</v>
      </c>
      <c r="Q11" s="337">
        <f>(Production!$F$5*'Parameters, country spec'!$F$51*'EFP per kg feed'!K84+(Production!$F$6+Production!$F$7)*'Parameters, country spec'!$F$52*'EFP per kg feed'!K85)/Production!$F$23</f>
        <v>5.8814629711581512E-10</v>
      </c>
      <c r="R11" s="18">
        <f>(Production!$F$5*'Parameters, country spec'!$F$51*'EFP per kg feed'!L84+(Production!$F$6+Production!$F$7)*'Parameters, country spec'!$F$52*'EFP per kg feed'!L85+Manure!K160)/Production!$F$23</f>
        <v>0.18777467940529707</v>
      </c>
      <c r="S11" s="9"/>
      <c r="T11" s="18">
        <v>0.32014996704472826</v>
      </c>
      <c r="U11" s="423">
        <v>204.9</v>
      </c>
    </row>
    <row r="12" spans="1:21" x14ac:dyDescent="0.35">
      <c r="A12" s="11" t="s">
        <v>592</v>
      </c>
      <c r="B12" s="11" t="s">
        <v>513</v>
      </c>
      <c r="C12" s="15" t="s">
        <v>514</v>
      </c>
      <c r="D12" t="s">
        <v>44</v>
      </c>
      <c r="E12" t="s">
        <v>45</v>
      </c>
      <c r="F12" s="10">
        <f>'GHG detailed, only calves'!G36</f>
        <v>21.389363943512532</v>
      </c>
      <c r="G12" s="10">
        <f>'GHG detailed, only calves'!G32</f>
        <v>2.4911118199474251</v>
      </c>
      <c r="H12" s="99">
        <f>'GHG detailed, only calves'!G33</f>
        <v>4.0071913153914406E-3</v>
      </c>
      <c r="I12" s="42">
        <f>'GHG detailed, only calves'!G34</f>
        <v>0.56609576557399555</v>
      </c>
      <c r="J12" s="42">
        <f>'GHG detailed, only calves'!G35</f>
        <v>1.2799458431752951E-2</v>
      </c>
      <c r="L12" s="17">
        <f>(Production!$G$5*'Parameters, country spec'!$G$51*'EFP per kg feed'!F100+(Production!$G$6+Production!$G$7)*'Parameters, country spec'!$G$52*'EFP per kg feed'!F101)/Production!$G$23</f>
        <v>6.1382759513270324</v>
      </c>
      <c r="M12" s="289">
        <f>(Production!$G$5*'Parameters, country spec'!$G$51*'EFP per kg feed'!G100+(Production!$G$6+Production!$G$7)*'Parameters, country spec'!$G$52*'EFP per kg feed'!G101-Excreted_N_after_losses_IE*Manure_repl_factor_IE)/Production!$G$23</f>
        <v>0.29673729864192872</v>
      </c>
      <c r="N12" s="289">
        <f>(Production!$G$5*'Parameters, country spec'!$G$51*'EFP per kg feed'!H100+(Production!$G$6+Production!$G$7)*'Parameters, country spec'!$G$52*'EFP per kg feed'!H101)/Production!$G$23</f>
        <v>1.5703042032252614E-2</v>
      </c>
      <c r="O12" s="289">
        <f>(Production!$G$5*'Parameters, country spec'!$G$51*'EFP per kg feed'!I100+(Production!$G$6+Production!$G$7)*'Parameters, country spec'!$G$52*'EFP per kg feed'!I101)/Production!$G$23</f>
        <v>3.9633150327174994E-2</v>
      </c>
      <c r="P12" s="289">
        <f>(Production!$G$5*'Parameters, country spec'!$G$51*'EFP per kg feed'!J100+(Production!$G$6+Production!$G$7)*'Parameters, country spec'!$G$52*'EFP per kg feed'!J101)/Production!$G$23</f>
        <v>1.9115171492378511</v>
      </c>
      <c r="Q12" s="337">
        <f>(Production!$G$5*'Parameters, country spec'!$G$51*'EFP per kg feed'!K100+(Production!$G$6+Production!$G$7)*'Parameters, country spec'!$G$52*'EFP per kg feed'!K101)/Production!$G$23</f>
        <v>1.0833857050229551E-10</v>
      </c>
      <c r="R12" s="18">
        <f>(Production!$G$5*'Parameters, country spec'!$G$51*'EFP per kg feed'!L100+(Production!$G$6+Production!$G$7)*'Parameters, country spec'!$G$52*'EFP per kg feed'!L101+Manure!M160)/Production!$G$23</f>
        <v>0.15290313119867835</v>
      </c>
      <c r="S12" s="9"/>
      <c r="T12" s="18">
        <v>0.27007153319622251</v>
      </c>
      <c r="U12" s="423">
        <v>81.099999999999994</v>
      </c>
    </row>
    <row r="13" spans="1:21" x14ac:dyDescent="0.35">
      <c r="A13" s="11" t="s">
        <v>592</v>
      </c>
      <c r="B13" s="11" t="s">
        <v>513</v>
      </c>
      <c r="C13" s="15" t="s">
        <v>514</v>
      </c>
      <c r="D13" t="s">
        <v>46</v>
      </c>
      <c r="E13" t="s">
        <v>47</v>
      </c>
      <c r="F13" s="10">
        <f>'GHG detailed, only calves'!G41</f>
        <v>25.435256846477611</v>
      </c>
      <c r="G13" s="10">
        <f>'GHG detailed, only calves'!G37</f>
        <v>3.4155076723886557</v>
      </c>
      <c r="H13" s="99">
        <f>'GHG detailed, only calves'!G38</f>
        <v>1.1777783976533769E-2</v>
      </c>
      <c r="I13" s="42">
        <f>'GHG detailed, only calves'!G39</f>
        <v>0.62856931326601606</v>
      </c>
      <c r="J13" s="42">
        <f>'GHG detailed, only calves'!G40</f>
        <v>1.7206592503317995E-2</v>
      </c>
      <c r="L13" s="17">
        <f>(Production!$H$5*'Parameters, country spec'!$H$51*'EFP per kg feed'!F116+(Production!$H$6+Production!$H$7)*'Parameters, country spec'!$H$52*'EFP per kg feed'!F117)/Production!$H$23</f>
        <v>15.524858593606163</v>
      </c>
      <c r="M13" s="289">
        <f>(Production!$H$5*'Parameters, country spec'!$H$51*'EFP per kg feed'!G116+(Production!$H$6+Production!$H$7)*'Parameters, country spec'!$H$52*'EFP per kg feed'!G117-Excreted_N_after_losses_IT*Manure_repl_factor_IT)/Production!$H$23</f>
        <v>0.31166696849433512</v>
      </c>
      <c r="N13" s="289">
        <f>(Production!$H$5*'Parameters, country spec'!$H$51*'EFP per kg feed'!H116+(Production!$H$6+Production!$H$7)*'Parameters, country spec'!$H$52*'EFP per kg feed'!H117)/Production!$H$23</f>
        <v>1.8147995935958689E-2</v>
      </c>
      <c r="O13" s="289">
        <f>(Production!$H$5*'Parameters, country spec'!$H$51*'EFP per kg feed'!I116+(Production!$H$6+Production!$H$7)*'Parameters, country spec'!$H$52*'EFP per kg feed'!I117)/Production!$H$23</f>
        <v>0.62733807691034893</v>
      </c>
      <c r="P13" s="289">
        <f>(Production!$H$5*'Parameters, country spec'!$H$51*'EFP per kg feed'!J116+(Production!$H$6+Production!$H$7)*'Parameters, country spec'!$H$52*'EFP per kg feed'!J117)/Production!$H$23</f>
        <v>1.1208462323411792</v>
      </c>
      <c r="Q13" s="337">
        <f>(Production!$H$5*'Parameters, country spec'!$H$51*'EFP per kg feed'!K116+(Production!$H$6+Production!$H$7)*'Parameters, country spec'!$H$52*'EFP per kg feed'!K117)/Production!$H$23</f>
        <v>1.3369539394788545E-9</v>
      </c>
      <c r="R13" s="18">
        <f>(Production!$H$5*'Parameters, country spec'!$H$51*'EFP per kg feed'!L116+(Production!$H$6+Production!$H$7)*'Parameters, country spec'!$H$52*'EFP per kg feed'!L117+Manure!O160)/Production!$H$23</f>
        <v>0.25189001922835424</v>
      </c>
      <c r="S13" s="9"/>
      <c r="T13" s="18">
        <v>0.3612710534532324</v>
      </c>
      <c r="U13" s="423">
        <v>258.2</v>
      </c>
    </row>
    <row r="14" spans="1:21" x14ac:dyDescent="0.35">
      <c r="A14" s="11" t="s">
        <v>592</v>
      </c>
      <c r="B14" s="11" t="s">
        <v>513</v>
      </c>
      <c r="C14" s="15" t="s">
        <v>514</v>
      </c>
      <c r="D14" t="s">
        <v>48</v>
      </c>
      <c r="E14" t="s">
        <v>49</v>
      </c>
      <c r="F14" s="10">
        <f>'GHG detailed, only calves'!G46</f>
        <v>24.077421719416975</v>
      </c>
      <c r="G14" s="10">
        <f>'GHG detailed, only calves'!G42</f>
        <v>4.6720093114237873</v>
      </c>
      <c r="H14" s="99">
        <f>'GHG detailed, only calves'!G43</f>
        <v>1.1187241631615757E-2</v>
      </c>
      <c r="I14" s="42">
        <f>'GHG detailed, only calves'!G44</f>
        <v>0.49486105824133991</v>
      </c>
      <c r="J14" s="42">
        <f>'GHG detailed, only calves'!G45</f>
        <v>2.091862283829618E-2</v>
      </c>
      <c r="L14" s="17">
        <f>(Production!$I$5*'Parameters, country spec'!$I$51*'EFP per kg feed'!F132+(Production!$I$6+Production!$I$7)*'Parameters, country spec'!$I$52*'EFP per kg feed'!F133)/Production!$I$23</f>
        <v>14.079045237254206</v>
      </c>
      <c r="M14" s="289">
        <f>(Production!$I$5*'Parameters, country spec'!$I$51*'EFP per kg feed'!G132+(Production!$I$6+Production!$I$7)*'Parameters, country spec'!$I$52*'EFP per kg feed'!G133-Excreted_N_after_losses_NL*Manure_repl_factor_NL)/Production!$I$23</f>
        <v>0.53999558351538857</v>
      </c>
      <c r="N14" s="289">
        <f>(Production!$I$5*'Parameters, country spec'!$I$51*'EFP per kg feed'!H132+(Production!$I$6+Production!$I$7)*'Parameters, country spec'!$I$52*'EFP per kg feed'!H133)/Production!$I$23</f>
        <v>1.1844767352504044E-2</v>
      </c>
      <c r="O14" s="289">
        <f>(Production!$I$5*'Parameters, country spec'!$I$51*'EFP per kg feed'!I132+(Production!$I$6+Production!$I$7)*'Parameters, country spec'!$I$52*'EFP per kg feed'!I133)/Production!$I$23</f>
        <v>0.2134571640826296</v>
      </c>
      <c r="P14" s="289">
        <f>(Production!$I$5*'Parameters, country spec'!$I$51*'EFP per kg feed'!J132+(Production!$I$6+Production!$I$7)*'Parameters, country spec'!$I$52*'EFP per kg feed'!J133)/Production!$I$23</f>
        <v>1.1643014563483913</v>
      </c>
      <c r="Q14" s="337">
        <f>(Production!$I$5*'Parameters, country spec'!$I$51*'EFP per kg feed'!K132+(Production!$I$6+Production!$I$7)*'Parameters, country spec'!$I$52*'EFP per kg feed'!K133)/Production!$I$23</f>
        <v>3.6607098321688139E-10</v>
      </c>
      <c r="R14" s="18">
        <f>(Production!$I$5*'Parameters, country spec'!$I$51*'EFP per kg feed'!L132+(Production!$I$6+Production!$I$7)*'Parameters, country spec'!$I$52*'EFP per kg feed'!L133+Manure!Q160)/Production!$I$23</f>
        <v>0.12201982775745712</v>
      </c>
      <c r="S14" s="9"/>
      <c r="T14" s="18">
        <v>0.26899768642989907</v>
      </c>
      <c r="U14" s="423">
        <v>64.2</v>
      </c>
    </row>
    <row r="15" spans="1:21" x14ac:dyDescent="0.35">
      <c r="A15" s="11" t="s">
        <v>592</v>
      </c>
      <c r="B15" s="11" t="s">
        <v>513</v>
      </c>
      <c r="C15" s="15" t="s">
        <v>514</v>
      </c>
      <c r="D15" t="s">
        <v>50</v>
      </c>
      <c r="E15" t="s">
        <v>51</v>
      </c>
      <c r="F15" s="10">
        <f>'GHG detailed, only calves'!G51</f>
        <v>25.238545372769355</v>
      </c>
      <c r="G15" s="10">
        <f>'GHG detailed, only calves'!G47</f>
        <v>5.3466365461684209</v>
      </c>
      <c r="H15" s="99">
        <f>'GHG detailed, only calves'!G48</f>
        <v>7.8931369828238659E-3</v>
      </c>
      <c r="I15" s="42">
        <f>'GHG detailed, only calves'!G49</f>
        <v>0.51355381253740107</v>
      </c>
      <c r="J15" s="42">
        <f>'GHG detailed, only calves'!G50</f>
        <v>2.1211503318692135E-2</v>
      </c>
      <c r="L15" s="17">
        <f>(Production!$J$5*'Parameters, country spec'!$J$51*'EFP per kg feed'!F148+(Production!$J$6+Production!$J$7)*'Parameters, country spec'!$J$52*'EFP per kg feed'!F149)/Production!$J$23</f>
        <v>19.741506621085517</v>
      </c>
      <c r="M15" s="289">
        <f>(Production!$J$5*'Parameters, country spec'!$J$51*'EFP per kg feed'!G148+(Production!$J$6+Production!$J$7)*'Parameters, country spec'!$J$52*'EFP per kg feed'!G149-Excreted_N_after_losses_PL*Manure_repl_factor_PL)/Production!$J$23</f>
        <v>0.31763999722783604</v>
      </c>
      <c r="N15" s="289">
        <f>(Production!$J$5*'Parameters, country spec'!$J$51*'EFP per kg feed'!H148+(Production!$J$6+Production!$J$7)*'Parameters, country spec'!$J$52*'EFP per kg feed'!H149)/Production!$J$23</f>
        <v>2.6756963779533037E-2</v>
      </c>
      <c r="O15" s="289">
        <f>(Production!$J$5*'Parameters, country spec'!$J$51*'EFP per kg feed'!I148+(Production!$J$6+Production!$J$7)*'Parameters, country spec'!$J$52*'EFP per kg feed'!I149)/Production!$J$23</f>
        <v>8.3466177922499454E-2</v>
      </c>
      <c r="P15" s="289">
        <f>(Production!$J$5*'Parameters, country spec'!$J$51*'EFP per kg feed'!J148+(Production!$J$6+Production!$J$7)*'Parameters, country spec'!$J$52*'EFP per kg feed'!J149)/Production!$J$23</f>
        <v>1.5045870313148575</v>
      </c>
      <c r="Q15" s="337">
        <f>(Production!$J$5*'Parameters, country spec'!$J$51*'EFP per kg feed'!K148+(Production!$J$6+Production!$J$7)*'Parameters, country spec'!$J$52*'EFP per kg feed'!K149)/Production!$J$23</f>
        <v>3.1436720788284818E-10</v>
      </c>
      <c r="R15" s="18">
        <f>(Production!$J$5*'Parameters, country spec'!$J$51*'EFP per kg feed'!L148+(Production!$J$6+Production!$J$7)*'Parameters, country spec'!$J$52*'EFP per kg feed'!L149+Manure!S160)/Production!$J$23</f>
        <v>0.20343891256538865</v>
      </c>
      <c r="S15" s="9"/>
      <c r="T15" s="18">
        <v>0.3495409678970573</v>
      </c>
      <c r="U15" s="423">
        <v>269.39999999999998</v>
      </c>
    </row>
    <row r="16" spans="1:21" x14ac:dyDescent="0.35">
      <c r="A16" s="11" t="s">
        <v>592</v>
      </c>
      <c r="B16" s="11" t="s">
        <v>513</v>
      </c>
      <c r="C16" s="15" t="s">
        <v>514</v>
      </c>
      <c r="D16" t="s">
        <v>52</v>
      </c>
      <c r="E16" t="s">
        <v>53</v>
      </c>
      <c r="F16" s="10">
        <f>'GHG detailed, only calves'!G56</f>
        <v>22.084605045833186</v>
      </c>
      <c r="G16" s="10">
        <f>'GHG detailed, only calves'!G52</f>
        <v>3.8530168111981564</v>
      </c>
      <c r="H16" s="99">
        <f>'GHG detailed, only calves'!G53</f>
        <v>7.6874020248912552E-3</v>
      </c>
      <c r="I16" s="42">
        <f>'GHG detailed, only calves'!G54</f>
        <v>0.52414333742861396</v>
      </c>
      <c r="J16" s="42">
        <f>'GHG detailed, only calves'!G55</f>
        <v>1.4104884775533667E-2</v>
      </c>
      <c r="L16" s="17">
        <f>(Production!$K$5*'Parameters, country spec'!$K$51*'EFP per kg feed'!F164+(Production!$K$6+Production!$K$7)*'Parameters, country spec'!$K$52*'EFP per kg feed'!F165)/Production!$K$23</f>
        <v>22.869848972430528</v>
      </c>
      <c r="M16" s="289">
        <f>(Production!$K$5*'Parameters, country spec'!$K$51*'EFP per kg feed'!G164+(Production!$K$6+Production!$K$7)*'Parameters, country spec'!$K$52*'EFP per kg feed'!G165-Excreted_N_after_losses_ES*Manure_repl_factor_ES)/Production!$K$23</f>
        <v>0.35779741485106936</v>
      </c>
      <c r="N16" s="289">
        <f>(Production!$K$5*'Parameters, country spec'!$K$51*'EFP per kg feed'!H164+(Production!$K$6+Production!$K$7)*'Parameters, country spec'!$K$52*'EFP per kg feed'!H165)/Production!$K$23</f>
        <v>3.3946193713601087E-2</v>
      </c>
      <c r="O16" s="289">
        <f>(Production!$K$5*'Parameters, country spec'!$K$51*'EFP per kg feed'!I164+(Production!$K$6+Production!$K$7)*'Parameters, country spec'!$K$52*'EFP per kg feed'!I165)/Production!$K$23</f>
        <v>1.6255643634698287</v>
      </c>
      <c r="P16" s="289">
        <f>(Production!$K$5*'Parameters, country spec'!$K$51*'EFP per kg feed'!J164+(Production!$K$6+Production!$K$7)*'Parameters, country spec'!$K$52*'EFP per kg feed'!J165)/Production!$K$23</f>
        <v>1.4419705488290708</v>
      </c>
      <c r="Q16" s="337">
        <f>(Production!$K$5*'Parameters, country spec'!$K$51*'EFP per kg feed'!K164+(Production!$K$6+Production!$K$7)*'Parameters, country spec'!$K$52*'EFP per kg feed'!K165)/Production!$K$23</f>
        <v>2.2592772809024958E-9</v>
      </c>
      <c r="R16" s="18">
        <f>(Production!$K$5*'Parameters, country spec'!$K$51*'EFP per kg feed'!L164+(Production!$K$6+Production!$K$7)*'Parameters, country spec'!$K$52*'EFP per kg feed'!L165+Manure!U160)/Production!$K$23</f>
        <v>0.130822496944243</v>
      </c>
      <c r="S16" s="9"/>
      <c r="T16" s="18">
        <v>0.24385272927210985</v>
      </c>
      <c r="U16" s="423">
        <v>191.4</v>
      </c>
    </row>
    <row r="17" spans="1:21" x14ac:dyDescent="0.35">
      <c r="A17" s="11" t="s">
        <v>592</v>
      </c>
      <c r="B17" s="11" t="s">
        <v>513</v>
      </c>
      <c r="C17" s="15" t="s">
        <v>514</v>
      </c>
      <c r="D17" s="16" t="s">
        <v>54</v>
      </c>
      <c r="E17" s="16" t="s">
        <v>55</v>
      </c>
      <c r="F17" s="9">
        <f>'GHG detailed, only calves'!G61</f>
        <v>22.314777441490328</v>
      </c>
      <c r="G17" s="10">
        <f>'GHG detailed, only calves'!G57</f>
        <v>2.8923878940643211</v>
      </c>
      <c r="H17" s="99">
        <f>'GHG detailed, only calves'!G58</f>
        <v>1.0979089504581874E-2</v>
      </c>
      <c r="I17" s="42">
        <f>'GHG detailed, only calves'!G59</f>
        <v>0.53119065150623335</v>
      </c>
      <c r="J17" s="42">
        <f>'GHG detailed, only calves'!G60</f>
        <v>1.7410494833410856E-2</v>
      </c>
      <c r="K17" s="16"/>
      <c r="L17" s="17">
        <f>(Production!$L$5*'Parameters, country spec'!$L$51*'EFP per kg feed'!F180+(Production!$L$6+Production!$L$7)*'Parameters, country spec'!$L$52*'EFP per kg feed'!F181)/Production!$L$23</f>
        <v>25.618253195156885</v>
      </c>
      <c r="M17" s="289">
        <f>(Production!$L$5*'Parameters, country spec'!$L$51*'EFP per kg feed'!G180+(Production!$L$6+Production!$L$7)*'Parameters, country spec'!$L$52*'EFP per kg feed'!G181-Excreted_N_after_losses_SE*Manure_repl_factor_SE)/Production!$L$23</f>
        <v>0.30540066266625499</v>
      </c>
      <c r="N17" s="289">
        <f>(Production!$L$5*'Parameters, country spec'!$L$51*'EFP per kg feed'!H180+(Production!$L$6+Production!$L$7)*'Parameters, country spec'!$L$52*'EFP per kg feed'!H181)/Production!$L$23</f>
        <v>1.8202258853289882E-2</v>
      </c>
      <c r="O17" s="289">
        <f>(Production!$L$5*'Parameters, country spec'!$L$51*'EFP per kg feed'!I180+(Production!$L$6+Production!$L$7)*'Parameters, country spec'!$L$52*'EFP per kg feed'!I181)/Production!$L$23</f>
        <v>0.12816404147592572</v>
      </c>
      <c r="P17" s="289">
        <f>(Production!$L$5*'Parameters, country spec'!$L$51*'EFP per kg feed'!J180+(Production!$L$6+Production!$L$7)*'Parameters, country spec'!$L$52*'EFP per kg feed'!J181)/Production!$L$23</f>
        <v>0.87942007569140856</v>
      </c>
      <c r="Q17" s="337">
        <f>(Production!$L$5*'Parameters, country spec'!$L$51*'EFP per kg feed'!K180+(Production!$L$6+Production!$L$7)*'Parameters, country spec'!$L$52*'EFP per kg feed'!K181)/Production!$L$23</f>
        <v>5.0087118706972214E-11</v>
      </c>
      <c r="R17" s="18">
        <f>(Production!$L$5*'Parameters, country spec'!$L$51*'EFP per kg feed'!L180+(Production!$L$6+Production!$L$7)*'Parameters, country spec'!$L$52*'EFP per kg feed'!L181+Manure!W160)/Production!$L$23</f>
        <v>0.13602367300168858</v>
      </c>
      <c r="S17" s="9"/>
      <c r="T17" s="18">
        <v>0.22443652828279204</v>
      </c>
      <c r="U17" s="423">
        <v>20.2</v>
      </c>
    </row>
    <row r="18" spans="1:21" x14ac:dyDescent="0.35">
      <c r="A18" s="11" t="s">
        <v>592</v>
      </c>
      <c r="B18" s="11" t="s">
        <v>513</v>
      </c>
      <c r="C18" s="15" t="s">
        <v>514</v>
      </c>
      <c r="D18" s="16" t="s">
        <v>493</v>
      </c>
      <c r="E18" s="16" t="s">
        <v>495</v>
      </c>
      <c r="F18" s="9">
        <f>'GHG detailed, only calves'!G66</f>
        <v>21.66417091007078</v>
      </c>
      <c r="G18" s="10">
        <f>'GHG detailed, only calves'!G62</f>
        <v>2.7097438491945649</v>
      </c>
      <c r="H18" s="99">
        <f>'GHG detailed, only calves'!G63</f>
        <v>3.1992354158096102E-3</v>
      </c>
      <c r="I18" s="42">
        <f>'GHG detailed, only calves'!G64</f>
        <v>0.55346078244211649</v>
      </c>
      <c r="J18" s="42">
        <f>'GHG detailed, only calves'!G65</f>
        <v>1.4343035602739715E-2</v>
      </c>
      <c r="L18" s="17">
        <f>(Production!$M$5*'Parameters, country spec'!$M$51*'EFP per kg feed'!F196+(Production!$M$6+Production!$M$7)*'Parameters, country spec'!$M$52*'EFP per kg feed'!F197)/Production!$M$23</f>
        <v>23.994084908893168</v>
      </c>
      <c r="M18" s="289" cm="1">
        <f t="array" ref="M18">(Production!$M$5*'Parameters, country spec'!$M$51*'EFP per kg feed'!G196+(Production!$M$6+Production!$M$7)*'Parameters, country spec'!$M$52*'EFP per kg feed'!G197-Excreted_N_after_losses_GB*Manure_repl_factor_GB)/Production!$M$23</f>
        <v>0.60735055494015189</v>
      </c>
      <c r="N18" s="289">
        <f>(Production!$M$5*'Parameters, country spec'!$M$51*'EFP per kg feed'!H196+(Production!$M$6+Production!$M$7)*'Parameters, country spec'!$M$52*'EFP per kg feed'!H197)/Production!$M$23</f>
        <v>4.5398194683254067E-2</v>
      </c>
      <c r="O18" s="289">
        <f>(Production!$M$5*'Parameters, country spec'!$M$51*'EFP per kg feed'!I196+(Production!$M$6+Production!$M$7)*'Parameters, country spec'!$M$52*'EFP per kg feed'!I197)/Production!$M$23</f>
        <v>9.1643214678654009E-2</v>
      </c>
      <c r="P18" s="289">
        <f>(Production!$M$5*'Parameters, country spec'!$M$51*'EFP per kg feed'!J196+(Production!$M$6+Production!$M$7)*'Parameters, country spec'!$M$52*'EFP per kg feed'!J197)/Production!$M$23</f>
        <v>3.777515699546349</v>
      </c>
      <c r="Q18" s="337">
        <f>(Production!$M$5*'Parameters, country spec'!$M$51*'EFP per kg feed'!K196+(Production!$M$6+Production!$M$7)*'Parameters, country spec'!$M$52*'EFP per kg feed'!K197)/Production!$M$23</f>
        <v>1.2436005994644076E-10</v>
      </c>
      <c r="R18" s="18">
        <f>(Production!$M$5*'Parameters, country spec'!$M$51*'EFP per kg feed'!L196+(Production!$M$6+Production!$M$7)*'Parameters, country spec'!$M$52*'EFP per kg feed'!L197+Manure!Y160)/Production!$M$23</f>
        <v>0.11956394598691829</v>
      </c>
      <c r="T18" s="18">
        <v>0.25133441689038538</v>
      </c>
      <c r="U18" s="6"/>
    </row>
    <row r="19" spans="1:21" x14ac:dyDescent="0.35">
      <c r="J19" s="42"/>
      <c r="M19" s="424"/>
      <c r="T19" s="6"/>
      <c r="U19" s="6"/>
    </row>
    <row r="20" spans="1:21" x14ac:dyDescent="0.35">
      <c r="T20" s="6"/>
      <c r="U20" s="6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0">
    <tabColor theme="3" tint="0.59999389629810485"/>
  </sheetPr>
  <dimension ref="A1:AA231"/>
  <sheetViews>
    <sheetView topLeftCell="C32" zoomScale="80" zoomScaleNormal="80" workbookViewId="0">
      <selection activeCell="G64" sqref="G64"/>
    </sheetView>
  </sheetViews>
  <sheetFormatPr defaultColWidth="8.7265625" defaultRowHeight="14.5" x14ac:dyDescent="0.35"/>
  <cols>
    <col min="1" max="1" width="8.26953125" style="29" customWidth="1"/>
    <col min="2" max="2" width="22.453125" customWidth="1"/>
    <col min="3" max="3" width="27.26953125" customWidth="1"/>
    <col min="4" max="5" width="10.26953125" customWidth="1"/>
    <col min="6" max="6" width="7.7265625" customWidth="1"/>
    <col min="7" max="7" width="9.26953125" style="11" customWidth="1"/>
    <col min="8" max="20" width="14.7265625" customWidth="1"/>
    <col min="21" max="22" width="14.7265625" style="7" customWidth="1"/>
    <col min="23" max="24" width="14.7265625" customWidth="1"/>
    <col min="26" max="26" width="16" customWidth="1"/>
    <col min="27" max="27" width="19.26953125" customWidth="1"/>
  </cols>
  <sheetData>
    <row r="1" spans="1:27" x14ac:dyDescent="0.35">
      <c r="H1" s="160"/>
      <c r="N1" s="6"/>
    </row>
    <row r="2" spans="1:27" ht="21" x14ac:dyDescent="0.5">
      <c r="A2" s="58" t="s">
        <v>576</v>
      </c>
      <c r="H2" s="160"/>
      <c r="M2" s="6"/>
      <c r="N2" s="6"/>
      <c r="S2" s="10"/>
      <c r="T2" s="4"/>
    </row>
    <row r="3" spans="1:27" x14ac:dyDescent="0.35">
      <c r="J3" s="6"/>
      <c r="K3" s="160" t="s">
        <v>531</v>
      </c>
      <c r="L3" s="7"/>
      <c r="M3" s="7"/>
      <c r="N3" s="7"/>
      <c r="O3" s="7"/>
      <c r="P3" s="7"/>
      <c r="Q3" s="7"/>
      <c r="R3" s="7"/>
      <c r="S3" s="7"/>
      <c r="T3" s="7"/>
    </row>
    <row r="4" spans="1:27" x14ac:dyDescent="0.35">
      <c r="A4" s="534"/>
      <c r="B4" s="535"/>
      <c r="C4" s="535"/>
      <c r="D4" s="535"/>
      <c r="E4" s="535"/>
      <c r="F4" s="535"/>
      <c r="G4" s="535"/>
      <c r="H4" s="536"/>
      <c r="I4" s="536"/>
      <c r="J4" s="537"/>
      <c r="K4" s="537"/>
      <c r="L4" s="537"/>
      <c r="M4" s="537"/>
      <c r="N4" s="537"/>
      <c r="O4" s="537"/>
      <c r="P4" s="537"/>
      <c r="Q4" s="537"/>
      <c r="R4" s="537"/>
      <c r="S4" s="536" t="s">
        <v>56</v>
      </c>
      <c r="T4" s="536"/>
      <c r="U4" s="538"/>
      <c r="V4" s="538"/>
      <c r="W4" s="537" t="s">
        <v>57</v>
      </c>
      <c r="X4" s="537" t="s">
        <v>58</v>
      </c>
      <c r="Z4" s="536" t="s">
        <v>59</v>
      </c>
      <c r="AA4" s="536"/>
    </row>
    <row r="5" spans="1:27" x14ac:dyDescent="0.35">
      <c r="A5" s="527" t="s">
        <v>5</v>
      </c>
      <c r="B5" s="528"/>
      <c r="C5" s="528"/>
      <c r="D5" s="529"/>
      <c r="E5" s="529"/>
      <c r="F5" s="539"/>
      <c r="G5" s="540" t="s">
        <v>60</v>
      </c>
      <c r="H5" s="540" t="s">
        <v>61</v>
      </c>
      <c r="I5" s="541"/>
      <c r="J5" s="540" t="s">
        <v>62</v>
      </c>
      <c r="K5" s="542"/>
      <c r="L5" s="533" t="s">
        <v>63</v>
      </c>
      <c r="M5" s="542"/>
      <c r="N5" s="542"/>
      <c r="O5" s="542"/>
      <c r="P5" s="533" t="s">
        <v>64</v>
      </c>
      <c r="Q5" s="533" t="s">
        <v>291</v>
      </c>
      <c r="R5" s="533" t="s">
        <v>65</v>
      </c>
      <c r="S5" s="543"/>
      <c r="T5" s="543"/>
      <c r="U5" s="544"/>
      <c r="V5" s="544"/>
      <c r="W5" s="545"/>
      <c r="X5" s="545"/>
      <c r="Z5" s="540"/>
      <c r="AA5" s="540" t="s">
        <v>283</v>
      </c>
    </row>
    <row r="6" spans="1:27" ht="58" x14ac:dyDescent="0.35">
      <c r="A6" s="516" t="s">
        <v>66</v>
      </c>
      <c r="B6" s="517" t="s">
        <v>67</v>
      </c>
      <c r="C6" s="517" t="s">
        <v>68</v>
      </c>
      <c r="D6" s="518" t="s">
        <v>17</v>
      </c>
      <c r="E6" s="519" t="s">
        <v>18</v>
      </c>
      <c r="F6" s="518" t="s">
        <v>69</v>
      </c>
      <c r="G6" s="519" t="s">
        <v>70</v>
      </c>
      <c r="H6" s="526" t="s">
        <v>218</v>
      </c>
      <c r="I6" s="526" t="s">
        <v>71</v>
      </c>
      <c r="J6" s="526" t="s">
        <v>219</v>
      </c>
      <c r="K6" s="526" t="s">
        <v>532</v>
      </c>
      <c r="L6" s="526" t="s">
        <v>72</v>
      </c>
      <c r="M6" s="526" t="s">
        <v>73</v>
      </c>
      <c r="N6" s="526" t="s">
        <v>74</v>
      </c>
      <c r="O6" s="526" t="s">
        <v>75</v>
      </c>
      <c r="P6" s="526" t="s">
        <v>76</v>
      </c>
      <c r="Q6" s="526" t="s">
        <v>291</v>
      </c>
      <c r="R6" s="526" t="s">
        <v>77</v>
      </c>
      <c r="S6" s="519" t="s">
        <v>78</v>
      </c>
      <c r="T6" s="519" t="s">
        <v>79</v>
      </c>
      <c r="U6" s="546" t="s">
        <v>80</v>
      </c>
      <c r="V6" s="546" t="s">
        <v>81</v>
      </c>
      <c r="W6" s="526" t="s">
        <v>82</v>
      </c>
      <c r="X6" s="526" t="s">
        <v>83</v>
      </c>
      <c r="Z6" s="519" t="s">
        <v>84</v>
      </c>
      <c r="AA6" s="519" t="s">
        <v>479</v>
      </c>
    </row>
    <row r="7" spans="1:27" x14ac:dyDescent="0.35">
      <c r="A7" s="415" t="s">
        <v>543</v>
      </c>
      <c r="B7" s="415" t="s">
        <v>544</v>
      </c>
      <c r="C7" s="416" t="s">
        <v>545</v>
      </c>
      <c r="D7" s="121" t="s">
        <v>85</v>
      </c>
      <c r="E7" s="121" t="s">
        <v>35</v>
      </c>
      <c r="F7" s="132" t="s">
        <v>86</v>
      </c>
      <c r="G7" s="467">
        <f>SUM(H7:X7)</f>
        <v>3.1189918560704597</v>
      </c>
      <c r="H7" s="348">
        <f>(Production!$B$5*'Parameters, country spec'!$B$51*'CO2 per kg feed'!G20+(Production!$B$6+Production!$B$7)*'Parameters, country spec'!$B$52*'CO2 per kg feed'!G21)/Production!B23</f>
        <v>0.23225852938169145</v>
      </c>
      <c r="I7" s="348">
        <f>(Production!$B$5*'Parameters, country spec'!$B$51*'CO2 per kg feed'!H20+(Production!$B$6+Production!$B$7)*'Parameters, country spec'!$B$52*'CO2 per kg feed'!H21)/Production!B23</f>
        <v>0.47553364900541306</v>
      </c>
      <c r="J7" s="348"/>
      <c r="K7" s="348"/>
      <c r="L7" s="348">
        <f>(Production!$B$5*'Parameters, country spec'!$B$51*'CO2 per kg feed'!K20+(Production!$B$6+Production!$B$7)*'Parameters, country spec'!$B$52*'CO2 per kg feed'!K21)/Production!B23</f>
        <v>0.255892686365712</v>
      </c>
      <c r="M7" s="348"/>
      <c r="N7" s="348">
        <f>(Production!$B$5*'Parameters, country spec'!$B$51*'CO2 per kg feed'!M20+(Production!$B$6+Production!$B$7)*'Parameters, country spec'!$B$52*'CO2 per kg feed'!M21)/Production!B23</f>
        <v>1.5414627803387475E-2</v>
      </c>
      <c r="O7" s="348">
        <f>(Production!$B$5*'Parameters, country spec'!$B$51*'CO2 per kg feed'!N20+(Production!$B$6+Production!$B$7)*'Parameters, country spec'!$B$52*'CO2 per kg feed'!N21)/Production!B23</f>
        <v>4.5823207328789944E-2</v>
      </c>
      <c r="P7" s="348">
        <f>(Production!$B$5*'Parameters, country spec'!$B$51*'CO2 per kg feed'!O20+(Production!$B$6+Production!$B$7)*'Parameters, country spec'!$B$52*'CO2 per kg feed'!O21)/Production!B23</f>
        <v>0.25312463605619645</v>
      </c>
      <c r="Q7" s="348">
        <f>(Production!$B$5*'Parameters, country spec'!$B$51*'CO2 per kg feed'!P20+(Production!$B$6+Production!$B$7)*'Parameters, country spec'!$B$52*'CO2 per kg feed'!P21)/Production!B23</f>
        <v>0.97355126537356207</v>
      </c>
      <c r="R7" s="348">
        <f>(Production!$B$5*'Parameters, country spec'!$B$51*'CO2 per kg feed'!Q20+(Production!$B$6+Production!$B$7)*'Parameters, country spec'!$B$52*'CO2 per kg feed'!Q21)/Production!B23</f>
        <v>0.20935274338146631</v>
      </c>
      <c r="S7" s="134"/>
      <c r="T7" s="120"/>
      <c r="U7" s="133"/>
      <c r="V7" s="133"/>
      <c r="W7" s="134">
        <f>(Production!$B$8*'Parameters, country spec'!$B$58*EF_el_CO2_DK+Production!$B$8*'Parameters, country spec'!$B$59*EF_diesel_CO2)/Production!B23</f>
        <v>0.65509773127410875</v>
      </c>
      <c r="X7" s="349">
        <f>Production!$B$12*(Energy_slaughter_el_DK*EF_el_CO2_DK+Energy_slaughter_oil_DK*EF_oil_CO2)/Production!B23</f>
        <v>2.9427801001326586E-3</v>
      </c>
      <c r="Z7" s="18"/>
      <c r="AA7" s="18"/>
    </row>
    <row r="8" spans="1:27" x14ac:dyDescent="0.35">
      <c r="A8" s="11" t="s">
        <v>543</v>
      </c>
      <c r="B8" s="11" t="s">
        <v>546</v>
      </c>
      <c r="C8" s="15" t="s">
        <v>545</v>
      </c>
      <c r="D8" s="16" t="s">
        <v>85</v>
      </c>
      <c r="E8" s="16" t="s">
        <v>35</v>
      </c>
      <c r="F8" s="11" t="s">
        <v>87</v>
      </c>
      <c r="G8" s="17">
        <f t="shared" ref="G8:G63" si="0">SUM(H8:X8)</f>
        <v>1.4875792224190372E-2</v>
      </c>
      <c r="H8" s="337">
        <f>(Production!$B$5*'Parameters, country spec'!$B$51*'CH4 per kg feed'!G20+(Production!$B$6+Production!$B$7)*'Parameters, country spec'!$B$52*'CH4 per kg feed'!G21)/Production!B23</f>
        <v>3.4113657923489282E-4</v>
      </c>
      <c r="I8" s="337">
        <f>(Production!$B$5*'Parameters, country spec'!$B$51*'CH4 per kg feed'!H20+(Production!$B$6+Production!$B$7)*'Parameters, country spec'!$B$52*'CH4 per kg feed'!H21)/Production!B23</f>
        <v>1.674382111317006E-3</v>
      </c>
      <c r="J8" s="337"/>
      <c r="K8" s="337"/>
      <c r="L8" s="337">
        <f>(Production!$B$5*'Parameters, country spec'!$B$51*'CH4 per kg feed'!K20+(Production!$B$6+Production!$B$7)*'Parameters, country spec'!$B$52*'CH4 per kg feed'!K21)/Production!B23</f>
        <v>1.1535121860316023E-4</v>
      </c>
      <c r="M8" s="337"/>
      <c r="N8" s="337">
        <f>(Production!$B$5*'Parameters, country spec'!$B$51*'CH4 per kg feed'!M20+(Production!$B$6+Production!$B$7)*'Parameters, country spec'!$B$52*'CH4 per kg feed'!M21)/Production!B23</f>
        <v>5.1710301859644287E-5</v>
      </c>
      <c r="O8" s="337">
        <f>(Production!$B$5*'Parameters, country spec'!$B$51*'CH4 per kg feed'!N20+(Production!$B$6+Production!$B$7)*'Parameters, country spec'!$B$52*'CH4 per kg feed'!N21)/Production!B23</f>
        <v>3.0985517861483448E-5</v>
      </c>
      <c r="P8" s="337">
        <f>(Production!$B$5*'Parameters, country spec'!$B$51*'CH4 per kg feed'!O20+(Production!$B$6+Production!$B$7)*'Parameters, country spec'!$B$52*'CH4 per kg feed'!O21)/Production!B23</f>
        <v>0</v>
      </c>
      <c r="Q8" s="337">
        <f>(Production!$B$5*'Parameters, country spec'!$B$51*'CH4 per kg feed'!P20+(Production!$B$6+Production!$B$7)*'Parameters, country spec'!$B$52*'CH4 per kg feed'!P21)/Production!B23</f>
        <v>1.1915169642048879E-2</v>
      </c>
      <c r="R8" s="337">
        <f>(Production!$B$5*'Parameters, country spec'!$B$51*'CH4 per kg feed'!Q20+(Production!$B$6+Production!$B$7)*'Parameters, country spec'!$B$52*'CH4 per kg feed'!Q21)/Production!B23</f>
        <v>1.7881933979703479E-4</v>
      </c>
      <c r="W8" s="4">
        <f>(Production!$B$8*'Parameters, country spec'!$B$58*EF_el_CH4_DK+Production!$B$8*'Parameters, country spec'!$B$59*EF_diesel_CH4)/Production!B23</f>
        <v>5.6532674824768419E-4</v>
      </c>
      <c r="X8" s="42">
        <f>Production!$B$12*(Energy_slaughter_el_DK*EF_el_CH4_DK+Energy_slaughter_oil_DK*EF_oil_CH4)/Production!B23</f>
        <v>2.9107652205873235E-6</v>
      </c>
      <c r="Z8" s="32"/>
      <c r="AA8" s="32"/>
    </row>
    <row r="9" spans="1:27" x14ac:dyDescent="0.35">
      <c r="A9" s="11" t="s">
        <v>543</v>
      </c>
      <c r="B9" s="11" t="s">
        <v>546</v>
      </c>
      <c r="C9" s="15" t="s">
        <v>545</v>
      </c>
      <c r="D9" s="16" t="s">
        <v>85</v>
      </c>
      <c r="E9" s="16" t="s">
        <v>35</v>
      </c>
      <c r="F9" s="11" t="s">
        <v>88</v>
      </c>
      <c r="G9" s="17">
        <f>SUM(H9:T9)</f>
        <v>0.60498101485405442</v>
      </c>
      <c r="H9" s="337"/>
      <c r="I9" s="337"/>
      <c r="J9" s="356"/>
      <c r="K9" s="337"/>
      <c r="L9" s="337"/>
      <c r="M9" s="337"/>
      <c r="N9" s="337"/>
      <c r="O9" s="337"/>
      <c r="P9" s="337"/>
      <c r="Q9" s="337"/>
      <c r="R9" s="337"/>
      <c r="S9" s="4">
        <f>(Production!$B$5*EF_ent_ferm_DK+(Production!$B$6+Production!$B$7)*EF_ent_ferm_DK)/Production!B23</f>
        <v>0.49486105824133991</v>
      </c>
      <c r="T9" s="42">
        <f>SUM(U9:V9)</f>
        <v>0.11011995661271448</v>
      </c>
      <c r="U9" s="57">
        <f>Manure!$C$34/Production!B23</f>
        <v>0.11011995661271448</v>
      </c>
      <c r="W9" s="4"/>
      <c r="X9" s="42"/>
      <c r="Z9" s="32"/>
      <c r="AA9" s="32"/>
    </row>
    <row r="10" spans="1:27" ht="15" thickBot="1" x14ac:dyDescent="0.4">
      <c r="A10" s="11" t="s">
        <v>543</v>
      </c>
      <c r="B10" s="11" t="s">
        <v>546</v>
      </c>
      <c r="C10" s="15" t="s">
        <v>545</v>
      </c>
      <c r="D10" s="16" t="s">
        <v>85</v>
      </c>
      <c r="E10" s="16" t="s">
        <v>35</v>
      </c>
      <c r="F10" s="34" t="s">
        <v>89</v>
      </c>
      <c r="G10" s="17">
        <f>SUM(H10:T10)+W10+X10</f>
        <v>1.2366854554459765E-2</v>
      </c>
      <c r="H10" s="337">
        <f>(Production!$B$5*'Parameters, country spec'!$B$51*'N2O per kg feed'!G20+(Production!$B$6+Production!$B$7)*'Parameters, country spec'!$B$52*'N2O per kg feed'!G21)/Production!B23</f>
        <v>4.9747572836654551E-4</v>
      </c>
      <c r="I10" s="337">
        <f>(Production!$B$5*'Parameters, country spec'!$B$51*'N2O per kg feed'!H20+(Production!$B$6+Production!$B$7)*'Parameters, country spec'!$B$52*'N2O per kg feed'!H21)/Production!B23</f>
        <v>1.9349429885372451E-5</v>
      </c>
      <c r="J10" s="337">
        <f>(Production!$B$5*'Parameters, country spec'!$B$51*'N2O per kg feed'!I20+(Production!$B$6+Production!$B$7)*'Parameters, country spec'!$B$52*'N2O per kg feed'!I21+Manure!C157)/Production!B23</f>
        <v>4.5955015624393192E-3</v>
      </c>
      <c r="K10" s="32">
        <f>J10*EF_indirect_N2O_DK</f>
        <v>4.5955015624393194E-4</v>
      </c>
      <c r="L10" s="337">
        <f>(Production!$B$5*'Parameters, country spec'!$B$51*'N2O per kg feed'!K20+(Production!$B$6+Production!$B$7)*'Parameters, country spec'!$B$52*'N2O per kg feed'!K21)/Production!B23</f>
        <v>6.9506574645303791E-6</v>
      </c>
      <c r="M10" s="337"/>
      <c r="N10" s="337">
        <f>(Production!$B$5*'Parameters, country spec'!$B$51*'N2O per kg feed'!M20+(Production!$B$6+Production!$B$7)*'Parameters, country spec'!$B$52*'N2O per kg feed'!M21)/Production!B23</f>
        <v>6.36381198648833E-7</v>
      </c>
      <c r="O10" s="337">
        <f>(Production!$B$5*'Parameters, country spec'!$B$51*'N2O per kg feed'!N20+(Production!$B$6+Production!$B$7)*'Parameters, country spec'!$B$52*'N2O per kg feed'!N21)/Production!B23</f>
        <v>1.6804559704448598E-6</v>
      </c>
      <c r="P10" s="337">
        <f>(Production!$B$5*'Parameters, country spec'!$B$51*'N2O per kg feed'!O20+(Production!$B$6+Production!$B$7)*'Parameters, country spec'!$B$52*'N2O per kg feed'!O21)/Production!B23</f>
        <v>0</v>
      </c>
      <c r="Q10" s="337">
        <f>(Production!$B$5*'Parameters, country spec'!$B$51*'N2O per kg feed'!P20+(Production!$B$6+Production!$B$7)*'Parameters, country spec'!$B$52*'N2O per kg feed'!P21)/Production!B23</f>
        <v>1.1215855593148583E-3</v>
      </c>
      <c r="R10" s="337">
        <f>(Production!$B$5*'Parameters, country spec'!$B$51*'N2O per kg feed'!Q20+(Production!$B$6+Production!$B$7)*'Parameters, country spec'!$B$52*'N2O per kg feed'!Q21)/Production!B23</f>
        <v>7.6388515078630133E-6</v>
      </c>
      <c r="S10" s="4"/>
      <c r="T10" s="42">
        <f>SUM(U10:V10)</f>
        <v>5.6315275313049921E-3</v>
      </c>
      <c r="U10" s="184">
        <f>Manure!$C$92*44/28/Production!B23</f>
        <v>3.7718271326481656E-3</v>
      </c>
      <c r="V10" s="184">
        <f>Manure!$C$160*17/14*Manure!$B$122/Production!B23</f>
        <v>1.8597003986568267E-3</v>
      </c>
      <c r="W10" s="4">
        <f>(Production!$B$8*'Parameters, country spec'!$B$58*EF_el_N2O_DK+Production!$B$8*'Parameters, country spec'!$B$59*EF_diesel_N2O)/Production!B23</f>
        <v>2.4825263410417458E-5</v>
      </c>
      <c r="X10" s="42">
        <f>Production!$B$12*(Energy_slaughter_el_DK*EF_el_N2O_DK+Energy_slaughter_oil_DK*EF_oil_N2O)/Production!B23</f>
        <v>1.3297735283890847E-7</v>
      </c>
      <c r="Z10" s="32"/>
      <c r="AA10" s="32"/>
    </row>
    <row r="11" spans="1:27" ht="15.5" thickTop="1" thickBot="1" x14ac:dyDescent="0.4">
      <c r="A11" s="125" t="s">
        <v>543</v>
      </c>
      <c r="B11" s="125" t="s">
        <v>546</v>
      </c>
      <c r="C11" s="126" t="s">
        <v>545</v>
      </c>
      <c r="D11" s="127" t="s">
        <v>85</v>
      </c>
      <c r="E11" s="127" t="s">
        <v>35</v>
      </c>
      <c r="F11" s="128" t="s">
        <v>90</v>
      </c>
      <c r="G11" s="137">
        <f>SUM(H11:X11)</f>
        <v>23.272929158778314</v>
      </c>
      <c r="H11" s="129">
        <f>SUMPRODUCT(H7:H10,'Parameters, general'!$B$23:$B$26)</f>
        <v>0.37823527328695816</v>
      </c>
      <c r="I11" s="129">
        <f>SUMPRODUCT(I7:I10,'Parameters, general'!$B$23:$B$26)</f>
        <v>0.5307126302813665</v>
      </c>
      <c r="J11" s="129">
        <f>SUMPRODUCT(J7:J10,'Parameters, general'!$B$23:$B$26)</f>
        <v>1.2545719265459341</v>
      </c>
      <c r="K11" s="129">
        <f>SUMPRODUCT(K7:K10,'Parameters, general'!$B$23:$B$26)</f>
        <v>0.12545719265459343</v>
      </c>
      <c r="L11" s="129">
        <f>SUMPRODUCT(L7:L10,'Parameters, general'!$B$23:$B$26)</f>
        <v>0.26122768216790299</v>
      </c>
      <c r="M11" s="129">
        <f>SUMPRODUCT(M7:M10,'Parameters, general'!$B$23:$B$26)</f>
        <v>0</v>
      </c>
      <c r="N11" s="129">
        <f>SUMPRODUCT(N7:N10,'Parameters, general'!$B$23:$B$26)</f>
        <v>1.7129326866036004E-2</v>
      </c>
      <c r="O11" s="129">
        <f>SUMPRODUCT(O7:O10,'Parameters, general'!$B$23:$B$26)</f>
        <v>4.7205340240993598E-2</v>
      </c>
      <c r="P11" s="129">
        <f>SUMPRODUCT(P7:P10,'Parameters, general'!$B$23:$B$26)</f>
        <v>0.25312463605619645</v>
      </c>
      <c r="Q11" s="129">
        <f>SUMPRODUCT(Q7:Q10,'Parameters, general'!$B$23:$B$26)</f>
        <v>1.6348161783995749</v>
      </c>
      <c r="R11" s="129">
        <f>SUMPRODUCT(R7:R10,'Parameters, general'!$B$23:$B$26)</f>
        <v>0.21676696616906455</v>
      </c>
      <c r="S11" s="129">
        <f>SUMPRODUCT(S7:S10,'Parameters, general'!$B$23:$B$26)</f>
        <v>13.361248572516178</v>
      </c>
      <c r="T11" s="129">
        <f>SUMPRODUCT(T7:T10,'Parameters, general'!$B$23:$B$26)</f>
        <v>4.5106458445895541</v>
      </c>
      <c r="U11" s="129"/>
      <c r="V11" s="129"/>
      <c r="W11" s="129">
        <f>SUMPRODUCT(W7:W10,'Parameters, general'!$B$23:$B$26)</f>
        <v>0.67872176528293371</v>
      </c>
      <c r="X11" s="129">
        <f>SUMPRODUCT(X7:X10,'Parameters, general'!$B$23:$B$26)</f>
        <v>3.0658237210311827E-3</v>
      </c>
      <c r="Z11" s="103">
        <f>SUM(H11:R11)</f>
        <v>4.7192471526686202</v>
      </c>
      <c r="AA11" s="151">
        <f>'CO2 per kg feed'!F20+'CH4 per kg feed'!F20*CF_GWP_CH4_fossil+'N2O per kg feed'!F20*CF_GWP_N2O</f>
        <v>0.21046383183744502</v>
      </c>
    </row>
    <row r="12" spans="1:27" ht="15" thickTop="1" x14ac:dyDescent="0.35">
      <c r="A12" s="130" t="s">
        <v>543</v>
      </c>
      <c r="B12" s="130" t="s">
        <v>546</v>
      </c>
      <c r="C12" s="131" t="s">
        <v>545</v>
      </c>
      <c r="D12" s="16" t="s">
        <v>36</v>
      </c>
      <c r="E12" s="16" t="s">
        <v>37</v>
      </c>
      <c r="F12" s="36" t="s">
        <v>86</v>
      </c>
      <c r="G12" s="467">
        <f>SUM(H12:X12)</f>
        <v>2.8766622262068267</v>
      </c>
      <c r="H12" s="357">
        <f>(Production!$C$5*'Parameters, country spec'!$C$51*'CO2 per kg feed'!G36+(Production!$C$6+Production!$C$7)*'Parameters, country spec'!$C$52*'CO2 per kg feed'!G37)/Production!C23</f>
        <v>0.51097141169259852</v>
      </c>
      <c r="I12" s="357">
        <f>(Production!$C$5*'Parameters, country spec'!$C$51*'CO2 per kg feed'!H36+(Production!$C$6+Production!$C$7)*'Parameters, country spec'!$C$52*'CO2 per kg feed'!H37)/Production!C23</f>
        <v>0.45476921211204324</v>
      </c>
      <c r="J12" s="357"/>
      <c r="K12" s="357"/>
      <c r="L12" s="357">
        <f>(Production!$C$5*'Parameters, country spec'!$C$51*'CO2 per kg feed'!K36+(Production!$C$6+Production!$C$7)*'Parameters, country spec'!$C$52*'CO2 per kg feed'!K37)/Production!C23</f>
        <v>0.31817252624996128</v>
      </c>
      <c r="M12" s="357"/>
      <c r="N12" s="357">
        <f>(Production!$C$5*'Parameters, country spec'!$C$51*'CO2 per kg feed'!M36+(Production!$C$6+Production!$C$7)*'Parameters, country spec'!$C$52*'CO2 per kg feed'!M37)/Production!C23</f>
        <v>4.8542138474707501E-2</v>
      </c>
      <c r="O12" s="357">
        <f>(Production!$C$5*'Parameters, country spec'!$C$51*'CO2 per kg feed'!N36+(Production!$C$6+Production!$C$7)*'Parameters, country spec'!$C$52*'CO2 per kg feed'!N37)/Production!C23</f>
        <v>8.1996499829673664E-2</v>
      </c>
      <c r="P12" s="357">
        <f>(Production!$C$5*'Parameters, country spec'!$C$51*'CO2 per kg feed'!O36+(Production!$C$6+Production!$C$7)*'Parameters, country spec'!$C$52*'CO2 per kg feed'!O37)/Production!C23</f>
        <v>0.19221607508153563</v>
      </c>
      <c r="Q12" s="357">
        <f>(Production!$C$5*'Parameters, country spec'!$C$51*'CO2 per kg feed'!P36+(Production!$C$6+Production!$C$7)*'Parameters, country spec'!$C$52*'CO2 per kg feed'!P37)/Production!C23</f>
        <v>0.66934723733414958</v>
      </c>
      <c r="R12" s="357">
        <f>(Production!$C$5*'Parameters, country spec'!$C$51*'CO2 per kg feed'!Q36+(Production!$C$6+Production!$C$7)*'Parameters, country spec'!$C$52*'CO2 per kg feed'!Q37)/Production!C23</f>
        <v>0.16874353745734538</v>
      </c>
      <c r="S12" s="134"/>
      <c r="T12" s="120"/>
      <c r="U12" s="133"/>
      <c r="V12" s="133"/>
      <c r="W12" s="134">
        <f>Production!C8*('Parameters, country spec'!C58*EF_el_CO2_FR+'Parameters, country spec'!C59*EF_diesel_CO2)/Production!C23</f>
        <v>0.43033299657998664</v>
      </c>
      <c r="X12" s="135">
        <f>Production!C12*(Energy_slaughter_el_FR*EF_el_CO2_FR+Energy_slaughter_oil_FR*EF_oil_CO2)/Production!C23</f>
        <v>1.5705913948250443E-3</v>
      </c>
      <c r="Z12" s="18"/>
      <c r="AA12" s="18"/>
    </row>
    <row r="13" spans="1:27" x14ac:dyDescent="0.35">
      <c r="A13" s="11" t="s">
        <v>543</v>
      </c>
      <c r="B13" s="11" t="s">
        <v>546</v>
      </c>
      <c r="C13" s="15" t="s">
        <v>545</v>
      </c>
      <c r="D13" s="16" t="s">
        <v>36</v>
      </c>
      <c r="E13" s="16" t="s">
        <v>37</v>
      </c>
      <c r="F13" s="11" t="s">
        <v>87</v>
      </c>
      <c r="G13" s="17">
        <f t="shared" si="0"/>
        <v>1.1645547263987605E-2</v>
      </c>
      <c r="H13" s="337">
        <f>(Production!$C$5*'Parameters, country spec'!$C$51*'CH4 per kg feed'!G36+(Production!$C$6+Production!$C$7)*'Parameters, country spec'!$C$52*'CH4 per kg feed'!G37)/Production!C23</f>
        <v>9.5695965933605565E-4</v>
      </c>
      <c r="I13" s="33">
        <f>(Production!$C$5*'Parameters, country spec'!$C$51*'CH4 per kg feed'!H36+(Production!$C$6+Production!$C$7)*'Parameters, country spec'!$C$52*'CH4 per kg feed'!H37)/Production!C23</f>
        <v>1.6056650559002055E-3</v>
      </c>
      <c r="J13" s="33"/>
      <c r="K13" s="33"/>
      <c r="L13" s="33">
        <f>(Production!$C$5*'Parameters, country spec'!$C$51*'CH4 per kg feed'!K36+(Production!$C$6+Production!$C$7)*'Parameters, country spec'!$C$52*'CH4 per kg feed'!K37)/Production!C23</f>
        <v>1.4315290411959052E-4</v>
      </c>
      <c r="M13" s="33"/>
      <c r="N13" s="33">
        <f>(Production!$C$5*'Parameters, country spec'!$C$51*'CH4 per kg feed'!M36+(Production!$C$6+Production!$C$7)*'Parameters, country spec'!$C$52*'CH4 per kg feed'!M37)/Production!C23</f>
        <v>1.6273605355248991E-4</v>
      </c>
      <c r="O13" s="33">
        <f>(Production!$C$5*'Parameters, country spec'!$C$51*'CH4 per kg feed'!N36+(Production!$C$6+Production!$C$7)*'Parameters, country spec'!$C$52*'CH4 per kg feed'!N37)/Production!C23</f>
        <v>4.8544056015485281E-5</v>
      </c>
      <c r="P13" s="33">
        <f>(Production!$C$5*'Parameters, country spec'!$C$51*'CH4 per kg feed'!O36+(Production!$C$6+Production!$C$7)*'Parameters, country spec'!$C$52*'CH4 per kg feed'!O37)/Production!C23</f>
        <v>0</v>
      </c>
      <c r="Q13" s="33">
        <f>(Production!$C$5*'Parameters, country spec'!$C$51*'CH4 per kg feed'!P36+(Production!$C$6+Production!$C$7)*'Parameters, country spec'!$C$52*'CH4 per kg feed'!P37)/Production!C23</f>
        <v>8.2038873282130314E-3</v>
      </c>
      <c r="R13" s="33">
        <f>(Production!$C$5*'Parameters, country spec'!$C$51*'CH4 per kg feed'!Q36+(Production!$C$6+Production!$C$7)*'Parameters, country spec'!$C$52*'CH4 per kg feed'!Q37)/Production!C23</f>
        <v>1.4865429600276382E-4</v>
      </c>
      <c r="W13" s="4">
        <f>Production!C8*('Parameters, country spec'!C58*EF_el_CH4_FR+'Parameters, country spec'!C59*EF_diesel_CH4)/Production!C23</f>
        <v>3.7420395030881236E-4</v>
      </c>
      <c r="X13" s="10">
        <f>Production!C12*(Energy_slaughter_el_FR*EF_el_CH4_FR+Energy_slaughter_oil_FR*EF_oil_CH4)/Production!C23</f>
        <v>1.7439605391705108E-6</v>
      </c>
      <c r="Z13" s="32"/>
      <c r="AA13" s="32"/>
    </row>
    <row r="14" spans="1:27" x14ac:dyDescent="0.35">
      <c r="A14" s="11" t="s">
        <v>543</v>
      </c>
      <c r="B14" s="11" t="s">
        <v>546</v>
      </c>
      <c r="C14" s="15" t="s">
        <v>545</v>
      </c>
      <c r="D14" s="16" t="s">
        <v>36</v>
      </c>
      <c r="E14" s="16" t="s">
        <v>37</v>
      </c>
      <c r="F14" s="11" t="s">
        <v>88</v>
      </c>
      <c r="G14" s="17">
        <f>SUM(H14:T14)</f>
        <v>0.54039674080778166</v>
      </c>
      <c r="H14" s="337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4">
        <f>(Production!$C$5*EF_ent_ferm_FR+(Production!$C$6+Production!$C$7)*EF_ent_ferm_FR)/Production!C23</f>
        <v>0.49486105824133991</v>
      </c>
      <c r="T14" s="42">
        <f>SUM(U14:V14)</f>
        <v>4.5535682566441797E-2</v>
      </c>
      <c r="U14" s="57">
        <f>Manure!$E$34/Production!C23</f>
        <v>4.5535682566441797E-2</v>
      </c>
      <c r="W14" s="4"/>
      <c r="X14" s="10"/>
      <c r="Z14" s="32"/>
      <c r="AA14" s="32"/>
    </row>
    <row r="15" spans="1:27" ht="15" thickBot="1" x14ac:dyDescent="0.4">
      <c r="A15" s="11" t="s">
        <v>543</v>
      </c>
      <c r="B15" s="11" t="s">
        <v>546</v>
      </c>
      <c r="C15" s="15" t="s">
        <v>545</v>
      </c>
      <c r="D15" s="16" t="s">
        <v>36</v>
      </c>
      <c r="E15" s="16" t="s">
        <v>37</v>
      </c>
      <c r="F15" s="34" t="s">
        <v>89</v>
      </c>
      <c r="G15" s="17">
        <f>SUM(H15:T15)+W15+X15</f>
        <v>1.6388139213561942E-2</v>
      </c>
      <c r="H15" s="337">
        <f>(Production!$C$5*'Parameters, country spec'!$C$51*'N2O per kg feed'!G36+(Production!$C$6+Production!$C$7)*'Parameters, country spec'!$C$52*'N2O per kg feed'!G37)/Production!C23</f>
        <v>1.1265663427808598E-3</v>
      </c>
      <c r="I15" s="32">
        <f>(Production!$C$5*'Parameters, country spec'!$C$51*'N2O per kg feed'!H36+(Production!$C$6+Production!$C$7)*'Parameters, country spec'!$C$52*'N2O per kg feed'!H37)/Production!C23</f>
        <v>1.8416611338889601E-5</v>
      </c>
      <c r="J15" s="32">
        <f>(Production!$C$5*'Parameters, country spec'!$C$51*'N2O per kg feed'!I36+(Production!$C$6+Production!$C$7)*'Parameters, country spec'!$C$52*'N2O per kg feed'!I37+Manure!E157)/Production!C23</f>
        <v>7.5420672472211788E-3</v>
      </c>
      <c r="K15" s="32">
        <f>J15*EF_indirect_N2O_FR</f>
        <v>7.5420672472211792E-4</v>
      </c>
      <c r="L15" s="32">
        <f>(Production!$C$5*'Parameters, country spec'!$C$51*'N2O per kg feed'!K36+(Production!$C$6+Production!$C$7)*'Parameters, country spec'!$C$52*'N2O per kg feed'!K37)/Production!C23</f>
        <v>8.7863190675949329E-6</v>
      </c>
      <c r="M15" s="32"/>
      <c r="N15" s="32">
        <f>(Production!$C$5*'Parameters, country spec'!$C$51*'N2O per kg feed'!M36+(Production!$C$6+Production!$C$7)*'Parameters, country spec'!$C$52*'N2O per kg feed'!M37)/Production!C23</f>
        <v>2.0029395242191746E-6</v>
      </c>
      <c r="O15" s="32">
        <f>(Production!$C$5*'Parameters, country spec'!$C$51*'N2O per kg feed'!N36+(Production!$C$6+Production!$C$7)*'Parameters, country spec'!$C$52*'N2O per kg feed'!N37)/Production!C23</f>
        <v>3.0132496033012009E-6</v>
      </c>
      <c r="P15" s="32">
        <f>(Production!$C$5*'Parameters, country spec'!$C$51*'N2O per kg feed'!O36+(Production!$C$6+Production!$C$7)*'Parameters, country spec'!$C$52*'N2O per kg feed'!O37)/Production!C23</f>
        <v>0</v>
      </c>
      <c r="Q15" s="32">
        <f>(Production!$C$5*'Parameters, country spec'!$C$51*'N2O per kg feed'!P36+(Production!$C$6+Production!$C$7)*'Parameters, country spec'!$C$52*'N2O per kg feed'!P37)/Production!C23</f>
        <v>7.6573133907907934E-4</v>
      </c>
      <c r="R15" s="32">
        <f>(Production!$C$5*'Parameters, country spec'!$C$51*'N2O per kg feed'!Q36+(Production!$C$6+Production!$C$7)*'Parameters, country spec'!$C$52*'N2O per kg feed'!Q37)/Production!C23</f>
        <v>6.183892428504372E-6</v>
      </c>
      <c r="S15" s="4"/>
      <c r="T15" s="42">
        <f>SUM(U15:V15)</f>
        <v>6.1449027051128386E-3</v>
      </c>
      <c r="U15" s="184">
        <f>Manure!$E$92*44/28/Production!C23</f>
        <v>4.3676876088075767E-3</v>
      </c>
      <c r="V15" s="184">
        <f>Manure!$E$160*17/14*Manure!$D$122/Production!C23</f>
        <v>1.7772150963052615E-3</v>
      </c>
      <c r="W15" s="4">
        <f>Production!C8*('Parameters, country spec'!C58*EF_el_N2O_FR+'Parameters, country spec'!C59*EF_diesel_N2O)/Production!C23</f>
        <v>1.6181634683891638E-5</v>
      </c>
      <c r="X15" s="10">
        <f>Production!C12*(Energy_slaughter_el_FR*EF_el_N2O_FR+Energy_slaughter_oil_FR*EF_oil_N2O)/Production!C23</f>
        <v>8.0207999463468314E-8</v>
      </c>
      <c r="Z15" s="32"/>
      <c r="AA15" s="32"/>
    </row>
    <row r="16" spans="1:27" ht="15.5" thickTop="1" thickBot="1" x14ac:dyDescent="0.4">
      <c r="A16" s="125" t="s">
        <v>543</v>
      </c>
      <c r="B16" s="125" t="s">
        <v>546</v>
      </c>
      <c r="C16" s="126" t="s">
        <v>545</v>
      </c>
      <c r="D16" s="37" t="s">
        <v>36</v>
      </c>
      <c r="E16" s="37" t="s">
        <v>37</v>
      </c>
      <c r="F16" s="136" t="s">
        <v>90</v>
      </c>
      <c r="G16" s="137">
        <f t="shared" si="0"/>
        <v>22.288373541786171</v>
      </c>
      <c r="H16" s="129">
        <f>SUMPRODUCT(H12:H15,'Parameters, general'!$B$23:$B$26)</f>
        <v>0.8470414211199877</v>
      </c>
      <c r="I16" s="129">
        <f>SUMPRODUCT(I12:I15,'Parameters, general'!$B$23:$B$26)</f>
        <v>0.50764576567338626</v>
      </c>
      <c r="J16" s="129">
        <f>SUMPRODUCT(J12:J15,'Parameters, general'!$B$23:$B$26)</f>
        <v>2.0589843584913816</v>
      </c>
      <c r="K16" s="129">
        <f>SUMPRODUCT(K12:K15,'Parameters, general'!$B$23:$B$26)</f>
        <v>0.20589843584913819</v>
      </c>
      <c r="L16" s="129">
        <f>SUMPRODUCT(L12:L15,'Parameters, general'!$B$23:$B$26)</f>
        <v>0.32483714789817847</v>
      </c>
      <c r="M16" s="129">
        <f>SUMPRODUCT(M12:M15,'Parameters, general'!$B$23:$B$26)</f>
        <v>0</v>
      </c>
      <c r="N16" s="129">
        <f>SUMPRODUCT(N12:N15,'Parameters, general'!$B$23:$B$26)</f>
        <v>5.3938475360683531E-2</v>
      </c>
      <c r="O16" s="129">
        <f>SUMPRODUCT(O12:O15,'Parameters, general'!$B$23:$B$26)</f>
        <v>8.426572984063635E-2</v>
      </c>
      <c r="P16" s="129">
        <f>SUMPRODUCT(P12:P15,'Parameters, general'!$B$23:$B$26)</f>
        <v>0.19221607508153563</v>
      </c>
      <c r="Q16" s="129">
        <f>SUMPRODUCT(Q12:Q15,'Parameters, general'!$B$23:$B$26)</f>
        <v>1.1228677352834866</v>
      </c>
      <c r="R16" s="129">
        <f>SUMPRODUCT(R12:R15,'Parameters, general'!$B$23:$B$26)</f>
        <v>0.17486163811120944</v>
      </c>
      <c r="S16" s="129">
        <f>SUMPRODUCT(S12:S15,'Parameters, general'!$B$23:$B$26)</f>
        <v>13.361248572516178</v>
      </c>
      <c r="T16" s="129">
        <f>SUMPRODUCT(T12:T15,'Parameters, general'!$B$23:$B$26)</f>
        <v>2.9070218677897337</v>
      </c>
      <c r="U16" s="129"/>
      <c r="V16" s="129"/>
      <c r="W16" s="129">
        <f>SUMPRODUCT(W12:W15,'Parameters, general'!$B$23:$B$26)</f>
        <v>0.44590186056789166</v>
      </c>
      <c r="X16" s="129">
        <f>SUMPRODUCT(X12:X15,'Parameters, general'!$B$23:$B$26)</f>
        <v>1.6444582027458523E-3</v>
      </c>
      <c r="Z16" s="103">
        <f>SUM(H16:R16)</f>
        <v>5.5725567827096238</v>
      </c>
      <c r="AA16" s="151">
        <f>'CO2 per kg feed'!F36+'CH4 per kg feed'!F36*CF_GWP_CH4_fossil+'N2O per kg feed'!F36*CF_GWP_N2O</f>
        <v>0.24350290514018569</v>
      </c>
    </row>
    <row r="17" spans="1:27" ht="15" thickTop="1" x14ac:dyDescent="0.35">
      <c r="A17" s="130" t="s">
        <v>543</v>
      </c>
      <c r="B17" s="130" t="s">
        <v>546</v>
      </c>
      <c r="C17" s="131" t="s">
        <v>545</v>
      </c>
      <c r="D17" s="121" t="s">
        <v>38</v>
      </c>
      <c r="E17" s="121" t="s">
        <v>39</v>
      </c>
      <c r="F17" s="132" t="s">
        <v>86</v>
      </c>
      <c r="G17" s="467">
        <f>SUM(H17:X17)</f>
        <v>3.3019662703845309</v>
      </c>
      <c r="H17" s="348">
        <f>(Production!$D$5*'Parameters, country spec'!$D$51*'CO2 per kg feed'!G52+(Production!$D$6+Production!$D$7)*'Parameters, country spec'!$D$52*'CO2 per kg feed'!G53)/Production!D23</f>
        <v>0.40320291463432928</v>
      </c>
      <c r="I17" s="348">
        <f>(Production!$D$5*'Parameters, country spec'!$D$51*'CO2 per kg feed'!H52+(Production!$D$6+Production!$D$7)*'Parameters, country spec'!$D$52*'CO2 per kg feed'!H53)/Production!D23</f>
        <v>0.46732353363660978</v>
      </c>
      <c r="J17" s="348"/>
      <c r="K17" s="348"/>
      <c r="L17" s="348">
        <f>(Production!$D$5*'Parameters, country spec'!$D$51*'CO2 per kg feed'!K52+(Production!$D$6+Production!$D$7)*'Parameters, country spec'!$D$52*'CO2 per kg feed'!K53)/Production!D23</f>
        <v>0.28667961603269909</v>
      </c>
      <c r="M17" s="348"/>
      <c r="N17" s="348">
        <f>(Production!$D$5*'Parameters, country spec'!$D$51*'CO2 per kg feed'!M52+(Production!$D$6+Production!$D$7)*'Parameters, country spec'!$D$52*'CO2 per kg feed'!M53)/Production!D23</f>
        <v>1.3971808416611291E-2</v>
      </c>
      <c r="O17" s="348">
        <f>(Production!$D$5*'Parameters, country spec'!$D$51*'CO2 per kg feed'!N52+(Production!$D$6+Production!$D$7)*'Parameters, country spec'!$D$52*'CO2 per kg feed'!N53)/Production!D23</f>
        <v>4.5596963876144668E-2</v>
      </c>
      <c r="P17" s="348">
        <f>(Production!$D$5*'Parameters, country spec'!$D$51*'CO2 per kg feed'!O52+(Production!$D$6+Production!$D$7)*'Parameters, country spec'!$D$52*'CO2 per kg feed'!O53)/Production!D23</f>
        <v>0.17655055049755564</v>
      </c>
      <c r="Q17" s="348">
        <f>(Production!$D$5*'Parameters, country spec'!$D$51*'CO2 per kg feed'!P52+(Production!$D$6+Production!$D$7)*'Parameters, country spec'!$D$52*'CO2 per kg feed'!P53)/Production!D23</f>
        <v>1.0172092578006451</v>
      </c>
      <c r="R17" s="348">
        <f>(Production!$D$5*'Parameters, country spec'!$D$51*'CO2 per kg feed'!Q52+(Production!$D$6+Production!$D$7)*'Parameters, country spec'!$D$52*'CO2 per kg feed'!Q53)/Production!D23</f>
        <v>0.15921036962928337</v>
      </c>
      <c r="S17" s="134"/>
      <c r="T17" s="120"/>
      <c r="U17" s="133"/>
      <c r="V17" s="133"/>
      <c r="W17" s="134">
        <f>Production!D8*('Parameters, country spec'!D58*EF_el_CO2_DE+'Parameters, country spec'!D59*EF_diesel_CO2)/Production!D23</f>
        <v>0.72882835033117632</v>
      </c>
      <c r="X17" s="349">
        <f>Production!$D$12*(Energy_slaughter_el_DE*EF_el_CO2_DE+Energy_slaughter_oil_DE*EF_oil_CO2)/Production!D23</f>
        <v>3.3929055294760571E-3</v>
      </c>
      <c r="Z17" s="18"/>
      <c r="AA17" s="18"/>
    </row>
    <row r="18" spans="1:27" x14ac:dyDescent="0.35">
      <c r="A18" s="11" t="s">
        <v>543</v>
      </c>
      <c r="B18" s="11" t="s">
        <v>546</v>
      </c>
      <c r="C18" s="15" t="s">
        <v>545</v>
      </c>
      <c r="D18" s="16" t="s">
        <v>38</v>
      </c>
      <c r="E18" s="16" t="s">
        <v>39</v>
      </c>
      <c r="F18" s="11" t="s">
        <v>87</v>
      </c>
      <c r="G18" s="17">
        <f t="shared" si="0"/>
        <v>1.2507141888080543E-2</v>
      </c>
      <c r="H18" s="337">
        <f>(Production!$D$5*'Parameters, country spec'!$D$51*'CH4 per kg feed'!G52+(Production!$D$6+Production!$D$7)*'Parameters, country spec'!$D$52*'CH4 per kg feed'!G53)/Production!D23</f>
        <v>7.5151992961472577E-4</v>
      </c>
      <c r="I18" s="337">
        <f>(Production!$D$5*'Parameters, country spec'!$D$51*'CH4 per kg feed'!H52+(Production!$D$6+Production!$D$7)*'Parameters, country spec'!$D$52*'CH4 per kg feed'!H53)/Production!D23</f>
        <v>1.645166258810338E-3</v>
      </c>
      <c r="J18" s="337"/>
      <c r="K18" s="337"/>
      <c r="L18" s="337">
        <f>(Production!$D$5*'Parameters, country spec'!$D$51*'CH4 per kg feed'!K52+(Production!$D$6+Production!$D$7)*'Parameters, country spec'!$D$52*'CH4 per kg feed'!K53)/Production!D23</f>
        <v>1.3209970198923421E-4</v>
      </c>
      <c r="M18" s="337"/>
      <c r="N18" s="337">
        <f>(Production!$D$5*'Parameters, country spec'!$D$51*'CH4 per kg feed'!M52+(Production!$D$6+Production!$D$7)*'Parameters, country spec'!$D$52*'CH4 per kg feed'!M53)/Production!D23</f>
        <v>4.6699060203293883E-5</v>
      </c>
      <c r="O18" s="337">
        <f>(Production!$D$5*'Parameters, country spec'!$D$51*'CH4 per kg feed'!N52+(Production!$D$6+Production!$D$7)*'Parameters, country spec'!$D$52*'CH4 per kg feed'!N53)/Production!D23</f>
        <v>3.0823749259300151E-5</v>
      </c>
      <c r="P18" s="337">
        <f>(Production!$D$5*'Parameters, country spec'!$D$51*'CH4 per kg feed'!O52+(Production!$D$6+Production!$D$7)*'Parameters, country spec'!$D$52*'CH4 per kg feed'!O53)/Production!D23</f>
        <v>0</v>
      </c>
      <c r="Q18" s="337">
        <f>(Production!$D$5*'Parameters, country spec'!$D$51*'CH4 per kg feed'!P52+(Production!$D$6+Production!$D$7)*'Parameters, country spec'!$D$52*'CH4 per kg feed'!P53)/Production!D23</f>
        <v>8.8930174986178844E-3</v>
      </c>
      <c r="R18" s="337">
        <f>(Production!$D$5*'Parameters, country spec'!$D$51*'CH4 per kg feed'!Q52+(Production!$D$6+Production!$D$7)*'Parameters, country spec'!$D$52*'CH4 per kg feed'!Q53)/Production!D23</f>
        <v>1.3992598736784734E-4</v>
      </c>
      <c r="W18" s="4">
        <f>Production!D8*('Parameters, country spec'!D58*EF_el_CH4_DE+'Parameters, country spec'!D59*EF_diesel_CH4)/Production!D23</f>
        <v>8.6316066096022066E-4</v>
      </c>
      <c r="X18" s="42">
        <f>Production!$D$12*(Energy_slaughter_el_DE*EF_el_CH4_DE+Energy_slaughter_oil_DE*EF_oil_CH4)/Production!D23</f>
        <v>4.7290412576973597E-6</v>
      </c>
      <c r="Z18" s="32"/>
      <c r="AA18" s="32"/>
    </row>
    <row r="19" spans="1:27" x14ac:dyDescent="0.35">
      <c r="A19" s="11" t="s">
        <v>543</v>
      </c>
      <c r="B19" s="11" t="s">
        <v>546</v>
      </c>
      <c r="C19" s="15" t="s">
        <v>545</v>
      </c>
      <c r="D19" s="16" t="s">
        <v>38</v>
      </c>
      <c r="E19" s="16" t="s">
        <v>39</v>
      </c>
      <c r="F19" s="11" t="s">
        <v>88</v>
      </c>
      <c r="G19" s="17">
        <f>SUM(H19:T19)</f>
        <v>0.57386904608196099</v>
      </c>
      <c r="H19" s="337"/>
      <c r="I19" s="337"/>
      <c r="J19" s="356"/>
      <c r="K19" s="337"/>
      <c r="L19" s="337"/>
      <c r="M19" s="337"/>
      <c r="N19" s="337"/>
      <c r="O19" s="337"/>
      <c r="P19" s="337"/>
      <c r="Q19" s="337"/>
      <c r="R19" s="337"/>
      <c r="S19" s="4">
        <f>(Production!$D$5*EF_ent_ferm_DE+(Production!$D$6+Production!$D$7)*EF_ent_ferm_DE)/Production!D23</f>
        <v>0.49486105824133991</v>
      </c>
      <c r="T19" s="42">
        <f>SUM(U19:V19)</f>
        <v>7.9007987840621061E-2</v>
      </c>
      <c r="U19" s="57">
        <f>Manure!$G$34/Production!D23</f>
        <v>7.9007987840621061E-2</v>
      </c>
      <c r="W19" s="4"/>
      <c r="X19" s="42"/>
      <c r="Z19" s="32"/>
      <c r="AA19" s="32"/>
    </row>
    <row r="20" spans="1:27" ht="15" thickBot="1" x14ac:dyDescent="0.4">
      <c r="A20" s="11" t="s">
        <v>543</v>
      </c>
      <c r="B20" s="11" t="s">
        <v>546</v>
      </c>
      <c r="C20" s="15" t="s">
        <v>545</v>
      </c>
      <c r="D20" s="16" t="s">
        <v>38</v>
      </c>
      <c r="E20" s="16" t="s">
        <v>39</v>
      </c>
      <c r="F20" s="34" t="s">
        <v>89</v>
      </c>
      <c r="G20" s="17">
        <f>SUM(H20:T20)+W20+X20</f>
        <v>1.3796754103019462E-2</v>
      </c>
      <c r="H20" s="337">
        <f>(Production!$D$5*'Parameters, country spec'!$D$51*'N2O per kg feed'!G52+(Production!$D$6+Production!$D$7)*'Parameters, country spec'!$D$52*'N2O per kg feed'!G53)/Production!D23</f>
        <v>8.8795336007463203E-4</v>
      </c>
      <c r="I20" s="337">
        <f>(Production!$D$5*'Parameters, country spec'!$D$51*'N2O per kg feed'!H52+(Production!$D$6+Production!$D$7)*'Parameters, country spec'!$D$52*'N2O per kg feed'!H53)/Production!D23</f>
        <v>1.9021511894527678E-5</v>
      </c>
      <c r="J20" s="337">
        <f>(Production!$D$5*'Parameters, country spec'!$D$51*'N2O per kg feed'!I52+(Production!$D$6+Production!$D$7)*'Parameters, country spec'!$D$52*'N2O per kg feed'!I53++Manure!G157)/Production!D23</f>
        <v>5.410845259645726E-3</v>
      </c>
      <c r="K20" s="32">
        <f>J20*EF_indirect_N2O_DK</f>
        <v>5.4108452596457262E-4</v>
      </c>
      <c r="L20" s="337">
        <f>(Production!$D$5*'Parameters, country spec'!$D$51*'N2O per kg feed'!K52+(Production!$D$6+Production!$D$7)*'Parameters, country spec'!$D$52*'N2O per kg feed'!K53)/Production!D23</f>
        <v>7.8940456574218208E-6</v>
      </c>
      <c r="M20" s="337"/>
      <c r="N20" s="337">
        <f>(Production!$D$5*'Parameters, country spec'!$D$51*'N2O per kg feed'!M52+(Production!$D$6+Production!$D$7)*'Parameters, country spec'!$D$52*'N2O per kg feed'!M53)/Production!D23</f>
        <v>5.7471904953300199E-7</v>
      </c>
      <c r="O20" s="337">
        <f>(Production!$D$5*'Parameters, country spec'!$D$51*'N2O per kg feed'!N52+(Production!$D$6+Production!$D$7)*'Parameters, country spec'!$D$52*'N2O per kg feed'!N53)/Production!D23</f>
        <v>1.6402122536305962E-6</v>
      </c>
      <c r="P20" s="337">
        <f>(Production!$D$5*'Parameters, country spec'!$D$51*'N2O per kg feed'!O52+(Production!$D$6+Production!$D$7)*'Parameters, country spec'!$D$52*'N2O per kg feed'!O53)/Production!D23</f>
        <v>0</v>
      </c>
      <c r="Q20" s="337">
        <f>(Production!$D$5*'Parameters, country spec'!$D$51*'N2O per kg feed'!P52+(Production!$D$6+Production!$D$7)*'Parameters, country spec'!$D$52*'N2O per kg feed'!P53)/Production!D23</f>
        <v>7.920524833909036E-4</v>
      </c>
      <c r="R20" s="337">
        <f>(Production!$D$5*'Parameters, country spec'!$D$51*'N2O per kg feed'!Q52+(Production!$D$6+Production!$D$7)*'Parameters, country spec'!$D$52*'N2O per kg feed'!Q53)/Production!D23</f>
        <v>5.9417097766918244E-6</v>
      </c>
      <c r="S20" s="4"/>
      <c r="T20" s="42">
        <f>SUM(U20:V20)</f>
        <v>6.1034353459801793E-3</v>
      </c>
      <c r="U20" s="184">
        <f>Manure!$G$92*44/28/Production!D23</f>
        <v>4.0500802896405088E-3</v>
      </c>
      <c r="V20" s="184">
        <f>Manure!$G$160*17/14*Manure!$F$122/Production!D23</f>
        <v>2.0533550563396701E-3</v>
      </c>
      <c r="W20" s="4">
        <f>Production!D8*('Parameters, country spec'!D58*EF_el_N2O_DE+'Parameters, country spec'!D59*EF_diesel_N2O)/Production!D23</f>
        <v>2.6169743925263293E-5</v>
      </c>
      <c r="X20" s="42">
        <f>Production!$D$12*(Energy_slaughter_el_DE*EF_el_N2O_DE+Energy_slaughter_oil_DE*EF_oil_N2O)/Production!D23</f>
        <v>1.4118540638204227E-7</v>
      </c>
      <c r="Z20" s="32"/>
      <c r="AA20" s="32"/>
    </row>
    <row r="21" spans="1:27" ht="15.5" thickTop="1" thickBot="1" x14ac:dyDescent="0.4">
      <c r="A21" s="125" t="s">
        <v>543</v>
      </c>
      <c r="B21" s="125" t="s">
        <v>546</v>
      </c>
      <c r="C21" s="126" t="s">
        <v>545</v>
      </c>
      <c r="D21" s="127" t="s">
        <v>38</v>
      </c>
      <c r="E21" s="127" t="s">
        <v>39</v>
      </c>
      <c r="F21" s="128" t="s">
        <v>90</v>
      </c>
      <c r="G21" s="137">
        <f t="shared" si="0"/>
        <v>22.935657212986591</v>
      </c>
      <c r="H21" s="129">
        <f>SUMPRODUCT(H17:H20,'Parameters, general'!$B$23:$B$26)</f>
        <v>0.66800947583722259</v>
      </c>
      <c r="I21" s="129">
        <f>SUMPRODUCT(I17:I20,'Parameters, general'!$B$23:$B$26)</f>
        <v>0.52154236089636385</v>
      </c>
      <c r="J21" s="129">
        <f>SUMPRODUCT(J17:J20,'Parameters, general'!$B$23:$B$26)</f>
        <v>1.4771607558832831</v>
      </c>
      <c r="K21" s="129">
        <f>SUMPRODUCT(K17:K20,'Parameters, general'!$B$23:$B$26)</f>
        <v>0.14771607558832833</v>
      </c>
      <c r="L21" s="129">
        <f>SUMPRODUCT(L17:L20,'Parameters, general'!$B$23:$B$26)</f>
        <v>0.29277126161645445</v>
      </c>
      <c r="M21" s="129">
        <f>SUMPRODUCT(M17:M20,'Parameters, general'!$B$23:$B$26)</f>
        <v>0</v>
      </c>
      <c r="N21" s="129">
        <f>SUMPRODUCT(N17:N20,'Parameters, general'!$B$23:$B$26)</f>
        <v>1.5520338711191958E-2</v>
      </c>
      <c r="O21" s="129">
        <f>SUMPRODUCT(O17:O20,'Parameters, general'!$B$23:$B$26)</f>
        <v>4.6963289549312968E-2</v>
      </c>
      <c r="P21" s="129">
        <f>SUMPRODUCT(P17:P20,'Parameters, general'!$B$23:$B$26)</f>
        <v>0.17655055049755564</v>
      </c>
      <c r="Q21" s="129">
        <f>SUMPRODUCT(Q17:Q20,'Parameters, general'!$B$23:$B$26)</f>
        <v>1.4984515072251747</v>
      </c>
      <c r="R21" s="129">
        <f>SUMPRODUCT(R17:R20,'Parameters, general'!$B$23:$B$26)</f>
        <v>0.16500225082188208</v>
      </c>
      <c r="S21" s="129">
        <f>SUMPRODUCT(S17:S20,'Parameters, general'!$B$23:$B$26)</f>
        <v>13.361248572516178</v>
      </c>
      <c r="T21" s="129">
        <f>SUMPRODUCT(T17:T20,'Parameters, general'!$B$23:$B$26)</f>
        <v>3.7994535211493576</v>
      </c>
      <c r="U21" s="129"/>
      <c r="V21" s="129"/>
      <c r="W21" s="129">
        <f>SUMPRODUCT(W17:W20,'Parameters, general'!$B$23:$B$26)</f>
        <v>0.76169487811938785</v>
      </c>
      <c r="X21" s="129">
        <f>SUMPRODUCT(X17:X20,'Parameters, general'!$B$23:$B$26)</f>
        <v>3.5723745748977359E-3</v>
      </c>
      <c r="Z21" s="103">
        <f>SUM(H21:R21)</f>
        <v>5.0096878666267699</v>
      </c>
      <c r="AA21" s="151">
        <f>'CO2 per kg feed'!F52+'CH4 per kg feed'!F52*CF_GWP_CH4_fossil+'N2O per kg feed'!F52*CF_GWP_N2O</f>
        <v>0.23743923928480265</v>
      </c>
    </row>
    <row r="22" spans="1:27" ht="15" thickTop="1" x14ac:dyDescent="0.35">
      <c r="A22" s="130" t="s">
        <v>543</v>
      </c>
      <c r="B22" s="130" t="s">
        <v>546</v>
      </c>
      <c r="C22" s="131" t="s">
        <v>545</v>
      </c>
      <c r="D22" s="16" t="s">
        <v>40</v>
      </c>
      <c r="E22" s="16" t="s">
        <v>41</v>
      </c>
      <c r="F22" s="36" t="s">
        <v>86</v>
      </c>
      <c r="G22" s="467">
        <f>SUM(H22:X22)</f>
        <v>5.0097410596252114</v>
      </c>
      <c r="H22" s="348">
        <f>(Production!$E$5*'Parameters, country spec'!$E$51*'CO2 per kg feed'!G68+(Production!$E$6+Production!$E$7)*'Parameters, country spec'!$E$52*'CO2 per kg feed'!G69)/Production!E23</f>
        <v>0.95211302994129354</v>
      </c>
      <c r="I22" s="348">
        <f>(Production!$E$5*'Parameters, country spec'!$E$51*'CO2 per kg feed'!H68+(Production!$E$6+Production!$E$7)*'Parameters, country spec'!$E$52*'CO2 per kg feed'!H69)/Production!E23</f>
        <v>0.47975464466291295</v>
      </c>
      <c r="J22" s="348"/>
      <c r="K22" s="348"/>
      <c r="L22" s="348">
        <f>(Production!$E$5*'Parameters, country spec'!$E$51*'CO2 per kg feed'!K68+(Production!$E$6+Production!$E$7)*'Parameters, country spec'!$E$52*'CO2 per kg feed'!K69)/Production!E23</f>
        <v>0.65630452589831734</v>
      </c>
      <c r="M22" s="348"/>
      <c r="N22" s="348">
        <f>(Production!$E$5*'Parameters, country spec'!$E$51*'CO2 per kg feed'!M68+(Production!$E$6+Production!$E$7)*'Parameters, country spec'!$E$52*'CO2 per kg feed'!M69)/Production!E23</f>
        <v>0.11206310880127439</v>
      </c>
      <c r="O22" s="348">
        <f>(Production!$E$5*'Parameters, country spec'!$E$51*'CO2 per kg feed'!N68+(Production!$E$6+Production!$E$7)*'Parameters, country spec'!$E$52*'CO2 per kg feed'!N69)/Production!E23</f>
        <v>0.33604259023400329</v>
      </c>
      <c r="P22" s="348">
        <f>(Production!$E$5*'Parameters, country spec'!$E$51*'CO2 per kg feed'!O68+(Production!$E$6+Production!$E$7)*'Parameters, country spec'!$E$52*'CO2 per kg feed'!O69)/Production!E23</f>
        <v>0.37532341061634955</v>
      </c>
      <c r="Q22" s="348">
        <f>(Production!$E$5*'Parameters, country spec'!$E$51*'CO2 per kg feed'!P68+(Production!$E$6+Production!$E$7)*'Parameters, country spec'!$E$52*'CO2 per kg feed'!P69)/Production!E23</f>
        <v>0.89455795092656798</v>
      </c>
      <c r="R22" s="348">
        <f>(Production!$E$5*'Parameters, country spec'!$E$51*'CO2 per kg feed'!Q68+(Production!$E$6+Production!$E$7)*'Parameters, country spec'!$E$52*'CO2 per kg feed'!Q69)/Production!E23</f>
        <v>0.33056553782548959</v>
      </c>
      <c r="S22" s="134"/>
      <c r="T22" s="120"/>
      <c r="U22" s="133"/>
      <c r="V22" s="133"/>
      <c r="W22" s="134">
        <f>Production!E8*('Parameters, country spec'!E58*EF_el_CO2_GR+'Parameters, country spec'!E59*EF_diesel_CO2)/Production!E23</f>
        <v>0.86876901741696799</v>
      </c>
      <c r="X22" s="349">
        <f>Production!$E$12*(Energy_slaughter_el_GR*EF_el_CO2_GR+Energy_slaughter_oil_GR*EF_oil_CO2)/Production!E23</f>
        <v>4.2472433020348151E-3</v>
      </c>
      <c r="Z22" s="18"/>
      <c r="AA22" s="18"/>
    </row>
    <row r="23" spans="1:27" x14ac:dyDescent="0.35">
      <c r="A23" s="11" t="s">
        <v>543</v>
      </c>
      <c r="B23" s="11" t="s">
        <v>546</v>
      </c>
      <c r="C23" s="15" t="s">
        <v>545</v>
      </c>
      <c r="D23" s="16" t="s">
        <v>40</v>
      </c>
      <c r="E23" s="16" t="s">
        <v>41</v>
      </c>
      <c r="F23" s="11" t="s">
        <v>87</v>
      </c>
      <c r="G23" s="17">
        <f t="shared" si="0"/>
        <v>9.6734055780808605E-3</v>
      </c>
      <c r="H23" s="337">
        <f>(Production!$E$5*'Parameters, country spec'!$E$51*'CH4 per kg feed'!G68+(Production!$E$6+Production!$E$7)*'Parameters, country spec'!$E$52*'CH4 per kg feed'!G69)/Production!E23</f>
        <v>1.8002853140492085E-3</v>
      </c>
      <c r="I23" s="337">
        <f>(Production!$E$5*'Parameters, country spec'!$E$51*'CH4 per kg feed'!H68+(Production!$E$6+Production!$E$7)*'Parameters, country spec'!$E$52*'CH4 per kg feed'!H69)/Production!E23</f>
        <v>1.7206161837782154E-3</v>
      </c>
      <c r="J23" s="337"/>
      <c r="K23" s="337"/>
      <c r="L23" s="337">
        <f>(Production!$E$5*'Parameters, country spec'!$E$51*'CH4 per kg feed'!K68+(Production!$E$6+Production!$E$7)*'Parameters, country spec'!$E$52*'CH4 per kg feed'!K69)/Production!E23</f>
        <v>2.995888183271022E-4</v>
      </c>
      <c r="M23" s="337"/>
      <c r="N23" s="337">
        <f>(Production!$E$5*'Parameters, country spec'!$E$51*'CH4 per kg feed'!M68+(Production!$E$6+Production!$E$7)*'Parameters, country spec'!$E$52*'CH4 per kg feed'!M69)/Production!E23</f>
        <v>3.7957602618511979E-4</v>
      </c>
      <c r="O23" s="337">
        <f>(Production!$E$5*'Parameters, country spec'!$E$51*'CH4 per kg feed'!N68+(Production!$E$6+Production!$E$7)*'Parameters, country spec'!$E$52*'CH4 per kg feed'!N69)/Production!E23</f>
        <v>2.7511403960322952E-4</v>
      </c>
      <c r="P23" s="337">
        <f>(Production!$E$5*'Parameters, country spec'!$E$51*'CH4 per kg feed'!O68+(Production!$E$6+Production!$E$7)*'Parameters, country spec'!$E$52*'CH4 per kg feed'!O69)/Production!E23</f>
        <v>0</v>
      </c>
      <c r="Q23" s="337">
        <f>(Production!$E$5*'Parameters, country spec'!$E$51*'CH4 per kg feed'!P68+(Production!$E$6+Production!$E$7)*'Parameters, country spec'!$E$52*'CH4 per kg feed'!P69)/Production!E23</f>
        <v>3.745638195765105E-3</v>
      </c>
      <c r="R23" s="337">
        <f>(Production!$E$5*'Parameters, country spec'!$E$51*'CH4 per kg feed'!Q68+(Production!$E$6+Production!$E$7)*'Parameters, country spec'!$E$52*'CH4 per kg feed'!Q69)/Production!E23</f>
        <v>2.784796801197641E-4</v>
      </c>
      <c r="W23" s="4">
        <f>Production!E8*('Parameters, country spec'!E58*EF_el_CH4_GR+'Parameters, country spec'!E59*EF_diesel_CH4)/Production!E23</f>
        <v>1.1675201642279691E-3</v>
      </c>
      <c r="X23" s="42">
        <f>Production!$E$12*(Energy_slaughter_el_GR*EF_el_CH4_GR+Energy_slaughter_oil_GR*EF_oil_CH4)/Production!E23</f>
        <v>6.5871560251469639E-6</v>
      </c>
      <c r="Z23" s="32"/>
      <c r="AA23" s="32"/>
    </row>
    <row r="24" spans="1:27" x14ac:dyDescent="0.35">
      <c r="A24" s="11" t="s">
        <v>543</v>
      </c>
      <c r="B24" s="11" t="s">
        <v>546</v>
      </c>
      <c r="C24" s="15" t="s">
        <v>545</v>
      </c>
      <c r="D24" s="16" t="s">
        <v>40</v>
      </c>
      <c r="E24" s="16" t="s">
        <v>41</v>
      </c>
      <c r="F24" s="11" t="s">
        <v>88</v>
      </c>
      <c r="G24" s="17">
        <f>SUM(H24:T24)</f>
        <v>0.5363091414208222</v>
      </c>
      <c r="H24" s="337"/>
      <c r="I24" s="337"/>
      <c r="J24" s="356"/>
      <c r="K24" s="337"/>
      <c r="L24" s="337"/>
      <c r="M24" s="337"/>
      <c r="N24" s="337"/>
      <c r="O24" s="337"/>
      <c r="P24" s="337"/>
      <c r="Q24" s="337"/>
      <c r="R24" s="337"/>
      <c r="S24" s="4">
        <f>(Production!$E$5*EF_ent_ferm_GR+(Production!$E$6+Production!$E$7)*EF_ent_ferm_GR)/Production!E23</f>
        <v>0.49486105824133991</v>
      </c>
      <c r="T24" s="42">
        <f>SUM(U24:V24)</f>
        <v>4.1448083179482308E-2</v>
      </c>
      <c r="U24" s="57">
        <f>Manure!$I$34/Production!E23</f>
        <v>4.1448083179482308E-2</v>
      </c>
      <c r="W24" s="4"/>
      <c r="X24" s="42"/>
      <c r="Z24" s="32"/>
      <c r="AA24" s="32"/>
    </row>
    <row r="25" spans="1:27" ht="15" thickBot="1" x14ac:dyDescent="0.4">
      <c r="A25" s="11" t="s">
        <v>543</v>
      </c>
      <c r="B25" s="11" t="s">
        <v>546</v>
      </c>
      <c r="C25" s="15" t="s">
        <v>545</v>
      </c>
      <c r="D25" s="16" t="s">
        <v>40</v>
      </c>
      <c r="E25" s="16" t="s">
        <v>41</v>
      </c>
      <c r="F25" s="34" t="s">
        <v>89</v>
      </c>
      <c r="G25" s="17">
        <f>SUM(H25:T25)+W25+X25</f>
        <v>1.8791554129632668E-2</v>
      </c>
      <c r="H25" s="337">
        <f>(Production!$E$5*'Parameters, country spec'!$E$51*'N2O per kg feed'!G68+(Production!$E$6+Production!$E$7)*'Parameters, country spec'!$E$52*'N2O per kg feed'!G69)/Production!E23</f>
        <v>2.1049170468232575E-3</v>
      </c>
      <c r="I25" s="337">
        <f>(Production!$E$5*'Parameters, country spec'!$E$51*'N2O per kg feed'!H68+(Production!$E$6+Production!$E$7)*'Parameters, country spec'!$E$52*'N2O per kg feed'!H69)/Production!E23</f>
        <v>1.8893747953648266E-5</v>
      </c>
      <c r="J25" s="337">
        <f>(Production!$E$5*'Parameters, country spec'!$E$51*'N2O per kg feed'!I68+(Production!$E$6+Production!$E$7)*'Parameters, country spec'!$E$52*'N2O per kg feed'!I69+Manure!I157)/Production!E23</f>
        <v>7.7767668917420414E-3</v>
      </c>
      <c r="K25" s="32">
        <f>J25*EF_indirect_N2O_DK</f>
        <v>7.7767668917420418E-4</v>
      </c>
      <c r="L25" s="337">
        <f>(Production!$E$5*'Parameters, country spec'!$E$51*'N2O per kg feed'!K68+(Production!$E$6+Production!$E$7)*'Parameters, country spec'!$E$52*'N2O per kg feed'!K69)/Production!E23</f>
        <v>1.782308579264048E-5</v>
      </c>
      <c r="M25" s="337"/>
      <c r="N25" s="337">
        <f>(Production!$E$5*'Parameters, country spec'!$E$51*'N2O per kg feed'!M68+(Production!$E$6+Production!$E$7)*'Parameters, country spec'!$E$52*'N2O per kg feed'!M69)/Production!E23</f>
        <v>4.6702798622416644E-6</v>
      </c>
      <c r="O25" s="337">
        <f>(Production!$E$5*'Parameters, country spec'!$E$51*'N2O per kg feed'!N68+(Production!$E$6+Production!$E$7)*'Parameters, country spec'!$E$52*'N2O per kg feed'!N69)/Production!E23</f>
        <v>1.1825699080468296E-5</v>
      </c>
      <c r="P25" s="337">
        <f>(Production!$E$5*'Parameters, country spec'!$E$51*'N2O per kg feed'!O68+(Production!$E$6+Production!$E$7)*'Parameters, country spec'!$E$52*'N2O per kg feed'!O69)/Production!E23</f>
        <v>0</v>
      </c>
      <c r="Q25" s="337">
        <f>(Production!$E$5*'Parameters, country spec'!$E$51*'N2O per kg feed'!P68+(Production!$E$6+Production!$E$7)*'Parameters, country spec'!$E$52*'N2O per kg feed'!P69)/Production!E23</f>
        <v>2.5133021171034811E-4</v>
      </c>
      <c r="R25" s="337">
        <f>(Production!$E$5*'Parameters, country spec'!$E$51*'N2O per kg feed'!Q68+(Production!$E$6+Production!$E$7)*'Parameters, country spec'!$E$52*'N2O per kg feed'!Q69)/Production!E23</f>
        <v>1.2843503099342072E-5</v>
      </c>
      <c r="S25" s="4"/>
      <c r="T25" s="42">
        <f>SUM(U25:V25)</f>
        <v>7.7874877028404031E-3</v>
      </c>
      <c r="U25" s="184">
        <f>Manure!$I$92*44/28/Production!E23</f>
        <v>5.7655298105640535E-3</v>
      </c>
      <c r="V25" s="184">
        <f>Manure!$I$160*17/14*Manure!$H$122/Production!E23</f>
        <v>2.0219578922763496E-3</v>
      </c>
      <c r="W25" s="4">
        <f>Production!E8*('Parameters, country spec'!E58*EF_el_N2O_GR+'Parameters, country spec'!E59*EF_diesel_N2O)/Production!E23</f>
        <v>2.7171967572325847E-5</v>
      </c>
      <c r="X25" s="42">
        <f>Production!$E$12*(Energy_slaughter_el_GR*EF_el_N2O_GR+Energy_slaughter_oil_GR*EF_oil_N2O)/Production!E23</f>
        <v>1.4730398174735918E-7</v>
      </c>
      <c r="Z25" s="32"/>
      <c r="AA25" s="32"/>
    </row>
    <row r="26" spans="1:27" ht="15.5" thickTop="1" thickBot="1" x14ac:dyDescent="0.4">
      <c r="A26" s="125" t="s">
        <v>543</v>
      </c>
      <c r="B26" s="125" t="s">
        <v>546</v>
      </c>
      <c r="C26" s="126" t="s">
        <v>545</v>
      </c>
      <c r="D26" s="37" t="s">
        <v>40</v>
      </c>
      <c r="E26" s="37" t="s">
        <v>41</v>
      </c>
      <c r="F26" s="128" t="s">
        <v>90</v>
      </c>
      <c r="G26" s="137">
        <f t="shared" si="0"/>
        <v>24.908449641603941</v>
      </c>
      <c r="H26" s="129">
        <f>SUMPRODUCT(H22:H25,'Parameters, general'!$B$23:$B$26)</f>
        <v>1.5804038860827094</v>
      </c>
      <c r="I26" s="129">
        <f>SUMPRODUCT(I22:I25,'Parameters, general'!$B$23:$B$26)</f>
        <v>0.53618700013084986</v>
      </c>
      <c r="J26" s="129">
        <f>SUMPRODUCT(J22:J25,'Parameters, general'!$B$23:$B$26)</f>
        <v>2.1230573614455772</v>
      </c>
      <c r="K26" s="129">
        <f>SUMPRODUCT(K22:K25,'Parameters, general'!$B$23:$B$26)</f>
        <v>0.21230573614455775</v>
      </c>
      <c r="L26" s="129">
        <f>SUMPRODUCT(L22:L25,'Parameters, general'!$B$23:$B$26)</f>
        <v>0.67009797510585578</v>
      </c>
      <c r="M26" s="129">
        <f>SUMPRODUCT(M22:M25,'Parameters, general'!$B$23:$B$26)</f>
        <v>0</v>
      </c>
      <c r="N26" s="129">
        <f>SUMPRODUCT(N22:N25,'Parameters, general'!$B$23:$B$26)</f>
        <v>0.12464946078398294</v>
      </c>
      <c r="O26" s="129">
        <f>SUMPRODUCT(O22:O25,'Parameters, general'!$B$23:$B$26)</f>
        <v>0.34746940446314734</v>
      </c>
      <c r="P26" s="129">
        <f>SUMPRODUCT(P22:P25,'Parameters, general'!$B$23:$B$26)</f>
        <v>0.37532341061634955</v>
      </c>
      <c r="Q26" s="129">
        <f>SUMPRODUCT(Q22:Q25,'Parameters, general'!$B$23:$B$26)</f>
        <v>1.074791116957293</v>
      </c>
      <c r="R26" s="129">
        <f>SUMPRODUCT(R22:R25,'Parameters, general'!$B$23:$B$26)</f>
        <v>0.34237050863917895</v>
      </c>
      <c r="S26" s="129">
        <f>SUMPRODUCT(S22:S25,'Parameters, general'!$B$23:$B$26)</f>
        <v>13.361248572516178</v>
      </c>
      <c r="T26" s="129">
        <f>SUMPRODUCT(T22:T25,'Parameters, general'!$B$23:$B$26)</f>
        <v>3.2450823887214524</v>
      </c>
      <c r="U26" s="129"/>
      <c r="V26" s="129"/>
      <c r="W26" s="129">
        <f>SUMPRODUCT(W22:W25,'Parameters, general'!$B$23:$B$26)</f>
        <v>0.91097906545820651</v>
      </c>
      <c r="X26" s="129">
        <f>SUMPRODUCT(X22:X25,'Parameters, general'!$B$23:$B$26)</f>
        <v>4.483754538601223E-3</v>
      </c>
      <c r="Z26" s="103">
        <f>SUM(H26:R26)</f>
        <v>7.3866558603695021</v>
      </c>
      <c r="AA26" s="151">
        <f>'CO2 per kg feed'!F68+'CH4 per kg feed'!F68*CF_GWP_CH4_fossil+'N2O per kg feed'!F68*CF_GWP_N2O</f>
        <v>0.35845795509657985</v>
      </c>
    </row>
    <row r="27" spans="1:27" ht="15" thickTop="1" x14ac:dyDescent="0.35">
      <c r="A27" s="130" t="s">
        <v>543</v>
      </c>
      <c r="B27" s="130" t="s">
        <v>546</v>
      </c>
      <c r="C27" s="131" t="s">
        <v>545</v>
      </c>
      <c r="D27" s="121" t="s">
        <v>91</v>
      </c>
      <c r="E27" s="121" t="s">
        <v>43</v>
      </c>
      <c r="F27" s="132" t="s">
        <v>86</v>
      </c>
      <c r="G27" s="467">
        <f>SUM(H27:X27)</f>
        <v>5.0315744653454351</v>
      </c>
      <c r="H27" s="348">
        <f>(Production!$F$5*'Parameters, country spec'!$F$51*'CO2 per kg feed'!G84+(Production!$F$6+Production!$F$7)*'Parameters, country spec'!$F$52*'CO2 per kg feed'!G85)/Production!F23</f>
        <v>0.67074375032932865</v>
      </c>
      <c r="I27" s="348">
        <f>(Production!$F$5*'Parameters, country spec'!$F$51*'CO2 per kg feed'!H84+(Production!$F$6+Production!$F$7)*'Parameters, country spec'!$F$52*'CO2 per kg feed'!H85)/Production!F23</f>
        <v>0.44881866975128959</v>
      </c>
      <c r="J27" s="348"/>
      <c r="K27" s="348"/>
      <c r="L27" s="348">
        <f>(Production!$F$5*'Parameters, country spec'!$F$51*'CO2 per kg feed'!K84+(Production!$F$6+Production!$F$7)*'Parameters, country spec'!$F$52*'CO2 per kg feed'!K85)/Production!F23</f>
        <v>0.54954523889881135</v>
      </c>
      <c r="M27" s="348"/>
      <c r="N27" s="348">
        <f>(Production!$F$5*'Parameters, country spec'!$F$51*'CO2 per kg feed'!M84+(Production!$F$6+Production!$F$7)*'Parameters, country spec'!$F$52*'CO2 per kg feed'!M85)/Production!F23</f>
        <v>1.7884174929794182E-3</v>
      </c>
      <c r="O27" s="348">
        <f>(Production!$F$5*'Parameters, country spec'!$F$51*'CO2 per kg feed'!N84+(Production!$F$6+Production!$F$7)*'Parameters, country spec'!$F$52*'CO2 per kg feed'!N85)/Production!F23</f>
        <v>0.16439989511190845</v>
      </c>
      <c r="P27" s="348">
        <f>(Production!$F$5*'Parameters, country spec'!$F$51*'CO2 per kg feed'!O84+(Production!$F$6+Production!$F$7)*'Parameters, country spec'!$F$52*'CO2 per kg feed'!O85)/Production!F23</f>
        <v>0.5370849372685228</v>
      </c>
      <c r="Q27" s="348">
        <f>(Production!$F$5*'Parameters, country spec'!$F$51*'CO2 per kg feed'!P84+(Production!$F$6+Production!$F$7)*'Parameters, country spec'!$F$52*'CO2 per kg feed'!P85)/Production!F23</f>
        <v>1.5165299913001329</v>
      </c>
      <c r="R27" s="348">
        <f>(Production!$F$5*'Parameters, country spec'!$F$51*'CO2 per kg feed'!Q84+(Production!$F$6+Production!$F$7)*'Parameters, country spec'!$F$52*'CO2 per kg feed'!Q85)/Production!F23</f>
        <v>0.43146789701002797</v>
      </c>
      <c r="S27" s="134"/>
      <c r="T27" s="120"/>
      <c r="U27" s="133"/>
      <c r="V27" s="133"/>
      <c r="W27" s="134">
        <f>Production!F8*('Parameters, country spec'!F58*EF_el_CO2_HU+'Parameters, country spec'!F59*EF_diesel_CO2)/Production!F23</f>
        <v>0.70793034497565355</v>
      </c>
      <c r="X27" s="349">
        <f>Production!$F$12*(Energy_slaughter_el_HU*EF_el_CO2_HU+Energy_slaughter_oil_HU*EF_oil_CO2)/Production!F23</f>
        <v>3.2653232067805901E-3</v>
      </c>
      <c r="Z27" s="18"/>
      <c r="AA27" s="18"/>
    </row>
    <row r="28" spans="1:27" x14ac:dyDescent="0.35">
      <c r="A28" s="11" t="s">
        <v>543</v>
      </c>
      <c r="B28" s="11" t="s">
        <v>546</v>
      </c>
      <c r="C28" s="15" t="s">
        <v>545</v>
      </c>
      <c r="D28" s="16" t="s">
        <v>91</v>
      </c>
      <c r="E28" s="16" t="s">
        <v>43</v>
      </c>
      <c r="F28" s="11" t="s">
        <v>87</v>
      </c>
      <c r="G28" s="17">
        <f t="shared" si="0"/>
        <v>1.4552855818255578E-2</v>
      </c>
      <c r="H28" s="337">
        <f>(Production!$F$5*'Parameters, country spec'!$F$51*'CH4 per kg feed'!G84+(Production!$F$6+Production!$F$7)*'Parameters, country spec'!$F$52*'CH4 per kg feed'!G85)/Production!F23</f>
        <v>1.2601791804588477E-3</v>
      </c>
      <c r="I28" s="337">
        <f>(Production!$F$5*'Parameters, country spec'!$F$51*'CH4 per kg feed'!H84+(Production!$F$6+Production!$F$7)*'Parameters, country spec'!$F$52*'CH4 per kg feed'!H85)/Production!F23</f>
        <v>1.5925829398337073E-3</v>
      </c>
      <c r="J28" s="337"/>
      <c r="K28" s="337"/>
      <c r="L28" s="337">
        <f>(Production!$F$5*'Parameters, country spec'!$F$51*'CH4 per kg feed'!K84+(Production!$F$6+Production!$F$7)*'Parameters, country spec'!$F$52*'CH4 per kg feed'!K85)/Production!F23</f>
        <v>2.5992266633100843E-4</v>
      </c>
      <c r="M28" s="337"/>
      <c r="N28" s="337">
        <f>(Production!$F$5*'Parameters, country spec'!$F$51*'CH4 per kg feed'!M84+(Production!$F$6+Production!$F$7)*'Parameters, country spec'!$F$52*'CH4 per kg feed'!M85)/Production!F23</f>
        <v>6.9201467495316928E-6</v>
      </c>
      <c r="O28" s="337">
        <f>(Production!$F$5*'Parameters, country spec'!$F$51*'CH4 per kg feed'!N84+(Production!$F$6+Production!$F$7)*'Parameters, country spec'!$F$52*'CH4 per kg feed'!N85)/Production!F23</f>
        <v>1.3200038441825847E-4</v>
      </c>
      <c r="P28" s="337">
        <f>(Production!$F$5*'Parameters, country spec'!$F$51*'CH4 per kg feed'!O84+(Production!$F$6+Production!$F$7)*'Parameters, country spec'!$F$52*'CH4 per kg feed'!O85)/Production!F23</f>
        <v>0</v>
      </c>
      <c r="Q28" s="337">
        <f>(Production!$F$5*'Parameters, country spec'!$F$51*'CH4 per kg feed'!P84+(Production!$F$6+Production!$F$7)*'Parameters, country spec'!$F$52*'CH4 per kg feed'!P85)/Production!F23</f>
        <v>9.8986538226804779E-3</v>
      </c>
      <c r="R28" s="337">
        <f>(Production!$F$5*'Parameters, country spec'!$F$51*'CH4 per kg feed'!Q84+(Production!$F$6+Production!$F$7)*'Parameters, country spec'!$F$52*'CH4 per kg feed'!Q85)/Production!F23</f>
        <v>3.6147036795011359E-4</v>
      </c>
      <c r="W28" s="4">
        <f>Production!F8*('Parameters, country spec'!F58*EF_el_CH4_HU+'Parameters, country spec'!F59*EF_diesel_CH4)/Production!F23</f>
        <v>1.0353460766133736E-3</v>
      </c>
      <c r="X28" s="42">
        <f>Production!$F$12*(Energy_slaughter_el_HU*EF_el_CH4_HU+Energy_slaughter_oil_HU*EF_oil_CH4)/Production!F23</f>
        <v>5.7802332202598587E-6</v>
      </c>
      <c r="Z28" s="32"/>
      <c r="AA28" s="32"/>
    </row>
    <row r="29" spans="1:27" x14ac:dyDescent="0.35">
      <c r="A29" s="11" t="s">
        <v>543</v>
      </c>
      <c r="B29" s="11" t="s">
        <v>546</v>
      </c>
      <c r="C29" s="15" t="s">
        <v>545</v>
      </c>
      <c r="D29" s="16" t="s">
        <v>91</v>
      </c>
      <c r="E29" s="16" t="s">
        <v>43</v>
      </c>
      <c r="F29" s="11" t="s">
        <v>88</v>
      </c>
      <c r="G29" s="17">
        <f>SUM(H29:T29)</f>
        <v>0.59353299162373097</v>
      </c>
      <c r="H29" s="337"/>
      <c r="I29" s="337"/>
      <c r="J29" s="356"/>
      <c r="K29" s="337"/>
      <c r="L29" s="337"/>
      <c r="M29" s="337"/>
      <c r="N29" s="337"/>
      <c r="O29" s="337"/>
      <c r="P29" s="337"/>
      <c r="Q29" s="337"/>
      <c r="R29" s="337"/>
      <c r="S29" s="4">
        <f>(Production!$F$5*EF_ent_ferm_HU+(Production!$F$6+Production!$F$7)*EF_ent_ferm_HU)/Production!F23</f>
        <v>0.49486105824133991</v>
      </c>
      <c r="T29" s="42">
        <f>SUM(U29:V29)</f>
        <v>9.867193338239108E-2</v>
      </c>
      <c r="U29" s="57">
        <f>Manure!$K$34/Production!F23</f>
        <v>9.867193338239108E-2</v>
      </c>
      <c r="W29" s="4"/>
      <c r="X29" s="42"/>
      <c r="Z29" s="32"/>
      <c r="AA29" s="32"/>
    </row>
    <row r="30" spans="1:27" ht="15" thickBot="1" x14ac:dyDescent="0.4">
      <c r="A30" s="11" t="s">
        <v>543</v>
      </c>
      <c r="B30" s="11" t="s">
        <v>546</v>
      </c>
      <c r="C30" s="15" t="s">
        <v>545</v>
      </c>
      <c r="D30" s="16" t="s">
        <v>91</v>
      </c>
      <c r="E30" s="16" t="s">
        <v>43</v>
      </c>
      <c r="F30" s="34" t="s">
        <v>89</v>
      </c>
      <c r="G30" s="17">
        <f>SUM(H30:T30)+W30+X30</f>
        <v>1.8041569457411585E-2</v>
      </c>
      <c r="H30" s="337">
        <f>(Production!$F$5*'Parameters, country spec'!$F$51*'N2O per kg feed'!G84+(Production!$F$6+Production!$F$7)*'Parameters, country spec'!$F$52*'N2O per kg feed'!G85)/Production!F23</f>
        <v>1.4785879676258125E-3</v>
      </c>
      <c r="I30" s="337">
        <f>(Production!$F$5*'Parameters, country spec'!$F$51*'N2O per kg feed'!H84+(Production!$F$6+Production!$F$7)*'Parameters, country spec'!$F$52*'N2O per kg feed'!H85)/Production!F23</f>
        <v>1.8017082286802508E-5</v>
      </c>
      <c r="J30" s="337">
        <f>(Production!$F$5*'Parameters, country spec'!$F$51*'N2O per kg feed'!I84+(Production!$F$6+Production!$F$7)*'Parameters, country spec'!$F$52*'N2O per kg feed'!I85+Manure!K157)/Production!F23</f>
        <v>6.5333371128119223E-3</v>
      </c>
      <c r="K30" s="32">
        <f>J30*EF_indirect_N2O_DK</f>
        <v>6.5333371128119223E-4</v>
      </c>
      <c r="L30" s="337">
        <f>(Production!$F$5*'Parameters, country spec'!$F$51*'N2O per kg feed'!K84+(Production!$F$6+Production!$F$7)*'Parameters, country spec'!$F$52*'N2O per kg feed'!K85)/Production!F23</f>
        <v>1.5134795418441348E-5</v>
      </c>
      <c r="M30" s="337"/>
      <c r="N30" s="337">
        <f>(Production!$F$5*'Parameters, country spec'!$F$51*'N2O per kg feed'!M84+(Production!$F$6+Production!$F$7)*'Parameters, country spec'!$F$52*'N2O per kg feed'!M85)/Production!F23</f>
        <v>8.5165308565108964E-8</v>
      </c>
      <c r="O30" s="337">
        <f>(Production!$F$5*'Parameters, country spec'!$F$51*'N2O per kg feed'!N84+(Production!$F$6+Production!$F$7)*'Parameters, country spec'!$F$52*'N2O per kg feed'!N85)/Production!F23</f>
        <v>5.8726970027037095E-6</v>
      </c>
      <c r="P30" s="337">
        <f>(Production!$F$5*'Parameters, country spec'!$F$51*'N2O per kg feed'!O84+(Production!$F$6+Production!$F$7)*'Parameters, country spec'!$F$52*'N2O per kg feed'!O85)/Production!F23</f>
        <v>0</v>
      </c>
      <c r="Q30" s="337">
        <f>(Production!$F$5*'Parameters, country spec'!$F$51*'N2O per kg feed'!P84+(Production!$F$6+Production!$F$7)*'Parameters, country spec'!$F$52*'N2O per kg feed'!P85)/Production!F23</f>
        <v>7.5196597773026291E-4</v>
      </c>
      <c r="R30" s="337">
        <f>(Production!$F$5*'Parameters, country spec'!$F$51*'N2O per kg feed'!Q84+(Production!$F$6+Production!$F$7)*'Parameters, country spec'!$F$52*'N2O per kg feed'!Q85)/Production!F23</f>
        <v>1.5792450995170487E-5</v>
      </c>
      <c r="S30" s="4"/>
      <c r="T30" s="42">
        <f>SUM(U30:V30)</f>
        <v>8.5474743340945517E-3</v>
      </c>
      <c r="U30" s="184">
        <f>Manure!$K$92*44/28/Production!F23</f>
        <v>6.4080979815276827E-3</v>
      </c>
      <c r="V30" s="184">
        <f>Manure!$K$160*17/14*Manure!$J$122/Production!F23</f>
        <v>2.1393763525668691E-3</v>
      </c>
      <c r="W30" s="4">
        <f>Production!F8*('Parameters, country spec'!F58*EF_el_N2O_HU+'Parameters, country spec'!F59*EF_diesel_N2O)/Production!F23</f>
        <v>2.1853329161908385E-5</v>
      </c>
      <c r="X30" s="42">
        <f>Production!$F$12*(Energy_slaughter_el_HU*EF_el_N2O_HU+Energy_slaughter_oil_HU*EF_oil_N2O)/Production!F23</f>
        <v>1.1483369425176059E-7</v>
      </c>
      <c r="Z30" s="32"/>
      <c r="AA30" s="32"/>
    </row>
    <row r="31" spans="1:27" ht="15.5" thickTop="1" thickBot="1" x14ac:dyDescent="0.4">
      <c r="A31" s="125" t="s">
        <v>543</v>
      </c>
      <c r="B31" s="125" t="s">
        <v>546</v>
      </c>
      <c r="C31" s="126" t="s">
        <v>545</v>
      </c>
      <c r="D31" s="127" t="s">
        <v>91</v>
      </c>
      <c r="E31" s="127" t="s">
        <v>43</v>
      </c>
      <c r="F31" s="128" t="s">
        <v>90</v>
      </c>
      <c r="G31" s="137">
        <f t="shared" si="0"/>
        <v>26.41598880444355</v>
      </c>
      <c r="H31" s="129">
        <f>SUMPRODUCT(H27:H30,'Parameters, general'!$B$23:$B$26)</f>
        <v>1.1119516050688492</v>
      </c>
      <c r="I31" s="129">
        <f>SUMPRODUCT(I27:I30,'Parameters, general'!$B$23:$B$26)</f>
        <v>0.50119630482263111</v>
      </c>
      <c r="J31" s="129">
        <f>SUMPRODUCT(J27:J30,'Parameters, general'!$B$23:$B$26)</f>
        <v>1.7836010317976547</v>
      </c>
      <c r="K31" s="129">
        <f>SUMPRODUCT(K27:K30,'Parameters, general'!$B$23:$B$26)</f>
        <v>0.17836010317976547</v>
      </c>
      <c r="L31" s="129">
        <f>SUMPRODUCT(L27:L30,'Parameters, general'!$B$23:$B$26)</f>
        <v>0.56142273350470984</v>
      </c>
      <c r="M31" s="129">
        <f>SUMPRODUCT(M27:M30,'Parameters, general'!$B$23:$B$26)</f>
        <v>0</v>
      </c>
      <c r="N31" s="129">
        <f>SUMPRODUCT(N27:N30,'Parameters, general'!$B$23:$B$26)</f>
        <v>2.0178879953537377E-3</v>
      </c>
      <c r="O31" s="129">
        <f>SUMPRODUCT(O27:O30,'Parameters, general'!$B$23:$B$26)</f>
        <v>0.16993675284931065</v>
      </c>
      <c r="P31" s="129">
        <f>SUMPRODUCT(P27:P30,'Parameters, general'!$B$23:$B$26)</f>
        <v>0.5370849372685228</v>
      </c>
      <c r="Q31" s="129">
        <f>SUMPRODUCT(Q27:Q30,'Parameters, general'!$B$23:$B$26)</f>
        <v>2.0167965871363731</v>
      </c>
      <c r="R31" s="129">
        <f>SUMPRODUCT(R27:R30,'Parameters, general'!$B$23:$B$26)</f>
        <v>0.44655105309662285</v>
      </c>
      <c r="S31" s="129">
        <f>SUMPRODUCT(S27:S30,'Parameters, general'!$B$23:$B$26)</f>
        <v>13.361248572516178</v>
      </c>
      <c r="T31" s="129">
        <f>SUMPRODUCT(T27:T30,'Parameters, general'!$B$23:$B$26)</f>
        <v>4.9976026945323717</v>
      </c>
      <c r="U31" s="129"/>
      <c r="V31" s="129"/>
      <c r="W31" s="129">
        <f>SUMPRODUCT(W27:W30,'Parameters, general'!$B$23:$B$26)</f>
        <v>0.74474961691993302</v>
      </c>
      <c r="X31" s="129">
        <f>SUMPRODUCT(X27:X30,'Parameters, general'!$B$23:$B$26)</f>
        <v>3.4689237552750643E-3</v>
      </c>
      <c r="Z31" s="103">
        <f>SUM(H31:R31)</f>
        <v>7.3089189967197941</v>
      </c>
      <c r="AA31" s="151">
        <f>'CO2 per kg feed'!F84+'CH4 per kg feed'!F84*CF_GWP_CH4_fossil+'N2O per kg feed'!F84*CF_GWP_N2O</f>
        <v>0.35762232240402381</v>
      </c>
    </row>
    <row r="32" spans="1:27" ht="15" thickTop="1" x14ac:dyDescent="0.35">
      <c r="A32" s="130" t="s">
        <v>543</v>
      </c>
      <c r="B32" s="130" t="s">
        <v>546</v>
      </c>
      <c r="C32" s="131" t="s">
        <v>545</v>
      </c>
      <c r="D32" s="121" t="s">
        <v>92</v>
      </c>
      <c r="E32" s="121" t="s">
        <v>45</v>
      </c>
      <c r="F32" s="132" t="s">
        <v>86</v>
      </c>
      <c r="G32" s="467">
        <f>SUM(H32:X32)</f>
        <v>2.4911118199474251</v>
      </c>
      <c r="H32" s="348">
        <f>(Production!$G$5*'Parameters, country spec'!$G$51*'CO2 per kg feed'!G100+(Production!$G$6+Production!$G$7)*'Parameters, country spec'!$G$52*'CO2 per kg feed'!G101)/Production!G23</f>
        <v>0.59541727079859164</v>
      </c>
      <c r="I32" s="348">
        <f>(Production!$G$5*'Parameters, country spec'!$G$51*'CO2 per kg feed'!H100+(Production!$G$6+Production!$G$7)*'Parameters, country spec'!$G$52*'CO2 per kg feed'!H101)/Production!G23</f>
        <v>0.47130692965352972</v>
      </c>
      <c r="J32" s="348"/>
      <c r="K32" s="348"/>
      <c r="L32" s="348">
        <f>(Production!$G$5*'Parameters, country spec'!$G$51*'CO2 per kg feed'!K100+(Production!$G$6+Production!$G$7)*'Parameters, country spec'!$G$52*'CO2 per kg feed'!K101)/Production!G23</f>
        <v>0.30147731352899093</v>
      </c>
      <c r="M32" s="348"/>
      <c r="N32" s="348">
        <f>(Production!$G$5*'Parameters, country spec'!$G$51*'CO2 per kg feed'!M100+(Production!$G$6+Production!$G$7)*'Parameters, country spec'!$G$52*'CO2 per kg feed'!M101)/Production!G23</f>
        <v>2.3759709413136588E-3</v>
      </c>
      <c r="O32" s="348">
        <f>(Production!$G$5*'Parameters, country spec'!$G$51*'CO2 per kg feed'!N100+(Production!$G$6+Production!$G$7)*'Parameters, country spec'!$G$52*'CO2 per kg feed'!N101)/Production!G23</f>
        <v>0.13636395766044423</v>
      </c>
      <c r="P32" s="348">
        <f>(Production!$G$5*'Parameters, country spec'!$G$51*'CO2 per kg feed'!O100+(Production!$G$6+Production!$G$7)*'Parameters, country spec'!$G$52*'CO2 per kg feed'!O101)/Production!G23</f>
        <v>6.0856279520765402E-2</v>
      </c>
      <c r="Q32" s="348">
        <f>(Production!$G$5*'Parameters, country spec'!$G$51*'CO2 per kg feed'!P100+(Production!$G$6+Production!$G$7)*'Parameters, country spec'!$G$52*'CO2 per kg feed'!P101)/Production!G23</f>
        <v>0.18779844626915274</v>
      </c>
      <c r="R32" s="348">
        <f>(Production!$G$5*'Parameters, country spec'!$G$51*'CO2 per kg feed'!Q100+(Production!$G$6+Production!$G$7)*'Parameters, country spec'!$G$52*'CO2 per kg feed'!Q101)/Production!G23</f>
        <v>6.0448227812937842E-2</v>
      </c>
      <c r="S32" s="134"/>
      <c r="T32" s="120"/>
      <c r="U32" s="133"/>
      <c r="V32" s="133"/>
      <c r="W32" s="134">
        <f>Production!G8*('Parameters, country spec'!G58*EF_el_CO2_IE+'Parameters, country spec'!G59*EF_diesel_CO2)/Production!G23</f>
        <v>0.67202132512113</v>
      </c>
      <c r="X32" s="349">
        <f>Production!$G$12*(Energy_slaughter_el_IE*EF_el_CO2_IE+Energy_slaughter_oil_IE*EF_oil_CO2)/Production!G23</f>
        <v>3.0460986405687245E-3</v>
      </c>
      <c r="Z32" s="18"/>
      <c r="AA32" s="18"/>
    </row>
    <row r="33" spans="1:27" x14ac:dyDescent="0.35">
      <c r="A33" s="11" t="s">
        <v>543</v>
      </c>
      <c r="B33" s="11" t="s">
        <v>546</v>
      </c>
      <c r="C33" s="15" t="s">
        <v>545</v>
      </c>
      <c r="D33" s="16" t="s">
        <v>92</v>
      </c>
      <c r="E33" s="16" t="s">
        <v>45</v>
      </c>
      <c r="F33" s="11" t="s">
        <v>87</v>
      </c>
      <c r="G33" s="17">
        <f t="shared" si="0"/>
        <v>4.0071913153914406E-3</v>
      </c>
      <c r="H33" s="337">
        <f>(Production!$G$5*'Parameters, country spec'!$G$51*'CH4 per kg feed'!G100+(Production!$G$6+Production!$G$7)*'Parameters, country spec'!$G$52*'CH4 per kg feed'!G101)/Production!G23</f>
        <v>1.1081590195468674E-3</v>
      </c>
      <c r="I33" s="337">
        <f>(Production!$G$5*'Parameters, country spec'!$G$51*'CH4 per kg feed'!H100+(Production!$G$6+Production!$G$7)*'Parameters, country spec'!$G$52*'CH4 per kg feed'!H101)/Production!G23</f>
        <v>1.6737688958608427E-3</v>
      </c>
      <c r="J33" s="337"/>
      <c r="K33" s="337"/>
      <c r="L33" s="337">
        <f>(Production!$G$5*'Parameters, country spec'!$G$51*'CH4 per kg feed'!K100+(Production!$G$6+Production!$G$7)*'Parameters, country spec'!$G$52*'CH4 per kg feed'!K101)/Production!G23</f>
        <v>1.3415047635876215E-4</v>
      </c>
      <c r="M33" s="337"/>
      <c r="N33" s="337">
        <f>(Production!$G$5*'Parameters, country spec'!$G$51*'CH4 per kg feed'!M100+(Production!$G$6+Production!$G$7)*'Parameters, country spec'!$G$52*'CH4 per kg feed'!M101)/Production!G23</f>
        <v>9.7317357444621187E-6</v>
      </c>
      <c r="O33" s="337">
        <f>(Production!$G$5*'Parameters, country spec'!$G$51*'CH4 per kg feed'!N100+(Production!$G$6+Production!$G$7)*'Parameters, country spec'!$G$52*'CH4 per kg feed'!N101)/Production!G23</f>
        <v>7.1586981481072958E-5</v>
      </c>
      <c r="P33" s="337">
        <f>(Production!$G$5*'Parameters, country spec'!$G$51*'CH4 per kg feed'!O100+(Production!$G$6+Production!$G$7)*'Parameters, country spec'!$G$52*'CH4 per kg feed'!O101)/Production!G23</f>
        <v>0</v>
      </c>
      <c r="Q33" s="337">
        <f>(Production!$G$5*'Parameters, country spec'!$G$51*'CH4 per kg feed'!P100+(Production!$G$6+Production!$G$7)*'Parameters, country spec'!$G$52*'CH4 per kg feed'!P101)/Production!G23</f>
        <v>4.601509303510939E-4</v>
      </c>
      <c r="R33" s="337">
        <f>(Production!$G$5*'Parameters, country spec'!$G$51*'CH4 per kg feed'!Q100+(Production!$G$6+Production!$G$7)*'Parameters, country spec'!$G$52*'CH4 per kg feed'!Q101)/Production!G23</f>
        <v>5.2226606563123809E-5</v>
      </c>
      <c r="W33" s="4">
        <f>Production!G8*('Parameters, country spec'!G58*EF_el_CH4_IE+'Parameters, country spec'!G59*EF_diesel_CH4)/Production!G23</f>
        <v>4.9493564196846369E-4</v>
      </c>
      <c r="X33" s="42">
        <f>Production!$G$12*(Energy_slaughter_el_IE*EF_el_CH4_IE+Energy_slaughter_oil_IE*EF_oil_CH4)/Production!G23</f>
        <v>2.4810275167526827E-6</v>
      </c>
      <c r="Z33" s="32"/>
      <c r="AA33" s="32"/>
    </row>
    <row r="34" spans="1:27" x14ac:dyDescent="0.35">
      <c r="A34" s="11" t="s">
        <v>543</v>
      </c>
      <c r="B34" s="11" t="s">
        <v>546</v>
      </c>
      <c r="C34" s="15" t="s">
        <v>545</v>
      </c>
      <c r="D34" s="16" t="s">
        <v>92</v>
      </c>
      <c r="E34" s="16" t="s">
        <v>45</v>
      </c>
      <c r="F34" s="11" t="s">
        <v>88</v>
      </c>
      <c r="G34" s="17">
        <f>SUM(H34:T34)</f>
        <v>0.56609576557399555</v>
      </c>
      <c r="H34" s="337"/>
      <c r="I34" s="337"/>
      <c r="J34" s="356"/>
      <c r="K34" s="337"/>
      <c r="L34" s="337"/>
      <c r="M34" s="337"/>
      <c r="N34" s="337"/>
      <c r="O34" s="337"/>
      <c r="P34" s="337"/>
      <c r="Q34" s="337"/>
      <c r="R34" s="337"/>
      <c r="S34" s="4">
        <f>(Production!$G$5*EF_ent_ferm_IE+(Production!$G$6+Production!$G$7)*EF_ent_ferm_IE)/Production!G23</f>
        <v>0.49486105824133991</v>
      </c>
      <c r="T34" s="42">
        <f>SUM(U34:V34)</f>
        <v>7.1234707332655661E-2</v>
      </c>
      <c r="U34" s="57">
        <f>Manure!$M$34/Production!G23</f>
        <v>7.1234707332655661E-2</v>
      </c>
      <c r="W34" s="4"/>
      <c r="X34" s="42"/>
      <c r="Z34" s="32"/>
      <c r="AA34" s="32"/>
    </row>
    <row r="35" spans="1:27" ht="15" thickBot="1" x14ac:dyDescent="0.4">
      <c r="A35" s="11" t="s">
        <v>543</v>
      </c>
      <c r="B35" s="11" t="s">
        <v>546</v>
      </c>
      <c r="C35" s="15" t="s">
        <v>545</v>
      </c>
      <c r="D35" s="16" t="s">
        <v>92</v>
      </c>
      <c r="E35" s="16" t="s">
        <v>45</v>
      </c>
      <c r="F35" s="34" t="s">
        <v>89</v>
      </c>
      <c r="G35" s="17">
        <f>SUM(H35:T35)+W35+X35</f>
        <v>1.2799458431752951E-2</v>
      </c>
      <c r="H35" s="337">
        <f>(Production!$G$5*'Parameters, country spec'!$G$51*'N2O per kg feed'!G100+(Production!$G$6+Production!$G$7)*'Parameters, country spec'!$G$52*'N2O per kg feed'!G101)/Production!G23</f>
        <v>1.3215754724994104E-3</v>
      </c>
      <c r="I35" s="337">
        <f>(Production!$G$5*'Parameters, country spec'!$G$51*'N2O per kg feed'!H100+(Production!$G$6+Production!$G$7)*'Parameters, country spec'!$G$52*'N2O per kg feed'!H101)/Production!G23</f>
        <v>1.889205871095311E-5</v>
      </c>
      <c r="J35" s="337">
        <f>(Production!$G$5*'Parameters, country spec'!$G$51*'N2O per kg feed'!I100+(Production!$G$6+Production!$G$7)*'Parameters, country spec'!$G$52*'N2O per kg feed'!I101+Manure!ME157)/Production!G23</f>
        <v>4.6151543941066672E-3</v>
      </c>
      <c r="K35" s="32">
        <f>J35*EF_indirect_N2O_DK</f>
        <v>4.6151543941066672E-4</v>
      </c>
      <c r="L35" s="337">
        <f>(Production!$G$5*'Parameters, country spec'!$G$51*'N2O per kg feed'!K100+(Production!$G$6+Production!$G$7)*'Parameters, country spec'!$G$52*'N2O per kg feed'!K101)/Production!G23</f>
        <v>8.1348913175665562E-6</v>
      </c>
      <c r="M35" s="337"/>
      <c r="N35" s="337">
        <f>(Production!$G$5*'Parameters, country spec'!$G$51*'N2O per kg feed'!M100+(Production!$G$6+Production!$G$7)*'Parameters, country spec'!$G$52*'N2O per kg feed'!M101)/Production!G23</f>
        <v>1.1975341781458473E-7</v>
      </c>
      <c r="O35" s="337">
        <f>(Production!$G$5*'Parameters, country spec'!$G$51*'N2O per kg feed'!N100+(Production!$G$6+Production!$G$7)*'Parameters, country spec'!$G$52*'N2O per kg feed'!N101)/Production!G23</f>
        <v>4.859576158193626E-6</v>
      </c>
      <c r="P35" s="337">
        <f>(Production!$G$5*'Parameters, country spec'!$G$51*'N2O per kg feed'!O100+(Production!$G$6+Production!$G$7)*'Parameters, country spec'!$G$52*'N2O per kg feed'!O101)/Production!G23</f>
        <v>0</v>
      </c>
      <c r="Q35" s="337">
        <f>(Production!$G$5*'Parameters, country spec'!$G$51*'N2O per kg feed'!P100+(Production!$G$6+Production!$G$7)*'Parameters, country spec'!$G$52*'N2O per kg feed'!P101)/Production!G23</f>
        <v>3.3696454971715139E-5</v>
      </c>
      <c r="R35" s="337">
        <f>(Production!$G$5*'Parameters, country spec'!$G$51*'N2O per kg feed'!Q100+(Production!$G$6+Production!$G$7)*'Parameters, country spec'!$G$52*'N2O per kg feed'!Q101)/Production!G23</f>
        <v>2.4096992794026032E-6</v>
      </c>
      <c r="S35" s="4"/>
      <c r="T35" s="42">
        <f>SUM(U35:V35)</f>
        <v>6.3118667002618426E-3</v>
      </c>
      <c r="U35" s="184">
        <f>Manure!$M$92*44/28/Production!G23</f>
        <v>4.5794061902782049E-3</v>
      </c>
      <c r="V35" s="184">
        <f>Manure!$M$160*17/14*Manure!$L$122/Production!G23</f>
        <v>1.7324605099836377E-3</v>
      </c>
      <c r="W35" s="4">
        <f>Production!G8*('Parameters, country spec'!G58*EF_el_N2O_IE+'Parameters, country spec'!G59*EF_diesel_N2O)/Production!G23</f>
        <v>2.1123612842596119E-5</v>
      </c>
      <c r="X35" s="42">
        <f>Production!$G$12*(Energy_slaughter_el_IE*EF_el_N2O_IE+Energy_slaughter_oil_IE*EF_oil_N2O)/Production!G23</f>
        <v>1.1037877612235917E-7</v>
      </c>
      <c r="Z35" s="32"/>
      <c r="AA35" s="32"/>
    </row>
    <row r="36" spans="1:27" ht="15.5" thickTop="1" thickBot="1" x14ac:dyDescent="0.4">
      <c r="A36" s="125" t="s">
        <v>543</v>
      </c>
      <c r="B36" s="125" t="s">
        <v>546</v>
      </c>
      <c r="C36" s="126" t="s">
        <v>545</v>
      </c>
      <c r="D36" s="37" t="s">
        <v>92</v>
      </c>
      <c r="E36" s="37" t="s">
        <v>45</v>
      </c>
      <c r="F36" s="128" t="s">
        <v>90</v>
      </c>
      <c r="G36" s="137">
        <f t="shared" si="0"/>
        <v>21.389363943512532</v>
      </c>
      <c r="H36" s="129">
        <f>SUMPRODUCT(H32:H35,'Parameters, general'!$B$23:$B$26)</f>
        <v>0.98923051357342739</v>
      </c>
      <c r="I36" s="129">
        <f>SUMPRODUCT(I32:I35,'Parameters, general'!$B$23:$B$26)</f>
        <v>0.52634277477827307</v>
      </c>
      <c r="J36" s="129">
        <f>SUMPRODUCT(J32:J35,'Parameters, general'!$B$23:$B$26)</f>
        <v>1.2599371495911202</v>
      </c>
      <c r="K36" s="129">
        <f>SUMPRODUCT(K32:K35,'Parameters, general'!$B$23:$B$26)</f>
        <v>0.12599371495911202</v>
      </c>
      <c r="L36" s="129">
        <f>SUMPRODUCT(L32:L35,'Parameters, general'!$B$23:$B$26)</f>
        <v>0.30769582305417775</v>
      </c>
      <c r="M36" s="129">
        <f>SUMPRODUCT(M32:M35,'Parameters, general'!$B$23:$B$26)</f>
        <v>0</v>
      </c>
      <c r="N36" s="129">
        <f>SUMPRODUCT(N32:N35,'Parameters, general'!$B$23:$B$26)</f>
        <v>2.6986693495620112E-3</v>
      </c>
      <c r="O36" s="129">
        <f>SUMPRODUCT(O32:O35,'Parameters, general'!$B$23:$B$26)</f>
        <v>0.13982391399976707</v>
      </c>
      <c r="P36" s="129">
        <f>SUMPRODUCT(P32:P35,'Parameters, general'!$B$23:$B$26)</f>
        <v>6.0856279520765402E-2</v>
      </c>
      <c r="Q36" s="129">
        <f>SUMPRODUCT(Q32:Q35,'Parameters, general'!$B$23:$B$26)</f>
        <v>0.21071007620089355</v>
      </c>
      <c r="R36" s="129">
        <f>SUMPRODUCT(R32:R35,'Parameters, general'!$B$23:$B$26)</f>
        <v>6.2662428591795841E-2</v>
      </c>
      <c r="S36" s="129">
        <f>SUMPRODUCT(S32:S35,'Parameters, general'!$B$23:$B$26)</f>
        <v>13.361248572516178</v>
      </c>
      <c r="T36" s="129">
        <f>SUMPRODUCT(T32:T35,'Parameters, general'!$B$23:$B$26)</f>
        <v>3.6464767071531856</v>
      </c>
      <c r="U36" s="129"/>
      <c r="V36" s="129"/>
      <c r="W36" s="129">
        <f>SUMPRODUCT(W32:W35,'Parameters, general'!$B$23:$B$26)</f>
        <v>0.69253715355781886</v>
      </c>
      <c r="X36" s="129">
        <f>SUMPRODUCT(X32:X35,'Parameters, general'!$B$23:$B$26)</f>
        <v>3.1501666664493582E-3</v>
      </c>
      <c r="Z36" s="103">
        <f>SUM(H36:R36)</f>
        <v>3.6859513436188949</v>
      </c>
      <c r="AA36" s="151">
        <f>'CO2 per kg feed'!F100+'CH4 per kg feed'!F100*CF_GWP_CH4_fossil+'N2O per kg feed'!F100*CF_GWP_N2O</f>
        <v>0.20313260562009389</v>
      </c>
    </row>
    <row r="37" spans="1:27" ht="15" thickTop="1" x14ac:dyDescent="0.35">
      <c r="A37" s="130" t="s">
        <v>543</v>
      </c>
      <c r="B37" s="130" t="s">
        <v>546</v>
      </c>
      <c r="C37" s="131" t="s">
        <v>545</v>
      </c>
      <c r="D37" s="121" t="s">
        <v>46</v>
      </c>
      <c r="E37" s="121" t="s">
        <v>47</v>
      </c>
      <c r="F37" s="132" t="s">
        <v>86</v>
      </c>
      <c r="G37" s="467">
        <f>SUM(H37:X37)</f>
        <v>3.4155076723886557</v>
      </c>
      <c r="H37" s="348">
        <f>(Production!$H$5*'Parameters, country spec'!$H$51*'CO2 per kg feed'!G116+(Production!$H$6+Production!$H$7)*'Parameters, country spec'!$H$52*'CO2 per kg feed'!G117)/Production!H23</f>
        <v>0.51791942993003004</v>
      </c>
      <c r="I37" s="348">
        <f>(Production!$H$5*'Parameters, country spec'!$H$51*'CO2 per kg feed'!H116+(Production!$H$6+Production!$H$7)*'Parameters, country spec'!$H$52*'CO2 per kg feed'!H117)/Production!H23</f>
        <v>0.4221437689856829</v>
      </c>
      <c r="J37" s="348"/>
      <c r="K37" s="348"/>
      <c r="L37" s="348">
        <f>(Production!$H$5*'Parameters, country spec'!$H$51*'CO2 per kg feed'!K116+(Production!$H$6+Production!$H$7)*'Parameters, country spec'!$H$52*'CO2 per kg feed'!K117)/Production!H23</f>
        <v>0.27601222028651218</v>
      </c>
      <c r="M37" s="348"/>
      <c r="N37" s="348">
        <f>(Production!$H$5*'Parameters, country spec'!$H$51*'CO2 per kg feed'!M116+(Production!$H$6+Production!$H$7)*'Parameters, country spec'!$H$52*'CO2 per kg feed'!M117)/Production!H23</f>
        <v>4.1804051692908226E-2</v>
      </c>
      <c r="O37" s="348">
        <f>(Production!$H$5*'Parameters, country spec'!$H$51*'CO2 per kg feed'!N116+(Production!$H$6+Production!$H$7)*'Parameters, country spec'!$H$52*'CO2 per kg feed'!N117)/Production!H23</f>
        <v>5.0644867900797128E-2</v>
      </c>
      <c r="P37" s="348">
        <f>(Production!$H$5*'Parameters, country spec'!$H$51*'CO2 per kg feed'!O116+(Production!$H$6+Production!$H$7)*'Parameters, country spec'!$H$52*'CO2 per kg feed'!O117)/Production!H23</f>
        <v>0.24067268674965925</v>
      </c>
      <c r="Q37" s="348">
        <f>(Production!$H$5*'Parameters, country spec'!$H$51*'CO2 per kg feed'!P116+(Production!$H$6+Production!$H$7)*'Parameters, country spec'!$H$52*'CO2 per kg feed'!P117)/Production!H23</f>
        <v>0.96012389656477592</v>
      </c>
      <c r="R37" s="348">
        <f>(Production!$H$5*'Parameters, country spec'!$H$51*'CO2 per kg feed'!Q116+(Production!$H$6+Production!$H$7)*'Parameters, country spec'!$H$52*'CO2 per kg feed'!Q117)/Production!H23</f>
        <v>0.24220652108826263</v>
      </c>
      <c r="S37" s="134"/>
      <c r="T37" s="120"/>
      <c r="U37" s="133"/>
      <c r="V37" s="133"/>
      <c r="W37" s="134">
        <f>Production!H8*('Parameters, country spec'!H58*EF_el_CO2_IT+'Parameters, country spec'!H59*EF_diesel_CO2)/Production!H23</f>
        <v>0.66100140714868039</v>
      </c>
      <c r="X37" s="349">
        <f>Production!$H$12*(Energy_slaughter_el_IT*EF_el_CO2_IT+Energy_slaughter_oil_IT*EF_oil_CO2)/Production!H23</f>
        <v>2.9788220413469197E-3</v>
      </c>
      <c r="Z37" s="18"/>
      <c r="AA37" s="18"/>
    </row>
    <row r="38" spans="1:27" x14ac:dyDescent="0.35">
      <c r="A38" s="11" t="s">
        <v>543</v>
      </c>
      <c r="B38" s="11" t="s">
        <v>546</v>
      </c>
      <c r="C38" s="15" t="s">
        <v>545</v>
      </c>
      <c r="D38" s="16" t="s">
        <v>46</v>
      </c>
      <c r="E38" s="16" t="s">
        <v>47</v>
      </c>
      <c r="F38" s="11" t="s">
        <v>87</v>
      </c>
      <c r="G38" s="17">
        <f t="shared" si="0"/>
        <v>1.1777783976533769E-2</v>
      </c>
      <c r="H38" s="337">
        <f>(Production!$H$5*'Parameters, country spec'!$H$51*'CH4 per kg feed'!G116+(Production!$H$6+Production!$H$7)*'Parameters, country spec'!$H$52*'CH4 per kg feed'!G117)/Production!H23</f>
        <v>9.6111932608976616E-4</v>
      </c>
      <c r="I38" s="337">
        <f>(Production!$H$5*'Parameters, country spec'!$H$51*'CH4 per kg feed'!H116+(Production!$H$6+Production!$H$7)*'Parameters, country spec'!$H$52*'CH4 per kg feed'!H117)/Production!H23</f>
        <v>1.4885468576062363E-3</v>
      </c>
      <c r="J38" s="337"/>
      <c r="K38" s="337"/>
      <c r="L38" s="337">
        <f>(Production!$H$5*'Parameters, country spec'!$H$51*'CH4 per kg feed'!K116+(Production!$H$6+Production!$H$7)*'Parameters, country spec'!$H$52*'CH4 per kg feed'!K117)/Production!H23</f>
        <v>1.3907329594941932E-4</v>
      </c>
      <c r="M38" s="337"/>
      <c r="N38" s="337">
        <f>(Production!$H$5*'Parameters, country spec'!$H$51*'CH4 per kg feed'!M116+(Production!$H$6+Production!$H$7)*'Parameters, country spec'!$H$52*'CH4 per kg feed'!M117)/Production!H23</f>
        <v>1.3903122175132552E-4</v>
      </c>
      <c r="O38" s="337">
        <f>(Production!$H$5*'Parameters, country spec'!$H$51*'CH4 per kg feed'!N116+(Production!$H$6+Production!$H$7)*'Parameters, country spec'!$H$52*'CH4 per kg feed'!N117)/Production!H23</f>
        <v>4.7457800738018416E-5</v>
      </c>
      <c r="P38" s="337">
        <f>(Production!$H$5*'Parameters, country spec'!$H$51*'CH4 per kg feed'!O116+(Production!$H$6+Production!$H$7)*'Parameters, country spec'!$H$52*'CH4 per kg feed'!O117)/Production!H23</f>
        <v>0</v>
      </c>
      <c r="Q38" s="337">
        <f>(Production!$H$5*'Parameters, country spec'!$H$51*'CH4 per kg feed'!P116+(Production!$H$6+Production!$H$7)*'Parameters, country spec'!$H$52*'CH4 per kg feed'!P117)/Production!H23</f>
        <v>7.3251749149457531E-3</v>
      </c>
      <c r="R38" s="337">
        <f>(Production!$H$5*'Parameters, country spec'!$H$51*'CH4 per kg feed'!Q116+(Production!$H$6+Production!$H$7)*'Parameters, country spec'!$H$52*'CH4 per kg feed'!Q117)/Production!H23</f>
        <v>2.0587463497138099E-4</v>
      </c>
      <c r="W38" s="4">
        <f>Production!H8*('Parameters, country spec'!H58*EF_el_CH4_IT+'Parameters, country spec'!H59*EF_diesel_CH4)/Production!H23</f>
        <v>1.4631141670693752E-3</v>
      </c>
      <c r="X38" s="42">
        <f>Production!$H$12*(Energy_slaughter_el_IT*EF_el_CH4_IT+Energy_slaughter_oil_IT*EF_oil_CH4)/Production!H23</f>
        <v>8.3917574124937499E-6</v>
      </c>
      <c r="Z38" s="32"/>
      <c r="AA38" s="32"/>
    </row>
    <row r="39" spans="1:27" x14ac:dyDescent="0.35">
      <c r="A39" s="11" t="s">
        <v>543</v>
      </c>
      <c r="B39" s="11" t="s">
        <v>546</v>
      </c>
      <c r="C39" s="15" t="s">
        <v>545</v>
      </c>
      <c r="D39" s="16" t="s">
        <v>46</v>
      </c>
      <c r="E39" s="16" t="s">
        <v>47</v>
      </c>
      <c r="F39" s="11" t="s">
        <v>88</v>
      </c>
      <c r="G39" s="17">
        <f>SUM(H39:T39)</f>
        <v>0.62856931326601606</v>
      </c>
      <c r="H39" s="337"/>
      <c r="I39" s="337"/>
      <c r="J39" s="356"/>
      <c r="K39" s="337"/>
      <c r="L39" s="337"/>
      <c r="M39" s="337"/>
      <c r="N39" s="337"/>
      <c r="O39" s="337"/>
      <c r="P39" s="337"/>
      <c r="Q39" s="337"/>
      <c r="R39" s="337"/>
      <c r="S39" s="4">
        <f>(Production!$H$5*EF_ent_ferm_IT+(Production!$H$6+Production!$H$7)*EF_ent_ferm_IT)/Production!H23</f>
        <v>0.49486105824133991</v>
      </c>
      <c r="T39" s="42">
        <f>SUM(U39:V39)</f>
        <v>0.13370825502467612</v>
      </c>
      <c r="U39" s="57">
        <f>Manure!$O$34/Production!H23</f>
        <v>0.13370825502467612</v>
      </c>
      <c r="W39" s="4"/>
      <c r="X39" s="42"/>
      <c r="Z39" s="32"/>
      <c r="AA39" s="32"/>
    </row>
    <row r="40" spans="1:27" ht="15" thickBot="1" x14ac:dyDescent="0.4">
      <c r="A40" s="11" t="s">
        <v>543</v>
      </c>
      <c r="B40" s="11" t="s">
        <v>546</v>
      </c>
      <c r="C40" s="15" t="s">
        <v>545</v>
      </c>
      <c r="D40" s="16" t="s">
        <v>46</v>
      </c>
      <c r="E40" s="16" t="s">
        <v>47</v>
      </c>
      <c r="F40" s="34" t="s">
        <v>89</v>
      </c>
      <c r="G40" s="17">
        <f>SUM(H40:T40)+W40+X40</f>
        <v>1.7206592503317995E-2</v>
      </c>
      <c r="H40" s="337">
        <f>(Production!$H$5*'Parameters, country spec'!$H$51*'N2O per kg feed'!G116+(Production!$H$6+Production!$H$7)*'Parameters, country spec'!$H$52*'N2O per kg feed'!G117)/Production!H23</f>
        <v>1.139790270254324E-3</v>
      </c>
      <c r="I40" s="337">
        <f>(Production!$H$5*'Parameters, country spec'!$H$51*'N2O per kg feed'!H116+(Production!$H$6+Production!$H$7)*'Parameters, country spec'!$H$52*'N2O per kg feed'!H117)/Production!H23</f>
        <v>1.713392606850671E-5</v>
      </c>
      <c r="J40" s="337">
        <f>(Production!$H$5*'Parameters, country spec'!$H$51*'N2O per kg feed'!I116+(Production!$H$6+Production!$H$7)*'Parameters, country spec'!$H$52*'N2O per kg feed'!I117+Manure!O157)/Production!H23</f>
        <v>5.9001070627154144E-3</v>
      </c>
      <c r="K40" s="32">
        <f>J40*EF_indirect_N2O_DK</f>
        <v>5.9001070627154144E-4</v>
      </c>
      <c r="L40" s="337">
        <f>(Production!$H$5*'Parameters, country spec'!$H$51*'N2O per kg feed'!K116+(Production!$H$6+Production!$H$7)*'Parameters, country spec'!$H$52*'N2O per kg feed'!K117)/Production!H23</f>
        <v>7.7299025453112928E-6</v>
      </c>
      <c r="M40" s="337"/>
      <c r="N40" s="337">
        <f>(Production!$H$5*'Parameters, country spec'!$H$51*'N2O per kg feed'!M116+(Production!$H$6+Production!$H$7)*'Parameters, country spec'!$H$52*'N2O per kg feed'!M117)/Production!H23</f>
        <v>1.7110831003357189E-6</v>
      </c>
      <c r="O40" s="337">
        <f>(Production!$H$5*'Parameters, country spec'!$H$51*'N2O per kg feed'!N116+(Production!$H$6+Production!$H$7)*'Parameters, country spec'!$H$52*'N2O per kg feed'!N117)/Production!H23</f>
        <v>1.8554435599539321E-6</v>
      </c>
      <c r="P40" s="337">
        <f>(Production!$H$5*'Parameters, country spec'!$H$51*'N2O per kg feed'!O116+(Production!$H$6+Production!$H$7)*'Parameters, country spec'!$H$52*'N2O per kg feed'!O117)/Production!H23</f>
        <v>0</v>
      </c>
      <c r="Q40" s="337">
        <f>(Production!$H$5*'Parameters, country spec'!$H$51*'N2O per kg feed'!P116+(Production!$H$6+Production!$H$7)*'Parameters, country spec'!$H$52*'N2O per kg feed'!P117)/Production!H23</f>
        <v>4.6927232920912027E-4</v>
      </c>
      <c r="R40" s="337">
        <f>(Production!$H$5*'Parameters, country spec'!$H$51*'N2O per kg feed'!Q116+(Production!$H$6+Production!$H$7)*'Parameters, country spec'!$H$52*'N2O per kg feed'!Q117)/Production!H23</f>
        <v>1.0015406221376696E-5</v>
      </c>
      <c r="S40" s="4"/>
      <c r="T40" s="42">
        <f>SUM(U40:V40)</f>
        <v>9.0460948243076406E-3</v>
      </c>
      <c r="U40" s="184">
        <f>Manure!$O$92*44/28/Production!H23</f>
        <v>6.1113881348993067E-3</v>
      </c>
      <c r="V40" s="184">
        <f>Manure!$O$160*17/14*Manure!$N$122/Production!H23</f>
        <v>2.934706689408333E-3</v>
      </c>
      <c r="W40" s="4">
        <f>Production!H8*('Parameters, country spec'!H58*EF_el_N2O_IT+'Parameters, country spec'!H59*EF_diesel_N2O)/Production!H23</f>
        <v>2.2751233663240706E-5</v>
      </c>
      <c r="X40" s="42">
        <f>Production!$H$12*(Energy_slaughter_el_IT*EF_el_N2O_IT+Energy_slaughter_oil_IT*EF_oil_N2O)/Production!H23</f>
        <v>1.2031540123239437E-7</v>
      </c>
      <c r="Z40" s="32"/>
      <c r="AA40" s="32"/>
    </row>
    <row r="41" spans="1:27" ht="15.5" thickTop="1" thickBot="1" x14ac:dyDescent="0.4">
      <c r="A41" s="125" t="s">
        <v>543</v>
      </c>
      <c r="B41" s="125" t="s">
        <v>546</v>
      </c>
      <c r="C41" s="126" t="s">
        <v>545</v>
      </c>
      <c r="D41" s="127" t="s">
        <v>46</v>
      </c>
      <c r="E41" s="127" t="s">
        <v>47</v>
      </c>
      <c r="F41" s="128" t="s">
        <v>90</v>
      </c>
      <c r="G41" s="137">
        <f t="shared" si="0"/>
        <v>25.435256846477611</v>
      </c>
      <c r="H41" s="129">
        <f>SUMPRODUCT(H37:H40,'Parameters, general'!$B$23:$B$26)</f>
        <v>0.85772352962693565</v>
      </c>
      <c r="I41" s="129">
        <f>SUMPRODUCT(I37:I40,'Parameters, general'!$B$23:$B$26)</f>
        <v>0.47118002715905105</v>
      </c>
      <c r="J41" s="129">
        <f>SUMPRODUCT(J37:J40,'Parameters, general'!$B$23:$B$26)</f>
        <v>1.6107292281213081</v>
      </c>
      <c r="K41" s="129">
        <f>SUMPRODUCT(K37:K40,'Parameters, general'!$B$23:$B$26)</f>
        <v>0.16107292281213081</v>
      </c>
      <c r="L41" s="129">
        <f>SUMPRODUCT(L37:L40,'Parameters, general'!$B$23:$B$26)</f>
        <v>0.28226686790067484</v>
      </c>
      <c r="M41" s="129">
        <f>SUMPRODUCT(M37:M40,'Parameters, general'!$B$23:$B$26)</f>
        <v>0</v>
      </c>
      <c r="N41" s="129">
        <f>SUMPRODUCT(N37:N40,'Parameters, general'!$B$23:$B$26)</f>
        <v>4.6414307787489374E-2</v>
      </c>
      <c r="O41" s="129">
        <f>SUMPRODUCT(O37:O40,'Parameters, general'!$B$23:$B$26)</f>
        <v>5.25656464546575E-2</v>
      </c>
      <c r="P41" s="129">
        <f>SUMPRODUCT(P37:P40,'Parameters, general'!$B$23:$B$26)</f>
        <v>0.24067268674965925</v>
      </c>
      <c r="Q41" s="129">
        <f>SUMPRODUCT(Q37:Q40,'Parameters, general'!$B$23:$B$26)</f>
        <v>1.3065254549042493</v>
      </c>
      <c r="R41" s="129">
        <f>SUMPRODUCT(R37:R40,'Parameters, general'!$B$23:$B$26)</f>
        <v>0.25107579110884559</v>
      </c>
      <c r="S41" s="129">
        <f>SUMPRODUCT(S37:S40,'Parameters, general'!$B$23:$B$26)</f>
        <v>13.361248572516178</v>
      </c>
      <c r="T41" s="129">
        <f>SUMPRODUCT(T37:T40,'Parameters, general'!$B$23:$B$26)</f>
        <v>6.0797067727022416</v>
      </c>
      <c r="U41" s="129"/>
      <c r="V41" s="129"/>
      <c r="W41" s="129">
        <f>SUMPRODUCT(W37:W40,'Parameters, general'!$B$23:$B$26)</f>
        <v>0.71081329611741251</v>
      </c>
      <c r="X41" s="129">
        <f>SUMPRODUCT(X37:X40,'Parameters, general'!$B$23:$B$26)</f>
        <v>3.2617425167756771E-3</v>
      </c>
      <c r="Z41" s="103">
        <f>SUM(H41:R41)</f>
        <v>5.2802264626250013</v>
      </c>
      <c r="AA41" s="151">
        <f>'CO2 per kg feed'!F116+'CH4 per kg feed'!F116*CF_GWP_CH4_fossil+'N2O per kg feed'!F116*CF_GWP_N2O</f>
        <v>0.25136897041529582</v>
      </c>
    </row>
    <row r="42" spans="1:27" ht="15" thickTop="1" x14ac:dyDescent="0.35">
      <c r="A42" s="130" t="s">
        <v>543</v>
      </c>
      <c r="B42" s="130" t="s">
        <v>546</v>
      </c>
      <c r="C42" s="131" t="s">
        <v>545</v>
      </c>
      <c r="D42" t="s">
        <v>93</v>
      </c>
      <c r="E42" s="16" t="s">
        <v>49</v>
      </c>
      <c r="F42" s="132" t="s">
        <v>86</v>
      </c>
      <c r="G42" s="467">
        <f>SUM(H42:X42)</f>
        <v>4.6720093114237873</v>
      </c>
      <c r="H42" s="348">
        <f>(Production!$I$5*'Parameters, country spec'!$I$51*'CO2 per kg feed'!G132+(Production!$I$6+Production!$I$7)*'Parameters, country spec'!$I$52*'CO2 per kg feed'!G132)/Production!I23</f>
        <v>1.4621806995461752</v>
      </c>
      <c r="I42" s="348">
        <f>(Production!$I$5*'Parameters, country spec'!$I$51*'CO2 per kg feed'!H132+(Production!$I$6+Production!$I$7)*'Parameters, country spec'!$I$52*'CO2 per kg feed'!H133)/Production!I23</f>
        <v>0.46336270711779093</v>
      </c>
      <c r="J42" s="348"/>
      <c r="K42" s="348"/>
      <c r="L42" s="348">
        <f>(Production!$I$5*'Parameters, country spec'!$I$51*'CO2 per kg feed'!K132+(Production!$I$6+Production!$I$7)*'Parameters, country spec'!$I$52*'CO2 per kg feed'!K133)/Production!I23</f>
        <v>0.39524305816392896</v>
      </c>
      <c r="M42" s="348"/>
      <c r="N42" s="348">
        <f>(Production!$I$5*'Parameters, country spec'!$I$51*'CO2 per kg feed'!M132+(Production!$I$6+Production!$I$7)*'Parameters, country spec'!$I$52*'CO2 per kg feed'!M133)/Production!I23</f>
        <v>1.5690797187065727E-2</v>
      </c>
      <c r="O42" s="348">
        <f>(Production!$I$5*'Parameters, country spec'!$I$51*'CO2 per kg feed'!N132+(Production!$I$6+Production!$I$7)*'Parameters, country spec'!$I$52*'CO2 per kg feed'!N133)/Production!I23</f>
        <v>9.5699113756787232E-2</v>
      </c>
      <c r="P42" s="348">
        <f>(Production!$I$5*'Parameters, country spec'!$I$51*'CO2 per kg feed'!O132+(Production!$I$6+Production!$I$7)*'Parameters, country spec'!$I$52*'CO2 per kg feed'!O133)/Production!I23</f>
        <v>0.37608481472753008</v>
      </c>
      <c r="Q42" s="348">
        <f>(Production!$I$5*'Parameters, country spec'!$I$51*'CO2 per kg feed'!P132+(Production!$I$6+Production!$I$7)*'Parameters, country spec'!$I$52*'CO2 per kg feed'!P133)/Production!I23</f>
        <v>0.78322908144055903</v>
      </c>
      <c r="R42" s="348">
        <f>(Production!$I$5*'Parameters, country spec'!$I$51*'CO2 per kg feed'!Q132+(Production!$I$6+Production!$I$7)*'Parameters, country spec'!$I$52*'CO2 per kg feed'!Q133)/Production!I23</f>
        <v>0.32178516105842109</v>
      </c>
      <c r="S42" s="134"/>
      <c r="T42" s="120"/>
      <c r="U42" s="133"/>
      <c r="V42" s="133"/>
      <c r="W42" s="134">
        <f>Production!I8*('Parameters, country spec'!I58*EF_el_CO2_NL+'Parameters, country spec'!I59*EF_diesel_CO2)/Production!I23</f>
        <v>0.75518009549184728</v>
      </c>
      <c r="X42" s="349">
        <f>Production!$I$12*(Energy_slaughter_el_NL*EF_el_CO2_NL+Energy_slaughter_oil_NL*EF_oil_CO2)/Production!I23</f>
        <v>3.5537829336819544E-3</v>
      </c>
      <c r="Z42" s="18"/>
      <c r="AA42" s="18"/>
    </row>
    <row r="43" spans="1:27" x14ac:dyDescent="0.35">
      <c r="A43" s="11" t="s">
        <v>543</v>
      </c>
      <c r="B43" s="11" t="s">
        <v>546</v>
      </c>
      <c r="C43" s="15" t="s">
        <v>545</v>
      </c>
      <c r="D43" t="s">
        <v>93</v>
      </c>
      <c r="E43" s="16" t="s">
        <v>49</v>
      </c>
      <c r="F43" s="11" t="s">
        <v>87</v>
      </c>
      <c r="G43" s="17">
        <f t="shared" si="0"/>
        <v>1.1187241631615757E-2</v>
      </c>
      <c r="H43" s="337">
        <f>(Production!$I$5*'Parameters, country spec'!$I$51*'CH4 per kg feed'!G132+(Production!$I$6+Production!$I$7)*'Parameters, country spec'!$I$52*'CH4 per kg feed'!G133)/Production!I23</f>
        <v>2.702228495552465E-3</v>
      </c>
      <c r="I43" s="337">
        <f>(Production!$I$5*'Parameters, country spec'!$I$51*'CH4 per kg feed'!H132+(Production!$I$6+Production!$I$7)*'Parameters, country spec'!$I$52*'CH4 per kg feed'!H133)/Production!I23</f>
        <v>1.6333642931437796E-3</v>
      </c>
      <c r="J43" s="337"/>
      <c r="K43" s="337"/>
      <c r="L43" s="337">
        <f>(Production!$I$5*'Parameters, country spec'!$I$51*'CH4 per kg feed'!K132+(Production!$I$6+Production!$I$7)*'Parameters, country spec'!$I$52*'CH4 per kg feed'!K133)/Production!I23</f>
        <v>1.7988441192035921E-4</v>
      </c>
      <c r="M43" s="337"/>
      <c r="N43" s="337">
        <f>(Production!$I$5*'Parameters, country spec'!$I$51*'CH4 per kg feed'!M132+(Production!$I$6+Production!$I$7)*'Parameters, country spec'!$I$52*'CH4 per kg feed'!M133)/Production!I23</f>
        <v>5.2311038120847612E-5</v>
      </c>
      <c r="O43" s="337">
        <f>(Production!$I$5*'Parameters, country spec'!$I$51*'CH4 per kg feed'!N132+(Production!$I$6+Production!$I$7)*'Parameters, country spec'!$I$52*'CH4 per kg feed'!N133)/Production!I23</f>
        <v>6.6810200904999836E-5</v>
      </c>
      <c r="P43" s="337">
        <f>(Production!$I$5*'Parameters, country spec'!$I$51*'CH4 per kg feed'!O132+(Production!$I$6+Production!$I$7)*'Parameters, country spec'!$I$52*'CH4 per kg feed'!O133)/Production!I23</f>
        <v>0</v>
      </c>
      <c r="Q43" s="337">
        <f>(Production!$I$5*'Parameters, country spec'!$I$51*'CH4 per kg feed'!P132+(Production!$I$6+Production!$I$7)*'Parameters, country spec'!$I$52*'CH4 per kg feed'!P133)/Production!I23</f>
        <v>5.3279799351261172E-3</v>
      </c>
      <c r="R43" s="337">
        <f>(Production!$I$5*'Parameters, country spec'!$I$51*'CH4 per kg feed'!Q132+(Production!$I$6+Production!$I$7)*'Parameters, country spec'!$I$52*'CH4 per kg feed'!Q133)/Production!I23</f>
        <v>2.7950496344461242E-4</v>
      </c>
      <c r="W43" s="4">
        <f>Production!I8*('Parameters, country spec'!I58*EF_el_CH4_NL+'Parameters, country spec'!I59*EF_diesel_CH4)/Production!I23</f>
        <v>9.3996038980031084E-4</v>
      </c>
      <c r="X43" s="42">
        <f>Production!$I$12*(Energy_slaughter_el_NL*EF_el_CH4_NL+Energy_slaughter_oil_NL*EF_oil_CH4)/Production!I23</f>
        <v>5.1979036022661098E-6</v>
      </c>
      <c r="Z43" s="32"/>
      <c r="AA43" s="32"/>
    </row>
    <row r="44" spans="1:27" x14ac:dyDescent="0.35">
      <c r="A44" s="11" t="s">
        <v>543</v>
      </c>
      <c r="B44" s="11" t="s">
        <v>546</v>
      </c>
      <c r="C44" s="15" t="s">
        <v>545</v>
      </c>
      <c r="D44" t="s">
        <v>93</v>
      </c>
      <c r="E44" s="16" t="s">
        <v>49</v>
      </c>
      <c r="F44" s="11" t="s">
        <v>88</v>
      </c>
      <c r="G44" s="17">
        <f>SUM(H44:T44)</f>
        <v>0.49486105824133991</v>
      </c>
      <c r="H44" s="337"/>
      <c r="I44" s="337"/>
      <c r="J44" s="356"/>
      <c r="K44" s="337"/>
      <c r="L44" s="337"/>
      <c r="M44" s="337"/>
      <c r="N44" s="337"/>
      <c r="O44" s="337"/>
      <c r="P44" s="337"/>
      <c r="Q44" s="337"/>
      <c r="R44" s="337"/>
      <c r="S44" s="4">
        <f>(Production!$I$5*EF_ent_ferm_NL+(Production!$I$6+Production!$I$7)*EF_ent_ferm_NL)/Production!I23</f>
        <v>0.49486105824133991</v>
      </c>
      <c r="T44" s="42">
        <f>SUM(U44:V44)</f>
        <v>0</v>
      </c>
      <c r="U44" s="57">
        <f>Manure!$Q$34/Production!I23</f>
        <v>0</v>
      </c>
      <c r="W44" s="4"/>
      <c r="X44" s="42"/>
      <c r="Z44" s="32"/>
      <c r="AA44" s="32"/>
    </row>
    <row r="45" spans="1:27" ht="15" thickBot="1" x14ac:dyDescent="0.4">
      <c r="A45" s="11" t="s">
        <v>543</v>
      </c>
      <c r="B45" s="11" t="s">
        <v>546</v>
      </c>
      <c r="C45" s="15" t="s">
        <v>545</v>
      </c>
      <c r="D45" t="s">
        <v>93</v>
      </c>
      <c r="E45" s="16" t="s">
        <v>49</v>
      </c>
      <c r="F45" s="34" t="s">
        <v>89</v>
      </c>
      <c r="G45" s="17">
        <f>SUM(H45:T45)+W45+X45</f>
        <v>2.091862283829618E-2</v>
      </c>
      <c r="H45" s="337">
        <f>(Production!$I$5*'Parameters, country spec'!$I$51*'N2O per kg feed'!G132+(Production!$I$6+Production!$I$7)*'Parameters, country spec'!$I$52*'N2O per kg feed'!G133)/Production!I23</f>
        <v>3.2161411239921898E-3</v>
      </c>
      <c r="I45" s="337">
        <f>(Production!$I$5*'Parameters, country spec'!$I$51*'N2O per kg feed'!H132+(Production!$I$6+Production!$I$7)*'Parameters, country spec'!$I$52*'N2O per kg feed'!H133)/Production!I23</f>
        <v>1.8817459372434514E-5</v>
      </c>
      <c r="J45" s="337">
        <f>(Production!$I$5*'Parameters, country spec'!$I$51*'N2O per kg feed'!I132+(Production!$I$6+Production!$I$7)*'Parameters, country spec'!$I$52*'N2O per kg feed'!I133+Manure!Q157)/Production!I23</f>
        <v>1.2704030325815132E-2</v>
      </c>
      <c r="K45" s="32">
        <f>J45*EF_indirect_N2O_NL</f>
        <v>1.2704030325815133E-3</v>
      </c>
      <c r="L45" s="337">
        <f>(Production!$I$5*'Parameters, country spec'!$I$51*'N2O per kg feed'!K132+(Production!$I$6+Production!$I$7)*'Parameters, country spec'!$I$52*'N2O per kg feed'!K133)/Production!I23</f>
        <v>1.0799409429332551E-5</v>
      </c>
      <c r="M45" s="337"/>
      <c r="N45" s="337">
        <f>(Production!$I$5*'Parameters, country spec'!$I$51*'N2O per kg feed'!M132+(Production!$I$6+Production!$I$7)*'Parameters, country spec'!$I$52*'N2O per kg feed'!M133)/Production!I23</f>
        <v>6.4375421441318449E-7</v>
      </c>
      <c r="O45" s="337">
        <f>(Production!$I$5*'Parameters, country spec'!$I$51*'N2O per kg feed'!N132+(Production!$I$6+Production!$I$7)*'Parameters, country spec'!$I$52*'N2O per kg feed'!N133)/Production!I23</f>
        <v>3.4447018198410226E-6</v>
      </c>
      <c r="P45" s="337">
        <f>(Production!$I$5*'Parameters, country spec'!$I$51*'N2O per kg feed'!O132+(Production!$I$6+Production!$I$7)*'Parameters, country spec'!$I$52*'N2O per kg feed'!O133)/Production!I23</f>
        <v>0</v>
      </c>
      <c r="Q45" s="337">
        <f>(Production!$I$5*'Parameters, country spec'!$I$51*'N2O per kg feed'!P132+(Production!$I$6+Production!$I$7)*'Parameters, country spec'!$I$52*'N2O per kg feed'!P133)/Production!I23</f>
        <v>4.5323100672070853E-4</v>
      </c>
      <c r="R45" s="337">
        <f>(Production!$I$5*'Parameters, country spec'!$I$51*'N2O per kg feed'!Q132+(Production!$I$6+Production!$I$7)*'Parameters, country spec'!$I$52*'N2O per kg feed'!Q133)/Production!I23</f>
        <v>1.1774312427003074E-5</v>
      </c>
      <c r="S45" s="4"/>
      <c r="T45" s="42">
        <f>SUM(U45:V45)</f>
        <v>3.2036783126953511E-3</v>
      </c>
      <c r="U45" s="184">
        <f>Manure!$Q$92*44/28/Production!I23</f>
        <v>1.9981905521169172E-3</v>
      </c>
      <c r="V45" s="184">
        <f>Manure!$Q$160*17/14*Manure!$P$122/Production!I23</f>
        <v>1.2054877605784337E-3</v>
      </c>
      <c r="W45" s="4">
        <f>Production!I8*('Parameters, country spec'!I58*EF_el_N2O_NL+'Parameters, country spec'!I59*EF_diesel_N2O)/Production!I23</f>
        <v>2.5522167277312526E-5</v>
      </c>
      <c r="X45" s="42">
        <f>Production!$I$12*(Energy_slaughter_el_NL*EF_el_N2O_NL+Energy_slaughter_oil_NL*EF_oil_N2O)/Production!I23</f>
        <v>1.3723195094630285E-7</v>
      </c>
      <c r="Z45" s="32"/>
      <c r="AA45" s="32"/>
    </row>
    <row r="46" spans="1:27" ht="15.5" thickTop="1" thickBot="1" x14ac:dyDescent="0.4">
      <c r="A46" s="125" t="s">
        <v>543</v>
      </c>
      <c r="B46" s="125" t="s">
        <v>546</v>
      </c>
      <c r="C46" s="126" t="s">
        <v>545</v>
      </c>
      <c r="D46" s="152" t="s">
        <v>93</v>
      </c>
      <c r="E46" s="127" t="s">
        <v>49</v>
      </c>
      <c r="F46" s="128" t="s">
        <v>90</v>
      </c>
      <c r="G46" s="137">
        <f t="shared" si="0"/>
        <v>24.077421719416975</v>
      </c>
      <c r="H46" s="129">
        <f>SUMPRODUCT(H42:H45,'Parameters, general'!$B$23:$B$26)</f>
        <v>2.4207136355635068</v>
      </c>
      <c r="I46" s="129">
        <f>SUMPRODUCT(I42:I45,'Parameters, general'!$B$23:$B$26)</f>
        <v>0.51717412946215024</v>
      </c>
      <c r="J46" s="129">
        <f>SUMPRODUCT(J42:J45,'Parameters, general'!$B$23:$B$26)</f>
        <v>3.4682002789475308</v>
      </c>
      <c r="K46" s="129">
        <f>SUMPRODUCT(K42:K45,'Parameters, general'!$B$23:$B$26)</f>
        <v>0.34682002789475314</v>
      </c>
      <c r="L46" s="129">
        <f>SUMPRODUCT(L42:L45,'Parameters, general'!$B$23:$B$26)</f>
        <v>0.40355185241336344</v>
      </c>
      <c r="M46" s="129">
        <f>SUMPRODUCT(M42:M45,'Parameters, general'!$B$23:$B$26)</f>
        <v>0</v>
      </c>
      <c r="N46" s="129">
        <f>SUMPRODUCT(N42:N45,'Parameters, general'!$B$23:$B$26)</f>
        <v>1.7425411023601782E-2</v>
      </c>
      <c r="O46" s="129">
        <f>SUMPRODUCT(O42:O45,'Parameters, general'!$B$23:$B$26)</f>
        <v>9.8630461340572836E-2</v>
      </c>
      <c r="P46" s="129">
        <f>SUMPRODUCT(P42:P45,'Parameters, general'!$B$23:$B$26)</f>
        <v>0.37608481472753008</v>
      </c>
      <c r="Q46" s="129">
        <f>SUMPRODUCT(Q42:Q45,'Parameters, general'!$B$23:$B$26)</f>
        <v>1.0657349483420708</v>
      </c>
      <c r="R46" s="129">
        <f>SUMPRODUCT(R42:R45,'Parameters, general'!$B$23:$B$26)</f>
        <v>0.33332879626164236</v>
      </c>
      <c r="S46" s="129">
        <f>SUMPRODUCT(S42:S45,'Parameters, general'!$B$23:$B$26)</f>
        <v>13.361248572516178</v>
      </c>
      <c r="T46" s="129">
        <f>SUMPRODUCT(T42:T45,'Parameters, general'!$B$23:$B$26)</f>
        <v>0.8746041793658309</v>
      </c>
      <c r="U46" s="129"/>
      <c r="V46" s="129"/>
      <c r="W46" s="129">
        <f>SUMPRODUCT(W42:W45,'Parameters, general'!$B$23:$B$26)</f>
        <v>0.79015846677460289</v>
      </c>
      <c r="X46" s="129">
        <f>SUMPRODUCT(X42:X45,'Parameters, general'!$B$23:$B$26)</f>
        <v>3.7461447836378251E-3</v>
      </c>
      <c r="Z46" s="103">
        <f>SUM(H46:R46)</f>
        <v>9.0476643559767247</v>
      </c>
      <c r="AA46" s="151">
        <f>'CO2 per kg feed'!F132+'CH4 per kg feed'!F132*CF_GWP_CH4_fossil+'N2O per kg feed'!F132*CF_GWP_N2O</f>
        <v>0.4588994034129909</v>
      </c>
    </row>
    <row r="47" spans="1:27" ht="15" thickTop="1" x14ac:dyDescent="0.35">
      <c r="A47" s="130" t="s">
        <v>543</v>
      </c>
      <c r="B47" s="130" t="s">
        <v>546</v>
      </c>
      <c r="C47" s="131" t="s">
        <v>545</v>
      </c>
      <c r="D47" t="s">
        <v>50</v>
      </c>
      <c r="E47" s="16" t="s">
        <v>51</v>
      </c>
      <c r="F47" s="132" t="s">
        <v>86</v>
      </c>
      <c r="G47" s="467">
        <f>SUM(H47:X47)</f>
        <v>5.3466365461684209</v>
      </c>
      <c r="H47" s="348">
        <f>(Production!$J$5*'Parameters, country spec'!$J$51*'CO2 per kg feed'!G148+(Production!$J$6+Production!$J$7)*'Parameters, country spec'!$J$52*'CO2 per kg feed'!G61)/Production!J23</f>
        <v>1.6497430529120669</v>
      </c>
      <c r="I47" s="348">
        <f>(Production!$J$5*'Parameters, country spec'!$J$51*'CO2 per kg feed'!H148+(Production!$J$6+Production!$J$7)*'Parameters, country spec'!$J$52*'CO2 per kg feed'!H61)/Production!J23</f>
        <v>0.48948420251237157</v>
      </c>
      <c r="J47" s="348"/>
      <c r="K47" s="348"/>
      <c r="L47" s="348">
        <f>(Production!$J$5*'Parameters, country spec'!$J$51*'CO2 per kg feed'!K148+(Production!$J$6+Production!$J$7)*'Parameters, country spec'!$J$52*'CO2 per kg feed'!K61)/Production!J23</f>
        <v>1.196516939474686</v>
      </c>
      <c r="M47" s="348"/>
      <c r="N47" s="348">
        <f>(Production!$J$5*'Parameters, country spec'!$J$51*'CO2 per kg feed'!M148+(Production!$J$6+Production!$J$7)*'Parameters, country spec'!$J$52*'CO2 per kg feed'!M61)/Production!J23</f>
        <v>3.6258089074990486E-2</v>
      </c>
      <c r="O47" s="348">
        <f>(Production!$J$5*'Parameters, country spec'!$J$51*'CO2 per kg feed'!N148+(Production!$J$6+Production!$J$7)*'Parameters, country spec'!$J$52*'CO2 per kg feed'!N61)/Production!J23</f>
        <v>0.83393604872478111</v>
      </c>
      <c r="P47" s="348">
        <f>(Production!$J$5*'Parameters, country spec'!$J$51*'CO2 per kg feed'!O148+(Production!$J$6+Production!$J$7)*'Parameters, country spec'!$J$52*'CO2 per kg feed'!O61)/Production!J23</f>
        <v>0</v>
      </c>
      <c r="Q47" s="348">
        <f>(Production!$J$5*'Parameters, country spec'!$J$51*'CO2 per kg feed'!P148+(Production!$J$6+Production!$J$7)*'Parameters, country spec'!$J$52*'CO2 per kg feed'!P61)/Production!J23</f>
        <v>0</v>
      </c>
      <c r="R47" s="348">
        <f>(Production!$J$5*'Parameters, country spec'!$J$51*'CO2 per kg feed'!Q148+(Production!$J$6+Production!$J$7)*'Parameters, country spec'!$J$52*'CO2 per kg feed'!Q61)/Production!J23</f>
        <v>0</v>
      </c>
      <c r="S47" s="134"/>
      <c r="T47" s="120"/>
      <c r="U47" s="133"/>
      <c r="V47" s="133"/>
      <c r="W47" s="134">
        <f>Production!J8*('Parameters, country spec'!J58*EF_el_CO2_PL+'Parameters, country spec'!J59*EF_diesel_CO2)/Production!J23</f>
        <v>1.1348266880880442</v>
      </c>
      <c r="X47" s="349">
        <f>Production!$J$12*(Energy_slaughter_el_PL*EF_el_CO2_PL+Energy_slaughter_oil_PL*EF_oil_CO2)/Production!J23</f>
        <v>5.8715253814817358E-3</v>
      </c>
      <c r="Z47" s="18"/>
      <c r="AA47" s="18"/>
    </row>
    <row r="48" spans="1:27" x14ac:dyDescent="0.35">
      <c r="A48" s="11" t="s">
        <v>543</v>
      </c>
      <c r="B48" s="11" t="s">
        <v>546</v>
      </c>
      <c r="C48" s="15" t="s">
        <v>545</v>
      </c>
      <c r="D48" t="s">
        <v>50</v>
      </c>
      <c r="E48" s="16" t="s">
        <v>51</v>
      </c>
      <c r="F48" s="11" t="s">
        <v>87</v>
      </c>
      <c r="G48" s="17">
        <f t="shared" si="0"/>
        <v>7.8931369828238659E-3</v>
      </c>
      <c r="H48" s="337">
        <f>(Production!$J$5*'Parameters, country spec'!$J$51*'CH4 per kg feed'!G148+(Production!$J$6+Production!$J$7)*'Parameters, country spec'!$J$52*'CH4 per kg feed'!G61)/Production!J23</f>
        <v>3.0819375713741913E-3</v>
      </c>
      <c r="I48" s="337">
        <f>(Production!$J$5*'Parameters, country spec'!$J$51*'CH4 per kg feed'!H148+(Production!$J$6+Production!$J$7)*'Parameters, country spec'!$J$52*'CH4 per kg feed'!H61)/Production!J23</f>
        <v>1.8129044537495242E-3</v>
      </c>
      <c r="J48" s="337"/>
      <c r="K48" s="337"/>
      <c r="L48" s="337">
        <f>(Production!$J$5*'Parameters, country spec'!$J$51*'CH4 per kg feed'!K148+(Production!$J$6+Production!$J$7)*'Parameters, country spec'!$J$52*'CH4 per kg feed'!K61)/Production!J23</f>
        <v>5.3118100494861057E-4</v>
      </c>
      <c r="M48" s="337"/>
      <c r="N48" s="337">
        <f>(Production!$J$5*'Parameters, country spec'!$J$51*'CH4 per kg feed'!M148+(Production!$J$6+Production!$J$7)*'Parameters, country spec'!$J$52*'CH4 per kg feed'!M61)/Production!J23</f>
        <v>1.1820137038446899E-4</v>
      </c>
      <c r="O48" s="337">
        <f>(Production!$J$5*'Parameters, country spec'!$J$51*'CH4 per kg feed'!N148+(Production!$J$6+Production!$J$7)*'Parameters, country spec'!$J$52*'CH4 per kg feed'!N61)/Production!J23</f>
        <v>6.8890369242481924E-4</v>
      </c>
      <c r="P48" s="337">
        <f>(Production!$J$5*'Parameters, country spec'!$J$51*'CH4 per kg feed'!O148+(Production!$J$6+Production!$J$7)*'Parameters, country spec'!$J$52*'CH4 per kg feed'!O61)/Production!J23</f>
        <v>0</v>
      </c>
      <c r="Q48" s="337">
        <f>(Production!$J$5*'Parameters, country spec'!$J$51*'CH4 per kg feed'!P148+(Production!$J$6+Production!$J$7)*'Parameters, country spec'!$J$52*'CH4 per kg feed'!P61)/Production!J23</f>
        <v>0</v>
      </c>
      <c r="R48" s="337">
        <f>(Production!$J$5*'Parameters, country spec'!$J$51*'CH4 per kg feed'!Q148+(Production!$J$6+Production!$J$7)*'Parameters, country spec'!$J$52*'CH4 per kg feed'!Q61)/Production!J23</f>
        <v>0</v>
      </c>
      <c r="W48" s="4">
        <f>Production!J8*('Parameters, country spec'!J58*EF_el_CH4_PL+'Parameters, country spec'!J59*EF_diesel_CH4)/Production!J23</f>
        <v>1.6504733049927357E-3</v>
      </c>
      <c r="X48" s="42">
        <f>Production!$J$12*(Energy_slaughter_el_PL*EF_el_CH4_PL+Energy_slaughter_oil_PL*EF_oil_CH4)/Production!J23</f>
        <v>9.5355849495158653E-6</v>
      </c>
      <c r="Z48" s="32"/>
      <c r="AA48" s="32"/>
    </row>
    <row r="49" spans="1:27" x14ac:dyDescent="0.35">
      <c r="A49" s="11" t="s">
        <v>543</v>
      </c>
      <c r="B49" s="11" t="s">
        <v>546</v>
      </c>
      <c r="C49" s="15" t="s">
        <v>545</v>
      </c>
      <c r="D49" t="s">
        <v>50</v>
      </c>
      <c r="E49" s="16" t="s">
        <v>51</v>
      </c>
      <c r="F49" s="11" t="s">
        <v>88</v>
      </c>
      <c r="G49" s="17">
        <f>SUM(H49:T49)</f>
        <v>0.51355381253740107</v>
      </c>
      <c r="H49" s="337"/>
      <c r="I49" s="337"/>
      <c r="J49" s="356"/>
      <c r="K49" s="337"/>
      <c r="L49" s="337"/>
      <c r="M49" s="337"/>
      <c r="N49" s="337"/>
      <c r="O49" s="337"/>
      <c r="P49" s="337"/>
      <c r="Q49" s="337"/>
      <c r="R49" s="337"/>
      <c r="S49" s="4">
        <f>(Production!$J$5*EF_ent_ferm_PL+(Production!$J$6+Production!$J$7)*EF_ent_ferm_PL)/Production!J23</f>
        <v>0.49486105824133991</v>
      </c>
      <c r="T49" s="42">
        <f>SUM(U49:V49)</f>
        <v>1.8692754296061143E-2</v>
      </c>
      <c r="U49" s="57">
        <f>Manure!$S$34/Production!J23</f>
        <v>1.8692754296061143E-2</v>
      </c>
      <c r="W49" s="4"/>
      <c r="X49" s="42"/>
      <c r="Z49" s="32"/>
      <c r="AA49" s="32"/>
    </row>
    <row r="50" spans="1:27" ht="15" thickBot="1" x14ac:dyDescent="0.4">
      <c r="A50" s="11" t="s">
        <v>543</v>
      </c>
      <c r="B50" s="11" t="s">
        <v>546</v>
      </c>
      <c r="C50" s="15" t="s">
        <v>545</v>
      </c>
      <c r="D50" t="s">
        <v>50</v>
      </c>
      <c r="E50" s="16" t="s">
        <v>51</v>
      </c>
      <c r="F50" s="34" t="s">
        <v>89</v>
      </c>
      <c r="G50" s="17">
        <f>SUM(H50:T50)+W50+X50</f>
        <v>2.1211503318692135E-2</v>
      </c>
      <c r="H50" s="337">
        <f>(Production!$J$5*'Parameters, country spec'!$J$51*'N2O per kg feed'!G148+(Production!$J$6+Production!$J$7)*'Parameters, country spec'!$J$52*'N2O per kg feed'!G61)/Production!J23</f>
        <v>3.6258089074990485E-3</v>
      </c>
      <c r="I50" s="337">
        <f>(Production!$J$5*'Parameters, country spec'!$J$51*'N2O per kg feed'!H148+(Production!$J$6+Production!$J$7)*'Parameters, country spec'!$J$52*'N2O per kg feed'!H61)/Production!J23</f>
        <v>1.8129044537495242E-5</v>
      </c>
      <c r="J50" s="337">
        <f>(Production!$J$5*'Parameters, country spec'!$J$51*'N2O per kg feed'!I148+(Production!$J$6+Production!$J$7)*'Parameters, country spec'!$J$52*'N2O per kg feed'!I61+Manure!S157)/Production!J23</f>
        <v>7.2341876535944524E-3</v>
      </c>
      <c r="K50" s="32">
        <f>J50*EF_indirect_N2O_DK</f>
        <v>7.2341876535944529E-4</v>
      </c>
      <c r="L50" s="337">
        <f>(Production!$J$5*'Parameters, country spec'!$J$51*'N2O per kg feed'!K148+(Production!$J$6+Production!$J$7)*'Parameters, country spec'!$J$52*'N2O per kg feed'!K61)/Production!J23</f>
        <v>3.2269699276741525E-5</v>
      </c>
      <c r="M50" s="337"/>
      <c r="N50" s="337">
        <f>(Production!$J$5*'Parameters, country spec'!$J$51*'N2O per kg feed'!M148+(Production!$J$6+Production!$J$7)*'Parameters, country spec'!$J$52*'N2O per kg feed'!M61)/Production!J23</f>
        <v>1.4557622763608679E-6</v>
      </c>
      <c r="O50" s="337">
        <f>(Production!$J$5*'Parameters, country spec'!$J$51*'N2O per kg feed'!N148+(Production!$J$6+Production!$J$7)*'Parameters, country spec'!$J$52*'N2O per kg feed'!N61)/Production!J23</f>
        <v>2.9187761705367339E-5</v>
      </c>
      <c r="P50" s="337">
        <f>(Production!$J$5*'Parameters, country spec'!$J$51*'N2O per kg feed'!O148+(Production!$J$6+Production!$J$7)*'Parameters, country spec'!$J$52*'N2O per kg feed'!O61)/Production!J23</f>
        <v>0</v>
      </c>
      <c r="Q50" s="337">
        <f>(Production!$J$5*'Parameters, country spec'!$J$51*'N2O per kg feed'!P148+(Production!$J$6+Production!$J$7)*'Parameters, country spec'!$J$52*'N2O per kg feed'!P61)/Production!J23</f>
        <v>0</v>
      </c>
      <c r="R50" s="337">
        <f>(Production!$J$5*'Parameters, country spec'!$J$51*'N2O per kg feed'!Q148+(Production!$J$6+Production!$J$7)*'Parameters, country spec'!$J$52*'N2O per kg feed'!Q61)/Production!J23</f>
        <v>0</v>
      </c>
      <c r="S50" s="4"/>
      <c r="T50" s="42">
        <f>SUM(U50:V50)</f>
        <v>9.5232549305456944E-3</v>
      </c>
      <c r="U50" s="184">
        <f>Manure!$S$92*44/28/Production!J23</f>
        <v>7.1697825726668432E-3</v>
      </c>
      <c r="V50" s="184">
        <f>Manure!$S$160*17/14*Manure!$R$122/Production!J23</f>
        <v>2.3534723578788504E-3</v>
      </c>
      <c r="W50" s="4">
        <f>Production!J8*('Parameters, country spec'!J58*EF_el_N2O_PL+'Parameters, country spec'!J59*EF_diesel_N2O)/Production!J23</f>
        <v>2.3664900559890876E-5</v>
      </c>
      <c r="X50" s="42">
        <f>Production!$J$12*(Energy_slaughter_el_PL*EF_el_N2O_PL+Energy_slaughter_oil_PL*EF_oil_N2O)/Production!J23</f>
        <v>1.2589333763644367E-7</v>
      </c>
      <c r="Z50" s="32"/>
      <c r="AA50" s="32"/>
    </row>
    <row r="51" spans="1:27" ht="15.5" thickTop="1" thickBot="1" x14ac:dyDescent="0.4">
      <c r="A51" s="125" t="s">
        <v>543</v>
      </c>
      <c r="B51" s="125" t="s">
        <v>546</v>
      </c>
      <c r="C51" s="126" t="s">
        <v>545</v>
      </c>
      <c r="D51" s="152" t="s">
        <v>50</v>
      </c>
      <c r="E51" s="37" t="s">
        <v>51</v>
      </c>
      <c r="F51" s="128" t="s">
        <v>90</v>
      </c>
      <c r="G51" s="137">
        <f t="shared" si="0"/>
        <v>25.238545372769355</v>
      </c>
      <c r="H51" s="129">
        <f>SUMPRODUCT(H47:H50,'Parameters, general'!$B$23:$B$26)</f>
        <v>2.7314306242862578</v>
      </c>
      <c r="I51" s="129">
        <f>SUMPRODUCT(I47:I50,'Parameters, general'!$B$23:$B$26)</f>
        <v>0.54845798439284354</v>
      </c>
      <c r="J51" s="129">
        <f>SUMPRODUCT(J47:J50,'Parameters, general'!$B$23:$B$26)</f>
        <v>1.9749332294312856</v>
      </c>
      <c r="K51" s="129">
        <f>SUMPRODUCT(K47:K50,'Parameters, general'!$B$23:$B$26)</f>
        <v>0.19749332294312857</v>
      </c>
      <c r="L51" s="129">
        <f>SUMPRODUCT(L47:L50,'Parameters, general'!$B$23:$B$26)</f>
        <v>1.221155761324705</v>
      </c>
      <c r="M51" s="129">
        <f>SUMPRODUCT(M47:M50,'Parameters, general'!$B$23:$B$26)</f>
        <v>0</v>
      </c>
      <c r="N51" s="129">
        <f>SUMPRODUCT(N47:N50,'Parameters, general'!$B$23:$B$26)</f>
        <v>4.017791301389418E-2</v>
      </c>
      <c r="O51" s="129">
        <f>SUMPRODUCT(O47:O50,'Parameters, general'!$B$23:$B$26)</f>
        <v>0.86243363770460602</v>
      </c>
      <c r="P51" s="129">
        <f>SUMPRODUCT(P47:P50,'Parameters, general'!$B$23:$B$26)</f>
        <v>0</v>
      </c>
      <c r="Q51" s="129">
        <f>SUMPRODUCT(Q47:Q50,'Parameters, general'!$B$23:$B$26)</f>
        <v>0</v>
      </c>
      <c r="R51" s="129">
        <f>SUMPRODUCT(R47:R50,'Parameters, general'!$B$23:$B$26)</f>
        <v>0</v>
      </c>
      <c r="S51" s="129">
        <f>SUMPRODUCT(S47:S50,'Parameters, general'!$B$23:$B$26)</f>
        <v>13.361248572516178</v>
      </c>
      <c r="T51" s="129">
        <f>SUMPRODUCT(T47:T50,'Parameters, general'!$B$23:$B$26)</f>
        <v>3.1045529620326255</v>
      </c>
      <c r="U51" s="129"/>
      <c r="V51" s="129"/>
      <c r="W51" s="129">
        <f>SUMPRODUCT(W47:W50,'Parameters, general'!$B$23:$B$26)</f>
        <v>1.190471310429678</v>
      </c>
      <c r="X51" s="129">
        <f>SUMPRODUCT(X47:X50,'Parameters, general'!$B$23:$B$26)</f>
        <v>6.1900546941520583E-3</v>
      </c>
      <c r="Z51" s="103">
        <f>SUM(H51:R51)</f>
        <v>7.5760824730967213</v>
      </c>
      <c r="AA51" s="151">
        <f>'CO2 per kg feed'!F148+'CH4 per kg feed'!F148*CF_GWP_CH4_fossil+'N2O per kg feed'!F148*CF_GWP_N2O</f>
        <v>0.3359990499665208</v>
      </c>
    </row>
    <row r="52" spans="1:27" ht="15" thickTop="1" x14ac:dyDescent="0.35">
      <c r="A52" s="130" t="s">
        <v>543</v>
      </c>
      <c r="B52" s="130" t="s">
        <v>546</v>
      </c>
      <c r="C52" s="131" t="s">
        <v>545</v>
      </c>
      <c r="D52" t="s">
        <v>52</v>
      </c>
      <c r="E52" s="121" t="s">
        <v>53</v>
      </c>
      <c r="F52" s="132" t="s">
        <v>86</v>
      </c>
      <c r="G52" s="467">
        <f>SUM(H52:X52)</f>
        <v>3.8530168111981564</v>
      </c>
      <c r="H52" s="348">
        <f>(Production!$K$5*'Parameters, country spec'!$K$51*'CO2 per kg feed'!G164+(Production!$K$6+Production!$K$7)*'Parameters, country spec'!$K$52*'CO2 per kg feed'!G165)/Production!K23</f>
        <v>0.3102828015367019</v>
      </c>
      <c r="I52" s="348">
        <f>(Production!$K$5*'Parameters, country spec'!$K$51*'CO2 per kg feed'!H164+(Production!$K$6+Production!$K$7)*'Parameters, country spec'!$K$52*'CO2 per kg feed'!H165)/Production!K23</f>
        <v>0.48045539488179112</v>
      </c>
      <c r="J52" s="348"/>
      <c r="K52" s="348"/>
      <c r="L52" s="348">
        <f>(Production!$K$5*'Parameters, country spec'!$K$51*'CO2 per kg feed'!K164+(Production!$K$6+Production!$K$7)*'Parameters, country spec'!$K$52*'CO2 per kg feed'!K165)/Production!K23</f>
        <v>0.57900539308058807</v>
      </c>
      <c r="M52" s="348"/>
      <c r="N52" s="348">
        <f>(Production!$K$5*'Parameters, country spec'!$K$51*'CO2 per kg feed'!M164+(Production!$K$6+Production!$K$7)*'Parameters, country spec'!$K$52*'CO2 per kg feed'!M165)/Production!K23</f>
        <v>0.11578244048951285</v>
      </c>
      <c r="O52" s="348">
        <f>(Production!$K$5*'Parameters, country spec'!$K$51*'CO2 per kg feed'!N164+(Production!$K$6+Production!$K$7)*'Parameters, country spec'!$K$52*'CO2 per kg feed'!N165)/Production!K23</f>
        <v>0.25945457286929852</v>
      </c>
      <c r="P52" s="348">
        <f>(Production!$K$5*'Parameters, country spec'!$K$51*'CO2 per kg feed'!O164+(Production!$K$6+Production!$K$7)*'Parameters, country spec'!$K$52*'CO2 per kg feed'!O165)/Production!K23</f>
        <v>0.45999197189050434</v>
      </c>
      <c r="Q52" s="348">
        <f>(Production!$K$5*'Parameters, country spec'!$K$51*'CO2 per kg feed'!P164+(Production!$K$6+Production!$K$7)*'Parameters, country spec'!$K$52*'CO2 per kg feed'!P165)/Production!K23</f>
        <v>0.57875623971096934</v>
      </c>
      <c r="R52" s="348">
        <f>(Production!$K$5*'Parameters, country spec'!$K$51*'CO2 per kg feed'!Q164+(Production!$K$6+Production!$K$7)*'Parameters, country spec'!$K$52*'CO2 per kg feed'!Q165)/Production!K23</f>
        <v>0.49296475580503973</v>
      </c>
      <c r="S52" s="134"/>
      <c r="T52" s="120"/>
      <c r="U52" s="133"/>
      <c r="V52" s="133"/>
      <c r="W52" s="134">
        <f>Production!K8*('Parameters, country spec'!K58*EF_el_CO2_ES+'Parameters, country spec'!K59*EF_diesel_CO2)/Production!K23</f>
        <v>0.57387631756431612</v>
      </c>
      <c r="X52" s="349">
        <f>Production!$K$12*(Energy_slaughter_el_ES*EF_el_CO2_ES+Energy_slaughter_oil_ES*EF_oil_CO2)/Production!K23</f>
        <v>2.4469233694343756E-3</v>
      </c>
      <c r="Z52" s="18"/>
      <c r="AA52" s="18"/>
    </row>
    <row r="53" spans="1:27" x14ac:dyDescent="0.35">
      <c r="A53" s="11" t="s">
        <v>543</v>
      </c>
      <c r="B53" s="11" t="s">
        <v>546</v>
      </c>
      <c r="C53" s="15" t="s">
        <v>545</v>
      </c>
      <c r="D53" t="s">
        <v>52</v>
      </c>
      <c r="E53" s="16" t="s">
        <v>53</v>
      </c>
      <c r="F53" s="11" t="s">
        <v>87</v>
      </c>
      <c r="G53" s="17">
        <f t="shared" si="0"/>
        <v>7.6874020248912552E-3</v>
      </c>
      <c r="H53" s="337">
        <f>(Production!$K$5*'Parameters, country spec'!$K$51*'CH4 per kg feed'!G164+(Production!$K$6+Production!$K$7)*'Parameters, country spec'!$K$52*'CH4 per kg feed'!G165)/Production!K23</f>
        <v>5.7851823434835071E-4</v>
      </c>
      <c r="I53" s="337">
        <f>(Production!$K$5*'Parameters, country spec'!$K$51*'CH4 per kg feed'!H164+(Production!$K$6+Production!$K$7)*'Parameters, country spec'!$K$52*'CH4 per kg feed'!H165)/Production!K23</f>
        <v>1.7180101938543458E-3</v>
      </c>
      <c r="J53" s="337"/>
      <c r="K53" s="337"/>
      <c r="L53" s="337">
        <f>(Production!$K$5*'Parameters, country spec'!$K$51*'CH4 per kg feed'!K164+(Production!$K$6+Production!$K$7)*'Parameters, country spec'!$K$52*'CH4 per kg feed'!K165)/Production!K23</f>
        <v>2.6707937770282782E-4</v>
      </c>
      <c r="M53" s="337"/>
      <c r="N53" s="337">
        <f>(Production!$K$5*'Parameters, country spec'!$K$51*'CH4 per kg feed'!M164+(Production!$K$6+Production!$K$7)*'Parameters, country spec'!$K$52*'CH4 per kg feed'!M165)/Production!K23</f>
        <v>3.8203114272621796E-4</v>
      </c>
      <c r="O53" s="337">
        <f>(Production!$K$5*'Parameters, country spec'!$K$51*'CH4 per kg feed'!N164+(Production!$K$6+Production!$K$7)*'Parameters, country spec'!$K$52*'CH4 per kg feed'!N165)/Production!K23</f>
        <v>1.9730093613576669E-4</v>
      </c>
      <c r="P53" s="337">
        <f>(Production!$K$5*'Parameters, country spec'!$K$51*'CH4 per kg feed'!O164+(Production!$K$6+Production!$K$7)*'Parameters, country spec'!$K$52*'CH4 per kg feed'!O165)/Production!K23</f>
        <v>0</v>
      </c>
      <c r="Q53" s="337">
        <f>(Production!$K$5*'Parameters, country spec'!$K$51*'CH4 per kg feed'!P164+(Production!$K$6+Production!$K$7)*'Parameters, country spec'!$K$52*'CH4 per kg feed'!P165)/Production!K23</f>
        <v>3.3022073220013593E-3</v>
      </c>
      <c r="R53" s="337">
        <f>(Production!$K$5*'Parameters, country spec'!$K$51*'CH4 per kg feed'!Q164+(Production!$K$6+Production!$K$7)*'Parameters, country spec'!$K$52*'CH4 per kg feed'!Q165)/Production!K23</f>
        <v>4.2051994520700604E-4</v>
      </c>
      <c r="W53" s="4">
        <f>Production!K8*('Parameters, country spec'!K58*EF_el_CH4_ES+'Parameters, country spec'!K59*EF_diesel_CH4)/Production!K23</f>
        <v>8.1728589709110513E-4</v>
      </c>
      <c r="X53" s="42">
        <f>Production!$K$12*(Energy_slaughter_el_ES*EF_el_CH4_ES+Energy_slaughter_oil_ES*EF_oil_CH4)/Production!K23</f>
        <v>4.4489758242764094E-6</v>
      </c>
      <c r="Z53" s="32"/>
      <c r="AA53" s="32"/>
    </row>
    <row r="54" spans="1:27" x14ac:dyDescent="0.35">
      <c r="A54" s="11" t="s">
        <v>543</v>
      </c>
      <c r="B54" s="11" t="s">
        <v>546</v>
      </c>
      <c r="C54" s="15" t="s">
        <v>545</v>
      </c>
      <c r="D54" t="s">
        <v>52</v>
      </c>
      <c r="E54" s="16" t="s">
        <v>53</v>
      </c>
      <c r="F54" s="11" t="s">
        <v>88</v>
      </c>
      <c r="G54" s="17">
        <f>SUM(H54:T54)</f>
        <v>0.52414333742861396</v>
      </c>
      <c r="H54" s="337"/>
      <c r="I54" s="337"/>
      <c r="J54" s="356"/>
      <c r="K54" s="337"/>
      <c r="L54" s="337"/>
      <c r="M54" s="337"/>
      <c r="N54" s="337"/>
      <c r="O54" s="337"/>
      <c r="P54" s="337"/>
      <c r="Q54" s="337"/>
      <c r="R54" s="337"/>
      <c r="S54" s="4">
        <f>(Production!$K$5*EF_ent_ferm_ES+(Production!$K$6+Production!$K$7)*EF_ent_ferm_ES)/Production!K23</f>
        <v>0.49486105824133991</v>
      </c>
      <c r="T54" s="42">
        <f>SUM(U54:V54)</f>
        <v>2.9282279187274076E-2</v>
      </c>
      <c r="U54" s="57">
        <f>Manure!$U$34/Production!K23</f>
        <v>2.9282279187274076E-2</v>
      </c>
      <c r="W54" s="4"/>
      <c r="X54" s="42"/>
      <c r="Z54" s="32"/>
      <c r="AA54" s="32"/>
    </row>
    <row r="55" spans="1:27" ht="15" thickBot="1" x14ac:dyDescent="0.4">
      <c r="A55" s="11" t="s">
        <v>543</v>
      </c>
      <c r="B55" s="11" t="s">
        <v>546</v>
      </c>
      <c r="C55" s="15" t="s">
        <v>545</v>
      </c>
      <c r="D55" t="s">
        <v>52</v>
      </c>
      <c r="E55" s="16" t="s">
        <v>53</v>
      </c>
      <c r="F55" s="34" t="s">
        <v>89</v>
      </c>
      <c r="G55" s="17">
        <f>SUM(H55:T55)+W55+X55</f>
        <v>1.4104884775533667E-2</v>
      </c>
      <c r="H55" s="337">
        <f>(Production!$K$5*'Parameters, country spec'!$K$51*'N2O per kg feed'!G164+(Production!$K$6+Production!$K$7)*'Parameters, country spec'!$K$52*'N2O per kg feed'!G165)/Production!K23</f>
        <v>6.8327534336899514E-4</v>
      </c>
      <c r="I55" s="337">
        <f>(Production!$K$5*'Parameters, country spec'!$K$51*'N2O per kg feed'!H164+(Production!$K$6+Production!$K$7)*'Parameters, country spec'!$K$52*'N2O per kg feed'!H165)/Production!K23</f>
        <v>1.9023728887556547E-5</v>
      </c>
      <c r="J55" s="337">
        <f>(Production!$K$5*'Parameters, country spec'!$K$51*'N2O per kg feed'!I164+(Production!$K$6+Production!$K$7)*'Parameters, country spec'!$K$52*'N2O per kg feed'!I165+Manure!U157)/Production!K23</f>
        <v>7.630480334156033E-3</v>
      </c>
      <c r="K55" s="32">
        <f>J55*EF_indirect_N2O_DK</f>
        <v>7.630480334156033E-4</v>
      </c>
      <c r="L55" s="337">
        <f>(Production!$K$5*'Parameters, country spec'!$K$51*'N2O per kg feed'!K164+(Production!$K$6+Production!$K$7)*'Parameters, country spec'!$K$52*'N2O per kg feed'!K165)/Production!K23</f>
        <v>1.5850531723632307E-5</v>
      </c>
      <c r="M55" s="337"/>
      <c r="N55" s="337">
        <f>(Production!$K$5*'Parameters, country spec'!$K$51*'N2O per kg feed'!M164+(Production!$K$6+Production!$K$7)*'Parameters, country spec'!$K$52*'N2O per kg feed'!M165)/Production!K23</f>
        <v>4.701510670059276E-6</v>
      </c>
      <c r="O55" s="337">
        <f>(Production!$K$5*'Parameters, country spec'!$K$51*'N2O per kg feed'!N164+(Production!$K$6+Production!$K$7)*'Parameters, country spec'!$K$52*'N2O per kg feed'!N165)/Production!K23</f>
        <v>9.598439002313814E-6</v>
      </c>
      <c r="P55" s="337">
        <f>(Production!$K$5*'Parameters, country spec'!$K$51*'N2O per kg feed'!O164+(Production!$K$6+Production!$K$7)*'Parameters, country spec'!$K$52*'N2O per kg feed'!O165)/Production!K23</f>
        <v>0</v>
      </c>
      <c r="Q55" s="337">
        <f>(Production!$K$5*'Parameters, country spec'!$K$51*'N2O per kg feed'!P164+(Production!$K$6+Production!$K$7)*'Parameters, country spec'!$K$52*'N2O per kg feed'!P165)/Production!K23</f>
        <v>2.1997995650976533E-4</v>
      </c>
      <c r="R55" s="337">
        <f>(Production!$K$5*'Parameters, country spec'!$K$51*'N2O per kg feed'!Q164+(Production!$K$6+Production!$K$7)*'Parameters, country spec'!$K$52*'N2O per kg feed'!Q165)/Production!K23</f>
        <v>2.1131977334718527E-5</v>
      </c>
      <c r="S55" s="4"/>
      <c r="T55" s="42">
        <f>SUM(U55:V55)</f>
        <v>4.7183625115193219E-3</v>
      </c>
      <c r="U55" s="184">
        <f>Manure!$U$92*44/28/Production!K23</f>
        <v>3.2717917085915782E-3</v>
      </c>
      <c r="V55" s="184">
        <f>Manure!$U$160*17/14*Manure!$T$122/Production!K23</f>
        <v>1.4465708029277437E-3</v>
      </c>
      <c r="W55" s="4">
        <f>Production!K8*('Parameters, country spec'!K58*EF_el_N2O_ES+'Parameters, country spec'!K59*EF_diesel_N2O)/Production!K23</f>
        <v>1.9332962092374061E-5</v>
      </c>
      <c r="X55" s="42">
        <f>Production!$K$12*(Energy_slaughter_el_ES*EF_el_N2O_ES+Energy_slaughter_oil_ES*EF_oil_N2O)/Production!K23</f>
        <v>9.9446853292253538E-8</v>
      </c>
      <c r="Z55" s="32"/>
      <c r="AA55" s="32"/>
    </row>
    <row r="56" spans="1:27" ht="15.5" thickTop="1" thickBot="1" x14ac:dyDescent="0.4">
      <c r="A56" s="125" t="s">
        <v>543</v>
      </c>
      <c r="B56" s="125" t="s">
        <v>546</v>
      </c>
      <c r="C56" s="126" t="s">
        <v>545</v>
      </c>
      <c r="D56" s="152" t="s">
        <v>52</v>
      </c>
      <c r="E56" s="127" t="s">
        <v>53</v>
      </c>
      <c r="F56" s="128" t="s">
        <v>90</v>
      </c>
      <c r="G56" s="137">
        <f>SUM(H56:X56)</f>
        <v>22.084605045833186</v>
      </c>
      <c r="H56" s="129">
        <f>SUMPRODUCT(H52:H55,'Parameters, general'!$B$23:$B$26)</f>
        <v>0.51405681366001843</v>
      </c>
      <c r="I56" s="129">
        <f>SUMPRODUCT(I52:I55,'Parameters, general'!$B$23:$B$26)</f>
        <v>0.53684557664495358</v>
      </c>
      <c r="J56" s="129">
        <f>SUMPRODUCT(J52:J55,'Parameters, general'!$B$23:$B$26)</f>
        <v>2.0831211312245972</v>
      </c>
      <c r="K56" s="129">
        <f>SUMPRODUCT(K52:K55,'Parameters, general'!$B$23:$B$26)</f>
        <v>0.2083121131224597</v>
      </c>
      <c r="L56" s="129">
        <f>SUMPRODUCT(L52:L55,'Parameters, general'!$B$23:$B$26)</f>
        <v>0.59129155369668396</v>
      </c>
      <c r="M56" s="129">
        <f>SUMPRODUCT(M52:M55,'Parameters, general'!$B$23:$B$26)</f>
        <v>0</v>
      </c>
      <c r="N56" s="129">
        <f>SUMPRODUCT(N52:N55,'Parameters, general'!$B$23:$B$26)</f>
        <v>0.12845048095568032</v>
      </c>
      <c r="O56" s="129">
        <f>SUMPRODUCT(O52:O55,'Parameters, general'!$B$23:$B$26)</f>
        <v>0.26795451461377606</v>
      </c>
      <c r="P56" s="129">
        <f>SUMPRODUCT(P52:P55,'Parameters, general'!$B$23:$B$26)</f>
        <v>0.45999197189050434</v>
      </c>
      <c r="Q56" s="129">
        <f>SUMPRODUCT(Q52:Q55,'Parameters, general'!$B$23:$B$26)</f>
        <v>0.73721654603377573</v>
      </c>
      <c r="R56" s="129">
        <f>SUMPRODUCT(R52:R55,'Parameters, general'!$B$23:$B$26)</f>
        <v>0.51126527998458671</v>
      </c>
      <c r="S56" s="129">
        <f>SUMPRODUCT(S52:S55,'Parameters, general'!$B$23:$B$26)</f>
        <v>13.361248572516178</v>
      </c>
      <c r="T56" s="129">
        <f>SUMPRODUCT(T52:T55,'Parameters, general'!$B$23:$B$26)</f>
        <v>2.0787345037011749</v>
      </c>
      <c r="U56" s="129"/>
      <c r="V56" s="129"/>
      <c r="W56" s="129">
        <f>SUMPRODUCT(W52:W55,'Parameters, general'!$B$23:$B$26)</f>
        <v>0.60350933594884915</v>
      </c>
      <c r="X56" s="129">
        <f>SUMPRODUCT(X52:X55,'Parameters, general'!$B$23:$B$26)</f>
        <v>2.6066518399465977E-3</v>
      </c>
      <c r="Z56" s="103">
        <f>SUM(H56:R56)</f>
        <v>6.0385059818270364</v>
      </c>
      <c r="AA56" s="151">
        <f>'CO2 per kg feed'!F164+'CH4 per kg feed'!F164*CF_GWP_CH4_fossil+'N2O per kg feed'!F164*CF_GWP_N2O</f>
        <v>0.26798787567453475</v>
      </c>
    </row>
    <row r="57" spans="1:27" ht="15" thickTop="1" x14ac:dyDescent="0.35">
      <c r="A57" s="130" t="s">
        <v>543</v>
      </c>
      <c r="B57" s="130" t="s">
        <v>546</v>
      </c>
      <c r="C57" s="131" t="s">
        <v>545</v>
      </c>
      <c r="D57" s="16" t="s">
        <v>54</v>
      </c>
      <c r="E57" s="16" t="s">
        <v>55</v>
      </c>
      <c r="F57" s="36" t="s">
        <v>86</v>
      </c>
      <c r="G57" s="467">
        <f>SUM(H57:X57)</f>
        <v>2.8923878940643211</v>
      </c>
      <c r="H57" s="357">
        <f>(Production!$L$5*'Parameters, country spec'!$L$51*'CO2 per kg feed'!G180+(Production!$L$6+Production!$L$7)*'Parameters, country spec'!$L$52*'CO2 per kg feed'!G181)/Production!L23</f>
        <v>0.72187063533349172</v>
      </c>
      <c r="I57" s="18">
        <f>(Production!$L$5*'Parameters, country spec'!$L$51*'CO2 per kg feed'!H180+(Production!$L$6+Production!$L$7)*'Parameters, country spec'!$L$52*'CO2 per kg feed'!H181)/Production!L23</f>
        <v>0.50677610671581619</v>
      </c>
      <c r="J57" s="18"/>
      <c r="K57" s="18"/>
      <c r="L57" s="348">
        <f>(Production!$L$5*'Parameters, country spec'!$L$51*'CO2 per kg feed'!K180+(Production!$L$6+Production!$L$7)*'Parameters, country spec'!$L$52*'CO2 per kg feed'!K181)/Production!L23</f>
        <v>0.39263394222251674</v>
      </c>
      <c r="M57" s="348"/>
      <c r="N57" s="348">
        <f>(Production!$L$5*'Parameters, country spec'!$L$51*'CO2 per kg feed'!M180+(Production!$L$6+Production!$L$7)*'Parameters, country spec'!$L$52*'CO2 per kg feed'!M181)/Production!L23</f>
        <v>8.7401924778252038E-3</v>
      </c>
      <c r="O57" s="348">
        <f>(Production!$L$5*'Parameters, country spec'!$L$51*'CO2 per kg feed'!N180+(Production!$L$6+Production!$L$7)*'Parameters, country spec'!$L$52*'CO2 per kg feed'!N181)/Production!L23</f>
        <v>0.24014646125360004</v>
      </c>
      <c r="P57" s="348">
        <f>(Production!$L$5*'Parameters, country spec'!$L$51*'CO2 per kg feed'!O180+(Production!$L$6+Production!$L$7)*'Parameters, country spec'!$L$52*'CO2 per kg feed'!O181)/Production!L23</f>
        <v>0</v>
      </c>
      <c r="Q57" s="348">
        <f>(Production!$L$5*'Parameters, country spec'!$L$51*'CO2 per kg feed'!P180+(Production!$L$6+Production!$L$7)*'Parameters, country spec'!$L$52*'CO2 per kg feed'!P181)/Production!L23</f>
        <v>0.58147235189581126</v>
      </c>
      <c r="R57" s="348">
        <f>(Production!$L$5*'Parameters, country spec'!$L$51*'CO2 per kg feed'!Q180+(Production!$L$6+Production!$L$7)*'Parameters, country spec'!$L$52*'CO2 per kg feed'!Q181)/Production!L23</f>
        <v>7.7773256500794138E-3</v>
      </c>
      <c r="S57" s="134"/>
      <c r="U57" s="133"/>
      <c r="V57" s="133"/>
      <c r="W57" s="134">
        <f>Production!L8*('Parameters, country spec'!L58*EF_el_CO2_SE+'Parameters, country spec'!L59*EF_diesel_CO2)/Production!L23</f>
        <v>0.43139381084924189</v>
      </c>
      <c r="X57" s="349">
        <f>Production!L12*(Energy_slaughter_el_SE*EF_el_CO2_SE+Energy_slaughter_oil_SE*EF_oil_CO2)/Production!L23</f>
        <v>1.5770676659388474E-3</v>
      </c>
    </row>
    <row r="58" spans="1:27" x14ac:dyDescent="0.35">
      <c r="A58" s="11" t="s">
        <v>543</v>
      </c>
      <c r="B58" s="11" t="s">
        <v>546</v>
      </c>
      <c r="C58" s="15" t="s">
        <v>545</v>
      </c>
      <c r="D58" s="16" t="s">
        <v>54</v>
      </c>
      <c r="E58" s="16" t="s">
        <v>55</v>
      </c>
      <c r="F58" s="11" t="s">
        <v>87</v>
      </c>
      <c r="G58" s="17">
        <f t="shared" si="0"/>
        <v>1.0979089504581874E-2</v>
      </c>
      <c r="H58" s="337">
        <f>(Production!$L$5*'Parameters, country spec'!$L$51*'CH4 per kg feed'!G180+Production!$L$6*'Parameters, country spec'!$L$52*'CH4 per kg feed'!G181)/Production!L23</f>
        <v>0</v>
      </c>
      <c r="I58" s="33">
        <f>(Production!$L$5*'Parameters, country spec'!$L$51*'CH4 per kg feed'!H180+(Production!$L$6+Production!$L$7)*'Parameters, country spec'!$L$52*'CH4 per kg feed'!H181)/Production!L23</f>
        <v>1.783101116222317E-3</v>
      </c>
      <c r="J58" s="33"/>
      <c r="K58" s="33"/>
      <c r="L58" s="337">
        <f>(Production!$L$5*'Parameters, country spec'!$L$51*'CH4 per kg feed'!K180+(Production!$L$6+Production!$L$7)*'Parameters, country spec'!$L$52*'CH4 per kg feed'!K181)/Production!L23</f>
        <v>1.7435970880051827E-4</v>
      </c>
      <c r="M58" s="337"/>
      <c r="N58" s="337">
        <f>(Production!$L$5*'Parameters, country spec'!$L$51*'CH4 per kg feed'!M180+(Production!$L$6+Production!$L$7)*'Parameters, country spec'!$L$52*'CH4 per kg feed'!M181)/Production!L23</f>
        <v>2.9231243743475522E-5</v>
      </c>
      <c r="O58" s="337">
        <f>(Production!$L$5*'Parameters, country spec'!$L$51*'CH4 per kg feed'!N180+(Production!$L$6+Production!$L$7)*'Parameters, country spec'!$L$52*'CH4 per kg feed'!N181)/Production!L23</f>
        <v>9.0255458069218105E-5</v>
      </c>
      <c r="P58" s="337">
        <f>(Production!$L$5*'Parameters, country spec'!$L$51*'CH4 per kg feed'!O180+(Production!$L$6+Production!$L$7)*'Parameters, country spec'!$L$52*'CH4 per kg feed'!O181)/Production!L23</f>
        <v>0</v>
      </c>
      <c r="Q58" s="337">
        <f>(Production!$L$5*'Parameters, country spec'!$L$51*'CH4 per kg feed'!P180+(Production!$L$6+Production!$L$7)*'Parameters, country spec'!$L$52*'CH4 per kg feed'!P181)/Production!L23</f>
        <v>8.6516639255316396E-3</v>
      </c>
      <c r="R58" s="337">
        <f>(Production!$L$5*'Parameters, country spec'!$L$51*'CH4 per kg feed'!Q180+(Production!$L$6+Production!$L$7)*'Parameters, country spec'!$L$52*'CH4 per kg feed'!Q181)/Production!L23</f>
        <v>1.1605456418261285E-5</v>
      </c>
      <c r="W58" s="4">
        <f>Production!L8*('Parameters, country spec'!L58*EF_el_CH4_SE+'Parameters, country spec'!L59*EF_diesel_CH4)/Production!L23</f>
        <v>2.3796040211897284E-4</v>
      </c>
      <c r="X58" s="42">
        <f>Production!L12*(Energy_slaughter_el_SE*EF_el_CH4_SE+Energy_slaughter_oil_SE*EF_oil_CH4)/Production!L23</f>
        <v>9.1219367747154056E-7</v>
      </c>
    </row>
    <row r="59" spans="1:27" x14ac:dyDescent="0.35">
      <c r="A59" s="11" t="s">
        <v>543</v>
      </c>
      <c r="B59" s="11" t="s">
        <v>546</v>
      </c>
      <c r="C59" s="15" t="s">
        <v>545</v>
      </c>
      <c r="D59" s="16" t="s">
        <v>54</v>
      </c>
      <c r="E59" s="16" t="s">
        <v>55</v>
      </c>
      <c r="F59" s="11" t="s">
        <v>88</v>
      </c>
      <c r="G59" s="17">
        <f>SUM(H59:T59)</f>
        <v>0.53119065150623335</v>
      </c>
      <c r="H59" s="337"/>
      <c r="I59" s="33"/>
      <c r="J59" s="33"/>
      <c r="K59" s="33"/>
      <c r="L59" s="337"/>
      <c r="M59" s="337"/>
      <c r="N59" s="337"/>
      <c r="O59" s="337"/>
      <c r="P59" s="337"/>
      <c r="Q59" s="337"/>
      <c r="R59" s="337"/>
      <c r="S59" s="4">
        <f>(Production!L5*EF_ent_ferm_SE+(Production!L6+Production!L7)*EF_ent_ferm_SE)/Production!L23</f>
        <v>0.49486105824133991</v>
      </c>
      <c r="T59" s="99">
        <f>SUM(U59:V59)</f>
        <v>3.632959326489342E-2</v>
      </c>
      <c r="U59" s="57">
        <f>Manure!W34/Production!L23</f>
        <v>3.632959326489342E-2</v>
      </c>
      <c r="W59" s="4"/>
      <c r="X59" s="42"/>
      <c r="Z59" s="32"/>
      <c r="AA59" s="32"/>
    </row>
    <row r="60" spans="1:27" ht="15" thickBot="1" x14ac:dyDescent="0.4">
      <c r="A60" s="11" t="s">
        <v>543</v>
      </c>
      <c r="B60" s="11" t="s">
        <v>546</v>
      </c>
      <c r="C60" s="15" t="s">
        <v>545</v>
      </c>
      <c r="D60" s="16" t="s">
        <v>54</v>
      </c>
      <c r="E60" s="16" t="s">
        <v>55</v>
      </c>
      <c r="F60" s="34" t="s">
        <v>89</v>
      </c>
      <c r="G60" s="17">
        <f>SUM(H60:T60)+W60+X60</f>
        <v>1.7410494833410856E-2</v>
      </c>
      <c r="H60" s="337">
        <f>(Production!$L$5*'Parameters, country spec'!$L$51*'N2O per kg feed'!G180+(Production!$L$6+Production!$L$7)*'Parameters, country spec'!$L$52*'N2O per kg feed'!G181)/Production!L23</f>
        <v>1.5532726297987165E-3</v>
      </c>
      <c r="I60" s="32">
        <f>(Production!$L$5*'Parameters, country spec'!$L$51*'N2O per kg feed'!H180+(Production!$L$6+Production!$L$7)*'Parameters, country spec'!$L$52*'N2O per kg feed'!H181)/Production!L23</f>
        <v>2.0010781326116859E-5</v>
      </c>
      <c r="J60" s="32">
        <f>(Production!$L$5*'Parameters, country spec'!$L$51*'N2O per kg feed'!I180+(Production!$L$6+Production!$L$7)*'Parameters, country spec'!$L$52*'N2O per kg feed'!I181+Manure!Y157)/Production!L23</f>
        <v>9.6499380051991816E-3</v>
      </c>
      <c r="K60" s="32">
        <f>J60*EF_indirect_N2O_SE</f>
        <v>9.6499380051991818E-4</v>
      </c>
      <c r="L60" s="337">
        <f>(Production!$L$5*'Parameters, country spec'!$L$51*'N2O per kg feed'!K180+(Production!$L$6+Production!$L$7)*'Parameters, country spec'!$L$52*'N2O per kg feed'!K181)/Production!L23</f>
        <v>1.0574558474266463E-5</v>
      </c>
      <c r="M60" s="337"/>
      <c r="N60" s="337">
        <f>(Production!$L$5*'Parameters, country spec'!$L$51*'N2O per kg feed'!M180+(Production!$L$6+Production!$L$7)*'Parameters, country spec'!$L$52*'N2O per kg feed'!M181)/Production!L23</f>
        <v>3.9842810446974918E-7</v>
      </c>
      <c r="O60" s="337">
        <f>(Production!$L$5*'Parameters, country spec'!$L$51*'N2O per kg feed'!N180+(Production!$L$6+Production!$L$7)*'Parameters, country spec'!$L$52*'N2O per kg feed'!N181)/Production!L23</f>
        <v>9.0681896500221832E-6</v>
      </c>
      <c r="P60" s="337">
        <f>(Production!$L$5*'Parameters, country spec'!$L$51*'N2O per kg feed'!O180+(Production!$L$6+Production!$L$7)*'Parameters, country spec'!$L$52*'N2O per kg feed'!O181)/Production!L23</f>
        <v>0</v>
      </c>
      <c r="Q60" s="337">
        <f>(Production!$L$5*'Parameters, country spec'!$L$51*'N2O per kg feed'!P180+(Production!$L$6+Production!$L$7)*'Parameters, country spec'!$L$52*'N2O per kg feed'!P181)/Production!L23</f>
        <v>8.3188109351214575E-4</v>
      </c>
      <c r="R60" s="337">
        <f>(Production!$L$5*'Parameters, country spec'!$L$51*'N2O per kg feed'!Q180+(Production!$L$6+Production!$L$7)*'Parameters, country spec'!$L$52*'N2O per kg feed'!Q181)/Production!L23</f>
        <v>2.2544383244933239E-7</v>
      </c>
      <c r="S60" s="4"/>
      <c r="T60" s="42">
        <f>SUM(U60:V60)</f>
        <v>4.3538636718203332E-3</v>
      </c>
      <c r="U60" s="184">
        <f>Manure!W92*44/28/Production!L23</f>
        <v>2.8618157296526224E-3</v>
      </c>
      <c r="V60" s="184">
        <f>Manure!W160*17/14*Manure!V122/Production!L23</f>
        <v>1.4920479421677109E-3</v>
      </c>
      <c r="W60" s="4">
        <f>Production!L8*('Parameters, country spec'!L58*EF_el_N2O_SE+'Parameters, country spec'!L59*EF_diesel_N2O)/Production!L23</f>
        <v>1.6187984408704481E-5</v>
      </c>
      <c r="X60" s="42">
        <f>Production!L12*(Energy_slaughter_el_SE*EF_el_N2O_SE+Energy_slaughter_oil_SE*EF_oil_N2O)/Production!L23</f>
        <v>8.0246764533450704E-8</v>
      </c>
    </row>
    <row r="61" spans="1:27" ht="15" thickTop="1" x14ac:dyDescent="0.35">
      <c r="A61" s="125" t="s">
        <v>543</v>
      </c>
      <c r="B61" s="125" t="s">
        <v>546</v>
      </c>
      <c r="C61" s="126" t="s">
        <v>545</v>
      </c>
      <c r="D61" s="127" t="s">
        <v>54</v>
      </c>
      <c r="E61" s="127" t="s">
        <v>55</v>
      </c>
      <c r="F61" s="128" t="s">
        <v>90</v>
      </c>
      <c r="G61" s="364">
        <f t="shared" si="0"/>
        <v>22.314777441490328</v>
      </c>
      <c r="H61" s="365">
        <f>SUMPRODUCT(H57:H60,'Parameters, general'!$B$23:$B$26)</f>
        <v>1.1459140632685414</v>
      </c>
      <c r="I61" s="129">
        <f>SUMPRODUCT(I57:I60,'Parameters, general'!$B$23:$B$26)</f>
        <v>0.56537546328127108</v>
      </c>
      <c r="J61" s="129">
        <f>SUMPRODUCT(J57:J60,'Parameters, general'!$B$23:$B$26)</f>
        <v>2.6344330754193765</v>
      </c>
      <c r="K61" s="129">
        <f>SUMPRODUCT(K57:K60,'Parameters, general'!$B$23:$B$26)</f>
        <v>0.26344330754193768</v>
      </c>
      <c r="L61" s="129">
        <f>SUMPRODUCT(L57:L60,'Parameters, general'!$B$23:$B$26)</f>
        <v>0.40071671600824693</v>
      </c>
      <c r="M61" s="129">
        <f>SUMPRODUCT(M57:M60,'Parameters, general'!$B$23:$B$26)</f>
        <v>0</v>
      </c>
      <c r="N61" s="129">
        <f>SUMPRODUCT(N57:N60,'Parameters, general'!$B$23:$B$26)</f>
        <v>9.7200544139010164E-3</v>
      </c>
      <c r="O61" s="129">
        <f>SUMPRODUCT(O57:O60,'Parameters, general'!$B$23:$B$26)</f>
        <v>0.2453116896785188</v>
      </c>
      <c r="P61" s="129">
        <f>SUMPRODUCT(P57:P60,'Parameters, general'!$B$23:$B$26)</f>
        <v>0</v>
      </c>
      <c r="Q61" s="129">
        <f>SUMPRODUCT(Q57:Q60,'Parameters, general'!$B$23:$B$26)</f>
        <v>1.0663954754054699</v>
      </c>
      <c r="R61" s="129">
        <f>SUMPRODUCT(R57:R60,'Parameters, general'!$B$23:$B$26)</f>
        <v>8.1847144176022679E-3</v>
      </c>
      <c r="S61" s="129">
        <f>SUMPRODUCT(S57:S60,'Parameters, general'!$B$23:$B$26)</f>
        <v>13.361248572516178</v>
      </c>
      <c r="T61" s="129">
        <f>SUMPRODUCT(T57:T60,'Parameters, general'!$B$23:$B$26)</f>
        <v>2.1695038005590734</v>
      </c>
      <c r="U61" s="129"/>
      <c r="V61" s="129"/>
      <c r="W61" s="129">
        <f>SUMPRODUCT(W57:W60,'Parameters, general'!$B$23:$B$26)</f>
        <v>0.44290435057596361</v>
      </c>
      <c r="X61" s="129">
        <f>SUMPRODUCT(X57:X60,'Parameters, general'!$B$23:$B$26)</f>
        <v>1.6261584042451312E-3</v>
      </c>
      <c r="Z61" s="103">
        <f>SUM(H61:R61)</f>
        <v>6.3394945594348648</v>
      </c>
      <c r="AA61" s="366">
        <f>'CO2 per kg feed'!F180+'CH4 per kg feed'!F180*CF_GWP_CH4_fossil+'N2O per kg feed'!F180*CF_GWP_N2O</f>
        <v>0.13965420055462979</v>
      </c>
    </row>
    <row r="62" spans="1:27" x14ac:dyDescent="0.35">
      <c r="A62" s="130" t="s">
        <v>543</v>
      </c>
      <c r="B62" s="130" t="s">
        <v>546</v>
      </c>
      <c r="C62" s="131" t="s">
        <v>545</v>
      </c>
      <c r="D62" s="16" t="s">
        <v>493</v>
      </c>
      <c r="E62" s="16" t="s">
        <v>495</v>
      </c>
      <c r="F62" s="36" t="s">
        <v>86</v>
      </c>
      <c r="G62" s="467">
        <f>SUM(H62:X62)</f>
        <v>2.7097438491945649</v>
      </c>
      <c r="H62" s="357">
        <f>(Production!$M$5*'Parameters, country spec'!$M$51*'CO2 per kg feed'!G196+(Production!$M$6+Production!$M$7)*'Parameters, country spec'!$M$52*'CO2 per kg feed'!G197)/Production!M23</f>
        <v>0.8684636181193075</v>
      </c>
      <c r="I62" s="18">
        <f>(Production!$M$5*'Parameters, country spec'!$M$51*'CO2 per kg feed'!H196+(Production!$M$6+Production!$M$7)*'Parameters, country spec'!$M$52*'CO2 per kg feed'!H197)/Production!M23</f>
        <v>0.50677610671581619</v>
      </c>
      <c r="J62" s="18"/>
      <c r="K62" s="18"/>
      <c r="L62" s="348">
        <f>(Production!$M$5*'Parameters, country spec'!$M$51*'CO2 per kg feed'!K196+(Production!$M$6+Production!$M$7)*'Parameters, country spec'!$M$52*'CO2 per kg feed'!K197)/Production!M23</f>
        <v>0.3455510674459113</v>
      </c>
      <c r="M62" s="348"/>
      <c r="N62" s="348">
        <f>(Production!$M$5*'Parameters, country spec'!$M$51*'CO2 per kg feed'!M196+(Production!$M$6+Production!$M$7)*'Parameters, country spec'!$M$52*'CO2 per kg feed'!M197)/Production!M23</f>
        <v>1.5601635318736404E-2</v>
      </c>
      <c r="O62" s="348">
        <f>(Production!$M$5*'Parameters, country spec'!$M$51*'CO2 per kg feed'!N196+(Production!$M$6+Production!$M$7)*'Parameters, country spec'!$M$52*'CO2 per kg feed'!N197)/Production!M23</f>
        <v>0.27770637381325558</v>
      </c>
      <c r="P62" s="348">
        <f>(Production!$M$5*'Parameters, country spec'!$M$51*'CO2 per kg feed'!O196+(Production!$M$6+Production!$M$7)*'Parameters, country spec'!$M$52*'CO2 per kg feed'!O197)/Production!M23</f>
        <v>0</v>
      </c>
      <c r="Q62" s="348">
        <f>(Production!$M$5*'Parameters, country spec'!$M$51*'CO2 per kg feed'!P196+(Production!$M$6+Production!$M$7)*'Parameters, country spec'!$M$52*'CO2 per kg feed'!P197)/Production!M23</f>
        <v>1.261053232976634E-2</v>
      </c>
      <c r="R62" s="348">
        <f>(Production!$M$5*'Parameters, country spec'!$M$51*'CO2 per kg feed'!Q196+(Production!$M$6+Production!$M$7)*'Parameters, country spec'!$M$52*'CO2 per kg feed'!Q197)/Production!M23</f>
        <v>7.7773256500794138E-3</v>
      </c>
      <c r="S62" s="134"/>
      <c r="U62" s="133"/>
      <c r="V62" s="133"/>
      <c r="W62" s="134">
        <f>Production!M8*('Parameters, country spec'!M58*EF_el_CO2_GB+'Parameters, country spec'!M59*EF_diesel_CO2)/Production!M23</f>
        <v>0.67368012213575368</v>
      </c>
      <c r="X62" s="349">
        <f>Production!M12*(Energy_slaughter_el_SE*EF_el_CO2_SE+Energy_slaughter_oil_SE*EF_oil_CO2)/Production!M23</f>
        <v>1.5770676659388474E-3</v>
      </c>
    </row>
    <row r="63" spans="1:27" x14ac:dyDescent="0.35">
      <c r="A63" s="11" t="s">
        <v>543</v>
      </c>
      <c r="B63" s="11" t="s">
        <v>546</v>
      </c>
      <c r="C63" s="15" t="s">
        <v>545</v>
      </c>
      <c r="D63" s="16" t="s">
        <v>493</v>
      </c>
      <c r="E63" s="16" t="s">
        <v>495</v>
      </c>
      <c r="F63" s="11" t="s">
        <v>87</v>
      </c>
      <c r="G63" s="17">
        <f t="shared" si="0"/>
        <v>3.1992354158096102E-3</v>
      </c>
      <c r="H63" s="337">
        <f>(Production!$M$5*'Parameters, country spec'!$M$51*'CH4 per kg feed'!G196+Production!$M$6*'Parameters, country spec'!$M$52*'CH4 per kg feed'!G197)/Production!M23</f>
        <v>0</v>
      </c>
      <c r="I63" s="33">
        <f>(Production!$M$5*'Parameters, country spec'!$M$51*'CH4 per kg feed'!H196+(Production!$M$6+Production!$M$7)*'Parameters, country spec'!$M$52*'CH4 per kg feed'!H197)/Production!M23</f>
        <v>2.2525360418559734E-3</v>
      </c>
      <c r="J63" s="33"/>
      <c r="K63" s="33"/>
      <c r="L63" s="337">
        <f>(Production!$M$5*'Parameters, country spec'!$M$51*'CH4 per kg feed'!K196+(Production!$M$6+Production!$M$7)*'Parameters, country spec'!$M$52*'CH4 per kg feed'!K197)/Production!M23</f>
        <v>8.3724097919311331E-5</v>
      </c>
      <c r="M63" s="337"/>
      <c r="N63" s="337">
        <f>(Production!$M$5*'Parameters, country spec'!$M$51*'CH4 per kg feed'!M196+(Production!$M$6+Production!$M$7)*'Parameters, country spec'!$M$52*'CH4 per kg feed'!M197)/Production!M23</f>
        <v>5.0632841067419187E-5</v>
      </c>
      <c r="O63" s="337">
        <f>(Production!$M$5*'Parameters, country spec'!$M$51*'CH4 per kg feed'!N196+(Production!$M$6+Production!$M$7)*'Parameters, country spec'!$M$52*'CH4 per kg feed'!N197)/Production!M23</f>
        <v>1.2052715644180135E-5</v>
      </c>
      <c r="P63" s="337">
        <f>(Production!$M$5*'Parameters, country spec'!$M$51*'CH4 per kg feed'!O196+(Production!$M$6+Production!$M$7)*'Parameters, country spec'!$M$52*'CH4 per kg feed'!O197)/Production!M23</f>
        <v>1.516778166456456E-4</v>
      </c>
      <c r="Q63" s="337">
        <f>(Production!$M$5*'Parameters, country spec'!$M$51*'CH4 per kg feed'!P196+(Production!$M$6+Production!$M$7)*'Parameters, country spec'!$M$52*'CH4 per kg feed'!P197)/Production!M23</f>
        <v>2.7377667442564198E-5</v>
      </c>
      <c r="R63" s="337">
        <f>(Production!$M$5*'Parameters, country spec'!$M$51*'CH4 per kg feed'!Q196+(Production!$M$6+Production!$M$7)*'Parameters, country spec'!$M$52*'CH4 per kg feed'!Q197)/Production!M23</f>
        <v>1.1605456418261285E-5</v>
      </c>
      <c r="W63" s="4">
        <f>Production!M8*('Parameters, country spec'!M58*EF_el_CH4_GB+'Parameters, country spec'!M59*EF_diesel_CH4)/Production!M23</f>
        <v>6.0871658513878316E-4</v>
      </c>
      <c r="X63" s="42">
        <f>Production!M12*(Energy_slaughter_el_SE*EF_el_CH4_SE+Energy_slaughter_oil_SE*EF_oil_CH4)/Production!M23</f>
        <v>9.1219367747154056E-7</v>
      </c>
    </row>
    <row r="64" spans="1:27" x14ac:dyDescent="0.35">
      <c r="A64" s="11" t="s">
        <v>543</v>
      </c>
      <c r="B64" s="11" t="s">
        <v>546</v>
      </c>
      <c r="C64" s="15" t="s">
        <v>545</v>
      </c>
      <c r="D64" s="16" t="s">
        <v>493</v>
      </c>
      <c r="E64" s="16" t="s">
        <v>495</v>
      </c>
      <c r="F64" s="11" t="s">
        <v>88</v>
      </c>
      <c r="G64" s="17">
        <f>SUM(H64:T64)</f>
        <v>0.55346078244211649</v>
      </c>
      <c r="H64" s="337"/>
      <c r="I64" s="33"/>
      <c r="J64" s="33"/>
      <c r="K64" s="33"/>
      <c r="L64" s="337"/>
      <c r="M64" s="337"/>
      <c r="N64" s="337"/>
      <c r="O64" s="337"/>
      <c r="P64" s="337"/>
      <c r="Q64" s="337"/>
      <c r="R64" s="337"/>
      <c r="S64" s="4">
        <f>(Production!M5*EF_ent_ferm_SE+(Production!M6+Production!M7)*EF_ent_ferm_SE)/Production!M23</f>
        <v>0.49486105824133991</v>
      </c>
      <c r="T64" s="99">
        <f>SUM(U64:V64)</f>
        <v>5.8599724200776568E-2</v>
      </c>
      <c r="U64" s="57">
        <f>Manure!Y34/Production!M23</f>
        <v>5.8599724200776568E-2</v>
      </c>
      <c r="W64" s="4"/>
      <c r="X64" s="42"/>
      <c r="Z64" s="32"/>
      <c r="AA64" s="32"/>
    </row>
    <row r="65" spans="1:27" ht="15" thickBot="1" x14ac:dyDescent="0.4">
      <c r="A65" s="11" t="s">
        <v>543</v>
      </c>
      <c r="B65" s="11" t="s">
        <v>546</v>
      </c>
      <c r="C65" s="15" t="s">
        <v>545</v>
      </c>
      <c r="D65" s="16" t="s">
        <v>493</v>
      </c>
      <c r="E65" s="16" t="s">
        <v>495</v>
      </c>
      <c r="F65" s="34" t="s">
        <v>89</v>
      </c>
      <c r="G65" s="17">
        <f>SUM(H65:T65)+W65+X65</f>
        <v>1.4343035602739715E-2</v>
      </c>
      <c r="H65" s="337">
        <f>(Production!$M$5*'Parameters, country spec'!$M$51*'N2O per kg feed'!G196+(Production!$M$6+Production!$M$7)*'Parameters, country spec'!$M$52*'N2O per kg feed'!G197)/Production!M23</f>
        <v>6.6608583151602334E-3</v>
      </c>
      <c r="I65" s="32">
        <f>(Production!$M$5*'Parameters, country spec'!$M$51*'N2O per kg feed'!H196+(Production!$M$6+Production!$M$7)*'Parameters, country spec'!$M$52*'N2O per kg feed'!H197)/Production!M23</f>
        <v>1.2539939372144581E-3</v>
      </c>
      <c r="J65" s="32">
        <f>(Production!$M$5*'Parameters, country spec'!$M$51*'N2O per kg feed'!I196+(Production!$M$6+Production!$M$7)*'Parameters, country spec'!$M$52*'N2O per kg feed'!I197+Manure!Y162)/Production!M23</f>
        <v>2.3886892943977382E-3</v>
      </c>
      <c r="K65" s="32">
        <f>J65*EF_indirect_N2O_SE</f>
        <v>2.3886892943977383E-4</v>
      </c>
      <c r="L65" s="337">
        <f>(Production!$M$5*'Parameters, country spec'!$M$51*'N2O per kg feed'!K196+(Production!$M$6+Production!$M$7)*'Parameters, country spec'!$M$52*'N2O per kg feed'!K197)/Production!M23</f>
        <v>4.3454390247289022E-4</v>
      </c>
      <c r="M65" s="337"/>
      <c r="N65" s="337">
        <f>(Production!$M$5*'Parameters, country spec'!$M$51*'N2O per kg feed'!M196+(Production!$M$6+Production!$M$7)*'Parameters, country spec'!$M$52*'N2O per kg feed'!M197)/Production!M23</f>
        <v>6.231327389030596E-7</v>
      </c>
      <c r="O65" s="337">
        <f>(Production!$M$5*'Parameters, country spec'!$M$51*'N2O per kg feed'!N196+(Production!$M$6+Production!$M$7)*'Parameters, country spec'!$M$52*'N2O per kg feed'!N197)/Production!M23</f>
        <v>6.3303878278039187E-7</v>
      </c>
      <c r="P65" s="337">
        <f>(Production!$M$5*'Parameters, country spec'!$M$51*'N2O per kg feed'!O196+(Production!$M$6+Production!$M$7)*'Parameters, country spec'!$M$52*'N2O per kg feed'!O197)/Production!M23</f>
        <v>9.213942443339406E-6</v>
      </c>
      <c r="Q65" s="337">
        <f>(Production!$M$5*'Parameters, country spec'!$M$51*'N2O per kg feed'!P196+(Production!$M$6+Production!$M$7)*'Parameters, country spec'!$M$52*'N2O per kg feed'!P197)/Production!M23</f>
        <v>2.3416949586628085E-6</v>
      </c>
      <c r="R65" s="337">
        <f>(Production!$M$5*'Parameters, country spec'!$M$51*'N2O per kg feed'!Q196+(Production!$M$6+Production!$M$7)*'Parameters, country spec'!$M$52*'N2O per kg feed'!Q197)/Production!M23</f>
        <v>2.2544383244933239E-7</v>
      </c>
      <c r="S65" s="4"/>
      <c r="T65" s="42">
        <f>SUM(U65:V65)</f>
        <v>3.3321558186289284E-3</v>
      </c>
      <c r="U65" s="184">
        <f>Manure!Y92*44/28/Production!M23</f>
        <v>2.0285971891978905E-3</v>
      </c>
      <c r="V65" s="184">
        <f>Manure!Y160*17/14*Manure!X122/Production!M23</f>
        <v>1.3035586294310379E-3</v>
      </c>
      <c r="W65" s="4">
        <f>Production!M8*('Parameters, country spec'!M58*EF_el_N2O_GB+'Parameters, country spec'!M59*EF_diesel_N2O)/Production!M23</f>
        <v>2.0807905905024744E-5</v>
      </c>
      <c r="X65" s="42">
        <f>Production!M12*(Energy_slaughter_el_SE*EF_el_N2O_SE+Energy_slaughter_oil_SE*EF_oil_N2O)/Production!M23</f>
        <v>8.0246764533450704E-8</v>
      </c>
    </row>
    <row r="66" spans="1:27" ht="15" thickTop="1" x14ac:dyDescent="0.35">
      <c r="A66" s="125" t="s">
        <v>543</v>
      </c>
      <c r="B66" s="125" t="s">
        <v>546</v>
      </c>
      <c r="C66" s="126" t="s">
        <v>545</v>
      </c>
      <c r="D66" s="127" t="s">
        <v>493</v>
      </c>
      <c r="E66" s="127" t="s">
        <v>495</v>
      </c>
      <c r="F66" s="128" t="s">
        <v>90</v>
      </c>
      <c r="G66" s="364">
        <f t="shared" ref="G66" si="1">SUM(H66:X66)</f>
        <v>21.66417091007078</v>
      </c>
      <c r="H66" s="365">
        <f>SUMPRODUCT(H62:H65,'Parameters, general'!$B$23:$B$26)</f>
        <v>2.6868779381580512</v>
      </c>
      <c r="I66" s="129">
        <f>SUMPRODUCT(I62:I65,'Parameters, general'!$B$23:$B$26)</f>
        <v>0.91624202562267132</v>
      </c>
      <c r="J66" s="129">
        <f>SUMPRODUCT(J62:J65,'Parameters, general'!$B$23:$B$26)</f>
        <v>0.65211217737058258</v>
      </c>
      <c r="K66" s="129">
        <f>SUMPRODUCT(K62:K65,'Parameters, general'!$B$23:$B$26)</f>
        <v>6.521121773705825E-2</v>
      </c>
      <c r="L66" s="129">
        <f>SUMPRODUCT(L62:L65,'Parameters, general'!$B$23:$B$26)</f>
        <v>0.4666765309390058</v>
      </c>
      <c r="M66" s="129">
        <f>SUMPRODUCT(M62:M65,'Parameters, general'!$B$23:$B$26)</f>
        <v>0</v>
      </c>
      <c r="N66" s="129">
        <f>SUMPRODUCT(N62:N65,'Parameters, general'!$B$23:$B$26)</f>
        <v>1.7280609220266033E-2</v>
      </c>
      <c r="O66" s="129">
        <f>SUMPRODUCT(O62:O65,'Parameters, general'!$B$23:$B$26)</f>
        <v>0.27823836432715121</v>
      </c>
      <c r="P66" s="129">
        <f>SUMPRODUCT(P62:P65,'Parameters, general'!$B$23:$B$26)</f>
        <v>7.0354052230718975E-3</v>
      </c>
      <c r="Q66" s="129">
        <f>SUMPRODUCT(Q62:Q65,'Parameters, general'!$B$23:$B$26)</f>
        <v>1.4065669543269699E-2</v>
      </c>
      <c r="R66" s="129">
        <f>SUMPRODUCT(R62:R65,'Parameters, general'!$B$23:$B$26)</f>
        <v>8.1847144176022679E-3</v>
      </c>
      <c r="S66" s="129">
        <f>SUMPRODUCT(S62:S65,'Parameters, general'!$B$23:$B$26)</f>
        <v>13.361248572516178</v>
      </c>
      <c r="T66" s="129">
        <f>SUMPRODUCT(T62:T65,'Parameters, general'!$B$23:$B$26)</f>
        <v>2.4918710919066647</v>
      </c>
      <c r="U66" s="129"/>
      <c r="V66" s="129"/>
      <c r="W66" s="129">
        <f>SUMPRODUCT(W62:W65,'Parameters, general'!$B$23:$B$26)</f>
        <v>0.69750043468496115</v>
      </c>
      <c r="X66" s="129">
        <f>SUMPRODUCT(X62:X65,'Parameters, general'!$B$23:$B$26)</f>
        <v>1.6261584042451312E-3</v>
      </c>
      <c r="Z66" s="103">
        <f>SUM(H66:R66)</f>
        <v>5.1119246525587307</v>
      </c>
      <c r="AA66" s="366">
        <f>'CO2 per kg feed'!F185+'CH4 per kg feed'!F185*CF_GWP_CH4_fossil+'N2O per kg feed'!F185*CF_GWP_N2O</f>
        <v>0.65557037552321695</v>
      </c>
    </row>
    <row r="67" spans="1:27" x14ac:dyDescent="0.35">
      <c r="T67" s="42"/>
      <c r="U67" s="42"/>
    </row>
    <row r="68" spans="1:27" x14ac:dyDescent="0.35">
      <c r="T68" s="42"/>
      <c r="U68" s="42"/>
    </row>
    <row r="69" spans="1:27" x14ac:dyDescent="0.35">
      <c r="T69" s="42"/>
      <c r="U69" s="42"/>
    </row>
    <row r="70" spans="1:27" x14ac:dyDescent="0.35">
      <c r="T70" s="42"/>
      <c r="U70" s="42"/>
    </row>
    <row r="71" spans="1:27" x14ac:dyDescent="0.35">
      <c r="T71" s="42"/>
      <c r="U71" s="42"/>
    </row>
    <row r="72" spans="1:27" x14ac:dyDescent="0.35">
      <c r="T72" s="42"/>
      <c r="U72" s="42"/>
    </row>
    <row r="73" spans="1:27" x14ac:dyDescent="0.35">
      <c r="T73" s="42"/>
      <c r="U73" s="42"/>
    </row>
    <row r="74" spans="1:27" x14ac:dyDescent="0.35">
      <c r="T74" s="42"/>
      <c r="U74" s="42"/>
    </row>
    <row r="75" spans="1:27" x14ac:dyDescent="0.35">
      <c r="T75" s="42"/>
      <c r="U75" s="42"/>
    </row>
    <row r="76" spans="1:27" x14ac:dyDescent="0.35">
      <c r="T76" s="42"/>
      <c r="U76" s="42"/>
    </row>
    <row r="77" spans="1:27" x14ac:dyDescent="0.35">
      <c r="T77" s="42"/>
      <c r="U77" s="42"/>
    </row>
    <row r="78" spans="1:27" x14ac:dyDescent="0.35">
      <c r="T78" s="42"/>
      <c r="U78" s="42"/>
    </row>
    <row r="79" spans="1:27" x14ac:dyDescent="0.35">
      <c r="T79" s="42"/>
      <c r="U79" s="42"/>
    </row>
    <row r="80" spans="1:27" x14ac:dyDescent="0.35">
      <c r="T80" s="42"/>
      <c r="U80" s="42"/>
    </row>
    <row r="81" spans="20:21" x14ac:dyDescent="0.35">
      <c r="T81" s="42"/>
      <c r="U81" s="42"/>
    </row>
    <row r="82" spans="20:21" x14ac:dyDescent="0.35">
      <c r="T82" s="42"/>
      <c r="U82" s="42"/>
    </row>
    <row r="83" spans="20:21" x14ac:dyDescent="0.35">
      <c r="T83" s="42"/>
      <c r="U83" s="42"/>
    </row>
    <row r="84" spans="20:21" x14ac:dyDescent="0.35">
      <c r="T84" s="42"/>
      <c r="U84" s="42"/>
    </row>
    <row r="85" spans="20:21" x14ac:dyDescent="0.35">
      <c r="T85" s="42"/>
      <c r="U85" s="42"/>
    </row>
    <row r="86" spans="20:21" x14ac:dyDescent="0.35">
      <c r="T86" s="42"/>
      <c r="U86" s="42"/>
    </row>
    <row r="87" spans="20:21" x14ac:dyDescent="0.35">
      <c r="T87" s="42"/>
      <c r="U87" s="42"/>
    </row>
    <row r="88" spans="20:21" x14ac:dyDescent="0.35">
      <c r="T88" s="42"/>
      <c r="U88" s="42"/>
    </row>
    <row r="89" spans="20:21" x14ac:dyDescent="0.35">
      <c r="T89" s="42"/>
      <c r="U89" s="42"/>
    </row>
    <row r="90" spans="20:21" x14ac:dyDescent="0.35">
      <c r="T90" s="42"/>
      <c r="U90" s="42"/>
    </row>
    <row r="91" spans="20:21" x14ac:dyDescent="0.35">
      <c r="T91" s="42"/>
      <c r="U91" s="42"/>
    </row>
    <row r="92" spans="20:21" x14ac:dyDescent="0.35">
      <c r="T92" s="42"/>
      <c r="U92" s="42"/>
    </row>
    <row r="93" spans="20:21" x14ac:dyDescent="0.35">
      <c r="T93" s="42"/>
      <c r="U93" s="42"/>
    </row>
    <row r="94" spans="20:21" x14ac:dyDescent="0.35">
      <c r="T94" s="42"/>
      <c r="U94" s="42"/>
    </row>
    <row r="95" spans="20:21" x14ac:dyDescent="0.35">
      <c r="T95" s="42"/>
      <c r="U95" s="42"/>
    </row>
    <row r="96" spans="20:21" x14ac:dyDescent="0.35">
      <c r="T96" s="42"/>
      <c r="U96" s="42"/>
    </row>
    <row r="97" spans="20:21" x14ac:dyDescent="0.35">
      <c r="T97" s="42"/>
      <c r="U97" s="42"/>
    </row>
    <row r="98" spans="20:21" x14ac:dyDescent="0.35">
      <c r="T98" s="42"/>
      <c r="U98" s="42"/>
    </row>
    <row r="99" spans="20:21" x14ac:dyDescent="0.35">
      <c r="T99" s="42"/>
      <c r="U99" s="42"/>
    </row>
    <row r="100" spans="20:21" x14ac:dyDescent="0.35">
      <c r="T100" s="42"/>
      <c r="U100" s="42"/>
    </row>
    <row r="101" spans="20:21" x14ac:dyDescent="0.35">
      <c r="T101" s="42"/>
      <c r="U101" s="42"/>
    </row>
    <row r="102" spans="20:21" x14ac:dyDescent="0.35">
      <c r="T102" s="42"/>
      <c r="U102" s="42"/>
    </row>
    <row r="103" spans="20:21" x14ac:dyDescent="0.35">
      <c r="T103" s="42"/>
      <c r="U103" s="42"/>
    </row>
    <row r="104" spans="20:21" x14ac:dyDescent="0.35">
      <c r="T104" s="42"/>
      <c r="U104" s="42"/>
    </row>
    <row r="105" spans="20:21" x14ac:dyDescent="0.35">
      <c r="T105" s="42"/>
      <c r="U105" s="42"/>
    </row>
    <row r="106" spans="20:21" x14ac:dyDescent="0.35">
      <c r="T106" s="42"/>
      <c r="U106" s="42"/>
    </row>
    <row r="107" spans="20:21" x14ac:dyDescent="0.35">
      <c r="T107" s="42"/>
      <c r="U107" s="42"/>
    </row>
    <row r="108" spans="20:21" x14ac:dyDescent="0.35">
      <c r="T108" s="42"/>
      <c r="U108" s="42"/>
    </row>
    <row r="109" spans="20:21" x14ac:dyDescent="0.35">
      <c r="T109" s="42"/>
      <c r="U109" s="42"/>
    </row>
    <row r="110" spans="20:21" x14ac:dyDescent="0.35">
      <c r="T110" s="42"/>
      <c r="U110" s="42"/>
    </row>
    <row r="111" spans="20:21" x14ac:dyDescent="0.35">
      <c r="T111" s="42"/>
      <c r="U111" s="42"/>
    </row>
    <row r="112" spans="20:21" x14ac:dyDescent="0.35">
      <c r="T112" s="42"/>
      <c r="U112" s="42"/>
    </row>
    <row r="113" spans="20:21" x14ac:dyDescent="0.35">
      <c r="T113" s="42"/>
      <c r="U113" s="42"/>
    </row>
    <row r="114" spans="20:21" x14ac:dyDescent="0.35">
      <c r="T114" s="42"/>
      <c r="U114" s="42"/>
    </row>
    <row r="115" spans="20:21" x14ac:dyDescent="0.35">
      <c r="T115" s="42"/>
      <c r="U115" s="42"/>
    </row>
    <row r="116" spans="20:21" x14ac:dyDescent="0.35">
      <c r="T116" s="42"/>
      <c r="U116" s="42"/>
    </row>
    <row r="117" spans="20:21" x14ac:dyDescent="0.35">
      <c r="T117" s="42"/>
      <c r="U117" s="42"/>
    </row>
    <row r="118" spans="20:21" x14ac:dyDescent="0.35">
      <c r="T118" s="42"/>
      <c r="U118" s="42"/>
    </row>
    <row r="119" spans="20:21" x14ac:dyDescent="0.35">
      <c r="T119" s="42"/>
      <c r="U119" s="42"/>
    </row>
    <row r="120" spans="20:21" x14ac:dyDescent="0.35">
      <c r="T120" s="42"/>
      <c r="U120" s="42"/>
    </row>
    <row r="121" spans="20:21" x14ac:dyDescent="0.35">
      <c r="T121" s="42"/>
      <c r="U121" s="42"/>
    </row>
    <row r="122" spans="20:21" x14ac:dyDescent="0.35">
      <c r="T122" s="42"/>
      <c r="U122" s="42"/>
    </row>
    <row r="123" spans="20:21" x14ac:dyDescent="0.35">
      <c r="T123" s="42"/>
      <c r="U123" s="42"/>
    </row>
    <row r="124" spans="20:21" x14ac:dyDescent="0.35">
      <c r="T124" s="42"/>
      <c r="U124" s="42"/>
    </row>
    <row r="125" spans="20:21" x14ac:dyDescent="0.35">
      <c r="T125" s="42"/>
      <c r="U125" s="42"/>
    </row>
    <row r="126" spans="20:21" x14ac:dyDescent="0.35">
      <c r="T126" s="42"/>
      <c r="U126" s="42"/>
    </row>
    <row r="127" spans="20:21" x14ac:dyDescent="0.35">
      <c r="T127" s="42"/>
      <c r="U127" s="42"/>
    </row>
    <row r="128" spans="20:21" x14ac:dyDescent="0.35">
      <c r="T128" s="42"/>
      <c r="U128" s="42"/>
    </row>
    <row r="129" spans="20:21" x14ac:dyDescent="0.35">
      <c r="T129" s="42"/>
      <c r="U129" s="42"/>
    </row>
    <row r="130" spans="20:21" x14ac:dyDescent="0.35">
      <c r="T130" s="42"/>
      <c r="U130" s="42"/>
    </row>
    <row r="131" spans="20:21" x14ac:dyDescent="0.35">
      <c r="T131" s="42"/>
      <c r="U131" s="42"/>
    </row>
    <row r="132" spans="20:21" x14ac:dyDescent="0.35">
      <c r="T132" s="42"/>
      <c r="U132" s="42"/>
    </row>
    <row r="133" spans="20:21" x14ac:dyDescent="0.35">
      <c r="T133" s="42"/>
      <c r="U133" s="42"/>
    </row>
    <row r="134" spans="20:21" x14ac:dyDescent="0.35">
      <c r="T134" s="42"/>
      <c r="U134" s="42"/>
    </row>
    <row r="135" spans="20:21" x14ac:dyDescent="0.35">
      <c r="T135" s="42"/>
      <c r="U135" s="42"/>
    </row>
    <row r="136" spans="20:21" x14ac:dyDescent="0.35">
      <c r="T136" s="42"/>
      <c r="U136" s="42"/>
    </row>
    <row r="137" spans="20:21" x14ac:dyDescent="0.35">
      <c r="T137" s="42"/>
      <c r="U137" s="42"/>
    </row>
    <row r="138" spans="20:21" x14ac:dyDescent="0.35">
      <c r="T138" s="42"/>
      <c r="U138" s="42"/>
    </row>
    <row r="139" spans="20:21" x14ac:dyDescent="0.35">
      <c r="T139" s="42"/>
      <c r="U139" s="42"/>
    </row>
    <row r="140" spans="20:21" x14ac:dyDescent="0.35">
      <c r="T140" s="42"/>
      <c r="U140" s="42"/>
    </row>
    <row r="141" spans="20:21" x14ac:dyDescent="0.35">
      <c r="T141" s="42"/>
      <c r="U141" s="42"/>
    </row>
    <row r="142" spans="20:21" x14ac:dyDescent="0.35">
      <c r="T142" s="42"/>
      <c r="U142" s="42"/>
    </row>
    <row r="143" spans="20:21" x14ac:dyDescent="0.35">
      <c r="T143" s="42"/>
      <c r="U143" s="42"/>
    </row>
    <row r="144" spans="20:21" x14ac:dyDescent="0.35">
      <c r="T144" s="42"/>
      <c r="U144" s="42"/>
    </row>
    <row r="145" spans="20:21" x14ac:dyDescent="0.35">
      <c r="T145" s="42"/>
      <c r="U145" s="42"/>
    </row>
    <row r="146" spans="20:21" x14ac:dyDescent="0.35">
      <c r="T146" s="42"/>
      <c r="U146" s="42"/>
    </row>
    <row r="147" spans="20:21" x14ac:dyDescent="0.35">
      <c r="T147" s="42"/>
      <c r="U147" s="42"/>
    </row>
    <row r="148" spans="20:21" x14ac:dyDescent="0.35">
      <c r="T148" s="42"/>
      <c r="U148" s="42"/>
    </row>
    <row r="149" spans="20:21" x14ac:dyDescent="0.35">
      <c r="T149" s="42"/>
      <c r="U149" s="42"/>
    </row>
    <row r="150" spans="20:21" x14ac:dyDescent="0.35">
      <c r="T150" s="42"/>
      <c r="U150" s="42"/>
    </row>
    <row r="151" spans="20:21" x14ac:dyDescent="0.35">
      <c r="T151" s="42"/>
      <c r="U151" s="42"/>
    </row>
    <row r="152" spans="20:21" x14ac:dyDescent="0.35">
      <c r="T152" s="42"/>
      <c r="U152" s="42"/>
    </row>
    <row r="153" spans="20:21" x14ac:dyDescent="0.35">
      <c r="T153" s="42"/>
      <c r="U153" s="42"/>
    </row>
    <row r="154" spans="20:21" x14ac:dyDescent="0.35">
      <c r="T154" s="42"/>
      <c r="U154" s="42"/>
    </row>
    <row r="155" spans="20:21" x14ac:dyDescent="0.35">
      <c r="T155" s="42"/>
      <c r="U155" s="42"/>
    </row>
    <row r="156" spans="20:21" x14ac:dyDescent="0.35">
      <c r="T156" s="42"/>
      <c r="U156" s="42"/>
    </row>
    <row r="157" spans="20:21" x14ac:dyDescent="0.35">
      <c r="T157" s="42"/>
      <c r="U157" s="42"/>
    </row>
    <row r="158" spans="20:21" x14ac:dyDescent="0.35">
      <c r="T158" s="42"/>
      <c r="U158" s="42"/>
    </row>
    <row r="159" spans="20:21" x14ac:dyDescent="0.35">
      <c r="T159" s="42"/>
      <c r="U159" s="42"/>
    </row>
    <row r="160" spans="20:21" x14ac:dyDescent="0.35">
      <c r="T160" s="42"/>
      <c r="U160" s="42"/>
    </row>
    <row r="161" spans="20:21" x14ac:dyDescent="0.35">
      <c r="T161" s="42"/>
      <c r="U161" s="42"/>
    </row>
    <row r="162" spans="20:21" x14ac:dyDescent="0.35">
      <c r="T162" s="42"/>
      <c r="U162" s="42"/>
    </row>
    <row r="163" spans="20:21" x14ac:dyDescent="0.35">
      <c r="T163" s="42"/>
      <c r="U163" s="42"/>
    </row>
    <row r="164" spans="20:21" x14ac:dyDescent="0.35">
      <c r="T164" s="42"/>
      <c r="U164" s="42"/>
    </row>
    <row r="165" spans="20:21" x14ac:dyDescent="0.35">
      <c r="T165" s="42"/>
      <c r="U165" s="42"/>
    </row>
    <row r="166" spans="20:21" x14ac:dyDescent="0.35">
      <c r="T166" s="42"/>
      <c r="U166" s="42"/>
    </row>
    <row r="167" spans="20:21" x14ac:dyDescent="0.35">
      <c r="T167" s="42"/>
      <c r="U167" s="42"/>
    </row>
    <row r="168" spans="20:21" x14ac:dyDescent="0.35">
      <c r="T168" s="42"/>
      <c r="U168" s="42"/>
    </row>
    <row r="169" spans="20:21" x14ac:dyDescent="0.35">
      <c r="T169" s="42"/>
      <c r="U169" s="42"/>
    </row>
    <row r="170" spans="20:21" x14ac:dyDescent="0.35">
      <c r="T170" s="42"/>
      <c r="U170" s="42"/>
    </row>
    <row r="171" spans="20:21" x14ac:dyDescent="0.35">
      <c r="T171" s="42"/>
      <c r="U171" s="42"/>
    </row>
    <row r="172" spans="20:21" x14ac:dyDescent="0.35">
      <c r="T172" s="42"/>
      <c r="U172" s="42"/>
    </row>
    <row r="173" spans="20:21" x14ac:dyDescent="0.35">
      <c r="T173" s="42"/>
      <c r="U173" s="42"/>
    </row>
    <row r="174" spans="20:21" x14ac:dyDescent="0.35">
      <c r="T174" s="42"/>
      <c r="U174" s="42"/>
    </row>
    <row r="175" spans="20:21" x14ac:dyDescent="0.35">
      <c r="T175" s="42"/>
      <c r="U175" s="42"/>
    </row>
    <row r="176" spans="20:21" x14ac:dyDescent="0.35">
      <c r="T176" s="42"/>
      <c r="U176" s="42"/>
    </row>
    <row r="177" spans="20:21" x14ac:dyDescent="0.35">
      <c r="T177" s="42"/>
      <c r="U177" s="42"/>
    </row>
    <row r="178" spans="20:21" x14ac:dyDescent="0.35">
      <c r="T178" s="42"/>
      <c r="U178" s="42"/>
    </row>
    <row r="179" spans="20:21" x14ac:dyDescent="0.35">
      <c r="T179" s="42"/>
      <c r="U179" s="42"/>
    </row>
    <row r="180" spans="20:21" x14ac:dyDescent="0.35">
      <c r="T180" s="42"/>
      <c r="U180" s="42"/>
    </row>
    <row r="181" spans="20:21" x14ac:dyDescent="0.35">
      <c r="T181" s="42"/>
      <c r="U181" s="42"/>
    </row>
    <row r="182" spans="20:21" x14ac:dyDescent="0.35">
      <c r="T182" s="42"/>
      <c r="U182" s="42"/>
    </row>
    <row r="183" spans="20:21" x14ac:dyDescent="0.35">
      <c r="T183" s="42"/>
      <c r="U183" s="42"/>
    </row>
    <row r="184" spans="20:21" x14ac:dyDescent="0.35">
      <c r="T184" s="42"/>
      <c r="U184" s="42"/>
    </row>
    <row r="185" spans="20:21" x14ac:dyDescent="0.35">
      <c r="T185" s="42"/>
      <c r="U185" s="42"/>
    </row>
    <row r="186" spans="20:21" x14ac:dyDescent="0.35">
      <c r="T186" s="42"/>
      <c r="U186" s="42"/>
    </row>
    <row r="187" spans="20:21" x14ac:dyDescent="0.35">
      <c r="T187" s="42"/>
      <c r="U187" s="42"/>
    </row>
    <row r="188" spans="20:21" x14ac:dyDescent="0.35">
      <c r="T188" s="42"/>
      <c r="U188" s="42"/>
    </row>
    <row r="189" spans="20:21" x14ac:dyDescent="0.35">
      <c r="T189" s="42"/>
      <c r="U189" s="42"/>
    </row>
    <row r="190" spans="20:21" x14ac:dyDescent="0.35">
      <c r="T190" s="42"/>
      <c r="U190" s="42"/>
    </row>
    <row r="191" spans="20:21" x14ac:dyDescent="0.35">
      <c r="T191" s="42"/>
      <c r="U191" s="42"/>
    </row>
    <row r="192" spans="20:21" x14ac:dyDescent="0.35">
      <c r="T192" s="42"/>
      <c r="U192" s="42"/>
    </row>
    <row r="193" spans="20:21" x14ac:dyDescent="0.35">
      <c r="T193" s="42"/>
      <c r="U193" s="42"/>
    </row>
    <row r="194" spans="20:21" x14ac:dyDescent="0.35">
      <c r="T194" s="42"/>
      <c r="U194" s="42"/>
    </row>
    <row r="195" spans="20:21" x14ac:dyDescent="0.35">
      <c r="T195" s="42"/>
      <c r="U195" s="42"/>
    </row>
    <row r="196" spans="20:21" x14ac:dyDescent="0.35">
      <c r="T196" s="42"/>
      <c r="U196" s="42"/>
    </row>
    <row r="197" spans="20:21" x14ac:dyDescent="0.35">
      <c r="T197" s="42"/>
      <c r="U197" s="42"/>
    </row>
    <row r="198" spans="20:21" x14ac:dyDescent="0.35">
      <c r="T198" s="42"/>
      <c r="U198" s="42"/>
    </row>
    <row r="199" spans="20:21" x14ac:dyDescent="0.35">
      <c r="T199" s="42"/>
      <c r="U199" s="42"/>
    </row>
    <row r="200" spans="20:21" x14ac:dyDescent="0.35">
      <c r="T200" s="42"/>
      <c r="U200" s="42"/>
    </row>
    <row r="201" spans="20:21" x14ac:dyDescent="0.35">
      <c r="T201" s="42"/>
      <c r="U201" s="42"/>
    </row>
    <row r="202" spans="20:21" x14ac:dyDescent="0.35">
      <c r="T202" s="42"/>
      <c r="U202" s="42"/>
    </row>
    <row r="203" spans="20:21" x14ac:dyDescent="0.35">
      <c r="T203" s="42"/>
      <c r="U203" s="42"/>
    </row>
    <row r="204" spans="20:21" x14ac:dyDescent="0.35">
      <c r="T204" s="42"/>
      <c r="U204" s="42"/>
    </row>
    <row r="205" spans="20:21" x14ac:dyDescent="0.35">
      <c r="T205" s="42"/>
      <c r="U205" s="42"/>
    </row>
    <row r="206" spans="20:21" x14ac:dyDescent="0.35">
      <c r="T206" s="42"/>
      <c r="U206" s="42"/>
    </row>
    <row r="207" spans="20:21" x14ac:dyDescent="0.35">
      <c r="T207" s="42"/>
      <c r="U207" s="42"/>
    </row>
    <row r="208" spans="20:21" x14ac:dyDescent="0.35">
      <c r="T208" s="42"/>
      <c r="U208" s="42"/>
    </row>
    <row r="209" spans="20:21" x14ac:dyDescent="0.35">
      <c r="T209" s="42"/>
      <c r="U209" s="42"/>
    </row>
    <row r="210" spans="20:21" x14ac:dyDescent="0.35">
      <c r="T210" s="42"/>
      <c r="U210" s="42"/>
    </row>
    <row r="211" spans="20:21" x14ac:dyDescent="0.35">
      <c r="T211" s="42"/>
      <c r="U211" s="42"/>
    </row>
    <row r="212" spans="20:21" x14ac:dyDescent="0.35">
      <c r="T212" s="42"/>
      <c r="U212" s="42"/>
    </row>
    <row r="213" spans="20:21" x14ac:dyDescent="0.35">
      <c r="T213" s="42"/>
      <c r="U213" s="42"/>
    </row>
    <row r="214" spans="20:21" x14ac:dyDescent="0.35">
      <c r="T214" s="42"/>
      <c r="U214" s="42"/>
    </row>
    <row r="215" spans="20:21" x14ac:dyDescent="0.35">
      <c r="T215" s="42"/>
      <c r="U215" s="42"/>
    </row>
    <row r="216" spans="20:21" x14ac:dyDescent="0.35">
      <c r="T216" s="42"/>
      <c r="U216" s="42"/>
    </row>
    <row r="217" spans="20:21" x14ac:dyDescent="0.35">
      <c r="T217" s="42"/>
      <c r="U217" s="42"/>
    </row>
    <row r="218" spans="20:21" x14ac:dyDescent="0.35">
      <c r="T218" s="42"/>
      <c r="U218" s="42"/>
    </row>
    <row r="219" spans="20:21" x14ac:dyDescent="0.35">
      <c r="T219" s="42"/>
      <c r="U219" s="42"/>
    </row>
    <row r="220" spans="20:21" x14ac:dyDescent="0.35">
      <c r="T220" s="42"/>
      <c r="U220" s="42"/>
    </row>
    <row r="221" spans="20:21" x14ac:dyDescent="0.35">
      <c r="T221" s="42"/>
      <c r="U221" s="42"/>
    </row>
    <row r="222" spans="20:21" x14ac:dyDescent="0.35">
      <c r="T222" s="42"/>
      <c r="U222" s="42"/>
    </row>
    <row r="223" spans="20:21" x14ac:dyDescent="0.35">
      <c r="T223" s="42"/>
      <c r="U223" s="42"/>
    </row>
    <row r="224" spans="20:21" x14ac:dyDescent="0.35">
      <c r="T224" s="42"/>
      <c r="U224" s="42"/>
    </row>
    <row r="225" spans="20:21" x14ac:dyDescent="0.35">
      <c r="T225" s="42"/>
      <c r="U225" s="42"/>
    </row>
    <row r="226" spans="20:21" x14ac:dyDescent="0.35">
      <c r="T226" s="42"/>
      <c r="U226" s="42"/>
    </row>
    <row r="227" spans="20:21" x14ac:dyDescent="0.35">
      <c r="T227" s="42"/>
      <c r="U227" s="42"/>
    </row>
    <row r="228" spans="20:21" x14ac:dyDescent="0.35">
      <c r="T228" s="42"/>
      <c r="U228" s="42"/>
    </row>
    <row r="229" spans="20:21" x14ac:dyDescent="0.35">
      <c r="T229" s="42"/>
      <c r="U229" s="42"/>
    </row>
    <row r="230" spans="20:21" x14ac:dyDescent="0.35">
      <c r="T230" s="42"/>
      <c r="U230" s="42"/>
    </row>
    <row r="231" spans="20:21" x14ac:dyDescent="0.35">
      <c r="T231" s="42"/>
      <c r="U231" s="42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A04F-A466-4AFB-8874-8FA46D2DE5AD}">
  <sheetPr>
    <tabColor theme="7"/>
  </sheetPr>
  <dimension ref="A2:U20"/>
  <sheetViews>
    <sheetView zoomScale="80" zoomScaleNormal="80" workbookViewId="0">
      <selection activeCell="I14" sqref="I14"/>
    </sheetView>
  </sheetViews>
  <sheetFormatPr defaultColWidth="8.7265625" defaultRowHeight="14.5" x14ac:dyDescent="0.35"/>
  <cols>
    <col min="1" max="1" width="13.26953125" style="29" customWidth="1"/>
    <col min="2" max="2" width="13.54296875" customWidth="1"/>
    <col min="3" max="3" width="8.81640625" customWidth="1"/>
    <col min="4" max="4" width="12.7265625" customWidth="1"/>
    <col min="5" max="5" width="8.453125" customWidth="1"/>
    <col min="6" max="6" width="12.26953125" customWidth="1"/>
    <col min="7" max="11" width="10.453125" customWidth="1"/>
    <col min="12" max="13" width="14.7265625" customWidth="1"/>
    <col min="14" max="14" width="14.7265625" style="11" customWidth="1"/>
    <col min="15" max="18" width="14.7265625" customWidth="1"/>
    <col min="19" max="19" width="8.54296875" customWidth="1"/>
    <col min="20" max="20" width="15.7265625" customWidth="1"/>
    <col min="21" max="21" width="18.453125" customWidth="1"/>
  </cols>
  <sheetData>
    <row r="2" spans="1:21" ht="21" x14ac:dyDescent="0.5">
      <c r="A2" s="58" t="s">
        <v>618</v>
      </c>
      <c r="H2" t="s">
        <v>617</v>
      </c>
      <c r="M2" s="160"/>
      <c r="T2" t="s">
        <v>601</v>
      </c>
    </row>
    <row r="3" spans="1:21" x14ac:dyDescent="0.35">
      <c r="L3" s="6"/>
      <c r="P3" s="6"/>
      <c r="R3" s="6"/>
      <c r="S3" s="7"/>
      <c r="T3" s="7"/>
      <c r="U3" s="7"/>
    </row>
    <row r="4" spans="1:21" x14ac:dyDescent="0.35">
      <c r="A4" s="468"/>
      <c r="B4" s="469"/>
      <c r="C4" s="469"/>
      <c r="D4" s="469"/>
      <c r="E4" s="469"/>
      <c r="F4" s="469"/>
      <c r="G4" s="469"/>
      <c r="H4" s="469"/>
      <c r="I4" s="469"/>
      <c r="J4" s="469"/>
      <c r="K4" s="469"/>
      <c r="L4" s="469"/>
      <c r="M4" s="469"/>
      <c r="N4" s="470"/>
      <c r="O4" s="469"/>
      <c r="P4" s="471"/>
      <c r="Q4" s="471"/>
      <c r="R4" s="471"/>
      <c r="S4" s="471"/>
      <c r="T4" s="471"/>
      <c r="U4" s="472"/>
    </row>
    <row r="5" spans="1:21" x14ac:dyDescent="0.35">
      <c r="A5" s="473" t="s">
        <v>5</v>
      </c>
      <c r="B5" s="474"/>
      <c r="C5" s="474"/>
      <c r="D5" s="475"/>
      <c r="E5" s="475"/>
      <c r="F5" s="476" t="s">
        <v>6</v>
      </c>
      <c r="G5" s="475"/>
      <c r="H5" s="475"/>
      <c r="I5" s="475"/>
      <c r="J5" s="475"/>
      <c r="K5" s="475"/>
      <c r="L5" s="477" t="s">
        <v>7</v>
      </c>
      <c r="M5" s="477" t="s">
        <v>238</v>
      </c>
      <c r="N5" s="477" t="s">
        <v>8</v>
      </c>
      <c r="O5" s="477" t="s">
        <v>9</v>
      </c>
      <c r="P5" s="478" t="s">
        <v>10</v>
      </c>
      <c r="Q5" s="478" t="s">
        <v>11</v>
      </c>
      <c r="R5" s="478" t="s">
        <v>12</v>
      </c>
      <c r="S5" s="478" t="s">
        <v>13</v>
      </c>
      <c r="T5" s="479" t="s">
        <v>273</v>
      </c>
      <c r="U5" s="479" t="s">
        <v>274</v>
      </c>
    </row>
    <row r="6" spans="1:21" s="8" customFormat="1" ht="58" x14ac:dyDescent="0.35">
      <c r="A6" s="480" t="s">
        <v>14</v>
      </c>
      <c r="B6" s="481" t="s">
        <v>15</v>
      </c>
      <c r="C6" s="481" t="s">
        <v>16</v>
      </c>
      <c r="D6" s="482" t="s">
        <v>17</v>
      </c>
      <c r="E6" s="483" t="s">
        <v>18</v>
      </c>
      <c r="F6" s="484" t="s">
        <v>19</v>
      </c>
      <c r="G6" s="485" t="s">
        <v>20</v>
      </c>
      <c r="H6" s="484" t="s">
        <v>21</v>
      </c>
      <c r="I6" s="484" t="s">
        <v>22</v>
      </c>
      <c r="J6" s="484" t="s">
        <v>23</v>
      </c>
      <c r="K6" s="485" t="s">
        <v>24</v>
      </c>
      <c r="L6" s="486" t="s">
        <v>25</v>
      </c>
      <c r="M6" s="486" t="s">
        <v>26</v>
      </c>
      <c r="N6" s="486" t="s">
        <v>27</v>
      </c>
      <c r="O6" s="487" t="s">
        <v>28</v>
      </c>
      <c r="P6" s="488" t="s">
        <v>29</v>
      </c>
      <c r="Q6" s="489" t="s">
        <v>30</v>
      </c>
      <c r="R6" s="489" t="s">
        <v>31</v>
      </c>
      <c r="S6" s="489" t="s">
        <v>32</v>
      </c>
      <c r="T6" s="490" t="s">
        <v>33</v>
      </c>
      <c r="U6" s="490" t="s">
        <v>272</v>
      </c>
    </row>
    <row r="7" spans="1:21" x14ac:dyDescent="0.35">
      <c r="A7" s="507" t="s">
        <v>599</v>
      </c>
      <c r="B7" s="11" t="s">
        <v>513</v>
      </c>
      <c r="C7" s="15" t="s">
        <v>514</v>
      </c>
      <c r="D7" t="s">
        <v>34</v>
      </c>
      <c r="E7" t="s">
        <v>35</v>
      </c>
      <c r="F7" s="10"/>
      <c r="G7" s="10"/>
      <c r="H7" s="99"/>
      <c r="I7" s="42"/>
      <c r="J7" s="42"/>
      <c r="L7" s="17">
        <v>508.63798374107898</v>
      </c>
      <c r="M7" s="289">
        <v>6.0604304054630376</v>
      </c>
      <c r="N7" s="289">
        <v>0.42194112589534016</v>
      </c>
      <c r="O7" s="289">
        <v>0.24422712109760622</v>
      </c>
      <c r="P7" s="289">
        <v>25.368072991323359</v>
      </c>
      <c r="Q7" s="337">
        <v>4.7592699901801689E-8</v>
      </c>
      <c r="R7" s="18">
        <v>0.15422803008744174</v>
      </c>
      <c r="S7" s="17"/>
      <c r="T7" s="18"/>
      <c r="U7" s="423"/>
    </row>
    <row r="8" spans="1:21" x14ac:dyDescent="0.35">
      <c r="A8" s="507" t="s">
        <v>599</v>
      </c>
      <c r="B8" s="11" t="s">
        <v>513</v>
      </c>
      <c r="C8" s="15" t="s">
        <v>514</v>
      </c>
      <c r="D8" t="s">
        <v>36</v>
      </c>
      <c r="E8" t="s">
        <v>37</v>
      </c>
      <c r="F8" s="10"/>
      <c r="G8" s="10"/>
      <c r="H8" s="99"/>
      <c r="I8" s="42"/>
      <c r="J8" s="42"/>
      <c r="L8" s="17">
        <v>400.45027662727716</v>
      </c>
      <c r="M8" s="289">
        <v>6.3726598630083906</v>
      </c>
      <c r="N8" s="289">
        <v>0.59064603216775169</v>
      </c>
      <c r="O8" s="289">
        <v>3.511453991148632</v>
      </c>
      <c r="P8" s="289">
        <v>30.68170913038653</v>
      </c>
      <c r="Q8" s="337">
        <v>1.5805166340365338E-7</v>
      </c>
      <c r="R8" s="18">
        <v>0.23647431762955057</v>
      </c>
      <c r="S8" s="9"/>
      <c r="T8" s="18"/>
      <c r="U8" s="423"/>
    </row>
    <row r="9" spans="1:21" x14ac:dyDescent="0.35">
      <c r="A9" s="507" t="s">
        <v>599</v>
      </c>
      <c r="B9" s="11" t="s">
        <v>513</v>
      </c>
      <c r="C9" s="15" t="s">
        <v>514</v>
      </c>
      <c r="D9" t="s">
        <v>38</v>
      </c>
      <c r="E9" t="s">
        <v>39</v>
      </c>
      <c r="F9" s="10"/>
      <c r="G9" s="10"/>
      <c r="H9" s="99"/>
      <c r="I9" s="42"/>
      <c r="J9" s="42"/>
      <c r="L9" s="17">
        <v>198.65136251079093</v>
      </c>
      <c r="M9" s="289">
        <v>3.9329017878707568</v>
      </c>
      <c r="N9" s="289">
        <v>0.22389940100652064</v>
      </c>
      <c r="O9" s="289">
        <v>0.12094051720700105</v>
      </c>
      <c r="P9" s="289">
        <v>13.169502387302567</v>
      </c>
      <c r="Q9" s="337">
        <v>2.6318856906022674E-8</v>
      </c>
      <c r="R9" s="18">
        <v>0.12484273153510454</v>
      </c>
      <c r="S9" s="9"/>
      <c r="T9" s="18"/>
      <c r="U9" s="423"/>
    </row>
    <row r="10" spans="1:21" x14ac:dyDescent="0.35">
      <c r="A10" s="507" t="s">
        <v>599</v>
      </c>
      <c r="B10" s="11" t="s">
        <v>513</v>
      </c>
      <c r="C10" s="15" t="s">
        <v>514</v>
      </c>
      <c r="D10" t="s">
        <v>40</v>
      </c>
      <c r="E10" t="s">
        <v>41</v>
      </c>
      <c r="F10" s="10"/>
      <c r="G10" s="10"/>
      <c r="H10" s="99"/>
      <c r="I10" s="42"/>
      <c r="J10" s="42"/>
      <c r="L10" s="17">
        <v>655.58493659813519</v>
      </c>
      <c r="M10" s="289">
        <v>9.0440187807185257</v>
      </c>
      <c r="N10" s="289">
        <v>1.0734708597012799</v>
      </c>
      <c r="O10" s="289">
        <v>36.754988983819793</v>
      </c>
      <c r="P10" s="289">
        <v>23.136431558601611</v>
      </c>
      <c r="Q10" s="337">
        <v>1.3738333545891855E-6</v>
      </c>
      <c r="R10" s="18">
        <v>0.41843973272119561</v>
      </c>
      <c r="S10" s="9"/>
      <c r="T10" s="18"/>
      <c r="U10" s="423"/>
    </row>
    <row r="11" spans="1:21" x14ac:dyDescent="0.35">
      <c r="A11" s="507" t="s">
        <v>599</v>
      </c>
      <c r="B11" s="11" t="s">
        <v>513</v>
      </c>
      <c r="C11" s="15" t="s">
        <v>514</v>
      </c>
      <c r="D11" t="s">
        <v>42</v>
      </c>
      <c r="E11" t="s">
        <v>43</v>
      </c>
      <c r="F11" s="10"/>
      <c r="G11" s="10"/>
      <c r="H11" s="99"/>
      <c r="I11" s="42"/>
      <c r="J11" s="42"/>
      <c r="L11" s="17">
        <v>683.3654552440255</v>
      </c>
      <c r="M11" s="289">
        <v>9.3533419335408805</v>
      </c>
      <c r="N11" s="289">
        <v>1.0451594802846975</v>
      </c>
      <c r="O11" s="289">
        <v>1.3021044311668444</v>
      </c>
      <c r="P11" s="289">
        <v>41.14491752314234</v>
      </c>
      <c r="Q11" s="337">
        <v>5.8090423146119389E-8</v>
      </c>
      <c r="R11" s="18">
        <v>0.301774174510275</v>
      </c>
      <c r="S11" s="9"/>
      <c r="T11" s="18"/>
      <c r="U11" s="423"/>
    </row>
    <row r="12" spans="1:21" x14ac:dyDescent="0.35">
      <c r="A12" s="507" t="s">
        <v>599</v>
      </c>
      <c r="B12" s="11" t="s">
        <v>513</v>
      </c>
      <c r="C12" s="15" t="s">
        <v>514</v>
      </c>
      <c r="D12" t="s">
        <v>44</v>
      </c>
      <c r="E12" t="s">
        <v>45</v>
      </c>
      <c r="F12" s="10"/>
      <c r="G12" s="10"/>
      <c r="H12" s="99"/>
      <c r="I12" s="42"/>
      <c r="J12" s="42"/>
      <c r="L12" s="17">
        <v>71.136024471102743</v>
      </c>
      <c r="M12" s="289">
        <v>5.6875109030963396</v>
      </c>
      <c r="N12" s="289">
        <v>0.24837232280537788</v>
      </c>
      <c r="O12" s="289">
        <v>1.0307558478662817E-2</v>
      </c>
      <c r="P12" s="289">
        <v>19.140812459393889</v>
      </c>
      <c r="Q12" s="337">
        <v>1.0419332589739058E-8</v>
      </c>
      <c r="R12" s="18">
        <v>0.1746455036970295</v>
      </c>
      <c r="S12" s="9"/>
      <c r="T12" s="18"/>
      <c r="U12" s="423"/>
    </row>
    <row r="13" spans="1:21" x14ac:dyDescent="0.35">
      <c r="A13" s="507" t="s">
        <v>599</v>
      </c>
      <c r="B13" s="11" t="s">
        <v>513</v>
      </c>
      <c r="C13" s="15" t="s">
        <v>514</v>
      </c>
      <c r="D13" t="s">
        <v>46</v>
      </c>
      <c r="E13" t="s">
        <v>47</v>
      </c>
      <c r="F13" s="10"/>
      <c r="G13" s="10"/>
      <c r="H13" s="99"/>
      <c r="I13" s="42"/>
      <c r="J13" s="42"/>
      <c r="L13" s="17">
        <v>334.90229156646734</v>
      </c>
      <c r="M13" s="289">
        <v>5.5086630386409521</v>
      </c>
      <c r="N13" s="289">
        <v>0.37829340160752578</v>
      </c>
      <c r="O13" s="289">
        <v>2.6171443940853965</v>
      </c>
      <c r="P13" s="289">
        <v>26.48248312168122</v>
      </c>
      <c r="Q13" s="337">
        <v>4.8286223335084705E-7</v>
      </c>
      <c r="R13" s="18">
        <v>0.15757923169650129</v>
      </c>
      <c r="S13" s="9"/>
      <c r="T13" s="18"/>
      <c r="U13" s="423"/>
    </row>
    <row r="14" spans="1:21" x14ac:dyDescent="0.35">
      <c r="A14" s="507" t="s">
        <v>599</v>
      </c>
      <c r="B14" s="11" t="s">
        <v>513</v>
      </c>
      <c r="C14" s="15" t="s">
        <v>514</v>
      </c>
      <c r="D14" t="s">
        <v>48</v>
      </c>
      <c r="E14" t="s">
        <v>49</v>
      </c>
      <c r="F14" s="10"/>
      <c r="G14" s="10"/>
      <c r="H14" s="99"/>
      <c r="I14" s="42"/>
      <c r="J14" s="42"/>
      <c r="L14" s="17">
        <v>343.73051188862672</v>
      </c>
      <c r="M14" s="289">
        <v>10.804818712458017</v>
      </c>
      <c r="N14" s="289">
        <v>0.5123280469757916</v>
      </c>
      <c r="O14" s="289">
        <v>0.59349389485194559</v>
      </c>
      <c r="P14" s="289">
        <v>48.786186903424522</v>
      </c>
      <c r="Q14" s="337">
        <v>5.2833154011699613E-8</v>
      </c>
      <c r="R14" s="18">
        <v>0.43690526551788722</v>
      </c>
      <c r="S14" s="9"/>
      <c r="T14" s="18"/>
      <c r="U14" s="423"/>
    </row>
    <row r="15" spans="1:21" x14ac:dyDescent="0.35">
      <c r="A15" s="507" t="s">
        <v>599</v>
      </c>
      <c r="B15" s="11" t="s">
        <v>513</v>
      </c>
      <c r="C15" s="15" t="s">
        <v>514</v>
      </c>
      <c r="D15" t="s">
        <v>50</v>
      </c>
      <c r="E15" t="s">
        <v>51</v>
      </c>
      <c r="F15" s="10"/>
      <c r="G15" s="10"/>
      <c r="H15" s="99"/>
      <c r="I15" s="42"/>
      <c r="J15" s="42"/>
      <c r="L15" s="17">
        <v>500.53181625850459</v>
      </c>
      <c r="M15" s="289">
        <v>7.6089055603609435</v>
      </c>
      <c r="N15" s="289">
        <v>0.79799251772020519</v>
      </c>
      <c r="O15" s="289">
        <v>0.29420745824702771</v>
      </c>
      <c r="P15" s="289">
        <v>41.330976246571474</v>
      </c>
      <c r="Q15" s="337">
        <v>5.3469885289016603E-8</v>
      </c>
      <c r="R15" s="18">
        <v>0.28737796608889749</v>
      </c>
      <c r="S15" s="9"/>
      <c r="T15" s="18"/>
      <c r="U15" s="423"/>
    </row>
    <row r="16" spans="1:21" x14ac:dyDescent="0.35">
      <c r="A16" s="507" t="s">
        <v>599</v>
      </c>
      <c r="B16" s="11" t="s">
        <v>513</v>
      </c>
      <c r="C16" s="15" t="s">
        <v>514</v>
      </c>
      <c r="D16" t="s">
        <v>52</v>
      </c>
      <c r="E16" t="s">
        <v>53</v>
      </c>
      <c r="F16" s="10"/>
      <c r="G16" s="10"/>
      <c r="H16" s="99"/>
      <c r="I16" s="42"/>
      <c r="J16" s="42"/>
      <c r="L16" s="17">
        <v>335.97709259404485</v>
      </c>
      <c r="M16" s="289">
        <v>6.658248605816941</v>
      </c>
      <c r="N16" s="289">
        <v>0.71648303573167582</v>
      </c>
      <c r="O16" s="289">
        <v>32.393432171655164</v>
      </c>
      <c r="P16" s="289">
        <v>27.378255483961365</v>
      </c>
      <c r="Q16" s="337">
        <v>3.4099755008005568E-7</v>
      </c>
      <c r="R16" s="18">
        <v>0.12204929021300374</v>
      </c>
      <c r="S16" s="9"/>
      <c r="T16" s="18"/>
      <c r="U16" s="423"/>
    </row>
    <row r="17" spans="1:21" x14ac:dyDescent="0.35">
      <c r="A17" s="507" t="s">
        <v>599</v>
      </c>
      <c r="B17" s="11" t="s">
        <v>513</v>
      </c>
      <c r="C17" s="15" t="s">
        <v>514</v>
      </c>
      <c r="D17" s="16" t="s">
        <v>54</v>
      </c>
      <c r="E17" s="16" t="s">
        <v>55</v>
      </c>
      <c r="F17" s="9"/>
      <c r="G17" s="10"/>
      <c r="H17" s="99"/>
      <c r="I17" s="42"/>
      <c r="J17" s="42"/>
      <c r="K17" s="16"/>
      <c r="L17" s="17">
        <v>708.59160501020745</v>
      </c>
      <c r="M17" s="289">
        <v>8.1796919805967168</v>
      </c>
      <c r="N17" s="289">
        <v>0.43716469583864315</v>
      </c>
      <c r="O17" s="289">
        <v>0.11490875048810727</v>
      </c>
      <c r="P17" s="289">
        <v>22.77375097573313</v>
      </c>
      <c r="Q17" s="337">
        <v>1.3992441089452774E-9</v>
      </c>
      <c r="R17" s="18">
        <v>0.24607961377147325</v>
      </c>
      <c r="S17" s="9"/>
      <c r="T17" s="18"/>
      <c r="U17" s="423"/>
    </row>
    <row r="18" spans="1:21" x14ac:dyDescent="0.35">
      <c r="A18" s="507" t="s">
        <v>599</v>
      </c>
      <c r="B18" s="11" t="s">
        <v>513</v>
      </c>
      <c r="C18" s="15" t="s">
        <v>514</v>
      </c>
      <c r="D18" s="16" t="s">
        <v>493</v>
      </c>
      <c r="E18" s="16" t="s">
        <v>495</v>
      </c>
      <c r="F18" s="9"/>
      <c r="G18" s="10"/>
      <c r="H18" s="99"/>
      <c r="I18" s="42"/>
      <c r="J18" s="42"/>
      <c r="L18" s="10">
        <v>71.136024471102743</v>
      </c>
      <c r="M18" s="10">
        <v>5.6875109030963396</v>
      </c>
      <c r="N18" s="547">
        <v>0.24837232280537788</v>
      </c>
      <c r="O18" s="10">
        <v>1.0307558478662817E-2</v>
      </c>
      <c r="P18" s="10">
        <v>19.140812459393889</v>
      </c>
      <c r="Q18" s="10">
        <v>1.0419332589739058E-8</v>
      </c>
      <c r="R18" s="10">
        <v>0.1746455036970295</v>
      </c>
      <c r="T18" s="18"/>
      <c r="U18" s="6"/>
    </row>
    <row r="19" spans="1:21" x14ac:dyDescent="0.35">
      <c r="A19" s="507"/>
      <c r="J19" s="42"/>
      <c r="M19" s="424"/>
      <c r="T19" s="6"/>
      <c r="U19" s="6"/>
    </row>
    <row r="20" spans="1:21" x14ac:dyDescent="0.35">
      <c r="T20" s="6"/>
      <c r="U20" s="6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FB867-5478-4DBC-8F32-27A60C407219}">
  <sheetPr>
    <tabColor theme="7"/>
  </sheetPr>
  <dimension ref="A1:X66"/>
  <sheetViews>
    <sheetView topLeftCell="A36" zoomScale="98" workbookViewId="0">
      <selection activeCell="H67" sqref="H67"/>
    </sheetView>
  </sheetViews>
  <sheetFormatPr defaultRowHeight="14.5" x14ac:dyDescent="0.35"/>
  <cols>
    <col min="6" max="6" width="11.26953125" customWidth="1"/>
    <col min="7" max="7" width="9.453125" bestFit="1" customWidth="1"/>
    <col min="8" max="8" width="11.453125" customWidth="1"/>
    <col min="9" max="9" width="12.453125" customWidth="1"/>
    <col min="10" max="10" width="10" bestFit="1" customWidth="1"/>
    <col min="11" max="11" width="9" bestFit="1" customWidth="1"/>
    <col min="12" max="12" width="12.1796875" customWidth="1"/>
    <col min="13" max="13" width="9" bestFit="1" customWidth="1"/>
    <col min="14" max="14" width="11" customWidth="1"/>
    <col min="15" max="15" width="12.7265625" customWidth="1"/>
    <col min="16" max="16" width="10.81640625" customWidth="1"/>
    <col min="17" max="17" width="11.26953125" customWidth="1"/>
    <col min="18" max="18" width="11.7265625" customWidth="1"/>
    <col min="19" max="24" width="9" bestFit="1" customWidth="1"/>
  </cols>
  <sheetData>
    <row r="1" spans="1:24" x14ac:dyDescent="0.35">
      <c r="A1" s="29"/>
      <c r="G1" s="11"/>
      <c r="H1" s="160"/>
      <c r="N1" s="6"/>
      <c r="U1" s="7"/>
      <c r="V1" s="7"/>
    </row>
    <row r="2" spans="1:24" ht="21" x14ac:dyDescent="0.5">
      <c r="A2" s="58" t="s">
        <v>595</v>
      </c>
      <c r="E2" t="s">
        <v>607</v>
      </c>
      <c r="G2" s="11"/>
      <c r="H2" s="160"/>
      <c r="M2" s="6"/>
      <c r="N2" s="6"/>
      <c r="S2" s="10"/>
      <c r="T2" s="4"/>
      <c r="U2" s="7"/>
      <c r="V2" s="7"/>
    </row>
    <row r="3" spans="1:24" x14ac:dyDescent="0.35">
      <c r="A3" s="29"/>
      <c r="G3" s="11"/>
      <c r="J3" s="6"/>
      <c r="K3" s="160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1:24" x14ac:dyDescent="0.35">
      <c r="A4" s="491"/>
      <c r="B4" s="492"/>
      <c r="C4" s="492"/>
      <c r="D4" s="492"/>
      <c r="E4" s="492"/>
      <c r="F4" s="492"/>
      <c r="G4" s="492"/>
      <c r="H4" s="493"/>
      <c r="I4" s="493"/>
      <c r="J4" s="494"/>
      <c r="K4" s="494"/>
      <c r="L4" s="494"/>
      <c r="M4" s="494"/>
      <c r="N4" s="494"/>
      <c r="O4" s="494"/>
      <c r="P4" s="494"/>
      <c r="Q4" s="494"/>
      <c r="R4" s="494"/>
      <c r="S4" s="493" t="s">
        <v>56</v>
      </c>
      <c r="T4" s="493"/>
      <c r="U4" s="495"/>
      <c r="V4" s="495"/>
      <c r="W4" s="494" t="s">
        <v>57</v>
      </c>
      <c r="X4" s="494" t="s">
        <v>58</v>
      </c>
    </row>
    <row r="5" spans="1:24" x14ac:dyDescent="0.35">
      <c r="A5" s="473" t="s">
        <v>5</v>
      </c>
      <c r="B5" s="474"/>
      <c r="C5" s="474"/>
      <c r="D5" s="475"/>
      <c r="E5" s="475"/>
      <c r="F5" s="496"/>
      <c r="G5" s="497" t="s">
        <v>60</v>
      </c>
      <c r="H5" s="497" t="s">
        <v>61</v>
      </c>
      <c r="I5" s="498"/>
      <c r="J5" s="497" t="s">
        <v>62</v>
      </c>
      <c r="K5" s="499"/>
      <c r="L5" s="479" t="s">
        <v>63</v>
      </c>
      <c r="M5" s="499"/>
      <c r="N5" s="499"/>
      <c r="O5" s="499"/>
      <c r="P5" s="479" t="s">
        <v>64</v>
      </c>
      <c r="Q5" s="479" t="s">
        <v>291</v>
      </c>
      <c r="R5" s="479" t="s">
        <v>65</v>
      </c>
      <c r="S5" s="500"/>
      <c r="T5" s="500"/>
      <c r="U5" s="501"/>
      <c r="V5" s="501"/>
      <c r="W5" s="502"/>
      <c r="X5" s="502"/>
    </row>
    <row r="6" spans="1:24" ht="58" x14ac:dyDescent="0.35">
      <c r="A6" s="480" t="s">
        <v>66</v>
      </c>
      <c r="B6" s="481" t="s">
        <v>67</v>
      </c>
      <c r="C6" s="481" t="s">
        <v>68</v>
      </c>
      <c r="D6" s="482" t="s">
        <v>17</v>
      </c>
      <c r="E6" s="483" t="s">
        <v>18</v>
      </c>
      <c r="F6" s="482" t="s">
        <v>69</v>
      </c>
      <c r="G6" s="508" t="s">
        <v>70</v>
      </c>
      <c r="H6" s="509" t="s">
        <v>218</v>
      </c>
      <c r="I6" s="509" t="s">
        <v>71</v>
      </c>
      <c r="J6" s="509" t="s">
        <v>219</v>
      </c>
      <c r="K6" s="509" t="s">
        <v>532</v>
      </c>
      <c r="L6" s="509" t="s">
        <v>72</v>
      </c>
      <c r="M6" s="509" t="s">
        <v>73</v>
      </c>
      <c r="N6" s="509" t="s">
        <v>74</v>
      </c>
      <c r="O6" s="509" t="s">
        <v>75</v>
      </c>
      <c r="P6" s="509" t="s">
        <v>76</v>
      </c>
      <c r="Q6" s="509" t="s">
        <v>291</v>
      </c>
      <c r="R6" s="509" t="s">
        <v>77</v>
      </c>
      <c r="S6" s="508" t="s">
        <v>78</v>
      </c>
      <c r="T6" s="508" t="s">
        <v>79</v>
      </c>
      <c r="U6" s="510" t="s">
        <v>80</v>
      </c>
      <c r="V6" s="510" t="s">
        <v>81</v>
      </c>
      <c r="W6" s="509" t="s">
        <v>82</v>
      </c>
      <c r="X6" s="509" t="s">
        <v>83</v>
      </c>
    </row>
    <row r="7" spans="1:24" x14ac:dyDescent="0.35">
      <c r="A7" s="503" t="s">
        <v>596</v>
      </c>
      <c r="B7" s="503" t="s">
        <v>597</v>
      </c>
      <c r="C7" s="504" t="s">
        <v>598</v>
      </c>
      <c r="D7" s="505" t="s">
        <v>85</v>
      </c>
      <c r="E7" s="505" t="s">
        <v>35</v>
      </c>
      <c r="F7" s="506" t="s">
        <v>86</v>
      </c>
      <c r="G7" s="569">
        <v>109.22947701794362</v>
      </c>
      <c r="H7" s="569">
        <v>8.0765756156906523</v>
      </c>
      <c r="I7" s="569">
        <v>12.012448751892016</v>
      </c>
      <c r="J7" s="569"/>
      <c r="K7" s="569"/>
      <c r="L7" s="569">
        <v>8.1028683906187755</v>
      </c>
      <c r="M7" s="569"/>
      <c r="N7" s="569">
        <v>1.7433512160901179E-2</v>
      </c>
      <c r="O7" s="569">
        <v>3.0675733451202309</v>
      </c>
      <c r="P7" s="569">
        <v>15.086361263949685</v>
      </c>
      <c r="Q7" s="569">
        <v>19.444924071895098</v>
      </c>
      <c r="R7" s="569">
        <v>19.444924071895098</v>
      </c>
      <c r="S7" s="570"/>
      <c r="T7" s="571"/>
      <c r="U7" s="572"/>
      <c r="V7" s="572"/>
      <c r="W7" s="570">
        <v>21.160278639458227</v>
      </c>
      <c r="X7" s="573">
        <v>2.8160893552629314</v>
      </c>
    </row>
    <row r="8" spans="1:24" x14ac:dyDescent="0.35">
      <c r="A8" s="11" t="s">
        <v>596</v>
      </c>
      <c r="B8" s="11" t="s">
        <v>597</v>
      </c>
      <c r="C8" s="15" t="s">
        <v>598</v>
      </c>
      <c r="D8" s="16" t="s">
        <v>85</v>
      </c>
      <c r="E8" s="16" t="s">
        <v>35</v>
      </c>
      <c r="F8" s="11" t="s">
        <v>87</v>
      </c>
      <c r="G8" s="18">
        <v>0.63060317187006132</v>
      </c>
      <c r="H8" s="337">
        <v>1.2478563956290718E-2</v>
      </c>
      <c r="I8" s="337">
        <v>4.2380091188106303E-2</v>
      </c>
      <c r="J8" s="337"/>
      <c r="K8" s="337"/>
      <c r="L8" s="337">
        <v>3.5872124876607835E-3</v>
      </c>
      <c r="M8" s="337"/>
      <c r="N8" s="337">
        <v>7.356649251704125E-5</v>
      </c>
      <c r="O8" s="337">
        <v>2.0385502279377989E-3</v>
      </c>
      <c r="P8" s="337">
        <v>0</v>
      </c>
      <c r="Q8" s="337">
        <v>0.26903669319945045</v>
      </c>
      <c r="R8" s="337">
        <v>0.26903669319945045</v>
      </c>
      <c r="U8" s="7"/>
      <c r="V8" s="7"/>
      <c r="W8" s="4">
        <v>2.9186348358179622E-2</v>
      </c>
      <c r="X8" s="42">
        <v>2.7854527604682404E-3</v>
      </c>
    </row>
    <row r="9" spans="1:24" x14ac:dyDescent="0.35">
      <c r="A9" s="11" t="s">
        <v>596</v>
      </c>
      <c r="B9" s="11" t="s">
        <v>597</v>
      </c>
      <c r="C9" s="15" t="s">
        <v>598</v>
      </c>
      <c r="D9" s="16" t="s">
        <v>85</v>
      </c>
      <c r="E9" s="16" t="s">
        <v>35</v>
      </c>
      <c r="F9" s="11" t="s">
        <v>88</v>
      </c>
      <c r="G9" s="18">
        <v>7.3869505509645261</v>
      </c>
      <c r="H9" s="337"/>
      <c r="I9" s="337"/>
      <c r="J9" s="356"/>
      <c r="K9" s="337"/>
      <c r="L9" s="337"/>
      <c r="M9" s="337"/>
      <c r="N9" s="337"/>
      <c r="O9" s="337"/>
      <c r="P9" s="337"/>
      <c r="Q9" s="337"/>
      <c r="R9" s="337"/>
      <c r="S9" s="4">
        <v>7.3867663099165606</v>
      </c>
      <c r="T9" s="42">
        <v>1.8424104796522912E-4</v>
      </c>
      <c r="U9" s="57">
        <v>1.8424104796522912E-4</v>
      </c>
      <c r="V9" s="7"/>
      <c r="W9" s="4"/>
      <c r="X9" s="42"/>
    </row>
    <row r="10" spans="1:24" ht="15" thickBot="1" x14ac:dyDescent="0.4">
      <c r="A10" s="11" t="s">
        <v>596</v>
      </c>
      <c r="B10" s="11" t="s">
        <v>597</v>
      </c>
      <c r="C10" s="15" t="s">
        <v>598</v>
      </c>
      <c r="D10" s="16" t="s">
        <v>85</v>
      </c>
      <c r="E10" s="16" t="s">
        <v>35</v>
      </c>
      <c r="F10" s="34" t="s">
        <v>89</v>
      </c>
      <c r="G10" s="18">
        <v>0.19997406218520739</v>
      </c>
      <c r="H10" s="337">
        <v>1.7465668765179704E-2</v>
      </c>
      <c r="I10" s="337">
        <v>4.8711470422587594E-4</v>
      </c>
      <c r="J10" s="337">
        <v>0.11694359574192949</v>
      </c>
      <c r="K10" s="32">
        <v>1.169435957419295E-2</v>
      </c>
      <c r="L10" s="337">
        <v>2.1764754357137458E-4</v>
      </c>
      <c r="M10" s="337"/>
      <c r="N10" s="337">
        <v>9.0424469242403282E-7</v>
      </c>
      <c r="O10" s="337">
        <v>1.1319489563447773E-4</v>
      </c>
      <c r="P10" s="337">
        <v>0</v>
      </c>
      <c r="Q10" s="337">
        <v>2.5914031075366283E-2</v>
      </c>
      <c r="R10" s="337">
        <v>2.5914031075366283E-2</v>
      </c>
      <c r="S10" s="4"/>
      <c r="T10" s="42">
        <v>7.5776738833831661E-6</v>
      </c>
      <c r="U10" s="184">
        <v>4.432601456065091E-6</v>
      </c>
      <c r="V10" s="184">
        <v>3.1450724273180751E-6</v>
      </c>
      <c r="W10" s="4">
        <v>1.088684396898324E-3</v>
      </c>
      <c r="X10" s="42">
        <v>1.2725249426683694E-4</v>
      </c>
    </row>
    <row r="11" spans="1:24" ht="15.5" thickTop="1" thickBot="1" x14ac:dyDescent="0.4">
      <c r="A11" s="125" t="s">
        <v>596</v>
      </c>
      <c r="B11" s="125" t="s">
        <v>597</v>
      </c>
      <c r="C11" s="126" t="s">
        <v>598</v>
      </c>
      <c r="D11" s="127" t="s">
        <v>85</v>
      </c>
      <c r="E11" s="127" t="s">
        <v>35</v>
      </c>
      <c r="F11" s="128" t="s">
        <v>90</v>
      </c>
      <c r="G11" s="574">
        <v>382.06203539227528</v>
      </c>
      <c r="H11" s="129">
        <v>13.216564394482175</v>
      </c>
      <c r="I11" s="129">
        <v>13.408357783551249</v>
      </c>
      <c r="J11" s="129">
        <v>31.925601637546752</v>
      </c>
      <c r="K11" s="129">
        <v>3.1925601637546754</v>
      </c>
      <c r="L11" s="129">
        <v>8.2691851021460518</v>
      </c>
      <c r="M11" s="129">
        <v>0</v>
      </c>
      <c r="N11" s="129">
        <v>1.987265243894077E-2</v>
      </c>
      <c r="O11" s="129">
        <v>3.1592243484209899</v>
      </c>
      <c r="P11" s="129">
        <v>15.086361263949685</v>
      </c>
      <c r="Q11" s="129">
        <v>34.536748012813717</v>
      </c>
      <c r="R11" s="129">
        <v>34.536748012813717</v>
      </c>
      <c r="S11" s="129">
        <v>199.44269036774713</v>
      </c>
      <c r="T11" s="129">
        <v>7.0432132652247905E-3</v>
      </c>
      <c r="U11" s="129"/>
      <c r="V11" s="129"/>
      <c r="W11" s="129">
        <v>22.327242660885222</v>
      </c>
      <c r="X11" s="129">
        <v>2.9338357784597315</v>
      </c>
    </row>
    <row r="12" spans="1:24" ht="15" thickTop="1" x14ac:dyDescent="0.35">
      <c r="A12" s="503" t="s">
        <v>596</v>
      </c>
      <c r="B12" s="503" t="s">
        <v>597</v>
      </c>
      <c r="C12" s="504" t="s">
        <v>598</v>
      </c>
      <c r="D12" s="16" t="s">
        <v>36</v>
      </c>
      <c r="E12" s="16" t="s">
        <v>37</v>
      </c>
      <c r="F12" s="36" t="s">
        <v>86</v>
      </c>
      <c r="G12" s="569">
        <v>63.377310869201125</v>
      </c>
      <c r="H12" s="569">
        <v>14.4112683732089</v>
      </c>
      <c r="I12" s="569">
        <v>9.853568915447358</v>
      </c>
      <c r="J12" s="569"/>
      <c r="K12" s="569"/>
      <c r="L12" s="569">
        <v>7.1219847156363461</v>
      </c>
      <c r="M12" s="569"/>
      <c r="N12" s="569">
        <v>0.24018142609356732</v>
      </c>
      <c r="O12" s="569">
        <v>3.9692756104755622</v>
      </c>
      <c r="P12" s="569">
        <v>6.1229277042214258</v>
      </c>
      <c r="Q12" s="569">
        <v>10.828799430354302</v>
      </c>
      <c r="R12" s="569">
        <v>10.828799430354302</v>
      </c>
      <c r="S12" s="570"/>
      <c r="T12" s="571"/>
      <c r="U12" s="572"/>
      <c r="V12" s="572"/>
      <c r="W12" s="570">
        <v>3.8803234862250924E-4</v>
      </c>
      <c r="X12" s="575">
        <v>1.1723106074111096E-4</v>
      </c>
    </row>
    <row r="13" spans="1:24" x14ac:dyDescent="0.35">
      <c r="A13" s="11" t="s">
        <v>596</v>
      </c>
      <c r="B13" s="11" t="s">
        <v>597</v>
      </c>
      <c r="C13" s="15" t="s">
        <v>598</v>
      </c>
      <c r="D13" s="16" t="s">
        <v>36</v>
      </c>
      <c r="E13" s="16" t="s">
        <v>37</v>
      </c>
      <c r="F13" s="11" t="s">
        <v>87</v>
      </c>
      <c r="G13" s="18">
        <v>0.36657009822333242</v>
      </c>
      <c r="H13" s="337">
        <v>2.7133119254048297E-2</v>
      </c>
      <c r="I13" s="33">
        <v>3.5040697378481311E-2</v>
      </c>
      <c r="J13" s="33"/>
      <c r="K13" s="33"/>
      <c r="L13" s="33">
        <v>3.1550475178720003E-3</v>
      </c>
      <c r="M13" s="33"/>
      <c r="N13" s="33">
        <v>8.2923720648386855E-4</v>
      </c>
      <c r="O13" s="33">
        <v>2.2405172304274189E-3</v>
      </c>
      <c r="P13" s="33">
        <v>0</v>
      </c>
      <c r="Q13" s="33">
        <v>0.14908507322226885</v>
      </c>
      <c r="R13" s="33">
        <v>0.14908507322226885</v>
      </c>
      <c r="U13" s="7"/>
      <c r="V13" s="7"/>
      <c r="W13" s="4">
        <v>1.2030199142127598E-6</v>
      </c>
      <c r="X13" s="10">
        <v>1.3017156758354262E-7</v>
      </c>
    </row>
    <row r="14" spans="1:24" x14ac:dyDescent="0.35">
      <c r="A14" s="11" t="s">
        <v>596</v>
      </c>
      <c r="B14" s="11" t="s">
        <v>597</v>
      </c>
      <c r="C14" s="15" t="s">
        <v>598</v>
      </c>
      <c r="D14" s="16" t="s">
        <v>36</v>
      </c>
      <c r="E14" s="16" t="s">
        <v>37</v>
      </c>
      <c r="F14" s="11" t="s">
        <v>88</v>
      </c>
      <c r="G14" s="18">
        <v>7.0699809831314644</v>
      </c>
      <c r="H14" s="337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4">
        <v>7.0699134741498817</v>
      </c>
      <c r="T14" s="42">
        <v>6.7508981582871508E-5</v>
      </c>
      <c r="U14" s="57">
        <v>6.7508981582871508E-5</v>
      </c>
      <c r="V14" s="7"/>
      <c r="W14" s="4"/>
      <c r="X14" s="10"/>
    </row>
    <row r="15" spans="1:24" ht="15" thickBot="1" x14ac:dyDescent="0.4">
      <c r="A15" s="11" t="s">
        <v>596</v>
      </c>
      <c r="B15" s="11" t="s">
        <v>597</v>
      </c>
      <c r="C15" s="15" t="s">
        <v>598</v>
      </c>
      <c r="D15" s="16" t="s">
        <v>36</v>
      </c>
      <c r="E15" s="16" t="s">
        <v>37</v>
      </c>
      <c r="F15" s="34" t="s">
        <v>89</v>
      </c>
      <c r="G15" s="18">
        <v>0.21706162276694055</v>
      </c>
      <c r="H15" s="337">
        <v>3.182208442860527E-2</v>
      </c>
      <c r="I15" s="32">
        <v>3.9402704303563585E-4</v>
      </c>
      <c r="J15" s="32">
        <v>0.14163373824103484</v>
      </c>
      <c r="K15" s="32">
        <v>1.4163373824103485E-2</v>
      </c>
      <c r="L15" s="32">
        <v>1.913773441506559E-4</v>
      </c>
      <c r="M15" s="32"/>
      <c r="N15" s="32">
        <v>1.0216351331319304E-5</v>
      </c>
      <c r="O15" s="32">
        <v>1.4756365782323902E-4</v>
      </c>
      <c r="P15" s="32">
        <v>0</v>
      </c>
      <c r="Q15" s="32">
        <v>1.4346469217489156E-2</v>
      </c>
      <c r="R15" s="32">
        <v>1.4346469217489156E-2</v>
      </c>
      <c r="S15" s="4"/>
      <c r="T15" s="42">
        <v>6.2974550444530502E-6</v>
      </c>
      <c r="U15" s="184">
        <v>4.3699291752920781E-6</v>
      </c>
      <c r="V15" s="184">
        <v>1.9275258691609722E-6</v>
      </c>
      <c r="W15" s="4">
        <v>0</v>
      </c>
      <c r="X15" s="10">
        <v>5.986833296047874E-9</v>
      </c>
    </row>
    <row r="16" spans="1:24" ht="15.5" thickTop="1" thickBot="1" x14ac:dyDescent="0.4">
      <c r="A16" s="125" t="s">
        <v>596</v>
      </c>
      <c r="B16" s="125" t="s">
        <v>597</v>
      </c>
      <c r="C16" s="126" t="s">
        <v>598</v>
      </c>
      <c r="D16" s="37" t="s">
        <v>36</v>
      </c>
      <c r="E16" s="37" t="s">
        <v>37</v>
      </c>
      <c r="F16" s="136" t="s">
        <v>90</v>
      </c>
      <c r="G16" s="137">
        <v>324.44840935618083</v>
      </c>
      <c r="H16" s="129">
        <v>23.907264375988778</v>
      </c>
      <c r="I16" s="129">
        <v>11.00535108007483</v>
      </c>
      <c r="J16" s="129">
        <v>38.666010539802514</v>
      </c>
      <c r="K16" s="129">
        <v>3.8666010539802516</v>
      </c>
      <c r="L16" s="129">
        <v>7.2682511466220605</v>
      </c>
      <c r="M16" s="129">
        <v>0</v>
      </c>
      <c r="N16" s="129">
        <v>0.26768175876023681</v>
      </c>
      <c r="O16" s="129">
        <v>4.0763279025280434</v>
      </c>
      <c r="P16" s="129">
        <v>6.1229277042214258</v>
      </c>
      <c r="Q16" s="129">
        <v>19.188120708752454</v>
      </c>
      <c r="R16" s="129">
        <v>19.188120708752454</v>
      </c>
      <c r="S16" s="129">
        <v>190.8876638020468</v>
      </c>
      <c r="T16" s="129">
        <v>3.5419477298732132E-3</v>
      </c>
      <c r="U16" s="129"/>
      <c r="V16" s="129"/>
      <c r="W16" s="129">
        <v>4.2388234206604947E-4</v>
      </c>
      <c r="X16" s="129">
        <v>1.2274457894492159E-4</v>
      </c>
    </row>
    <row r="17" spans="1:24" ht="15" thickTop="1" x14ac:dyDescent="0.35">
      <c r="A17" s="503" t="s">
        <v>596</v>
      </c>
      <c r="B17" s="503" t="s">
        <v>597</v>
      </c>
      <c r="C17" s="504" t="s">
        <v>598</v>
      </c>
      <c r="D17" s="505" t="s">
        <v>38</v>
      </c>
      <c r="E17" s="505" t="s">
        <v>39</v>
      </c>
      <c r="F17" s="506" t="s">
        <v>86</v>
      </c>
      <c r="G17" s="569">
        <v>75.188896567720249</v>
      </c>
      <c r="H17" s="569">
        <v>7.7308817587899608</v>
      </c>
      <c r="I17" s="569">
        <v>7.8025865772885341</v>
      </c>
      <c r="J17" s="569"/>
      <c r="K17" s="569"/>
      <c r="L17" s="569">
        <v>4.893548587212103</v>
      </c>
      <c r="M17" s="569"/>
      <c r="N17" s="569">
        <v>1.0895178629445645E-2</v>
      </c>
      <c r="O17" s="569">
        <v>1.4360681982748638</v>
      </c>
      <c r="P17" s="569">
        <v>6.2375675767587788</v>
      </c>
      <c r="Q17" s="569">
        <v>8.6804207733891054</v>
      </c>
      <c r="R17" s="569">
        <v>8.6804207733891054</v>
      </c>
      <c r="S17" s="570"/>
      <c r="T17" s="571"/>
      <c r="U17" s="572"/>
      <c r="V17" s="572"/>
      <c r="W17" s="570">
        <v>26.46967088036827</v>
      </c>
      <c r="X17" s="573">
        <v>3.2468362636200858</v>
      </c>
    </row>
    <row r="18" spans="1:24" x14ac:dyDescent="0.35">
      <c r="A18" s="11" t="s">
        <v>596</v>
      </c>
      <c r="B18" s="11" t="s">
        <v>597</v>
      </c>
      <c r="C18" s="15" t="s">
        <v>598</v>
      </c>
      <c r="D18" s="16" t="s">
        <v>38</v>
      </c>
      <c r="E18" s="16" t="s">
        <v>39</v>
      </c>
      <c r="F18" s="11" t="s">
        <v>87</v>
      </c>
      <c r="G18" s="18">
        <v>0.33366881594737496</v>
      </c>
      <c r="H18" s="337">
        <v>1.4488072833753895E-2</v>
      </c>
      <c r="I18" s="337">
        <v>2.7463807884901725E-2</v>
      </c>
      <c r="J18" s="337"/>
      <c r="K18" s="337"/>
      <c r="L18" s="337">
        <v>2.1676043749626057E-3</v>
      </c>
      <c r="M18" s="337"/>
      <c r="N18" s="337">
        <v>3.6294688513917268E-5</v>
      </c>
      <c r="O18" s="337">
        <v>9.6284458819384522E-4</v>
      </c>
      <c r="P18" s="337">
        <v>0</v>
      </c>
      <c r="Q18" s="337">
        <v>0.11669558511033382</v>
      </c>
      <c r="R18" s="337">
        <v>0.11669558511033382</v>
      </c>
      <c r="U18" s="7"/>
      <c r="V18" s="7"/>
      <c r="W18" s="4">
        <v>5.0633571851744462E-2</v>
      </c>
      <c r="X18" s="42">
        <v>4.5254495046369303E-3</v>
      </c>
    </row>
    <row r="19" spans="1:24" x14ac:dyDescent="0.35">
      <c r="A19" s="11" t="s">
        <v>596</v>
      </c>
      <c r="B19" s="11" t="s">
        <v>597</v>
      </c>
      <c r="C19" s="15" t="s">
        <v>598</v>
      </c>
      <c r="D19" s="16" t="s">
        <v>38</v>
      </c>
      <c r="E19" s="16" t="s">
        <v>39</v>
      </c>
      <c r="F19" s="11" t="s">
        <v>88</v>
      </c>
      <c r="G19" s="18">
        <v>6.6255233315568356</v>
      </c>
      <c r="H19" s="337"/>
      <c r="I19" s="337"/>
      <c r="J19" s="356"/>
      <c r="K19" s="337"/>
      <c r="L19" s="337"/>
      <c r="M19" s="337"/>
      <c r="N19" s="337"/>
      <c r="O19" s="337"/>
      <c r="P19" s="337"/>
      <c r="Q19" s="337"/>
      <c r="R19" s="337"/>
      <c r="S19" s="4">
        <v>6.6253619541249682</v>
      </c>
      <c r="T19" s="42">
        <v>1.6137743186724656E-4</v>
      </c>
      <c r="U19" s="57">
        <v>1.6137743186724656E-4</v>
      </c>
      <c r="V19" s="7"/>
      <c r="W19" s="4"/>
      <c r="X19" s="42"/>
    </row>
    <row r="20" spans="1:24" ht="15" thickBot="1" x14ac:dyDescent="0.4">
      <c r="A20" s="11" t="s">
        <v>596</v>
      </c>
      <c r="B20" s="11" t="s">
        <v>597</v>
      </c>
      <c r="C20" s="15" t="s">
        <v>598</v>
      </c>
      <c r="D20" s="16" t="s">
        <v>38</v>
      </c>
      <c r="E20" s="16" t="s">
        <v>39</v>
      </c>
      <c r="F20" s="34" t="s">
        <v>89</v>
      </c>
      <c r="G20" s="18">
        <v>0.14442663594466407</v>
      </c>
      <c r="H20" s="337">
        <v>1.7037284795168858E-2</v>
      </c>
      <c r="I20" s="337">
        <v>3.176779064451359E-4</v>
      </c>
      <c r="J20" s="337">
        <v>9.372118924914509E-2</v>
      </c>
      <c r="K20" s="32">
        <v>9.37211892491451E-3</v>
      </c>
      <c r="L20" s="337">
        <v>1.3148781282246562E-4</v>
      </c>
      <c r="M20" s="337"/>
      <c r="N20" s="337">
        <v>4.4658988164331832E-7</v>
      </c>
      <c r="O20" s="337">
        <v>5.137014510092956E-5</v>
      </c>
      <c r="P20" s="337">
        <v>0</v>
      </c>
      <c r="Q20" s="337">
        <v>1.1231987068835703E-2</v>
      </c>
      <c r="R20" s="337">
        <v>1.1231987068835703E-2</v>
      </c>
      <c r="S20" s="4"/>
      <c r="T20" s="42">
        <v>1.047784660125993E-5</v>
      </c>
      <c r="U20" s="184">
        <v>6.2384137864336996E-6</v>
      </c>
      <c r="V20" s="184">
        <v>4.2394328148262301E-6</v>
      </c>
      <c r="W20" s="4">
        <v>1.1855013571364049E-3</v>
      </c>
      <c r="X20" s="42">
        <v>1.3510717977636765E-4</v>
      </c>
    </row>
    <row r="21" spans="1:24" ht="15.5" thickTop="1" thickBot="1" x14ac:dyDescent="0.4">
      <c r="A21" s="125" t="s">
        <v>596</v>
      </c>
      <c r="B21" s="125" t="s">
        <v>597</v>
      </c>
      <c r="C21" s="126" t="s">
        <v>598</v>
      </c>
      <c r="D21" s="127" t="s">
        <v>38</v>
      </c>
      <c r="E21" s="127" t="s">
        <v>39</v>
      </c>
      <c r="F21" s="128" t="s">
        <v>90</v>
      </c>
      <c r="G21" s="137">
        <v>303.44982884787987</v>
      </c>
      <c r="H21" s="129">
        <v>12.813805078316925</v>
      </c>
      <c r="I21" s="129">
        <v>8.7077341207181274</v>
      </c>
      <c r="J21" s="129">
        <v>25.585884665016611</v>
      </c>
      <c r="K21" s="129">
        <v>2.5585884665016612</v>
      </c>
      <c r="L21" s="129">
        <v>4.9940393704865214</v>
      </c>
      <c r="M21" s="129">
        <v>0</v>
      </c>
      <c r="N21" s="129">
        <v>1.2098679384849006E-2</v>
      </c>
      <c r="O21" s="129">
        <v>1.4787850166155942</v>
      </c>
      <c r="P21" s="129">
        <v>6.2375675767587788</v>
      </c>
      <c r="Q21" s="129">
        <v>15.2242816794692</v>
      </c>
      <c r="R21" s="129">
        <v>15.2242816794692</v>
      </c>
      <c r="S21" s="129">
        <v>178.88477276137414</v>
      </c>
      <c r="T21" s="129">
        <v>7.2176427825596176E-3</v>
      </c>
      <c r="U21" s="129"/>
      <c r="V21" s="129"/>
      <c r="W21" s="129">
        <v>28.302193192048495</v>
      </c>
      <c r="X21" s="129">
        <v>3.4185789189372144</v>
      </c>
    </row>
    <row r="22" spans="1:24" ht="15" thickTop="1" x14ac:dyDescent="0.35">
      <c r="A22" s="503" t="s">
        <v>596</v>
      </c>
      <c r="B22" s="503" t="s">
        <v>597</v>
      </c>
      <c r="C22" s="504" t="s">
        <v>598</v>
      </c>
      <c r="D22" s="16" t="s">
        <v>40</v>
      </c>
      <c r="E22" s="16" t="s">
        <v>41</v>
      </c>
      <c r="F22" s="36" t="s">
        <v>86</v>
      </c>
      <c r="G22" s="569">
        <v>122.96334604967316</v>
      </c>
      <c r="H22" s="569">
        <v>25.658357250546761</v>
      </c>
      <c r="I22" s="569">
        <v>9.8404285202382376</v>
      </c>
      <c r="J22" s="569"/>
      <c r="K22" s="569"/>
      <c r="L22" s="569">
        <v>12.859494515246002</v>
      </c>
      <c r="M22" s="569"/>
      <c r="N22" s="569">
        <v>2.1461953882407698</v>
      </c>
      <c r="O22" s="569">
        <v>8.0058920246895831</v>
      </c>
      <c r="P22" s="569">
        <v>9.1315824141811923</v>
      </c>
      <c r="Q22" s="569">
        <v>7.3550542075899425</v>
      </c>
      <c r="R22" s="569">
        <v>7.3550542075899425</v>
      </c>
      <c r="S22" s="570"/>
      <c r="T22" s="571"/>
      <c r="U22" s="572"/>
      <c r="V22" s="572"/>
      <c r="W22" s="570">
        <v>36.546893905418351</v>
      </c>
      <c r="X22" s="573">
        <v>4.0643936159323788</v>
      </c>
    </row>
    <row r="23" spans="1:24" x14ac:dyDescent="0.35">
      <c r="A23" s="11" t="s">
        <v>596</v>
      </c>
      <c r="B23" s="11" t="s">
        <v>597</v>
      </c>
      <c r="C23" s="15" t="s">
        <v>598</v>
      </c>
      <c r="D23" s="16" t="s">
        <v>40</v>
      </c>
      <c r="E23" s="16" t="s">
        <v>41</v>
      </c>
      <c r="F23" s="11" t="s">
        <v>87</v>
      </c>
      <c r="G23" s="18">
        <v>0.38175248783826804</v>
      </c>
      <c r="H23" s="337">
        <v>4.8276103108026186E-2</v>
      </c>
      <c r="I23" s="337">
        <v>3.5398178331627526E-2</v>
      </c>
      <c r="J23" s="337"/>
      <c r="K23" s="337"/>
      <c r="L23" s="337">
        <v>5.6978633842444792E-3</v>
      </c>
      <c r="M23" s="337"/>
      <c r="N23" s="337">
        <v>7.2915706411150975E-3</v>
      </c>
      <c r="O23" s="337">
        <v>6.5530700527677288E-3</v>
      </c>
      <c r="P23" s="337">
        <v>0</v>
      </c>
      <c r="Q23" s="337">
        <v>9.9840712437546011E-2</v>
      </c>
      <c r="R23" s="337">
        <v>9.9840712437546011E-2</v>
      </c>
      <c r="U23" s="7"/>
      <c r="V23" s="7"/>
      <c r="W23" s="4">
        <v>7.2550707578575402E-2</v>
      </c>
      <c r="X23" s="42">
        <v>6.3035698668195495E-3</v>
      </c>
    </row>
    <row r="24" spans="1:24" x14ac:dyDescent="0.35">
      <c r="A24" s="11" t="s">
        <v>596</v>
      </c>
      <c r="B24" s="11" t="s">
        <v>597</v>
      </c>
      <c r="C24" s="15" t="s">
        <v>598</v>
      </c>
      <c r="D24" s="16" t="s">
        <v>40</v>
      </c>
      <c r="E24" s="16" t="s">
        <v>41</v>
      </c>
      <c r="F24" s="11" t="s">
        <v>88</v>
      </c>
      <c r="G24" s="18">
        <v>6.9142344553343227</v>
      </c>
      <c r="H24" s="337"/>
      <c r="I24" s="337"/>
      <c r="J24" s="356"/>
      <c r="K24" s="337"/>
      <c r="L24" s="337"/>
      <c r="M24" s="337"/>
      <c r="N24" s="337"/>
      <c r="O24" s="337"/>
      <c r="P24" s="337"/>
      <c r="Q24" s="337"/>
      <c r="R24" s="337"/>
      <c r="S24" s="4">
        <v>6.9141759364122262</v>
      </c>
      <c r="T24" s="42">
        <v>5.8518922096261493E-5</v>
      </c>
      <c r="U24" s="57">
        <v>5.8518922096261493E-5</v>
      </c>
      <c r="V24" s="7"/>
      <c r="W24" s="4"/>
      <c r="X24" s="42"/>
    </row>
    <row r="25" spans="1:24" ht="15" thickBot="1" x14ac:dyDescent="0.4">
      <c r="A25" s="11" t="s">
        <v>596</v>
      </c>
      <c r="B25" s="11" t="s">
        <v>597</v>
      </c>
      <c r="C25" s="15" t="s">
        <v>598</v>
      </c>
      <c r="D25" s="16" t="s">
        <v>40</v>
      </c>
      <c r="E25" s="16" t="s">
        <v>41</v>
      </c>
      <c r="F25" s="34" t="s">
        <v>89</v>
      </c>
      <c r="G25" s="18">
        <v>0.26370270564563281</v>
      </c>
      <c r="H25" s="337">
        <v>5.6672628438486465E-2</v>
      </c>
      <c r="I25" s="337">
        <v>3.8541738006058726E-4</v>
      </c>
      <c r="J25" s="337">
        <v>0.16841211281845098</v>
      </c>
      <c r="K25" s="32">
        <v>1.6841211281845098E-2</v>
      </c>
      <c r="L25" s="337">
        <v>3.456376026821507E-4</v>
      </c>
      <c r="M25" s="337"/>
      <c r="N25" s="337">
        <v>8.9709937643167202E-5</v>
      </c>
      <c r="O25" s="337">
        <v>2.8176840559104811E-4</v>
      </c>
      <c r="P25" s="337">
        <v>0</v>
      </c>
      <c r="Q25" s="337">
        <v>9.6323147155470482E-3</v>
      </c>
      <c r="R25" s="337">
        <v>9.6323147155470482E-3</v>
      </c>
      <c r="S25" s="4"/>
      <c r="T25" s="42">
        <v>1.0955841209032995E-5</v>
      </c>
      <c r="U25" s="184">
        <v>8.2400680730572186E-6</v>
      </c>
      <c r="V25" s="184">
        <v>2.7157731359757764E-6</v>
      </c>
      <c r="W25" s="4">
        <v>1.2576721665426285E-3</v>
      </c>
      <c r="X25" s="42">
        <v>1.4096234202748734E-4</v>
      </c>
    </row>
    <row r="26" spans="1:24" ht="15.5" thickTop="1" thickBot="1" x14ac:dyDescent="0.4">
      <c r="A26" s="125" t="s">
        <v>596</v>
      </c>
      <c r="B26" s="125" t="s">
        <v>597</v>
      </c>
      <c r="C26" s="126" t="s">
        <v>598</v>
      </c>
      <c r="D26" s="37" t="s">
        <v>40</v>
      </c>
      <c r="E26" s="37" t="s">
        <v>41</v>
      </c>
      <c r="F26" s="128" t="s">
        <v>90</v>
      </c>
      <c r="G26" s="137">
        <v>393.01473912253806</v>
      </c>
      <c r="H26" s="129">
        <v>42.568612686872747</v>
      </c>
      <c r="I26" s="129">
        <v>11.000513179277279</v>
      </c>
      <c r="J26" s="129">
        <v>45.976506799437118</v>
      </c>
      <c r="K26" s="129">
        <v>4.5976506799437118</v>
      </c>
      <c r="L26" s="129">
        <v>13.123649909628716</v>
      </c>
      <c r="M26" s="129">
        <v>0</v>
      </c>
      <c r="N26" s="129">
        <v>2.3879750063225846</v>
      </c>
      <c r="O26" s="129">
        <v>8.2780962869884167</v>
      </c>
      <c r="P26" s="129">
        <v>9.1315824141811923</v>
      </c>
      <c r="Q26" s="129">
        <v>12.959929355573159</v>
      </c>
      <c r="R26" s="129">
        <v>12.959929355573159</v>
      </c>
      <c r="S26" s="129">
        <v>186.6827502831301</v>
      </c>
      <c r="T26" s="129">
        <v>4.5709555466650681E-3</v>
      </c>
      <c r="U26" s="129"/>
      <c r="V26" s="129"/>
      <c r="W26" s="129">
        <v>39.052249492726034</v>
      </c>
      <c r="X26" s="129">
        <v>4.290722717337105</v>
      </c>
    </row>
    <row r="27" spans="1:24" ht="15" thickTop="1" x14ac:dyDescent="0.35">
      <c r="A27" s="503" t="s">
        <v>596</v>
      </c>
      <c r="B27" s="503" t="s">
        <v>597</v>
      </c>
      <c r="C27" s="504" t="s">
        <v>598</v>
      </c>
      <c r="D27" s="505" t="s">
        <v>91</v>
      </c>
      <c r="E27" s="505" t="s">
        <v>43</v>
      </c>
      <c r="F27" s="506" t="s">
        <v>86</v>
      </c>
      <c r="G27" s="569">
        <v>110.53027775719634</v>
      </c>
      <c r="H27" s="569">
        <v>17.863275758745147</v>
      </c>
      <c r="I27" s="569">
        <v>10.238710991690869</v>
      </c>
      <c r="J27" s="569"/>
      <c r="K27" s="569"/>
      <c r="L27" s="569">
        <v>11.817200918242509</v>
      </c>
      <c r="M27" s="569"/>
      <c r="N27" s="569">
        <v>2.6943398931539748E-2</v>
      </c>
      <c r="O27" s="569">
        <v>7.5427510654337144</v>
      </c>
      <c r="P27" s="569">
        <v>15.547358893110742</v>
      </c>
      <c r="Q27" s="569">
        <v>9.7022494774813435</v>
      </c>
      <c r="R27" s="569">
        <v>9.7022494774813435</v>
      </c>
      <c r="S27" s="570"/>
      <c r="T27" s="571"/>
      <c r="U27" s="572"/>
      <c r="V27" s="572"/>
      <c r="W27" s="570">
        <v>24.964791240076231</v>
      </c>
      <c r="X27" s="573">
        <v>3.1247465360029159</v>
      </c>
    </row>
    <row r="28" spans="1:24" x14ac:dyDescent="0.35">
      <c r="A28" s="11" t="s">
        <v>596</v>
      </c>
      <c r="B28" s="11" t="s">
        <v>597</v>
      </c>
      <c r="C28" s="15" t="s">
        <v>598</v>
      </c>
      <c r="D28" s="16" t="s">
        <v>91</v>
      </c>
      <c r="E28" s="16" t="s">
        <v>43</v>
      </c>
      <c r="F28" s="11" t="s">
        <v>87</v>
      </c>
      <c r="G28" s="18">
        <v>0.40519848098174216</v>
      </c>
      <c r="H28" s="337">
        <v>3.3911429248679577E-2</v>
      </c>
      <c r="I28" s="337">
        <v>3.6744570359089825E-2</v>
      </c>
      <c r="J28" s="337"/>
      <c r="K28" s="337"/>
      <c r="L28" s="337">
        <v>5.2503936136714868E-3</v>
      </c>
      <c r="M28" s="337"/>
      <c r="N28" s="337">
        <v>1.4128527465389118E-4</v>
      </c>
      <c r="O28" s="337">
        <v>6.1143892144624188E-3</v>
      </c>
      <c r="P28" s="337">
        <v>0</v>
      </c>
      <c r="Q28" s="337">
        <v>0.12723613291125058</v>
      </c>
      <c r="R28" s="337">
        <v>0.12723613291125058</v>
      </c>
      <c r="U28" s="7"/>
      <c r="V28" s="7"/>
      <c r="W28" s="4">
        <v>6.3032761246304261E-2</v>
      </c>
      <c r="X28" s="42">
        <v>5.5313862023795724E-3</v>
      </c>
    </row>
    <row r="29" spans="1:24" x14ac:dyDescent="0.35">
      <c r="A29" s="11" t="s">
        <v>596</v>
      </c>
      <c r="B29" s="11" t="s">
        <v>597</v>
      </c>
      <c r="C29" s="15" t="s">
        <v>598</v>
      </c>
      <c r="D29" s="16" t="s">
        <v>91</v>
      </c>
      <c r="E29" s="16" t="s">
        <v>43</v>
      </c>
      <c r="F29" s="11" t="s">
        <v>88</v>
      </c>
      <c r="G29" s="18">
        <v>7.2468476171926177</v>
      </c>
      <c r="H29" s="337"/>
      <c r="I29" s="337"/>
      <c r="J29" s="356"/>
      <c r="K29" s="337"/>
      <c r="L29" s="337"/>
      <c r="M29" s="337"/>
      <c r="N29" s="337"/>
      <c r="O29" s="337"/>
      <c r="P29" s="337"/>
      <c r="Q29" s="337"/>
      <c r="R29" s="337"/>
      <c r="S29" s="4">
        <v>7.2467615422216074</v>
      </c>
      <c r="T29" s="42">
        <v>8.6074971010382156E-5</v>
      </c>
      <c r="U29" s="57">
        <v>8.6074971010382156E-5</v>
      </c>
      <c r="V29" s="7"/>
      <c r="W29" s="4"/>
      <c r="X29" s="42"/>
    </row>
    <row r="30" spans="1:24" ht="15" thickBot="1" x14ac:dyDescent="0.4">
      <c r="A30" s="11" t="s">
        <v>596</v>
      </c>
      <c r="B30" s="11" t="s">
        <v>597</v>
      </c>
      <c r="C30" s="15" t="s">
        <v>598</v>
      </c>
      <c r="D30" s="16" t="s">
        <v>91</v>
      </c>
      <c r="E30" s="16" t="s">
        <v>43</v>
      </c>
      <c r="F30" s="34" t="s">
        <v>89</v>
      </c>
      <c r="G30" s="18">
        <v>0.19871771874813005</v>
      </c>
      <c r="H30" s="337">
        <v>3.9434466476049139E-2</v>
      </c>
      <c r="I30" s="337">
        <v>4.0274314745052239E-4</v>
      </c>
      <c r="J30" s="337">
        <v>0.12065689588140145</v>
      </c>
      <c r="K30" s="32">
        <v>1.2065689588140145E-2</v>
      </c>
      <c r="L30" s="337">
        <v>3.183709259168445E-4</v>
      </c>
      <c r="M30" s="337"/>
      <c r="N30" s="337">
        <v>1.7388314941330042E-6</v>
      </c>
      <c r="O30" s="337">
        <v>2.6809519474855494E-4</v>
      </c>
      <c r="P30" s="337">
        <v>0</v>
      </c>
      <c r="Q30" s="337">
        <v>1.2287765025329953E-2</v>
      </c>
      <c r="R30" s="337">
        <v>1.2287765025329953E-2</v>
      </c>
      <c r="S30" s="4"/>
      <c r="T30" s="42">
        <v>9.6253253992522891E-6</v>
      </c>
      <c r="U30" s="184">
        <v>7.0448993979672484E-6</v>
      </c>
      <c r="V30" s="184">
        <v>2.5804260012850415E-6</v>
      </c>
      <c r="W30" s="4">
        <v>8.7467338164676646E-4</v>
      </c>
      <c r="X30" s="42">
        <v>1.0988994522333598E-4</v>
      </c>
    </row>
    <row r="31" spans="1:24" ht="15.5" thickTop="1" thickBot="1" x14ac:dyDescent="0.4">
      <c r="A31" s="125" t="s">
        <v>596</v>
      </c>
      <c r="B31" s="125" t="s">
        <v>597</v>
      </c>
      <c r="C31" s="126" t="s">
        <v>598</v>
      </c>
      <c r="D31" s="127" t="s">
        <v>91</v>
      </c>
      <c r="E31" s="127" t="s">
        <v>43</v>
      </c>
      <c r="F31" s="128" t="s">
        <v>90</v>
      </c>
      <c r="G31" s="137">
        <v>372.52001537289249</v>
      </c>
      <c r="H31" s="129">
        <v>29.639445698317214</v>
      </c>
      <c r="I31" s="129">
        <v>11.443648067645739</v>
      </c>
      <c r="J31" s="129">
        <v>32.939332575622593</v>
      </c>
      <c r="K31" s="129">
        <v>3.2939332575622595</v>
      </c>
      <c r="L31" s="129">
        <v>12.060577910705218</v>
      </c>
      <c r="M31" s="129">
        <v>0</v>
      </c>
      <c r="N31" s="129">
        <v>3.1628401114124016E-2</v>
      </c>
      <c r="O31" s="129">
        <v>7.7981498521910497</v>
      </c>
      <c r="P31" s="129">
        <v>15.547358893110742</v>
      </c>
      <c r="Q31" s="129">
        <v>16.84844609015169</v>
      </c>
      <c r="R31" s="129">
        <v>16.84844609015169</v>
      </c>
      <c r="S31" s="129">
        <v>195.66256163998341</v>
      </c>
      <c r="T31" s="129">
        <v>4.9517380512761932E-3</v>
      </c>
      <c r="U31" s="129"/>
      <c r="V31" s="129"/>
      <c r="W31" s="129">
        <v>27.081953358405666</v>
      </c>
      <c r="X31" s="129">
        <v>3.3195817998797978</v>
      </c>
    </row>
    <row r="32" spans="1:24" ht="15" thickTop="1" x14ac:dyDescent="0.35">
      <c r="A32" s="503" t="s">
        <v>596</v>
      </c>
      <c r="B32" s="503" t="s">
        <v>597</v>
      </c>
      <c r="C32" s="504" t="s">
        <v>598</v>
      </c>
      <c r="D32" s="505" t="s">
        <v>92</v>
      </c>
      <c r="E32" s="505" t="s">
        <v>45</v>
      </c>
      <c r="F32" s="506" t="s">
        <v>86</v>
      </c>
      <c r="G32" s="569">
        <v>53.138876700207568</v>
      </c>
      <c r="H32" s="569">
        <v>10.085854227284893</v>
      </c>
      <c r="I32" s="569">
        <v>9.6228346901977844</v>
      </c>
      <c r="J32" s="569"/>
      <c r="K32" s="569"/>
      <c r="L32" s="569">
        <v>5.6411839500381378</v>
      </c>
      <c r="M32" s="569"/>
      <c r="N32" s="569">
        <v>4.9796136241620132E-4</v>
      </c>
      <c r="O32" s="569">
        <v>1.5779124986963677</v>
      </c>
      <c r="P32" s="569">
        <v>0.54583901935442602</v>
      </c>
      <c r="Q32" s="569">
        <v>0.18541813554303366</v>
      </c>
      <c r="R32" s="569">
        <v>0.18541813554303366</v>
      </c>
      <c r="S32" s="570"/>
      <c r="T32" s="571"/>
      <c r="U32" s="572"/>
      <c r="V32" s="572"/>
      <c r="W32" s="570">
        <v>22.378958192252178</v>
      </c>
      <c r="X32" s="573">
        <v>2.9149598899352944</v>
      </c>
    </row>
    <row r="33" spans="1:24" x14ac:dyDescent="0.35">
      <c r="A33" s="11" t="s">
        <v>596</v>
      </c>
      <c r="B33" s="11" t="s">
        <v>597</v>
      </c>
      <c r="C33" s="15" t="s">
        <v>598</v>
      </c>
      <c r="D33" s="16" t="s">
        <v>92</v>
      </c>
      <c r="E33" s="16" t="s">
        <v>45</v>
      </c>
      <c r="F33" s="11" t="s">
        <v>87</v>
      </c>
      <c r="G33" s="18">
        <v>8.616502489733445E-2</v>
      </c>
      <c r="H33" s="337">
        <v>1.8675725828341601E-2</v>
      </c>
      <c r="I33" s="337">
        <v>3.4040118966347573E-2</v>
      </c>
      <c r="J33" s="337"/>
      <c r="K33" s="337"/>
      <c r="L33" s="337">
        <v>2.4932664717661427E-3</v>
      </c>
      <c r="M33" s="337"/>
      <c r="N33" s="337">
        <v>2.2688459045430537E-5</v>
      </c>
      <c r="O33" s="337">
        <v>8.2382387512499428E-4</v>
      </c>
      <c r="P33" s="337">
        <v>0</v>
      </c>
      <c r="Q33" s="337">
        <v>1.8088743626564372E-3</v>
      </c>
      <c r="R33" s="337">
        <v>1.8088743626564372E-3</v>
      </c>
      <c r="U33" s="7"/>
      <c r="V33" s="7"/>
      <c r="W33" s="4">
        <v>2.4117436713497822E-2</v>
      </c>
      <c r="X33" s="42">
        <v>2.3742158578980103E-3</v>
      </c>
    </row>
    <row r="34" spans="1:24" x14ac:dyDescent="0.35">
      <c r="A34" s="11" t="s">
        <v>596</v>
      </c>
      <c r="B34" s="11" t="s">
        <v>597</v>
      </c>
      <c r="C34" s="15" t="s">
        <v>598</v>
      </c>
      <c r="D34" s="16" t="s">
        <v>92</v>
      </c>
      <c r="E34" s="16" t="s">
        <v>45</v>
      </c>
      <c r="F34" s="11" t="s">
        <v>88</v>
      </c>
      <c r="G34" s="18">
        <v>6.8866405158523216</v>
      </c>
      <c r="H34" s="337"/>
      <c r="I34" s="337"/>
      <c r="J34" s="356"/>
      <c r="K34" s="337"/>
      <c r="L34" s="337"/>
      <c r="M34" s="337"/>
      <c r="N34" s="337"/>
      <c r="O34" s="337"/>
      <c r="P34" s="337"/>
      <c r="Q34" s="337"/>
      <c r="R34" s="337"/>
      <c r="S34" s="4">
        <v>6.8865713999600064</v>
      </c>
      <c r="T34" s="42">
        <v>6.9115892315163306E-5</v>
      </c>
      <c r="U34" s="57">
        <v>6.9115892315163306E-5</v>
      </c>
      <c r="V34" s="7"/>
      <c r="W34" s="4"/>
      <c r="X34" s="42"/>
    </row>
    <row r="35" spans="1:24" ht="15" thickBot="1" x14ac:dyDescent="0.4">
      <c r="A35" s="11" t="s">
        <v>596</v>
      </c>
      <c r="B35" s="11" t="s">
        <v>597</v>
      </c>
      <c r="C35" s="15" t="s">
        <v>598</v>
      </c>
      <c r="D35" s="16" t="s">
        <v>92</v>
      </c>
      <c r="E35" s="16" t="s">
        <v>45</v>
      </c>
      <c r="F35" s="34" t="s">
        <v>89</v>
      </c>
      <c r="G35" s="18">
        <v>0.16075446237413638</v>
      </c>
      <c r="H35" s="337">
        <v>2.2315240176001446E-2</v>
      </c>
      <c r="I35" s="337">
        <v>3.8840147513946892E-4</v>
      </c>
      <c r="J35" s="337">
        <v>0.12414554621997023</v>
      </c>
      <c r="K35" s="32">
        <v>1.2414554621997025E-2</v>
      </c>
      <c r="L35" s="337">
        <v>1.5118963937006222E-4</v>
      </c>
      <c r="M35" s="337"/>
      <c r="N35" s="337">
        <v>2.7906021621158783E-7</v>
      </c>
      <c r="O35" s="337">
        <v>5.6222165989721301E-5</v>
      </c>
      <c r="P35" s="337">
        <v>0</v>
      </c>
      <c r="Q35" s="337">
        <v>1.751794206792001E-4</v>
      </c>
      <c r="R35" s="337">
        <v>1.751794206792001E-4</v>
      </c>
      <c r="S35" s="4"/>
      <c r="T35" s="42">
        <v>4.9173455744813009E-6</v>
      </c>
      <c r="U35" s="184">
        <v>3.4301561000885537E-6</v>
      </c>
      <c r="V35" s="184">
        <v>1.4871894743927472E-6</v>
      </c>
      <c r="W35" s="4">
        <v>8.2212601105133905E-4</v>
      </c>
      <c r="X35" s="42">
        <v>1.0562681746798326E-4</v>
      </c>
    </row>
    <row r="36" spans="1:24" ht="15.5" thickTop="1" thickBot="1" x14ac:dyDescent="0.4">
      <c r="A36" s="125" t="s">
        <v>596</v>
      </c>
      <c r="B36" s="125" t="s">
        <v>597</v>
      </c>
      <c r="C36" s="126" t="s">
        <v>598</v>
      </c>
      <c r="D36" s="37" t="s">
        <v>92</v>
      </c>
      <c r="E36" s="37" t="s">
        <v>45</v>
      </c>
      <c r="F36" s="128" t="s">
        <v>90</v>
      </c>
      <c r="G36" s="137">
        <v>285.53185659829995</v>
      </c>
      <c r="H36" s="129">
        <v>16.734451425017866</v>
      </c>
      <c r="I36" s="129">
        <v>10.743263838108016</v>
      </c>
      <c r="J36" s="129">
        <v>33.891734118051872</v>
      </c>
      <c r="K36" s="129">
        <v>3.3891734118051877</v>
      </c>
      <c r="L36" s="129">
        <v>5.7567580624447956</v>
      </c>
      <c r="M36" s="129">
        <v>0</v>
      </c>
      <c r="N36" s="129">
        <v>1.2502608809957948E-3</v>
      </c>
      <c r="O36" s="129">
        <v>1.6178111014902865</v>
      </c>
      <c r="P36" s="129">
        <v>0.54583901935442602</v>
      </c>
      <c r="Q36" s="129">
        <v>0.28714657339561711</v>
      </c>
      <c r="R36" s="129">
        <v>0.28714657339561711</v>
      </c>
      <c r="S36" s="129">
        <v>185.93742779892017</v>
      </c>
      <c r="T36" s="129">
        <v>3.2085644343428045E-3</v>
      </c>
      <c r="U36" s="129"/>
      <c r="V36" s="129"/>
      <c r="W36" s="129">
        <v>23.322098207331429</v>
      </c>
      <c r="X36" s="129">
        <v>3.0145476436694145</v>
      </c>
    </row>
    <row r="37" spans="1:24" ht="15" thickTop="1" x14ac:dyDescent="0.35">
      <c r="A37" s="503" t="s">
        <v>596</v>
      </c>
      <c r="B37" s="503" t="s">
        <v>597</v>
      </c>
      <c r="C37" s="504" t="s">
        <v>598</v>
      </c>
      <c r="D37" s="505" t="s">
        <v>46</v>
      </c>
      <c r="E37" s="505" t="s">
        <v>47</v>
      </c>
      <c r="F37" s="506" t="s">
        <v>86</v>
      </c>
      <c r="G37" s="569">
        <v>70.885912671098055</v>
      </c>
      <c r="H37" s="569">
        <v>6.7003910392447477</v>
      </c>
      <c r="I37" s="569">
        <v>7.0739640893740958</v>
      </c>
      <c r="J37" s="569"/>
      <c r="K37" s="569"/>
      <c r="L37" s="569">
        <v>4.5177114939019356</v>
      </c>
      <c r="M37" s="569"/>
      <c r="N37" s="569">
        <v>0.11213069602476074</v>
      </c>
      <c r="O37" s="569">
        <v>1.5913935727256667</v>
      </c>
      <c r="P37" s="569">
        <v>11.56494344635937</v>
      </c>
      <c r="Q37" s="569">
        <v>7.4446961602694692</v>
      </c>
      <c r="R37" s="569">
        <v>7.4446961602694692</v>
      </c>
      <c r="S37" s="570"/>
      <c r="T37" s="571"/>
      <c r="U37" s="572"/>
      <c r="V37" s="572"/>
      <c r="W37" s="570">
        <v>21.585406371764908</v>
      </c>
      <c r="X37" s="573">
        <v>2.8505796411636397</v>
      </c>
    </row>
    <row r="38" spans="1:24" x14ac:dyDescent="0.35">
      <c r="A38" s="11" t="s">
        <v>596</v>
      </c>
      <c r="B38" s="11" t="s">
        <v>597</v>
      </c>
      <c r="C38" s="15" t="s">
        <v>598</v>
      </c>
      <c r="D38" s="16" t="s">
        <v>46</v>
      </c>
      <c r="E38" s="16" t="s">
        <v>47</v>
      </c>
      <c r="F38" s="11" t="s">
        <v>87</v>
      </c>
      <c r="G38" s="18">
        <v>0.33829745667257477</v>
      </c>
      <c r="H38" s="337">
        <v>1.2458691354716096E-2</v>
      </c>
      <c r="I38" s="337">
        <v>2.4942190230444385E-2</v>
      </c>
      <c r="J38" s="337"/>
      <c r="K38" s="337"/>
      <c r="L38" s="337">
        <v>2.0007940907741219E-3</v>
      </c>
      <c r="M38" s="337"/>
      <c r="N38" s="337">
        <v>3.6438031423297442E-4</v>
      </c>
      <c r="O38" s="337">
        <v>1.3478618694110491E-3</v>
      </c>
      <c r="P38" s="337">
        <v>0</v>
      </c>
      <c r="Q38" s="337">
        <v>9.7658212253451657E-2</v>
      </c>
      <c r="R38" s="337">
        <v>9.7658212253451657E-2</v>
      </c>
      <c r="U38" s="7"/>
      <c r="V38" s="7"/>
      <c r="W38" s="4">
        <v>9.3836633632322031E-2</v>
      </c>
      <c r="X38" s="42">
        <v>8.0304806737707436E-3</v>
      </c>
    </row>
    <row r="39" spans="1:24" x14ac:dyDescent="0.35">
      <c r="A39" s="11" t="s">
        <v>596</v>
      </c>
      <c r="B39" s="11" t="s">
        <v>597</v>
      </c>
      <c r="C39" s="15" t="s">
        <v>598</v>
      </c>
      <c r="D39" s="16" t="s">
        <v>46</v>
      </c>
      <c r="E39" s="16" t="s">
        <v>47</v>
      </c>
      <c r="F39" s="11" t="s">
        <v>88</v>
      </c>
      <c r="G39" s="18">
        <v>6.7697618670148447</v>
      </c>
      <c r="H39" s="337"/>
      <c r="I39" s="337"/>
      <c r="J39" s="356"/>
      <c r="K39" s="337"/>
      <c r="L39" s="337"/>
      <c r="M39" s="337"/>
      <c r="N39" s="337"/>
      <c r="O39" s="337"/>
      <c r="P39" s="337"/>
      <c r="Q39" s="337"/>
      <c r="R39" s="337"/>
      <c r="S39" s="4">
        <v>6.7695941842329059</v>
      </c>
      <c r="T39" s="42">
        <v>1.6768278193858715E-4</v>
      </c>
      <c r="U39" s="57">
        <v>1.6768278193858715E-4</v>
      </c>
      <c r="V39" s="7"/>
      <c r="W39" s="4"/>
      <c r="X39" s="42"/>
    </row>
    <row r="40" spans="1:24" ht="15" thickBot="1" x14ac:dyDescent="0.4">
      <c r="A40" s="11" t="s">
        <v>596</v>
      </c>
      <c r="B40" s="11" t="s">
        <v>597</v>
      </c>
      <c r="C40" s="15" t="s">
        <v>598</v>
      </c>
      <c r="D40" s="16" t="s">
        <v>46</v>
      </c>
      <c r="E40" s="16" t="s">
        <v>47</v>
      </c>
      <c r="F40" s="34" t="s">
        <v>89</v>
      </c>
      <c r="G40" s="18">
        <v>0.12452636363674313</v>
      </c>
      <c r="H40" s="337">
        <v>1.4749536716668166E-2</v>
      </c>
      <c r="I40" s="337">
        <v>2.8715220532156763E-4</v>
      </c>
      <c r="J40" s="337">
        <v>8.1256236654178152E-2</v>
      </c>
      <c r="K40" s="32">
        <v>8.1256236654178148E-3</v>
      </c>
      <c r="L40" s="337">
        <v>1.2136811947798742E-4</v>
      </c>
      <c r="M40" s="337"/>
      <c r="N40" s="337">
        <v>4.4850237942570982E-6</v>
      </c>
      <c r="O40" s="337">
        <v>5.8345813745543596E-5</v>
      </c>
      <c r="P40" s="337">
        <v>0</v>
      </c>
      <c r="Q40" s="337">
        <v>9.4293430192790798E-3</v>
      </c>
      <c r="R40" s="337">
        <v>9.4293430192790798E-3</v>
      </c>
      <c r="S40" s="4"/>
      <c r="T40" s="42">
        <v>1.0461644316254156E-5</v>
      </c>
      <c r="U40" s="184">
        <v>6.8778214305201007E-6</v>
      </c>
      <c r="V40" s="184">
        <v>3.5838228857340542E-6</v>
      </c>
      <c r="W40" s="4">
        <v>9.3933209811247352E-4</v>
      </c>
      <c r="X40" s="42">
        <v>1.151356571527246E-4</v>
      </c>
    </row>
    <row r="41" spans="1:24" ht="15.5" thickTop="1" thickBot="1" x14ac:dyDescent="0.4">
      <c r="A41" s="125" t="s">
        <v>596</v>
      </c>
      <c r="B41" s="125" t="s">
        <v>597</v>
      </c>
      <c r="C41" s="126" t="s">
        <v>598</v>
      </c>
      <c r="D41" s="127" t="s">
        <v>46</v>
      </c>
      <c r="E41" s="127" t="s">
        <v>47</v>
      </c>
      <c r="F41" s="128" t="s">
        <v>90</v>
      </c>
      <c r="G41" s="137">
        <v>297.74644456217248</v>
      </c>
      <c r="H41" s="129">
        <v>11.098283565265696</v>
      </c>
      <c r="I41" s="129">
        <v>7.8956339102941264</v>
      </c>
      <c r="J41" s="129">
        <v>22.182952606590636</v>
      </c>
      <c r="K41" s="129">
        <v>2.2182952606590636</v>
      </c>
      <c r="L41" s="129">
        <v>4.610468654424495</v>
      </c>
      <c r="M41" s="129">
        <v>0</v>
      </c>
      <c r="N41" s="129">
        <v>0.12421364088473556</v>
      </c>
      <c r="O41" s="129">
        <v>1.6474882635866495</v>
      </c>
      <c r="P41" s="129">
        <v>11.56494344635937</v>
      </c>
      <c r="Q41" s="129">
        <v>12.929121529685517</v>
      </c>
      <c r="R41" s="129">
        <v>12.929121529685517</v>
      </c>
      <c r="S41" s="129">
        <v>182.77904297428847</v>
      </c>
      <c r="T41" s="129">
        <v>7.3834640106792372E-3</v>
      </c>
      <c r="U41" s="129"/>
      <c r="V41" s="129"/>
      <c r="W41" s="129">
        <v>24.638175716792809</v>
      </c>
      <c r="X41" s="129">
        <v>3.1213199996447014</v>
      </c>
    </row>
    <row r="42" spans="1:24" ht="15" thickTop="1" x14ac:dyDescent="0.35">
      <c r="A42" s="503" t="s">
        <v>596</v>
      </c>
      <c r="B42" s="503" t="s">
        <v>597</v>
      </c>
      <c r="C42" s="504" t="s">
        <v>598</v>
      </c>
      <c r="D42" t="s">
        <v>93</v>
      </c>
      <c r="E42" s="16" t="s">
        <v>49</v>
      </c>
      <c r="F42" s="506" t="s">
        <v>86</v>
      </c>
      <c r="G42" s="569">
        <v>113.71988549981619</v>
      </c>
      <c r="H42" s="569">
        <v>26.637079862509797</v>
      </c>
      <c r="I42" s="569">
        <v>10.108950101166789</v>
      </c>
      <c r="J42" s="569"/>
      <c r="K42" s="569"/>
      <c r="L42" s="569">
        <v>8.8514546744739633</v>
      </c>
      <c r="M42" s="569"/>
      <c r="N42" s="569">
        <v>0.13337682171673379</v>
      </c>
      <c r="O42" s="569">
        <v>4.641546781343715</v>
      </c>
      <c r="P42" s="569">
        <v>15.104530036102361</v>
      </c>
      <c r="Q42" s="569">
        <v>8.237440749846936</v>
      </c>
      <c r="R42" s="569">
        <v>8.237440749846936</v>
      </c>
      <c r="S42" s="570"/>
      <c r="T42" s="571"/>
      <c r="U42" s="572"/>
      <c r="V42" s="572"/>
      <c r="W42" s="570">
        <v>28.367278049273416</v>
      </c>
      <c r="X42" s="573">
        <v>3.4007876735355378</v>
      </c>
    </row>
    <row r="43" spans="1:24" x14ac:dyDescent="0.35">
      <c r="A43" s="11" t="s">
        <v>596</v>
      </c>
      <c r="B43" s="11" t="s">
        <v>597</v>
      </c>
      <c r="C43" s="15" t="s">
        <v>598</v>
      </c>
      <c r="D43" t="s">
        <v>93</v>
      </c>
      <c r="E43" s="16" t="s">
        <v>49</v>
      </c>
      <c r="F43" s="11" t="s">
        <v>87</v>
      </c>
      <c r="G43" s="18">
        <v>0.34121912684109179</v>
      </c>
      <c r="H43" s="337">
        <v>5.0434144141603778E-2</v>
      </c>
      <c r="I43" s="337">
        <v>3.5782372813847087E-2</v>
      </c>
      <c r="J43" s="337"/>
      <c r="K43" s="337"/>
      <c r="L43" s="337">
        <v>3.9196717239551532E-3</v>
      </c>
      <c r="M43" s="337"/>
      <c r="N43" s="337">
        <v>4.3427899160314358E-4</v>
      </c>
      <c r="O43" s="337">
        <v>3.280859789114752E-3</v>
      </c>
      <c r="P43" s="337">
        <v>0</v>
      </c>
      <c r="Q43" s="337">
        <v>9.3114849959142904E-2</v>
      </c>
      <c r="R43" s="337">
        <v>9.3114849959142904E-2</v>
      </c>
      <c r="U43" s="7"/>
      <c r="V43" s="7"/>
      <c r="W43" s="4">
        <v>5.6163972784523328E-2</v>
      </c>
      <c r="X43" s="42">
        <v>4.9741266781587164E-3</v>
      </c>
    </row>
    <row r="44" spans="1:24" x14ac:dyDescent="0.35">
      <c r="A44" s="11" t="s">
        <v>596</v>
      </c>
      <c r="B44" s="11" t="s">
        <v>597</v>
      </c>
      <c r="C44" s="15" t="s">
        <v>598</v>
      </c>
      <c r="D44" t="s">
        <v>93</v>
      </c>
      <c r="E44" s="16" t="s">
        <v>49</v>
      </c>
      <c r="F44" s="11" t="s">
        <v>88</v>
      </c>
      <c r="G44" s="18">
        <v>7.0258186347428717</v>
      </c>
      <c r="H44" s="337"/>
      <c r="I44" s="337"/>
      <c r="J44" s="356"/>
      <c r="K44" s="337"/>
      <c r="L44" s="337"/>
      <c r="M44" s="337"/>
      <c r="N44" s="337"/>
      <c r="O44" s="337"/>
      <c r="P44" s="337"/>
      <c r="Q44" s="337"/>
      <c r="R44" s="337"/>
      <c r="S44" s="4">
        <v>7.025683980804458</v>
      </c>
      <c r="T44" s="42">
        <v>1.3465393841396119E-4</v>
      </c>
      <c r="U44" s="57">
        <v>1.3465393841396119E-4</v>
      </c>
      <c r="V44" s="7"/>
      <c r="W44" s="4"/>
      <c r="X44" s="42"/>
    </row>
    <row r="45" spans="1:24" ht="15" thickBot="1" x14ac:dyDescent="0.4">
      <c r="A45" s="11" t="s">
        <v>596</v>
      </c>
      <c r="B45" s="11" t="s">
        <v>597</v>
      </c>
      <c r="C45" s="15" t="s">
        <v>598</v>
      </c>
      <c r="D45" t="s">
        <v>93</v>
      </c>
      <c r="E45" s="16" t="s">
        <v>49</v>
      </c>
      <c r="F45" s="34" t="s">
        <v>89</v>
      </c>
      <c r="G45" s="18">
        <v>0.33842458513686496</v>
      </c>
      <c r="H45" s="337">
        <v>5.9587283795635632E-2</v>
      </c>
      <c r="I45" s="337">
        <v>4.0756922163047926E-4</v>
      </c>
      <c r="J45" s="337">
        <v>0.23525204229162425</v>
      </c>
      <c r="K45" s="32">
        <v>2.3525204229162426E-2</v>
      </c>
      <c r="L45" s="337">
        <v>2.3776084469865843E-4</v>
      </c>
      <c r="M45" s="337"/>
      <c r="N45" s="337">
        <v>5.3423592825467557E-6</v>
      </c>
      <c r="O45" s="337">
        <v>1.6748524922627001E-4</v>
      </c>
      <c r="P45" s="337">
        <v>0</v>
      </c>
      <c r="Q45" s="337">
        <v>8.9821335694246184E-3</v>
      </c>
      <c r="R45" s="337">
        <v>8.9821335694246184E-3</v>
      </c>
      <c r="S45" s="4"/>
      <c r="T45" s="42">
        <v>7.4371603195888474E-6</v>
      </c>
      <c r="U45" s="184">
        <v>4.0478089210548912E-6</v>
      </c>
      <c r="V45" s="184">
        <v>3.3893513985339562E-6</v>
      </c>
      <c r="W45" s="4">
        <v>1.1388689203822373E-3</v>
      </c>
      <c r="X45" s="42">
        <v>1.3132392605360723E-4</v>
      </c>
    </row>
    <row r="46" spans="1:24" ht="15.5" thickTop="1" thickBot="1" x14ac:dyDescent="0.4">
      <c r="A46" s="125" t="s">
        <v>596</v>
      </c>
      <c r="B46" s="125" t="s">
        <v>597</v>
      </c>
      <c r="C46" s="126" t="s">
        <v>598</v>
      </c>
      <c r="D46" s="152" t="s">
        <v>93</v>
      </c>
      <c r="E46" s="127" t="s">
        <v>49</v>
      </c>
      <c r="F46" s="128" t="s">
        <v>90</v>
      </c>
      <c r="G46" s="137">
        <v>405.97523036010244</v>
      </c>
      <c r="H46" s="129">
        <v>44.407345834138113</v>
      </c>
      <c r="I46" s="129">
        <v>11.286531208524552</v>
      </c>
      <c r="J46" s="129">
        <v>64.223807545613425</v>
      </c>
      <c r="K46" s="129">
        <v>6.4223807545613427</v>
      </c>
      <c r="L46" s="129">
        <v>9.0331696024505597</v>
      </c>
      <c r="M46" s="129">
        <v>0</v>
      </c>
      <c r="N46" s="129">
        <v>0.14777679975064276</v>
      </c>
      <c r="O46" s="129">
        <v>4.7850398760981063</v>
      </c>
      <c r="P46" s="129">
        <v>15.104530036102361</v>
      </c>
      <c r="Q46" s="129">
        <v>13.464385743082314</v>
      </c>
      <c r="R46" s="129">
        <v>13.464385743082314</v>
      </c>
      <c r="S46" s="129">
        <v>189.69346748172038</v>
      </c>
      <c r="T46" s="129">
        <v>5.6660011044247071E-3</v>
      </c>
      <c r="U46" s="129"/>
      <c r="V46" s="129"/>
      <c r="W46" s="129">
        <v>30.351875653516561</v>
      </c>
      <c r="X46" s="129">
        <v>3.5848680803573023</v>
      </c>
    </row>
    <row r="47" spans="1:24" ht="15" thickTop="1" x14ac:dyDescent="0.35">
      <c r="A47" s="503" t="s">
        <v>596</v>
      </c>
      <c r="B47" s="503" t="s">
        <v>597</v>
      </c>
      <c r="C47" s="504" t="s">
        <v>598</v>
      </c>
      <c r="D47" t="s">
        <v>50</v>
      </c>
      <c r="E47" s="16" t="s">
        <v>51</v>
      </c>
      <c r="F47" s="506" t="s">
        <v>86</v>
      </c>
      <c r="G47" s="569">
        <v>141.08649132770591</v>
      </c>
      <c r="H47" s="569">
        <v>21.466593501074669</v>
      </c>
      <c r="I47" s="569">
        <v>11.312733336533245</v>
      </c>
      <c r="J47" s="569"/>
      <c r="K47" s="569"/>
      <c r="L47" s="569">
        <v>13.275237791373581</v>
      </c>
      <c r="M47" s="569"/>
      <c r="N47" s="569">
        <v>0.17765547953981128</v>
      </c>
      <c r="O47" s="569">
        <v>9.5320698859964832</v>
      </c>
      <c r="P47" s="569">
        <v>9.3635879142834284</v>
      </c>
      <c r="Q47" s="569">
        <v>7.3169884022102236</v>
      </c>
      <c r="R47" s="569">
        <v>7.3169884022102236</v>
      </c>
      <c r="S47" s="570"/>
      <c r="T47" s="571"/>
      <c r="U47" s="572"/>
      <c r="V47" s="572"/>
      <c r="W47" s="570">
        <v>55.705888504422767</v>
      </c>
      <c r="X47" s="573">
        <v>5.6187481100614551</v>
      </c>
    </row>
    <row r="48" spans="1:24" x14ac:dyDescent="0.35">
      <c r="A48" s="11" t="s">
        <v>596</v>
      </c>
      <c r="B48" s="11" t="s">
        <v>597</v>
      </c>
      <c r="C48" s="15" t="s">
        <v>598</v>
      </c>
      <c r="D48" t="s">
        <v>50</v>
      </c>
      <c r="E48" s="16" t="s">
        <v>51</v>
      </c>
      <c r="F48" s="11" t="s">
        <v>87</v>
      </c>
      <c r="G48" s="18">
        <v>0.40448558410704361</v>
      </c>
      <c r="H48" s="337">
        <v>4.0292118307862633E-2</v>
      </c>
      <c r="I48" s="337">
        <v>4.0635182217993046E-2</v>
      </c>
      <c r="J48" s="337"/>
      <c r="K48" s="337"/>
      <c r="L48" s="337">
        <v>5.8842188468873277E-3</v>
      </c>
      <c r="M48" s="337"/>
      <c r="N48" s="337">
        <v>5.8665361920225601E-4</v>
      </c>
      <c r="O48" s="337">
        <v>8.3531650147241239E-3</v>
      </c>
      <c r="P48" s="337">
        <v>0</v>
      </c>
      <c r="Q48" s="337">
        <v>9.6140344055788612E-2</v>
      </c>
      <c r="R48" s="337">
        <v>9.6140344055788612E-2</v>
      </c>
      <c r="U48" s="7"/>
      <c r="V48" s="7"/>
      <c r="W48" s="4">
        <v>0.107328493132158</v>
      </c>
      <c r="X48" s="42">
        <v>9.125064856638972E-3</v>
      </c>
    </row>
    <row r="49" spans="1:24" x14ac:dyDescent="0.35">
      <c r="A49" s="11" t="s">
        <v>596</v>
      </c>
      <c r="B49" s="11" t="s">
        <v>597</v>
      </c>
      <c r="C49" s="15" t="s">
        <v>598</v>
      </c>
      <c r="D49" t="s">
        <v>50</v>
      </c>
      <c r="E49" s="16" t="s">
        <v>51</v>
      </c>
      <c r="F49" s="11" t="s">
        <v>88</v>
      </c>
      <c r="G49" s="18">
        <v>7.2314406982665984</v>
      </c>
      <c r="H49" s="337"/>
      <c r="I49" s="337"/>
      <c r="J49" s="356"/>
      <c r="K49" s="337"/>
      <c r="L49" s="337"/>
      <c r="M49" s="337"/>
      <c r="N49" s="337"/>
      <c r="O49" s="337"/>
      <c r="P49" s="337"/>
      <c r="Q49" s="337"/>
      <c r="R49" s="337"/>
      <c r="S49" s="4">
        <v>7.2314053154929017</v>
      </c>
      <c r="T49" s="42">
        <v>3.5382773697104371E-5</v>
      </c>
      <c r="U49" s="57">
        <v>3.5382773697104371E-5</v>
      </c>
      <c r="V49" s="7"/>
      <c r="W49" s="4"/>
      <c r="X49" s="42"/>
    </row>
    <row r="50" spans="1:24" ht="15" thickBot="1" x14ac:dyDescent="0.4">
      <c r="A50" s="11" t="s">
        <v>596</v>
      </c>
      <c r="B50" s="11" t="s">
        <v>597</v>
      </c>
      <c r="C50" s="15" t="s">
        <v>598</v>
      </c>
      <c r="D50" t="s">
        <v>50</v>
      </c>
      <c r="E50" s="16" t="s">
        <v>51</v>
      </c>
      <c r="F50" s="34" t="s">
        <v>89</v>
      </c>
      <c r="G50" s="18">
        <v>0.23983785993860912</v>
      </c>
      <c r="H50" s="337">
        <v>4.7392592689632751E-2</v>
      </c>
      <c r="I50" s="337">
        <v>4.4426672636605543E-4</v>
      </c>
      <c r="J50" s="337">
        <v>0.15605013353857378</v>
      </c>
      <c r="K50" s="32">
        <v>1.5605013353857378E-2</v>
      </c>
      <c r="L50" s="337">
        <v>3.5709790007018815E-4</v>
      </c>
      <c r="M50" s="337"/>
      <c r="N50" s="337">
        <v>7.2257069753191888E-6</v>
      </c>
      <c r="O50" s="337">
        <v>3.0272533387340825E-4</v>
      </c>
      <c r="P50" s="337">
        <v>0</v>
      </c>
      <c r="Q50" s="337">
        <v>9.2720926534491741E-3</v>
      </c>
      <c r="R50" s="337">
        <v>9.2720926534491741E-3</v>
      </c>
      <c r="S50" s="4"/>
      <c r="T50" s="42">
        <v>9.0200512341476075E-6</v>
      </c>
      <c r="U50" s="184">
        <v>6.7264593797481893E-6</v>
      </c>
      <c r="V50" s="184">
        <v>2.2935918543994182E-6</v>
      </c>
      <c r="W50" s="4">
        <v>1.0051258754317186E-3</v>
      </c>
      <c r="X50" s="42">
        <v>1.2047345569603699E-4</v>
      </c>
    </row>
    <row r="51" spans="1:24" ht="15.5" thickTop="1" thickBot="1" x14ac:dyDescent="0.4">
      <c r="A51" s="125" t="s">
        <v>596</v>
      </c>
      <c r="B51" s="125" t="s">
        <v>597</v>
      </c>
      <c r="C51" s="126" t="s">
        <v>598</v>
      </c>
      <c r="D51" s="152" t="s">
        <v>50</v>
      </c>
      <c r="E51" s="37" t="s">
        <v>51</v>
      </c>
      <c r="F51" s="128" t="s">
        <v>90</v>
      </c>
      <c r="G51" s="137">
        <v>413.86479635053411</v>
      </c>
      <c r="H51" s="129">
        <v>35.605476430918714</v>
      </c>
      <c r="I51" s="129">
        <v>12.644946582927371</v>
      </c>
      <c r="J51" s="129">
        <v>42.601686456030642</v>
      </c>
      <c r="K51" s="129">
        <v>4.2601686456030645</v>
      </c>
      <c r="L51" s="129">
        <v>13.548075239729984</v>
      </c>
      <c r="M51" s="129">
        <v>0</v>
      </c>
      <c r="N51" s="129">
        <v>0.19711037539630064</v>
      </c>
      <c r="O51" s="129">
        <v>9.8636382195827021</v>
      </c>
      <c r="P51" s="129">
        <v>9.3635879142834284</v>
      </c>
      <c r="Q51" s="129">
        <v>12.71325194946435</v>
      </c>
      <c r="R51" s="129">
        <v>12.71325194946435</v>
      </c>
      <c r="S51" s="129">
        <v>195.24794351830835</v>
      </c>
      <c r="T51" s="129">
        <v>3.4178088767441144E-3</v>
      </c>
      <c r="U51" s="129"/>
      <c r="V51" s="129"/>
      <c r="W51" s="129">
        <v>59.178676963753929</v>
      </c>
      <c r="X51" s="129">
        <v>5.9235642961943142</v>
      </c>
    </row>
    <row r="52" spans="1:24" ht="15" thickTop="1" x14ac:dyDescent="0.35">
      <c r="A52" s="503" t="s">
        <v>596</v>
      </c>
      <c r="B52" s="503" t="s">
        <v>597</v>
      </c>
      <c r="C52" s="504" t="s">
        <v>598</v>
      </c>
      <c r="D52" t="s">
        <v>52</v>
      </c>
      <c r="E52" s="505" t="s">
        <v>53</v>
      </c>
      <c r="F52" s="506" t="s">
        <v>86</v>
      </c>
      <c r="G52" s="569">
        <v>65.380320035371454</v>
      </c>
      <c r="H52" s="569">
        <v>3.5352572371044184</v>
      </c>
      <c r="I52" s="569">
        <v>7.8761928587855934</v>
      </c>
      <c r="J52" s="569"/>
      <c r="K52" s="569"/>
      <c r="L52" s="569">
        <v>9.5607040851245912</v>
      </c>
      <c r="M52" s="569"/>
      <c r="N52" s="569">
        <v>1.703144075586666</v>
      </c>
      <c r="O52" s="569">
        <v>5.682328821486295</v>
      </c>
      <c r="P52" s="569">
        <v>10.400079283043999</v>
      </c>
      <c r="Q52" s="569">
        <v>4.48478228706138</v>
      </c>
      <c r="R52" s="569">
        <v>4.48478228706138</v>
      </c>
      <c r="S52" s="570"/>
      <c r="T52" s="571"/>
      <c r="U52" s="572"/>
      <c r="V52" s="572"/>
      <c r="W52" s="570">
        <v>15.311469158925595</v>
      </c>
      <c r="X52" s="573">
        <v>2.3415799411915348</v>
      </c>
    </row>
    <row r="53" spans="1:24" x14ac:dyDescent="0.35">
      <c r="A53" s="11" t="s">
        <v>596</v>
      </c>
      <c r="B53" s="11" t="s">
        <v>597</v>
      </c>
      <c r="C53" s="15" t="s">
        <v>598</v>
      </c>
      <c r="D53" t="s">
        <v>52</v>
      </c>
      <c r="E53" s="16" t="s">
        <v>53</v>
      </c>
      <c r="F53" s="11" t="s">
        <v>87</v>
      </c>
      <c r="G53" s="18">
        <v>0.20757559055925365</v>
      </c>
      <c r="H53" s="337">
        <v>6.6073573127611923E-3</v>
      </c>
      <c r="I53" s="337">
        <v>2.8310537156938015E-2</v>
      </c>
      <c r="J53" s="337"/>
      <c r="K53" s="337"/>
      <c r="L53" s="337">
        <v>4.2438224049388025E-3</v>
      </c>
      <c r="M53" s="337"/>
      <c r="N53" s="337">
        <v>5.583254765645175E-3</v>
      </c>
      <c r="O53" s="337">
        <v>4.3201165841001508E-3</v>
      </c>
      <c r="P53" s="337">
        <v>0</v>
      </c>
      <c r="Q53" s="337">
        <v>5.3461481145000267E-2</v>
      </c>
      <c r="R53" s="337">
        <v>5.3461481145000267E-2</v>
      </c>
      <c r="U53" s="7"/>
      <c r="V53" s="7"/>
      <c r="W53" s="4">
        <v>4.7330098770205019E-2</v>
      </c>
      <c r="X53" s="42">
        <v>4.2574412746647751E-3</v>
      </c>
    </row>
    <row r="54" spans="1:24" x14ac:dyDescent="0.35">
      <c r="A54" s="11" t="s">
        <v>596</v>
      </c>
      <c r="B54" s="11" t="s">
        <v>597</v>
      </c>
      <c r="C54" s="15" t="s">
        <v>598</v>
      </c>
      <c r="D54" t="s">
        <v>52</v>
      </c>
      <c r="E54" s="16" t="s">
        <v>53</v>
      </c>
      <c r="F54" s="11" t="s">
        <v>88</v>
      </c>
      <c r="G54" s="18">
        <v>6.6034006501114666</v>
      </c>
      <c r="H54" s="337"/>
      <c r="I54" s="337"/>
      <c r="J54" s="356"/>
      <c r="K54" s="337"/>
      <c r="L54" s="337"/>
      <c r="M54" s="337"/>
      <c r="N54" s="337"/>
      <c r="O54" s="337"/>
      <c r="P54" s="337"/>
      <c r="Q54" s="337"/>
      <c r="R54" s="337"/>
      <c r="S54" s="4">
        <v>6.6032406893476301</v>
      </c>
      <c r="T54" s="42">
        <v>1.599607638367595E-4</v>
      </c>
      <c r="U54" s="57">
        <v>1.599607638367595E-4</v>
      </c>
      <c r="V54" s="7"/>
      <c r="W54" s="4"/>
      <c r="X54" s="42"/>
    </row>
    <row r="55" spans="1:24" ht="15" thickBot="1" x14ac:dyDescent="0.4">
      <c r="A55" s="11" t="s">
        <v>596</v>
      </c>
      <c r="B55" s="11" t="s">
        <v>597</v>
      </c>
      <c r="C55" s="15" t="s">
        <v>598</v>
      </c>
      <c r="D55" t="s">
        <v>52</v>
      </c>
      <c r="E55" s="16" t="s">
        <v>53</v>
      </c>
      <c r="F55" s="34" t="s">
        <v>89</v>
      </c>
      <c r="G55" s="18">
        <v>0.12360344502887551</v>
      </c>
      <c r="H55" s="337">
        <v>7.7876151236513777E-3</v>
      </c>
      <c r="I55" s="337">
        <v>3.0892179672630589E-4</v>
      </c>
      <c r="J55" s="337">
        <v>9.438518748703556E-2</v>
      </c>
      <c r="K55" s="32">
        <v>9.4385187487035574E-3</v>
      </c>
      <c r="L55" s="337">
        <v>2.5760950522020953E-4</v>
      </c>
      <c r="M55" s="337"/>
      <c r="N55" s="337">
        <v>6.8710283560199597E-5</v>
      </c>
      <c r="O55" s="337">
        <v>2.1019561936148407E-4</v>
      </c>
      <c r="P55" s="337">
        <v>0</v>
      </c>
      <c r="Q55" s="337">
        <v>5.1730746270120757E-3</v>
      </c>
      <c r="R55" s="337">
        <v>5.1730746270120757E-3</v>
      </c>
      <c r="S55" s="4"/>
      <c r="T55" s="42">
        <v>1.219165418722872E-5</v>
      </c>
      <c r="U55" s="184">
        <v>8.3909229809681802E-6</v>
      </c>
      <c r="V55" s="184">
        <v>3.8007312062605399E-6</v>
      </c>
      <c r="W55" s="4">
        <v>6.9318002740172298E-4</v>
      </c>
      <c r="X55" s="42">
        <v>9.5165529003708095E-5</v>
      </c>
    </row>
    <row r="56" spans="1:24" ht="15.5" thickTop="1" thickBot="1" x14ac:dyDescent="0.4">
      <c r="A56" s="125" t="s">
        <v>596</v>
      </c>
      <c r="B56" s="125" t="s">
        <v>597</v>
      </c>
      <c r="C56" s="126" t="s">
        <v>598</v>
      </c>
      <c r="D56" s="152" t="s">
        <v>52</v>
      </c>
      <c r="E56" s="127" t="s">
        <v>53</v>
      </c>
      <c r="F56" s="128" t="s">
        <v>90</v>
      </c>
      <c r="G56" s="137">
        <v>283.60163067992983</v>
      </c>
      <c r="H56" s="129">
        <v>5.8581754137815283</v>
      </c>
      <c r="I56" s="129">
        <v>8.8041825165686269</v>
      </c>
      <c r="J56" s="129">
        <v>25.767156183960708</v>
      </c>
      <c r="K56" s="129">
        <v>2.5767156183960713</v>
      </c>
      <c r="L56" s="129">
        <v>9.7574973877168851</v>
      </c>
      <c r="M56" s="129">
        <v>0</v>
      </c>
      <c r="N56" s="129">
        <v>1.8882829750148267</v>
      </c>
      <c r="O56" s="129">
        <v>5.8684516997781655</v>
      </c>
      <c r="P56" s="129">
        <v>10.400079283043999</v>
      </c>
      <c r="Q56" s="129">
        <v>7.4901837983566848</v>
      </c>
      <c r="R56" s="129">
        <v>7.4901837983566848</v>
      </c>
      <c r="S56" s="129">
        <v>178.287498612386</v>
      </c>
      <c r="T56" s="129">
        <v>7.6472622167059467E-3</v>
      </c>
      <c r="U56" s="129"/>
      <c r="V56" s="129"/>
      <c r="W56" s="129">
        <v>16.911144249758372</v>
      </c>
      <c r="X56" s="129">
        <v>2.4944318805945578</v>
      </c>
    </row>
    <row r="57" spans="1:24" ht="15" thickTop="1" x14ac:dyDescent="0.35">
      <c r="A57" s="503" t="s">
        <v>596</v>
      </c>
      <c r="B57" s="503" t="s">
        <v>597</v>
      </c>
      <c r="C57" s="504" t="s">
        <v>598</v>
      </c>
      <c r="D57" s="16" t="s">
        <v>54</v>
      </c>
      <c r="E57" s="16" t="s">
        <v>55</v>
      </c>
      <c r="F57" s="36" t="s">
        <v>86</v>
      </c>
      <c r="G57" s="569">
        <v>81.167046777400486</v>
      </c>
      <c r="H57" s="569">
        <v>14.249970219749056</v>
      </c>
      <c r="I57" s="18">
        <v>11.371384896273</v>
      </c>
      <c r="J57" s="18"/>
      <c r="K57" s="18"/>
      <c r="L57" s="569">
        <v>11.180658992669011</v>
      </c>
      <c r="M57" s="569"/>
      <c r="N57" s="569">
        <v>9.8071123481101932E-3</v>
      </c>
      <c r="O57" s="569">
        <v>4.0064247292719095</v>
      </c>
      <c r="P57" s="569">
        <v>8.392855304528883</v>
      </c>
      <c r="Q57" s="569">
        <v>15.977739111493493</v>
      </c>
      <c r="R57" s="569">
        <v>15.977739111493493</v>
      </c>
      <c r="S57" s="570"/>
      <c r="U57" s="572"/>
      <c r="V57" s="572"/>
      <c r="W57" s="570">
        <v>3.5980033541538396E-4</v>
      </c>
      <c r="X57" s="573">
        <v>1.0749923811858606E-4</v>
      </c>
    </row>
    <row r="58" spans="1:24" x14ac:dyDescent="0.35">
      <c r="A58" s="11" t="s">
        <v>596</v>
      </c>
      <c r="B58" s="11" t="s">
        <v>597</v>
      </c>
      <c r="C58" s="15" t="s">
        <v>598</v>
      </c>
      <c r="D58" s="16" t="s">
        <v>54</v>
      </c>
      <c r="E58" s="16" t="s">
        <v>55</v>
      </c>
      <c r="F58" s="11" t="s">
        <v>87</v>
      </c>
      <c r="G58" s="18">
        <v>0.51829475969463279</v>
      </c>
      <c r="H58" s="337">
        <v>1.9849826906380433E-2</v>
      </c>
      <c r="I58" s="33">
        <v>4.0010428338738344E-2</v>
      </c>
      <c r="J58" s="33"/>
      <c r="K58" s="33"/>
      <c r="L58" s="337">
        <v>4.9536516103920727E-3</v>
      </c>
      <c r="M58" s="337"/>
      <c r="N58" s="337">
        <v>2.6725159493489883E-5</v>
      </c>
      <c r="O58" s="337">
        <v>1.9052908435499372E-3</v>
      </c>
      <c r="P58" s="337">
        <v>0</v>
      </c>
      <c r="Q58" s="337">
        <v>0.22577418743877964</v>
      </c>
      <c r="R58" s="337">
        <v>0.22577418743877964</v>
      </c>
      <c r="U58" s="7"/>
      <c r="V58" s="7"/>
      <c r="W58" s="4">
        <v>3.9977975075167074E-7</v>
      </c>
      <c r="X58" s="42">
        <v>6.2178768522532279E-8</v>
      </c>
    </row>
    <row r="59" spans="1:24" x14ac:dyDescent="0.35">
      <c r="A59" s="11" t="s">
        <v>596</v>
      </c>
      <c r="B59" s="11" t="s">
        <v>597</v>
      </c>
      <c r="C59" s="15" t="s">
        <v>598</v>
      </c>
      <c r="D59" s="16" t="s">
        <v>54</v>
      </c>
      <c r="E59" s="16" t="s">
        <v>55</v>
      </c>
      <c r="F59" s="11" t="s">
        <v>88</v>
      </c>
      <c r="G59" s="18">
        <v>7.2144944609536186</v>
      </c>
      <c r="H59" s="337"/>
      <c r="I59" s="33"/>
      <c r="J59" s="33"/>
      <c r="K59" s="33"/>
      <c r="L59" s="337"/>
      <c r="M59" s="337"/>
      <c r="N59" s="337"/>
      <c r="O59" s="337"/>
      <c r="P59" s="337"/>
      <c r="Q59" s="337"/>
      <c r="R59" s="337"/>
      <c r="S59" s="4">
        <v>7.2144585920677438</v>
      </c>
      <c r="T59" s="99">
        <v>3.5868885874796712E-5</v>
      </c>
      <c r="U59" s="57">
        <v>3.5868885874796712E-5</v>
      </c>
      <c r="V59" s="7"/>
      <c r="W59" s="4"/>
      <c r="X59" s="42"/>
    </row>
    <row r="60" spans="1:24" ht="15" thickBot="1" x14ac:dyDescent="0.4">
      <c r="A60" s="11" t="s">
        <v>596</v>
      </c>
      <c r="B60" s="11" t="s">
        <v>597</v>
      </c>
      <c r="C60" s="15" t="s">
        <v>598</v>
      </c>
      <c r="D60" s="16" t="s">
        <v>54</v>
      </c>
      <c r="E60" s="16" t="s">
        <v>55</v>
      </c>
      <c r="F60" s="34" t="s">
        <v>89</v>
      </c>
      <c r="G60" s="18">
        <v>0.26520971843609709</v>
      </c>
      <c r="H60" s="337">
        <v>3.0533476422074334E-2</v>
      </c>
      <c r="I60" s="32">
        <v>4.5591261776406272E-4</v>
      </c>
      <c r="J60" s="32">
        <v>0.17299848637317244</v>
      </c>
      <c r="K60" s="32">
        <v>1.7299848637317244E-2</v>
      </c>
      <c r="L60" s="337">
        <v>3.0044993967763377E-4</v>
      </c>
      <c r="M60" s="337"/>
      <c r="N60" s="337">
        <v>6.9597234309268608E-7</v>
      </c>
      <c r="O60" s="337">
        <v>1.4924192948711235E-4</v>
      </c>
      <c r="P60" s="337">
        <v>0</v>
      </c>
      <c r="Q60" s="337">
        <v>2.173284986443888E-2</v>
      </c>
      <c r="R60" s="337">
        <v>2.173284986443888E-2</v>
      </c>
      <c r="S60" s="4"/>
      <c r="T60" s="42">
        <v>5.8681015622445902E-6</v>
      </c>
      <c r="U60" s="184">
        <v>3.2882309830687045E-6</v>
      </c>
      <c r="V60" s="184">
        <v>2.5798705791758861E-6</v>
      </c>
      <c r="W60" s="4">
        <v>3.3243880862549563E-8</v>
      </c>
      <c r="X60" s="42">
        <v>5.4699403425357061E-9</v>
      </c>
    </row>
    <row r="61" spans="1:24" ht="15" thickTop="1" x14ac:dyDescent="0.35">
      <c r="A61" s="125" t="s">
        <v>596</v>
      </c>
      <c r="B61" s="125" t="s">
        <v>597</v>
      </c>
      <c r="C61" s="126" t="s">
        <v>598</v>
      </c>
      <c r="D61" s="127" t="s">
        <v>54</v>
      </c>
      <c r="E61" s="127" t="s">
        <v>55</v>
      </c>
      <c r="F61" s="128" t="s">
        <v>90</v>
      </c>
      <c r="G61" s="364">
        <v>363.80583419510276</v>
      </c>
      <c r="H61" s="365">
        <v>23.177134124785489</v>
      </c>
      <c r="I61" s="129">
        <v>12.688159805416992</v>
      </c>
      <c r="J61" s="129">
        <v>47.228586779876075</v>
      </c>
      <c r="K61" s="129">
        <v>4.7228586779876078</v>
      </c>
      <c r="L61" s="129">
        <v>11.41030064419069</v>
      </c>
      <c r="M61" s="129">
        <v>0</v>
      </c>
      <c r="N61" s="129">
        <v>1.0793522550680496E-2</v>
      </c>
      <c r="O61" s="129">
        <v>4.1039454431596791</v>
      </c>
      <c r="P61" s="129">
        <v>8.392855304528883</v>
      </c>
      <c r="Q61" s="129">
        <v>28.638877910160939</v>
      </c>
      <c r="R61" s="129">
        <v>28.638877910160939</v>
      </c>
      <c r="S61" s="129">
        <v>194.79038198582907</v>
      </c>
      <c r="T61" s="129">
        <v>2.5704516451122844E-3</v>
      </c>
      <c r="U61" s="129"/>
      <c r="V61" s="129"/>
      <c r="W61" s="129">
        <v>3.8078935146325973E-4</v>
      </c>
      <c r="X61" s="129">
        <v>1.1084545913406977E-4</v>
      </c>
    </row>
    <row r="62" spans="1:24" x14ac:dyDescent="0.35">
      <c r="A62" s="503" t="s">
        <v>596</v>
      </c>
      <c r="B62" s="503" t="s">
        <v>597</v>
      </c>
      <c r="C62" s="504" t="s">
        <v>598</v>
      </c>
      <c r="D62" s="16" t="s">
        <v>493</v>
      </c>
      <c r="E62" s="16" t="s">
        <v>495</v>
      </c>
      <c r="F62" s="36" t="s">
        <v>86</v>
      </c>
      <c r="G62" s="569">
        <v>53.138876700207568</v>
      </c>
      <c r="H62" s="576">
        <v>10.085854227284893</v>
      </c>
      <c r="I62" s="576">
        <v>9.6228346901977844</v>
      </c>
      <c r="J62" s="576">
        <v>0</v>
      </c>
      <c r="K62" s="576">
        <v>0</v>
      </c>
      <c r="L62" s="576">
        <v>5.6411839500381378</v>
      </c>
      <c r="M62" s="576">
        <v>0</v>
      </c>
      <c r="N62" s="576">
        <v>4.9796136241620132E-4</v>
      </c>
      <c r="O62" s="576">
        <v>1.5779124986963677</v>
      </c>
      <c r="P62" s="576">
        <v>0.54583901935442602</v>
      </c>
      <c r="Q62" s="576">
        <v>0.18541813554303366</v>
      </c>
      <c r="R62" s="576">
        <v>0.18541813554303366</v>
      </c>
      <c r="S62" s="576">
        <v>0</v>
      </c>
      <c r="T62" s="576">
        <v>0</v>
      </c>
      <c r="U62" s="576">
        <v>0</v>
      </c>
      <c r="V62" s="576">
        <v>0</v>
      </c>
      <c r="W62" s="576">
        <v>22.378958192252178</v>
      </c>
      <c r="X62" s="576">
        <v>2.9149598899352944</v>
      </c>
    </row>
    <row r="63" spans="1:24" x14ac:dyDescent="0.35">
      <c r="A63" s="11" t="s">
        <v>596</v>
      </c>
      <c r="B63" s="11" t="s">
        <v>597</v>
      </c>
      <c r="C63" s="15" t="s">
        <v>598</v>
      </c>
      <c r="D63" s="16" t="s">
        <v>493</v>
      </c>
      <c r="E63" s="16" t="s">
        <v>495</v>
      </c>
      <c r="F63" s="11" t="s">
        <v>87</v>
      </c>
      <c r="G63" s="18">
        <v>8.616502489733445E-2</v>
      </c>
      <c r="H63" s="577">
        <v>1.8675725828341601E-2</v>
      </c>
      <c r="I63" s="577">
        <v>3.4040118966347573E-2</v>
      </c>
      <c r="J63" s="577">
        <v>0</v>
      </c>
      <c r="K63" s="577">
        <v>0</v>
      </c>
      <c r="L63" s="577">
        <v>2.4932664717661427E-3</v>
      </c>
      <c r="M63" s="577">
        <v>0</v>
      </c>
      <c r="N63" s="577">
        <v>2.2688459045430537E-5</v>
      </c>
      <c r="O63" s="577">
        <v>8.2382387512499428E-4</v>
      </c>
      <c r="P63" s="577">
        <v>0</v>
      </c>
      <c r="Q63" s="577">
        <v>1.8088743626564372E-3</v>
      </c>
      <c r="R63" s="577">
        <v>1.8088743626564372E-3</v>
      </c>
      <c r="S63" s="577">
        <v>0</v>
      </c>
      <c r="T63" s="577">
        <v>0</v>
      </c>
      <c r="U63" s="577">
        <v>0</v>
      </c>
      <c r="V63" s="577">
        <v>0</v>
      </c>
      <c r="W63" s="577">
        <v>2.4117436713497822E-2</v>
      </c>
      <c r="X63" s="577">
        <v>2.3742158578980103E-3</v>
      </c>
    </row>
    <row r="64" spans="1:24" x14ac:dyDescent="0.35">
      <c r="A64" s="11" t="s">
        <v>596</v>
      </c>
      <c r="B64" s="11" t="s">
        <v>597</v>
      </c>
      <c r="C64" s="15" t="s">
        <v>598</v>
      </c>
      <c r="D64" s="16" t="s">
        <v>493</v>
      </c>
      <c r="E64" s="16" t="s">
        <v>495</v>
      </c>
      <c r="F64" s="11" t="s">
        <v>88</v>
      </c>
      <c r="G64" s="18">
        <v>6.8866405158523216</v>
      </c>
      <c r="H64" s="577">
        <v>0</v>
      </c>
      <c r="I64" s="577">
        <v>0</v>
      </c>
      <c r="J64" s="577">
        <v>0</v>
      </c>
      <c r="K64" s="577">
        <v>0</v>
      </c>
      <c r="L64" s="577">
        <v>0</v>
      </c>
      <c r="M64" s="577">
        <v>0</v>
      </c>
      <c r="N64" s="577">
        <v>0</v>
      </c>
      <c r="O64" s="577">
        <v>0</v>
      </c>
      <c r="P64" s="577">
        <v>0</v>
      </c>
      <c r="Q64" s="577">
        <v>0</v>
      </c>
      <c r="R64" s="577">
        <v>0</v>
      </c>
      <c r="S64" s="577">
        <v>6.8865713999600064</v>
      </c>
      <c r="T64" s="577">
        <v>6.9115892315163306E-5</v>
      </c>
      <c r="U64" s="577">
        <v>6.9115892315163306E-5</v>
      </c>
      <c r="V64" s="577">
        <v>0</v>
      </c>
      <c r="W64" s="577">
        <v>0</v>
      </c>
      <c r="X64" s="577">
        <v>0</v>
      </c>
    </row>
    <row r="65" spans="1:24" ht="15" thickBot="1" x14ac:dyDescent="0.4">
      <c r="A65" s="11" t="s">
        <v>596</v>
      </c>
      <c r="B65" s="11" t="s">
        <v>597</v>
      </c>
      <c r="C65" s="15" t="s">
        <v>598</v>
      </c>
      <c r="D65" s="16" t="s">
        <v>493</v>
      </c>
      <c r="E65" s="16" t="s">
        <v>495</v>
      </c>
      <c r="F65" s="34" t="s">
        <v>89</v>
      </c>
      <c r="G65" s="18">
        <v>0.16075446237413638</v>
      </c>
      <c r="H65" s="577">
        <v>2.2315240176001446E-2</v>
      </c>
      <c r="I65" s="577">
        <v>3.8840147513946892E-4</v>
      </c>
      <c r="J65" s="577">
        <v>0.12414554621997023</v>
      </c>
      <c r="K65" s="577">
        <v>1.2414554621997025E-2</v>
      </c>
      <c r="L65" s="577">
        <v>1.5118963937006222E-4</v>
      </c>
      <c r="M65" s="577">
        <v>0</v>
      </c>
      <c r="N65" s="577">
        <v>2.7906021621158783E-7</v>
      </c>
      <c r="O65" s="577">
        <v>5.6222165989721301E-5</v>
      </c>
      <c r="P65" s="577">
        <v>0</v>
      </c>
      <c r="Q65" s="577">
        <v>1.751794206792001E-4</v>
      </c>
      <c r="R65" s="577">
        <v>1.751794206792001E-4</v>
      </c>
      <c r="S65" s="577">
        <v>0</v>
      </c>
      <c r="T65" s="577">
        <v>4.9173455744813009E-6</v>
      </c>
      <c r="U65" s="577">
        <v>3.4301561000885537E-6</v>
      </c>
      <c r="V65" s="577">
        <v>1.4871894743927472E-6</v>
      </c>
      <c r="W65" s="577">
        <v>8.2212601105133905E-4</v>
      </c>
      <c r="X65" s="577">
        <v>1.0562681746798326E-4</v>
      </c>
    </row>
    <row r="66" spans="1:24" ht="15" thickTop="1" x14ac:dyDescent="0.35">
      <c r="A66" s="125" t="s">
        <v>596</v>
      </c>
      <c r="B66" s="125" t="s">
        <v>597</v>
      </c>
      <c r="C66" s="126" t="s">
        <v>598</v>
      </c>
      <c r="D66" s="127" t="s">
        <v>493</v>
      </c>
      <c r="E66" s="127" t="s">
        <v>495</v>
      </c>
      <c r="F66" s="128" t="s">
        <v>90</v>
      </c>
      <c r="G66" s="364">
        <v>285.53185659829995</v>
      </c>
      <c r="H66" s="365">
        <v>16.734451425017866</v>
      </c>
      <c r="I66" s="129">
        <v>10.743263838108016</v>
      </c>
      <c r="J66" s="129">
        <v>33.891734118051872</v>
      </c>
      <c r="K66" s="129">
        <v>3.3891734118051877</v>
      </c>
      <c r="L66" s="129">
        <v>5.7567580624447956</v>
      </c>
      <c r="M66" s="129">
        <v>0</v>
      </c>
      <c r="N66" s="129">
        <v>1.2502608809957948E-3</v>
      </c>
      <c r="O66" s="129">
        <v>1.6178111014902865</v>
      </c>
      <c r="P66" s="129">
        <v>0.54583901935442602</v>
      </c>
      <c r="Q66" s="129">
        <v>0.28714657339561711</v>
      </c>
      <c r="R66" s="129">
        <v>0.28714657339561711</v>
      </c>
      <c r="S66" s="129">
        <v>185.93742779892017</v>
      </c>
      <c r="T66" s="129">
        <v>3.2085644343428045E-3</v>
      </c>
      <c r="U66" s="129"/>
      <c r="V66" s="129"/>
      <c r="W66" s="129">
        <v>23.322098207331429</v>
      </c>
      <c r="X66" s="129">
        <v>3.0145476436694145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V25"/>
  <sheetViews>
    <sheetView topLeftCell="A12" zoomScale="92" zoomScaleNormal="110" workbookViewId="0">
      <selection activeCell="B7" sqref="B7"/>
    </sheetView>
  </sheetViews>
  <sheetFormatPr defaultColWidth="8.7265625" defaultRowHeight="14.5" x14ac:dyDescent="0.35"/>
  <cols>
    <col min="1" max="1" width="59.453125" customWidth="1"/>
    <col min="2" max="11" width="10.7265625" customWidth="1"/>
    <col min="12" max="12" width="10.7265625" style="172" customWidth="1"/>
  </cols>
  <sheetData>
    <row r="2" spans="1:22" ht="18.5" x14ac:dyDescent="0.45">
      <c r="A2" s="1" t="s">
        <v>94</v>
      </c>
      <c r="B2" t="s">
        <v>35</v>
      </c>
      <c r="C2" t="s">
        <v>37</v>
      </c>
      <c r="D2" t="s">
        <v>39</v>
      </c>
      <c r="E2" t="s">
        <v>41</v>
      </c>
      <c r="F2" t="s">
        <v>43</v>
      </c>
      <c r="G2" t="s">
        <v>45</v>
      </c>
      <c r="H2" t="s">
        <v>47</v>
      </c>
      <c r="I2" t="s">
        <v>49</v>
      </c>
      <c r="J2" t="s">
        <v>51</v>
      </c>
      <c r="K2" t="s">
        <v>53</v>
      </c>
      <c r="L2" s="180" t="s">
        <v>55</v>
      </c>
      <c r="M2" s="180" t="s">
        <v>495</v>
      </c>
      <c r="N2" s="180"/>
    </row>
    <row r="3" spans="1:22" ht="18.5" x14ac:dyDescent="0.45">
      <c r="A3" s="1"/>
      <c r="B3" s="117" t="s">
        <v>34</v>
      </c>
      <c r="C3" s="117" t="s">
        <v>36</v>
      </c>
      <c r="D3" s="117" t="s">
        <v>38</v>
      </c>
      <c r="E3" s="117" t="s">
        <v>40</v>
      </c>
      <c r="F3" s="117" t="s">
        <v>42</v>
      </c>
      <c r="G3" s="117" t="s">
        <v>44</v>
      </c>
      <c r="H3" s="117" t="s">
        <v>46</v>
      </c>
      <c r="I3" s="117" t="s">
        <v>48</v>
      </c>
      <c r="J3" s="117" t="s">
        <v>50</v>
      </c>
      <c r="K3" s="117" t="s">
        <v>52</v>
      </c>
      <c r="L3" s="186" t="s">
        <v>54</v>
      </c>
      <c r="M3" s="186" t="s">
        <v>493</v>
      </c>
      <c r="N3" s="15"/>
      <c r="V3" s="185"/>
    </row>
    <row r="4" spans="1:22" x14ac:dyDescent="0.35">
      <c r="A4" s="107" t="s">
        <v>95</v>
      </c>
      <c r="B4" s="124"/>
      <c r="C4" s="124"/>
      <c r="D4" s="124"/>
      <c r="E4" s="124"/>
      <c r="F4" s="124"/>
      <c r="G4" s="124"/>
      <c r="H4" s="124"/>
      <c r="I4" s="124"/>
      <c r="J4" s="124"/>
      <c r="K4" s="124"/>
      <c r="L4" s="181"/>
      <c r="M4" s="181"/>
      <c r="N4" s="166"/>
      <c r="V4" s="185"/>
    </row>
    <row r="5" spans="1:22" x14ac:dyDescent="0.35">
      <c r="A5" s="3" t="s">
        <v>515</v>
      </c>
      <c r="B5" s="183">
        <v>0</v>
      </c>
      <c r="C5" s="183">
        <v>0</v>
      </c>
      <c r="D5" s="183">
        <v>0</v>
      </c>
      <c r="E5" s="183">
        <v>0</v>
      </c>
      <c r="F5" s="183">
        <v>0</v>
      </c>
      <c r="G5" s="183">
        <v>0</v>
      </c>
      <c r="H5" s="183">
        <v>0</v>
      </c>
      <c r="I5" s="183">
        <v>0</v>
      </c>
      <c r="J5" s="183">
        <v>0</v>
      </c>
      <c r="K5" s="183">
        <v>0</v>
      </c>
      <c r="L5" s="183">
        <v>0</v>
      </c>
      <c r="M5" s="183">
        <v>0</v>
      </c>
      <c r="N5" s="183"/>
      <c r="O5" s="88" t="s">
        <v>589</v>
      </c>
      <c r="V5" s="185"/>
    </row>
    <row r="6" spans="1:22" x14ac:dyDescent="0.35">
      <c r="A6" s="3" t="s">
        <v>277</v>
      </c>
      <c r="B6" s="166">
        <v>0</v>
      </c>
      <c r="C6" s="166">
        <v>0</v>
      </c>
      <c r="D6" s="166">
        <v>0</v>
      </c>
      <c r="E6" s="166">
        <v>0</v>
      </c>
      <c r="F6" s="166">
        <v>0</v>
      </c>
      <c r="G6" s="166">
        <v>0</v>
      </c>
      <c r="H6" s="166">
        <v>0</v>
      </c>
      <c r="I6" s="166">
        <v>0</v>
      </c>
      <c r="J6" s="166">
        <v>0</v>
      </c>
      <c r="K6" s="166">
        <v>0</v>
      </c>
      <c r="L6" s="166">
        <v>0</v>
      </c>
      <c r="M6" s="166">
        <v>0</v>
      </c>
      <c r="N6" s="166"/>
      <c r="O6" s="88"/>
      <c r="V6" s="185"/>
    </row>
    <row r="7" spans="1:22" x14ac:dyDescent="0.35">
      <c r="A7" s="3" t="s">
        <v>516</v>
      </c>
      <c r="B7" s="166">
        <v>1</v>
      </c>
      <c r="C7" s="166">
        <v>1</v>
      </c>
      <c r="D7" s="166">
        <v>1</v>
      </c>
      <c r="E7" s="166">
        <v>1</v>
      </c>
      <c r="F7" s="166">
        <v>1</v>
      </c>
      <c r="G7" s="166">
        <v>1</v>
      </c>
      <c r="H7" s="166">
        <v>1</v>
      </c>
      <c r="I7" s="166">
        <v>1</v>
      </c>
      <c r="J7" s="166">
        <v>1</v>
      </c>
      <c r="K7" s="166">
        <v>1</v>
      </c>
      <c r="L7" s="166">
        <v>1</v>
      </c>
      <c r="M7" s="166">
        <v>1</v>
      </c>
      <c r="N7" s="166"/>
      <c r="O7" s="88" t="s">
        <v>590</v>
      </c>
      <c r="V7" s="185"/>
    </row>
    <row r="8" spans="1:22" x14ac:dyDescent="0.35">
      <c r="A8" s="3" t="s">
        <v>166</v>
      </c>
      <c r="B8" s="166">
        <f>SUM(B5:B7)</f>
        <v>1</v>
      </c>
      <c r="C8" s="166">
        <f t="shared" ref="C8:M8" si="0">SUM(C5:C7)</f>
        <v>1</v>
      </c>
      <c r="D8" s="166">
        <f t="shared" si="0"/>
        <v>1</v>
      </c>
      <c r="E8" s="166">
        <f t="shared" si="0"/>
        <v>1</v>
      </c>
      <c r="F8" s="166">
        <f t="shared" si="0"/>
        <v>1</v>
      </c>
      <c r="G8" s="166">
        <f t="shared" si="0"/>
        <v>1</v>
      </c>
      <c r="H8" s="166">
        <f t="shared" si="0"/>
        <v>1</v>
      </c>
      <c r="I8" s="166">
        <f t="shared" si="0"/>
        <v>1</v>
      </c>
      <c r="J8" s="166">
        <f t="shared" si="0"/>
        <v>1</v>
      </c>
      <c r="K8" s="166">
        <f t="shared" si="0"/>
        <v>1</v>
      </c>
      <c r="L8" s="166">
        <f t="shared" si="0"/>
        <v>1</v>
      </c>
      <c r="M8" s="166">
        <f t="shared" si="0"/>
        <v>1</v>
      </c>
      <c r="N8" s="166"/>
      <c r="O8" s="88"/>
      <c r="V8" s="185"/>
    </row>
    <row r="9" spans="1:22" x14ac:dyDescent="0.35">
      <c r="A9" s="107" t="s">
        <v>96</v>
      </c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15"/>
      <c r="O9" s="88"/>
      <c r="V9" s="185"/>
    </row>
    <row r="10" spans="1:22" x14ac:dyDescent="0.35">
      <c r="A10" s="3" t="s">
        <v>515</v>
      </c>
      <c r="B10" s="183">
        <v>0</v>
      </c>
      <c r="C10" s="183">
        <v>0</v>
      </c>
      <c r="D10" s="183">
        <v>0</v>
      </c>
      <c r="E10" s="183">
        <v>0</v>
      </c>
      <c r="F10" s="183">
        <v>0</v>
      </c>
      <c r="G10" s="183">
        <v>0</v>
      </c>
      <c r="H10" s="183">
        <v>0</v>
      </c>
      <c r="I10" s="183">
        <v>0</v>
      </c>
      <c r="J10" s="183">
        <v>0</v>
      </c>
      <c r="K10" s="183">
        <v>0</v>
      </c>
      <c r="L10" s="183">
        <v>0</v>
      </c>
      <c r="M10" s="183">
        <v>0</v>
      </c>
      <c r="N10" s="183"/>
      <c r="O10" s="179" t="s">
        <v>517</v>
      </c>
      <c r="V10" s="185"/>
    </row>
    <row r="11" spans="1:22" x14ac:dyDescent="0.35">
      <c r="A11" s="3" t="s">
        <v>516</v>
      </c>
      <c r="B11" s="166">
        <f>B7/2*(1-'Parameters, country spec'!B12/100)</f>
        <v>0.46250000000000002</v>
      </c>
      <c r="C11" s="166">
        <f>C7/2*(1-'Parameters, country spec'!C12/100)</f>
        <v>0.46250000000000002</v>
      </c>
      <c r="D11" s="166">
        <f>D7/2*(1-'Parameters, country spec'!D12/100)</f>
        <v>0.46250000000000002</v>
      </c>
      <c r="E11" s="166">
        <f>E7/2*(1-'Parameters, country spec'!E12/100)</f>
        <v>0.46250000000000002</v>
      </c>
      <c r="F11" s="166">
        <f>F7/2*(1-'Parameters, country spec'!F12/100)</f>
        <v>0.46250000000000002</v>
      </c>
      <c r="G11" s="166">
        <f>G7/2*(1-'Parameters, country spec'!G12/100)</f>
        <v>0.46250000000000002</v>
      </c>
      <c r="H11" s="166">
        <f>H7/2*(1-'Parameters, country spec'!H12/100)</f>
        <v>0.46250000000000002</v>
      </c>
      <c r="I11" s="166">
        <f>I7/2*(1-'Parameters, country spec'!I12/100)</f>
        <v>0.46250000000000002</v>
      </c>
      <c r="J11" s="166">
        <f>J7/2*(1-'Parameters, country spec'!J12/100)</f>
        <v>0.46250000000000002</v>
      </c>
      <c r="K11" s="166">
        <f>K7/2*(1-'Parameters, country spec'!K12/100)</f>
        <v>0.46250000000000002</v>
      </c>
      <c r="L11" s="166">
        <f>L7/2*(1-'Parameters, country spec'!L12/100)</f>
        <v>0.46250000000000002</v>
      </c>
      <c r="M11" s="166">
        <f>M7/2*(1-'Parameters, country spec'!M12/100)</f>
        <v>0.46250000000000002</v>
      </c>
      <c r="N11" s="183"/>
      <c r="O11" s="179" t="s">
        <v>588</v>
      </c>
      <c r="V11" s="185"/>
    </row>
    <row r="12" spans="1:22" x14ac:dyDescent="0.35">
      <c r="A12" s="3" t="s">
        <v>166</v>
      </c>
      <c r="B12" s="183">
        <f>SUM(B10:B11)</f>
        <v>0.46250000000000002</v>
      </c>
      <c r="C12" s="183">
        <f t="shared" ref="C12:M12" si="1">SUM(C10:C11)</f>
        <v>0.46250000000000002</v>
      </c>
      <c r="D12" s="183">
        <f t="shared" si="1"/>
        <v>0.46250000000000002</v>
      </c>
      <c r="E12" s="183">
        <f t="shared" si="1"/>
        <v>0.46250000000000002</v>
      </c>
      <c r="F12" s="183">
        <f t="shared" si="1"/>
        <v>0.46250000000000002</v>
      </c>
      <c r="G12" s="183">
        <f t="shared" si="1"/>
        <v>0.46250000000000002</v>
      </c>
      <c r="H12" s="183">
        <f t="shared" si="1"/>
        <v>0.46250000000000002</v>
      </c>
      <c r="I12" s="183">
        <f t="shared" si="1"/>
        <v>0.46250000000000002</v>
      </c>
      <c r="J12" s="183">
        <f t="shared" si="1"/>
        <v>0.46250000000000002</v>
      </c>
      <c r="K12" s="183">
        <f t="shared" si="1"/>
        <v>0.46250000000000002</v>
      </c>
      <c r="L12" s="183">
        <f t="shared" si="1"/>
        <v>0.46250000000000002</v>
      </c>
      <c r="M12" s="183">
        <f t="shared" si="1"/>
        <v>0.46250000000000002</v>
      </c>
      <c r="N12" s="183"/>
      <c r="O12" s="179"/>
      <c r="V12" s="185"/>
    </row>
    <row r="13" spans="1:22" x14ac:dyDescent="0.35">
      <c r="A13" s="107" t="s">
        <v>97</v>
      </c>
      <c r="B13" s="182"/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0"/>
      <c r="O13" s="88"/>
    </row>
    <row r="14" spans="1:22" x14ac:dyDescent="0.35">
      <c r="A14" s="3" t="s">
        <v>515</v>
      </c>
      <c r="B14" s="180">
        <v>0</v>
      </c>
      <c r="C14" s="180">
        <v>0</v>
      </c>
      <c r="D14" s="180">
        <v>0</v>
      </c>
      <c r="E14" s="180">
        <v>0</v>
      </c>
      <c r="F14" s="180">
        <v>0</v>
      </c>
      <c r="G14" s="180">
        <v>0</v>
      </c>
      <c r="H14" s="180">
        <v>0</v>
      </c>
      <c r="I14" s="180">
        <v>0</v>
      </c>
      <c r="J14" s="180">
        <v>0</v>
      </c>
      <c r="K14" s="180">
        <v>0</v>
      </c>
      <c r="L14" s="180">
        <v>0</v>
      </c>
      <c r="M14" s="180">
        <v>0</v>
      </c>
      <c r="N14" s="180"/>
      <c r="O14" s="88" t="s">
        <v>284</v>
      </c>
    </row>
    <row r="15" spans="1:22" x14ac:dyDescent="0.35">
      <c r="A15" s="3" t="s">
        <v>516</v>
      </c>
      <c r="B15" s="180">
        <f>B11*'Parameters, country spec'!B9</f>
        <v>148</v>
      </c>
      <c r="C15" s="180">
        <f>C11*'Parameters, country spec'!C9</f>
        <v>148</v>
      </c>
      <c r="D15" s="180">
        <f>D11*'Parameters, country spec'!D9</f>
        <v>148</v>
      </c>
      <c r="E15" s="180">
        <f>E11*'Parameters, country spec'!E9</f>
        <v>148</v>
      </c>
      <c r="F15" s="180">
        <f>F11*'Parameters, country spec'!F9</f>
        <v>148</v>
      </c>
      <c r="G15" s="180">
        <f>G11*'Parameters, country spec'!G9</f>
        <v>148</v>
      </c>
      <c r="H15" s="180">
        <f>H11*'Parameters, country spec'!H9</f>
        <v>148</v>
      </c>
      <c r="I15" s="180">
        <f>I11*'Parameters, country spec'!I9</f>
        <v>148</v>
      </c>
      <c r="J15" s="180">
        <f>J11*'Parameters, country spec'!J9</f>
        <v>148</v>
      </c>
      <c r="K15" s="180">
        <f>K11*'Parameters, country spec'!K9</f>
        <v>148</v>
      </c>
      <c r="L15" s="180">
        <f>L11*'Parameters, country spec'!L9</f>
        <v>148</v>
      </c>
      <c r="M15" s="180">
        <f>M11*'Parameters, country spec'!M9</f>
        <v>148</v>
      </c>
      <c r="N15" s="180"/>
      <c r="O15" s="88"/>
    </row>
    <row r="16" spans="1:22" x14ac:dyDescent="0.35">
      <c r="A16" s="107" t="s">
        <v>98</v>
      </c>
      <c r="B16" s="181"/>
      <c r="C16" s="181"/>
      <c r="D16" s="181"/>
      <c r="E16" s="181"/>
      <c r="F16" s="181"/>
      <c r="G16" s="181"/>
      <c r="H16" s="181"/>
      <c r="I16" s="181"/>
      <c r="J16" s="181"/>
      <c r="K16" s="181"/>
      <c r="L16" s="181"/>
      <c r="M16" s="181"/>
      <c r="N16" s="166"/>
    </row>
    <row r="17" spans="1:14" x14ac:dyDescent="0.35">
      <c r="A17" s="3" t="s">
        <v>515</v>
      </c>
      <c r="B17" s="180">
        <f>B14*'Parameters, country spec'!B7</f>
        <v>0</v>
      </c>
      <c r="C17" s="180">
        <f>C14*'Parameters, country spec'!C7</f>
        <v>0</v>
      </c>
      <c r="D17" s="180">
        <f>D14*'Parameters, country spec'!D7</f>
        <v>0</v>
      </c>
      <c r="E17" s="180">
        <f>E14*'Parameters, country spec'!E7</f>
        <v>0</v>
      </c>
      <c r="F17" s="180">
        <f>F14*'Parameters, country spec'!F7</f>
        <v>0</v>
      </c>
      <c r="G17" s="180">
        <f>G14*'Parameters, country spec'!G7</f>
        <v>0</v>
      </c>
      <c r="H17" s="180">
        <f>H14*'Parameters, country spec'!H7</f>
        <v>0</v>
      </c>
      <c r="I17" s="180">
        <f>I14*'Parameters, country spec'!I7</f>
        <v>0</v>
      </c>
      <c r="J17" s="180">
        <f>J14*'Parameters, country spec'!J7</f>
        <v>0</v>
      </c>
      <c r="K17" s="180">
        <f>K14*'Parameters, country spec'!K7</f>
        <v>0</v>
      </c>
      <c r="L17" s="180">
        <f>L14*'Parameters, country spec'!L7</f>
        <v>0</v>
      </c>
      <c r="M17" s="180">
        <f>M14*'Parameters, country spec'!M7</f>
        <v>0</v>
      </c>
      <c r="N17" s="180"/>
    </row>
    <row r="18" spans="1:14" x14ac:dyDescent="0.35">
      <c r="A18" s="3" t="s">
        <v>516</v>
      </c>
      <c r="B18" s="180">
        <f>B15*'Parameters, country spec'!B7</f>
        <v>102.86</v>
      </c>
      <c r="C18" s="180">
        <f>C15*'Parameters, country spec'!C7</f>
        <v>102.86</v>
      </c>
      <c r="D18" s="180">
        <f>D15*'Parameters, country spec'!D7</f>
        <v>102.86</v>
      </c>
      <c r="E18" s="180">
        <f>E15*'Parameters, country spec'!E7</f>
        <v>102.86</v>
      </c>
      <c r="F18" s="180">
        <f>F15*'Parameters, country spec'!F7</f>
        <v>102.86</v>
      </c>
      <c r="G18" s="180">
        <f>G15*'Parameters, country spec'!G7</f>
        <v>102.86</v>
      </c>
      <c r="H18" s="180">
        <f>H15*'Parameters, country spec'!H7</f>
        <v>102.86</v>
      </c>
      <c r="I18" s="180">
        <f>I15*'Parameters, country spec'!I7</f>
        <v>102.86</v>
      </c>
      <c r="J18" s="180">
        <f>J15*'Parameters, country spec'!J7</f>
        <v>102.86</v>
      </c>
      <c r="K18" s="180">
        <f>K15*'Parameters, country spec'!K7</f>
        <v>102.86</v>
      </c>
      <c r="L18" s="180">
        <f>L15*'Parameters, country spec'!L7</f>
        <v>102.86</v>
      </c>
      <c r="M18" s="180">
        <f>M15*'Parameters, country spec'!M7</f>
        <v>102.86</v>
      </c>
      <c r="N18" s="180"/>
    </row>
    <row r="19" spans="1:14" x14ac:dyDescent="0.35">
      <c r="A19" s="107" t="s">
        <v>99</v>
      </c>
      <c r="B19" s="181"/>
      <c r="C19" s="181"/>
      <c r="D19" s="181"/>
      <c r="E19" s="181"/>
      <c r="F19" s="181"/>
      <c r="G19" s="181"/>
      <c r="H19" s="181"/>
      <c r="I19" s="181"/>
      <c r="J19" s="181"/>
      <c r="K19" s="181"/>
      <c r="L19" s="181"/>
      <c r="M19" s="181"/>
      <c r="N19" s="166"/>
    </row>
    <row r="20" spans="1:14" x14ac:dyDescent="0.35">
      <c r="A20" s="3" t="s">
        <v>515</v>
      </c>
      <c r="B20" s="183">
        <f>B10*'Parameters, country spec'!B10</f>
        <v>0</v>
      </c>
      <c r="C20" s="183">
        <f>C10*'Parameters, country spec'!C10</f>
        <v>0</v>
      </c>
      <c r="D20" s="183">
        <f>D10*'Parameters, country spec'!D10</f>
        <v>0</v>
      </c>
      <c r="E20" s="183">
        <f>E10*'Parameters, country spec'!E10</f>
        <v>0</v>
      </c>
      <c r="F20" s="183">
        <f>F10*'Parameters, country spec'!F10</f>
        <v>0</v>
      </c>
      <c r="G20" s="183">
        <f>G10*'Parameters, country spec'!G10</f>
        <v>0</v>
      </c>
      <c r="H20" s="183">
        <f>H10*'Parameters, country spec'!H10</f>
        <v>0</v>
      </c>
      <c r="I20" s="183">
        <f>I10*'Parameters, country spec'!I10</f>
        <v>0</v>
      </c>
      <c r="J20" s="183">
        <f>J10*'Parameters, country spec'!J10</f>
        <v>0</v>
      </c>
      <c r="K20" s="183">
        <f>K10*'Parameters, country spec'!K10</f>
        <v>0</v>
      </c>
      <c r="L20" s="183">
        <f>L10*'Parameters, country spec'!L10</f>
        <v>0</v>
      </c>
      <c r="M20" s="183">
        <f>M10*'Parameters, country spec'!M10</f>
        <v>0</v>
      </c>
      <c r="N20" s="183"/>
    </row>
    <row r="21" spans="1:14" x14ac:dyDescent="0.35">
      <c r="A21" s="3" t="s">
        <v>516</v>
      </c>
      <c r="B21" s="183">
        <f>B11*'Parameters, country spec'!B10</f>
        <v>2.2200000000000002</v>
      </c>
      <c r="C21" s="183">
        <f>C11*'Parameters, country spec'!C10</f>
        <v>2.2200000000000002</v>
      </c>
      <c r="D21" s="183">
        <f>D11*'Parameters, country spec'!D10</f>
        <v>2.2200000000000002</v>
      </c>
      <c r="E21" s="183">
        <f>E11*'Parameters, country spec'!E10</f>
        <v>2.2200000000000002</v>
      </c>
      <c r="F21" s="183">
        <f>F11*'Parameters, country spec'!F10</f>
        <v>2.2200000000000002</v>
      </c>
      <c r="G21" s="183">
        <f>G11*'Parameters, country spec'!G10</f>
        <v>2.2200000000000002</v>
      </c>
      <c r="H21" s="183">
        <f>H11*'Parameters, country spec'!H10</f>
        <v>2.2200000000000002</v>
      </c>
      <c r="I21" s="183">
        <f>I11*'Parameters, country spec'!I10</f>
        <v>2.2200000000000002</v>
      </c>
      <c r="J21" s="183">
        <f>J11*'Parameters, country spec'!J10</f>
        <v>2.2200000000000002</v>
      </c>
      <c r="K21" s="183">
        <f>K11*'Parameters, country spec'!K10</f>
        <v>2.2200000000000002</v>
      </c>
      <c r="L21" s="183">
        <f>L11*'Parameters, country spec'!L10</f>
        <v>2.2200000000000002</v>
      </c>
      <c r="M21" s="183">
        <f>M11*'Parameters, country spec'!M10</f>
        <v>2.2200000000000002</v>
      </c>
      <c r="N21" s="183"/>
    </row>
    <row r="22" spans="1:14" x14ac:dyDescent="0.35">
      <c r="A22" s="107" t="s">
        <v>100</v>
      </c>
      <c r="B22" s="181"/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  <c r="N22" s="166"/>
    </row>
    <row r="23" spans="1:14" x14ac:dyDescent="0.35">
      <c r="A23" s="3" t="s">
        <v>166</v>
      </c>
      <c r="B23" s="180">
        <f>SUM(B17:B21)</f>
        <v>105.08</v>
      </c>
      <c r="C23" s="180">
        <f t="shared" ref="C23:L23" si="2">SUM(C17:C21)</f>
        <v>105.08</v>
      </c>
      <c r="D23" s="180">
        <f t="shared" si="2"/>
        <v>105.08</v>
      </c>
      <c r="E23" s="180">
        <f t="shared" si="2"/>
        <v>105.08</v>
      </c>
      <c r="F23" s="180">
        <f t="shared" si="2"/>
        <v>105.08</v>
      </c>
      <c r="G23" s="180">
        <f t="shared" si="2"/>
        <v>105.08</v>
      </c>
      <c r="H23" s="180">
        <f t="shared" si="2"/>
        <v>105.08</v>
      </c>
      <c r="I23" s="180">
        <f t="shared" si="2"/>
        <v>105.08</v>
      </c>
      <c r="J23" s="180">
        <f t="shared" si="2"/>
        <v>105.08</v>
      </c>
      <c r="K23" s="180">
        <f t="shared" si="2"/>
        <v>105.08</v>
      </c>
      <c r="L23" s="180">
        <f t="shared" si="2"/>
        <v>105.08</v>
      </c>
      <c r="M23" s="180">
        <f t="shared" ref="M23" si="3">SUM(M17:M21)</f>
        <v>105.08</v>
      </c>
      <c r="N23" s="180"/>
    </row>
    <row r="24" spans="1:14" x14ac:dyDescent="0.35">
      <c r="A24" s="107" t="s">
        <v>616</v>
      </c>
      <c r="B24" s="181"/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</row>
    <row r="25" spans="1:14" x14ac:dyDescent="0.35">
      <c r="A25" s="3" t="s">
        <v>516</v>
      </c>
      <c r="B25" s="4">
        <f>B11*(1+'Parameters, country spec'!B12/100)/B23</f>
        <v>4.731514084507042E-3</v>
      </c>
      <c r="C25" s="4">
        <f>C11*(1+'Parameters, country spec'!C12/100)/C23</f>
        <v>4.731514084507042E-3</v>
      </c>
      <c r="D25" s="4">
        <f>D11*(1+'Parameters, country spec'!D12/100)/D23</f>
        <v>4.731514084507042E-3</v>
      </c>
      <c r="E25" s="4">
        <f>E11*(1+'Parameters, country spec'!E12/100)/E23</f>
        <v>4.731514084507042E-3</v>
      </c>
      <c r="F25" s="4">
        <f>F11*(1+'Parameters, country spec'!F12/100)/F23</f>
        <v>4.731514084507042E-3</v>
      </c>
      <c r="G25" s="4">
        <f>G11*(1+'Parameters, country spec'!G12/100)/G23</f>
        <v>4.731514084507042E-3</v>
      </c>
      <c r="H25" s="4">
        <f>H11*(1+'Parameters, country spec'!H12/100)/H23</f>
        <v>4.731514084507042E-3</v>
      </c>
      <c r="I25" s="4">
        <f>I11*(1+'Parameters, country spec'!I12/100)/I23</f>
        <v>4.731514084507042E-3</v>
      </c>
      <c r="J25" s="4">
        <f>J11*(1+'Parameters, country spec'!J12/100)/J23</f>
        <v>4.731514084507042E-3</v>
      </c>
      <c r="K25" s="4">
        <f>K11*(1+'Parameters, country spec'!K12/100)/K23</f>
        <v>4.731514084507042E-3</v>
      </c>
      <c r="L25" s="4">
        <f>L11*(1+'Parameters, country spec'!L12/100)/L23</f>
        <v>4.731514084507042E-3</v>
      </c>
      <c r="M25" s="4">
        <f>M11*(1+'Parameters, country spec'!M12/100)/M23</f>
        <v>4.731514084507042E-3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>
    <tabColor theme="4" tint="0.39997558519241921"/>
  </sheetPr>
  <dimension ref="A2:W102"/>
  <sheetViews>
    <sheetView topLeftCell="A3" zoomScale="87" zoomScaleNormal="80" workbookViewId="0">
      <selection activeCell="B12" sqref="B12"/>
    </sheetView>
  </sheetViews>
  <sheetFormatPr defaultColWidth="8.7265625" defaultRowHeight="14.5" x14ac:dyDescent="0.35"/>
  <cols>
    <col min="1" max="1" width="55.7265625" customWidth="1"/>
    <col min="2" max="11" width="10.7265625" customWidth="1"/>
    <col min="12" max="13" width="10.7265625" style="172" customWidth="1"/>
    <col min="15" max="15" width="29.26953125" customWidth="1"/>
    <col min="16" max="16" width="24.26953125" customWidth="1"/>
  </cols>
  <sheetData>
    <row r="2" spans="1:19" ht="18.5" x14ac:dyDescent="0.45">
      <c r="A2" s="1" t="s">
        <v>101</v>
      </c>
      <c r="D2" s="6"/>
    </row>
    <row r="3" spans="1:19" x14ac:dyDescent="0.35">
      <c r="B3" t="s">
        <v>35</v>
      </c>
      <c r="C3" t="s">
        <v>37</v>
      </c>
      <c r="D3" t="s">
        <v>39</v>
      </c>
      <c r="E3" t="s">
        <v>41</v>
      </c>
      <c r="F3" t="s">
        <v>43</v>
      </c>
      <c r="G3" t="s">
        <v>45</v>
      </c>
      <c r="H3" t="s">
        <v>47</v>
      </c>
      <c r="I3" t="s">
        <v>49</v>
      </c>
      <c r="J3" t="s">
        <v>51</v>
      </c>
      <c r="K3" t="s">
        <v>53</v>
      </c>
      <c r="L3" s="16" t="s">
        <v>55</v>
      </c>
      <c r="M3" s="16" t="s">
        <v>495</v>
      </c>
    </row>
    <row r="4" spans="1:19" x14ac:dyDescent="0.35">
      <c r="A4" s="123" t="s">
        <v>102</v>
      </c>
      <c r="B4" s="123" t="s">
        <v>34</v>
      </c>
      <c r="C4" s="123" t="s">
        <v>36</v>
      </c>
      <c r="D4" s="123" t="s">
        <v>38</v>
      </c>
      <c r="E4" s="123" t="s">
        <v>40</v>
      </c>
      <c r="F4" s="123" t="s">
        <v>42</v>
      </c>
      <c r="G4" s="123" t="s">
        <v>44</v>
      </c>
      <c r="H4" s="123" t="s">
        <v>46</v>
      </c>
      <c r="I4" s="123" t="s">
        <v>48</v>
      </c>
      <c r="J4" s="123" t="s">
        <v>50</v>
      </c>
      <c r="K4" s="123" t="s">
        <v>52</v>
      </c>
      <c r="L4" s="123" t="s">
        <v>54</v>
      </c>
      <c r="M4" s="123" t="s">
        <v>493</v>
      </c>
      <c r="O4" s="123" t="s">
        <v>103</v>
      </c>
      <c r="P4" s="123"/>
      <c r="Q4" s="123"/>
    </row>
    <row r="5" spans="1:19" x14ac:dyDescent="0.35">
      <c r="A5" s="3" t="s">
        <v>107</v>
      </c>
      <c r="B5" s="13" t="s">
        <v>577</v>
      </c>
      <c r="C5" s="13" t="s">
        <v>577</v>
      </c>
      <c r="D5" s="13" t="s">
        <v>577</v>
      </c>
      <c r="E5" s="13" t="s">
        <v>577</v>
      </c>
      <c r="F5" s="13" t="s">
        <v>577</v>
      </c>
      <c r="G5" s="13" t="s">
        <v>577</v>
      </c>
      <c r="H5" s="13" t="s">
        <v>577</v>
      </c>
      <c r="I5" s="13" t="s">
        <v>577</v>
      </c>
      <c r="J5" s="13" t="s">
        <v>577</v>
      </c>
      <c r="K5" s="13" t="s">
        <v>577</v>
      </c>
      <c r="L5" s="13" t="s">
        <v>577</v>
      </c>
      <c r="M5" s="13" t="s">
        <v>577</v>
      </c>
      <c r="O5" s="88" t="s">
        <v>509</v>
      </c>
      <c r="P5" s="87"/>
    </row>
    <row r="6" spans="1:19" x14ac:dyDescent="0.35">
      <c r="A6" s="3" t="s">
        <v>279</v>
      </c>
      <c r="B6" s="13" t="s">
        <v>577</v>
      </c>
      <c r="C6" s="13" t="s">
        <v>577</v>
      </c>
      <c r="D6" s="13" t="s">
        <v>577</v>
      </c>
      <c r="E6" s="13" t="s">
        <v>577</v>
      </c>
      <c r="F6" s="13" t="s">
        <v>577</v>
      </c>
      <c r="G6" s="13" t="s">
        <v>577</v>
      </c>
      <c r="H6" s="13" t="s">
        <v>577</v>
      </c>
      <c r="I6" s="13" t="s">
        <v>577</v>
      </c>
      <c r="J6" s="13" t="s">
        <v>577</v>
      </c>
      <c r="K6" s="13" t="s">
        <v>577</v>
      </c>
      <c r="L6" s="13" t="s">
        <v>577</v>
      </c>
      <c r="M6" s="13" t="s">
        <v>577</v>
      </c>
      <c r="N6" s="12"/>
      <c r="O6" s="88" t="s">
        <v>509</v>
      </c>
      <c r="P6" s="87"/>
    </row>
    <row r="7" spans="1:19" x14ac:dyDescent="0.35">
      <c r="A7" s="3" t="s">
        <v>104</v>
      </c>
      <c r="B7" s="12">
        <v>0.69499999999999995</v>
      </c>
      <c r="C7" s="12">
        <v>0.69499999999999995</v>
      </c>
      <c r="D7" s="12">
        <v>0.69499999999999995</v>
      </c>
      <c r="E7" s="12">
        <v>0.69499999999999995</v>
      </c>
      <c r="F7" s="12">
        <v>0.69499999999999995</v>
      </c>
      <c r="G7" s="12">
        <v>0.69499999999999995</v>
      </c>
      <c r="H7" s="12">
        <v>0.69499999999999995</v>
      </c>
      <c r="I7" s="12">
        <v>0.69499999999999995</v>
      </c>
      <c r="J7" s="12">
        <v>0.69499999999999995</v>
      </c>
      <c r="K7" s="12">
        <v>0.69499999999999995</v>
      </c>
      <c r="L7" s="12">
        <v>0.69499999999999995</v>
      </c>
      <c r="M7" s="12">
        <v>0.69499999999999995</v>
      </c>
      <c r="O7" s="88" t="s">
        <v>280</v>
      </c>
      <c r="P7" s="87"/>
    </row>
    <row r="8" spans="1:19" x14ac:dyDescent="0.35">
      <c r="A8" s="3" t="s">
        <v>496</v>
      </c>
      <c r="B8" s="13" t="s">
        <v>577</v>
      </c>
      <c r="C8" s="13" t="s">
        <v>577</v>
      </c>
      <c r="D8" s="13" t="s">
        <v>577</v>
      </c>
      <c r="E8" s="13" t="s">
        <v>577</v>
      </c>
      <c r="F8" s="13" t="s">
        <v>577</v>
      </c>
      <c r="G8" s="13" t="s">
        <v>577</v>
      </c>
      <c r="H8" s="13" t="s">
        <v>577</v>
      </c>
      <c r="I8" s="13" t="s">
        <v>577</v>
      </c>
      <c r="J8" s="13" t="s">
        <v>577</v>
      </c>
      <c r="K8" s="13" t="s">
        <v>577</v>
      </c>
      <c r="L8" s="13" t="s">
        <v>577</v>
      </c>
      <c r="M8" s="13" t="s">
        <v>577</v>
      </c>
      <c r="O8" s="88" t="s">
        <v>497</v>
      </c>
      <c r="P8" s="87"/>
    </row>
    <row r="9" spans="1:19" x14ac:dyDescent="0.35">
      <c r="A9" s="3" t="s">
        <v>504</v>
      </c>
      <c r="B9" s="13">
        <v>320</v>
      </c>
      <c r="C9" s="13">
        <v>320</v>
      </c>
      <c r="D9" s="13">
        <v>320</v>
      </c>
      <c r="E9" s="13">
        <v>320</v>
      </c>
      <c r="F9" s="13">
        <v>320</v>
      </c>
      <c r="G9" s="13">
        <v>320</v>
      </c>
      <c r="H9" s="13">
        <v>320</v>
      </c>
      <c r="I9" s="13">
        <v>320</v>
      </c>
      <c r="J9" s="13">
        <v>320</v>
      </c>
      <c r="K9" s="13">
        <v>320</v>
      </c>
      <c r="L9" s="13">
        <v>320</v>
      </c>
      <c r="M9" s="13">
        <v>320</v>
      </c>
      <c r="O9" s="88" t="s">
        <v>581</v>
      </c>
      <c r="P9" s="87"/>
    </row>
    <row r="10" spans="1:19" x14ac:dyDescent="0.35">
      <c r="A10" s="3" t="s">
        <v>105</v>
      </c>
      <c r="B10" s="13">
        <f>B9*0.015</f>
        <v>4.8</v>
      </c>
      <c r="C10" s="13">
        <f t="shared" ref="C10:M10" si="0">C9*0.015</f>
        <v>4.8</v>
      </c>
      <c r="D10" s="13">
        <f t="shared" si="0"/>
        <v>4.8</v>
      </c>
      <c r="E10" s="13">
        <f t="shared" si="0"/>
        <v>4.8</v>
      </c>
      <c r="F10" s="13">
        <f t="shared" si="0"/>
        <v>4.8</v>
      </c>
      <c r="G10" s="13">
        <f t="shared" si="0"/>
        <v>4.8</v>
      </c>
      <c r="H10" s="13">
        <f t="shared" si="0"/>
        <v>4.8</v>
      </c>
      <c r="I10" s="13">
        <f t="shared" si="0"/>
        <v>4.8</v>
      </c>
      <c r="J10" s="13">
        <f t="shared" si="0"/>
        <v>4.8</v>
      </c>
      <c r="K10" s="13">
        <f t="shared" si="0"/>
        <v>4.8</v>
      </c>
      <c r="L10" s="13">
        <f t="shared" si="0"/>
        <v>4.8</v>
      </c>
      <c r="M10" s="13">
        <f t="shared" si="0"/>
        <v>4.8</v>
      </c>
      <c r="O10" s="173" t="s">
        <v>106</v>
      </c>
      <c r="P10" s="294"/>
    </row>
    <row r="11" spans="1:19" x14ac:dyDescent="0.35">
      <c r="A11" s="3" t="s">
        <v>282</v>
      </c>
      <c r="B11" s="13" t="s">
        <v>577</v>
      </c>
      <c r="C11" s="13" t="s">
        <v>577</v>
      </c>
      <c r="D11" s="13" t="s">
        <v>577</v>
      </c>
      <c r="E11" s="13" t="s">
        <v>577</v>
      </c>
      <c r="F11" s="13" t="s">
        <v>577</v>
      </c>
      <c r="G11" s="13" t="s">
        <v>577</v>
      </c>
      <c r="H11" s="13" t="s">
        <v>577</v>
      </c>
      <c r="I11" s="13" t="s">
        <v>577</v>
      </c>
      <c r="J11" s="13" t="s">
        <v>577</v>
      </c>
      <c r="K11" s="13" t="s">
        <v>577</v>
      </c>
      <c r="L11" s="13" t="s">
        <v>577</v>
      </c>
      <c r="M11" s="13" t="s">
        <v>577</v>
      </c>
      <c r="N11" s="13"/>
      <c r="O11" s="88" t="s">
        <v>509</v>
      </c>
      <c r="P11" s="87"/>
    </row>
    <row r="12" spans="1:19" x14ac:dyDescent="0.35">
      <c r="A12" s="3" t="s">
        <v>281</v>
      </c>
      <c r="B12" s="13">
        <v>7.5</v>
      </c>
      <c r="C12" s="13">
        <v>7.5</v>
      </c>
      <c r="D12" s="13">
        <v>7.5</v>
      </c>
      <c r="E12" s="13">
        <v>7.5</v>
      </c>
      <c r="F12" s="13">
        <v>7.5</v>
      </c>
      <c r="G12" s="13">
        <v>7.5</v>
      </c>
      <c r="H12" s="13">
        <v>7.5</v>
      </c>
      <c r="I12" s="13">
        <v>7.5</v>
      </c>
      <c r="J12" s="13">
        <v>7.5</v>
      </c>
      <c r="K12" s="13">
        <v>7.5</v>
      </c>
      <c r="L12" s="13">
        <v>7.5</v>
      </c>
      <c r="M12" s="13">
        <v>7.5</v>
      </c>
      <c r="O12" s="88" t="s">
        <v>578</v>
      </c>
      <c r="P12" s="87"/>
    </row>
    <row r="13" spans="1:19" x14ac:dyDescent="0.35">
      <c r="O13" s="88"/>
      <c r="P13" s="87"/>
    </row>
    <row r="14" spans="1:19" x14ac:dyDescent="0.35">
      <c r="A14" s="450" t="s">
        <v>579</v>
      </c>
      <c r="B14" s="450" t="s">
        <v>34</v>
      </c>
      <c r="C14" s="450" t="s">
        <v>36</v>
      </c>
      <c r="D14" s="450" t="s">
        <v>38</v>
      </c>
      <c r="E14" s="450" t="s">
        <v>40</v>
      </c>
      <c r="F14" s="450" t="s">
        <v>42</v>
      </c>
      <c r="G14" s="450" t="s">
        <v>44</v>
      </c>
      <c r="H14" s="450" t="s">
        <v>46</v>
      </c>
      <c r="I14" s="450" t="s">
        <v>48</v>
      </c>
      <c r="J14" s="450" t="s">
        <v>50</v>
      </c>
      <c r="K14" s="450" t="s">
        <v>52</v>
      </c>
      <c r="L14" s="450" t="s">
        <v>54</v>
      </c>
      <c r="M14" s="450" t="s">
        <v>493</v>
      </c>
      <c r="O14" s="456"/>
      <c r="P14" s="457"/>
    </row>
    <row r="15" spans="1:19" x14ac:dyDescent="0.35">
      <c r="A15" s="451" t="s">
        <v>285</v>
      </c>
      <c r="B15" s="452">
        <v>1.3213875800981024E-2</v>
      </c>
      <c r="C15" s="452">
        <v>0.18889688285610365</v>
      </c>
      <c r="D15" s="452">
        <v>0.26457370102986028</v>
      </c>
      <c r="E15" s="452">
        <v>0.3707697249953647</v>
      </c>
      <c r="F15" s="452">
        <v>7.7439143939213403E-2</v>
      </c>
      <c r="G15" s="452">
        <v>0.75114991922794239</v>
      </c>
      <c r="H15" s="452">
        <v>0.40067105954621879</v>
      </c>
      <c r="I15" s="452">
        <v>0.47949543012015922</v>
      </c>
      <c r="J15" s="452">
        <v>0.26557017524746096</v>
      </c>
      <c r="K15" s="452">
        <v>0.42695226222969923</v>
      </c>
      <c r="L15" s="452">
        <f>R18/100</f>
        <v>0.51738911290322576</v>
      </c>
      <c r="M15" s="452">
        <v>0.74946751429338065</v>
      </c>
      <c r="O15" s="456" t="s">
        <v>478</v>
      </c>
      <c r="P15" s="457"/>
    </row>
    <row r="16" spans="1:19" x14ac:dyDescent="0.35">
      <c r="A16" s="451" t="s">
        <v>286</v>
      </c>
      <c r="B16" s="452">
        <v>0.2760369962266197</v>
      </c>
      <c r="C16" s="452">
        <v>0.36965765773619236</v>
      </c>
      <c r="D16" s="452">
        <v>0.47771254487501524</v>
      </c>
      <c r="E16" s="452">
        <v>0.13544388222799708</v>
      </c>
      <c r="F16" s="452">
        <v>0.38082943222890436</v>
      </c>
      <c r="G16" s="452">
        <v>1.9608947623101922E-2</v>
      </c>
      <c r="H16" s="452">
        <v>0.27744597499526535</v>
      </c>
      <c r="I16" s="452">
        <v>0.16379583021525312</v>
      </c>
      <c r="J16" s="452">
        <v>0.3089723847114122</v>
      </c>
      <c r="K16" s="452">
        <v>8.4238508213965613E-2</v>
      </c>
      <c r="L16" s="452">
        <v>0</v>
      </c>
      <c r="M16" s="452">
        <v>6.8994040926595557E-2</v>
      </c>
      <c r="O16" s="456" t="s">
        <v>498</v>
      </c>
      <c r="P16" s="458"/>
      <c r="Q16" s="408" t="s">
        <v>503</v>
      </c>
      <c r="R16" s="408"/>
      <c r="S16" s="409"/>
    </row>
    <row r="17" spans="1:23" x14ac:dyDescent="0.35">
      <c r="A17" s="451" t="s">
        <v>330</v>
      </c>
      <c r="B17" s="452">
        <v>0.61590538837145792</v>
      </c>
      <c r="C17" s="452">
        <v>0.23243726980023638</v>
      </c>
      <c r="D17" s="452">
        <v>0.13883749692306407</v>
      </c>
      <c r="E17" s="452">
        <v>3.5518223853143398E-2</v>
      </c>
      <c r="F17" s="452">
        <v>0.18201404564523588</v>
      </c>
      <c r="G17" s="452">
        <v>4.011237421254237E-4</v>
      </c>
      <c r="H17" s="452">
        <v>7.1895313213819118E-2</v>
      </c>
      <c r="I17" s="452">
        <v>0.1711074910334601</v>
      </c>
      <c r="J17" s="452">
        <v>0.15280804679497859</v>
      </c>
      <c r="K17" s="452">
        <v>6.2955748563960065E-2</v>
      </c>
      <c r="L17" s="452">
        <f>R17/100</f>
        <v>0.48261088709677419</v>
      </c>
      <c r="M17" s="452">
        <v>3.2584598647782959E-3</v>
      </c>
      <c r="O17" s="455"/>
      <c r="P17" s="459" t="s">
        <v>500</v>
      </c>
      <c r="Q17">
        <f>1254+299+362</f>
        <v>1915</v>
      </c>
      <c r="R17" s="116">
        <f>Q17/Q19*100</f>
        <v>48.261088709677416</v>
      </c>
      <c r="S17" s="192" t="s">
        <v>502</v>
      </c>
    </row>
    <row r="18" spans="1:23" x14ac:dyDescent="0.35">
      <c r="A18" s="453" t="s">
        <v>108</v>
      </c>
      <c r="B18" s="452">
        <v>5.1639112390513857E-3</v>
      </c>
      <c r="C18" s="452">
        <v>9.8050025013408561E-3</v>
      </c>
      <c r="D18" s="452">
        <v>1.298916356294802E-3</v>
      </c>
      <c r="E18" s="452">
        <v>6.7240073264057107E-2</v>
      </c>
      <c r="F18" s="452">
        <v>1.3777713958130216E-2</v>
      </c>
      <c r="G18" s="452">
        <v>9.7140944486754449E-2</v>
      </c>
      <c r="H18" s="452">
        <v>3.0038264722936558E-3</v>
      </c>
      <c r="I18" s="452">
        <v>3.7649623151768418E-3</v>
      </c>
      <c r="J18" s="452">
        <v>1.4852072857038275E-2</v>
      </c>
      <c r="K18" s="452">
        <v>7.4482644340220033E-2</v>
      </c>
      <c r="L18" s="452">
        <v>0</v>
      </c>
      <c r="M18" s="452">
        <v>1.3909861729922528E-2</v>
      </c>
      <c r="O18" s="455"/>
      <c r="P18" s="460" t="s">
        <v>501</v>
      </c>
      <c r="Q18">
        <v>2053</v>
      </c>
      <c r="R18" s="116">
        <f>Q18/Q19*100</f>
        <v>51.738911290322577</v>
      </c>
      <c r="S18" s="192" t="s">
        <v>502</v>
      </c>
    </row>
    <row r="19" spans="1:23" x14ac:dyDescent="0.35">
      <c r="A19" s="451" t="s">
        <v>109</v>
      </c>
      <c r="B19" s="452">
        <v>3.1075970320211814E-4</v>
      </c>
      <c r="C19" s="452">
        <v>1.6126916347682995E-2</v>
      </c>
      <c r="D19" s="452">
        <v>1.9338522642940996E-3</v>
      </c>
      <c r="E19" s="452">
        <v>0.20110909949687941</v>
      </c>
      <c r="F19" s="452">
        <v>8.1721304315358359E-2</v>
      </c>
      <c r="G19" s="452">
        <v>2.6773939262145888E-2</v>
      </c>
      <c r="H19" s="452">
        <v>1.964163410545296E-2</v>
      </c>
      <c r="I19" s="452">
        <v>1.1306927408010266E-2</v>
      </c>
      <c r="J19" s="452">
        <v>2.0345709016517825E-2</v>
      </c>
      <c r="K19" s="452">
        <v>9.8235935846622865E-2</v>
      </c>
      <c r="L19" s="452">
        <v>3.1697869732220848E-4</v>
      </c>
      <c r="M19" s="452">
        <v>6.5309995773990038E-4</v>
      </c>
      <c r="O19" s="455"/>
      <c r="P19" s="461" t="s">
        <v>499</v>
      </c>
      <c r="Q19" s="227">
        <f>SUM(Q17:Q18)</f>
        <v>3968</v>
      </c>
      <c r="R19" s="227" t="s">
        <v>506</v>
      </c>
      <c r="S19" s="228"/>
    </row>
    <row r="20" spans="1:23" x14ac:dyDescent="0.35">
      <c r="A20" s="451" t="s">
        <v>110</v>
      </c>
      <c r="B20" s="452">
        <v>8.6733359151412953E-5</v>
      </c>
      <c r="C20" s="452">
        <v>1.1110741938309403E-3</v>
      </c>
      <c r="D20" s="452">
        <v>2.5855421185781316E-7</v>
      </c>
      <c r="E20" s="452">
        <v>1.8273719871874414E-2</v>
      </c>
      <c r="F20" s="452">
        <v>7.3794391499110061E-3</v>
      </c>
      <c r="G20" s="452">
        <v>5.5992035288690246E-3</v>
      </c>
      <c r="H20" s="452">
        <v>6.238152652520509E-4</v>
      </c>
      <c r="I20" s="452">
        <v>1.2367044164683077E-4</v>
      </c>
      <c r="J20" s="452">
        <v>4.4481071240192398E-4</v>
      </c>
      <c r="K20" s="452">
        <v>1.1613149284971752E-2</v>
      </c>
      <c r="L20" s="452">
        <v>0</v>
      </c>
      <c r="M20" s="452">
        <v>1.5338046639374065E-3</v>
      </c>
      <c r="O20" s="455"/>
      <c r="P20" s="455"/>
    </row>
    <row r="21" spans="1:23" x14ac:dyDescent="0.35">
      <c r="A21" s="451" t="s">
        <v>111</v>
      </c>
      <c r="B21" s="452">
        <v>6.2924072151971947E-5</v>
      </c>
      <c r="C21" s="452">
        <v>1.7062794715375247E-4</v>
      </c>
      <c r="D21" s="452">
        <v>2.1217635552166355E-4</v>
      </c>
      <c r="E21" s="452">
        <v>4.0305382311056149E-3</v>
      </c>
      <c r="F21" s="452">
        <v>2.8681330795635538E-3</v>
      </c>
      <c r="G21" s="452">
        <v>0</v>
      </c>
      <c r="H21" s="452">
        <v>4.9703321891174883E-5</v>
      </c>
      <c r="I21" s="452">
        <v>4.6537012747958835E-4</v>
      </c>
      <c r="J21" s="452">
        <v>5.8075964903519491E-3</v>
      </c>
      <c r="K21" s="452">
        <v>3.0653721191027461E-3</v>
      </c>
      <c r="L21" s="452">
        <v>4.9002790875207444E-6</v>
      </c>
      <c r="M21" s="452">
        <v>7.2745448066960375E-5</v>
      </c>
    </row>
    <row r="22" spans="1:23" x14ac:dyDescent="0.35">
      <c r="A22" s="454" t="s">
        <v>112</v>
      </c>
      <c r="B22" s="452">
        <v>5.3306026591199238E-3</v>
      </c>
      <c r="C22" s="452">
        <v>2.3886940717374589E-2</v>
      </c>
      <c r="D22" s="452">
        <v>4.3386015699034622E-3</v>
      </c>
      <c r="E22" s="452">
        <v>2.8904067051552513E-3</v>
      </c>
      <c r="F22" s="452">
        <v>1.2902756316192223E-2</v>
      </c>
      <c r="G22" s="452">
        <v>4.1722075562431273E-2</v>
      </c>
      <c r="H22" s="452">
        <v>2.8451429826063719E-3</v>
      </c>
      <c r="I22" s="452">
        <v>1.2739490248206042E-2</v>
      </c>
      <c r="J22" s="452">
        <v>2.3351211772125756E-2</v>
      </c>
      <c r="K22" s="452">
        <v>6.309442770624088E-2</v>
      </c>
      <c r="L22" s="452">
        <v>0</v>
      </c>
      <c r="M22" s="452">
        <v>2.0790459475885831E-2</v>
      </c>
    </row>
    <row r="23" spans="1:23" x14ac:dyDescent="0.35">
      <c r="A23" s="451" t="s">
        <v>113</v>
      </c>
      <c r="B23" s="452">
        <v>2.439015630520557E-4</v>
      </c>
      <c r="C23" s="452">
        <v>0</v>
      </c>
      <c r="D23" s="452">
        <v>2.7051994141606358E-4</v>
      </c>
      <c r="E23" s="452">
        <v>2.7727022810161413E-4</v>
      </c>
      <c r="F23" s="452">
        <v>9.2331122908701521E-4</v>
      </c>
      <c r="G23" s="452">
        <v>8.7938670638632881E-5</v>
      </c>
      <c r="H23" s="452">
        <v>7.8267619629308958E-4</v>
      </c>
      <c r="I23" s="452">
        <v>0</v>
      </c>
      <c r="J23" s="452">
        <v>2.6962503550840627E-3</v>
      </c>
      <c r="K23" s="452">
        <v>2.7198099192756071E-3</v>
      </c>
      <c r="L23" s="452">
        <v>1.4784950076098704E-3</v>
      </c>
      <c r="M23" s="452">
        <v>6.5340906393272433E-4</v>
      </c>
    </row>
    <row r="24" spans="1:23" x14ac:dyDescent="0.35">
      <c r="A24" s="451" t="s">
        <v>114</v>
      </c>
      <c r="B24" s="452">
        <v>2.3959170998341588E-4</v>
      </c>
      <c r="C24" s="452">
        <v>0</v>
      </c>
      <c r="D24" s="452">
        <v>2.6573972962751311E-4</v>
      </c>
      <c r="E24" s="452">
        <v>2.7237073543292042E-4</v>
      </c>
      <c r="F24" s="452">
        <v>9.0699589423403552E-4</v>
      </c>
      <c r="G24" s="452">
        <v>8.6384753409677397E-5</v>
      </c>
      <c r="H24" s="452">
        <v>7.6884594730627475E-4</v>
      </c>
      <c r="I24" s="452">
        <v>0</v>
      </c>
      <c r="J24" s="452">
        <v>2.6486063692714159E-3</v>
      </c>
      <c r="K24" s="452">
        <v>2.67174962512282E-3</v>
      </c>
      <c r="L24" s="452">
        <v>1.4523693197724004E-3</v>
      </c>
      <c r="M24" s="452">
        <v>6.4186302502542813E-4</v>
      </c>
    </row>
    <row r="25" spans="1:23" x14ac:dyDescent="0.35">
      <c r="A25" s="451" t="s">
        <v>115</v>
      </c>
      <c r="B25" s="452">
        <v>1.5312279516773717E-2</v>
      </c>
      <c r="C25" s="452">
        <v>3.0917251771110446E-2</v>
      </c>
      <c r="D25" s="452">
        <v>2.7355781220453596E-2</v>
      </c>
      <c r="E25" s="452">
        <v>3.0258775338687637E-4</v>
      </c>
      <c r="F25" s="452">
        <v>3.9849321881062677E-4</v>
      </c>
      <c r="G25" s="452">
        <v>4.7080431031984718E-3</v>
      </c>
      <c r="H25" s="452">
        <v>1.3183641649379223E-3</v>
      </c>
      <c r="I25" s="452">
        <v>4.3197597637154396E-2</v>
      </c>
      <c r="J25" s="452">
        <v>1.9433337380001321E-2</v>
      </c>
      <c r="K25" s="452">
        <v>7.8768273776592904E-3</v>
      </c>
      <c r="L25" s="452">
        <v>0</v>
      </c>
      <c r="M25" s="452">
        <v>1.0151950508744787E-2</v>
      </c>
    </row>
    <row r="26" spans="1:23" x14ac:dyDescent="0.35">
      <c r="A26" s="451" t="s">
        <v>116</v>
      </c>
      <c r="B26" s="452">
        <v>3.7726798982461625E-2</v>
      </c>
      <c r="C26" s="452">
        <v>2.7855163642864746E-2</v>
      </c>
      <c r="D26" s="452">
        <v>2.6285117627784533E-2</v>
      </c>
      <c r="E26" s="452">
        <v>5.3317910590755316E-2</v>
      </c>
      <c r="F26" s="452">
        <v>7.5984876674379837E-2</v>
      </c>
      <c r="G26" s="452">
        <v>8.9589881795904755E-3</v>
      </c>
      <c r="H26" s="452">
        <v>3.2548889626891842E-2</v>
      </c>
      <c r="I26" s="452">
        <v>5.5787586237705654E-2</v>
      </c>
      <c r="J26" s="452">
        <v>6.7782810502236002E-2</v>
      </c>
      <c r="K26" s="452">
        <v>6.7333865050956468E-2</v>
      </c>
      <c r="L26" s="452">
        <v>0</v>
      </c>
      <c r="M26" s="452">
        <v>1.9990823703774308E-2</v>
      </c>
    </row>
    <row r="27" spans="1:23" x14ac:dyDescent="0.35">
      <c r="A27" s="451" t="s">
        <v>117</v>
      </c>
      <c r="B27" s="452">
        <v>1.6611298610472246E-2</v>
      </c>
      <c r="C27" s="452">
        <v>5.6499694118849607E-2</v>
      </c>
      <c r="D27" s="452">
        <v>4.2051693837096289E-2</v>
      </c>
      <c r="E27" s="452">
        <v>4.6947510766466367E-2</v>
      </c>
      <c r="F27" s="452">
        <v>9.4871367549450719E-2</v>
      </c>
      <c r="G27" s="452">
        <v>1.7413738591251369E-2</v>
      </c>
      <c r="H27" s="452">
        <v>7.1183592363716075E-2</v>
      </c>
      <c r="I27" s="452">
        <v>3.963187482955613E-2</v>
      </c>
      <c r="J27" s="452">
        <v>4.7732591070968847E-2</v>
      </c>
      <c r="K27" s="452">
        <v>6.255642502619195E-2</v>
      </c>
      <c r="L27" s="452">
        <v>0</v>
      </c>
      <c r="M27" s="452">
        <v>8.0060070909469844E-2</v>
      </c>
    </row>
    <row r="28" spans="1:23" x14ac:dyDescent="0.35">
      <c r="A28" s="451" t="s">
        <v>118</v>
      </c>
      <c r="B28" s="452">
        <v>1.3754938185521381E-2</v>
      </c>
      <c r="C28" s="452">
        <v>4.2635518367259616E-2</v>
      </c>
      <c r="D28" s="452">
        <v>1.4863599715456545E-2</v>
      </c>
      <c r="E28" s="452">
        <v>6.3606681280279728E-2</v>
      </c>
      <c r="F28" s="452">
        <v>6.7982986801529061E-2</v>
      </c>
      <c r="G28" s="452">
        <v>2.6348753268541039E-2</v>
      </c>
      <c r="H28" s="452">
        <v>0.11722116179805527</v>
      </c>
      <c r="I28" s="452">
        <v>1.8583769386191842E-2</v>
      </c>
      <c r="J28" s="452">
        <v>6.7554396720150997E-2</v>
      </c>
      <c r="K28" s="452">
        <v>3.220327469601051E-2</v>
      </c>
      <c r="L28" s="452">
        <v>0</v>
      </c>
      <c r="M28" s="452">
        <v>2.9821896428745772E-2</v>
      </c>
    </row>
    <row r="29" spans="1:23" x14ac:dyDescent="0.35">
      <c r="A29" s="453"/>
      <c r="B29" s="455"/>
      <c r="C29" s="455"/>
      <c r="D29" s="455"/>
      <c r="E29" s="455"/>
      <c r="F29" s="455"/>
      <c r="G29" s="455"/>
      <c r="H29" s="455"/>
      <c r="I29" s="455"/>
      <c r="J29" s="455"/>
      <c r="K29" s="455"/>
      <c r="L29" s="455"/>
      <c r="M29" s="455"/>
      <c r="W29" s="87" t="s">
        <v>331</v>
      </c>
    </row>
    <row r="30" spans="1:23" x14ac:dyDescent="0.35">
      <c r="A30" s="451" t="s">
        <v>329</v>
      </c>
      <c r="B30" s="452">
        <f>SUM(B15:B17)</f>
        <v>0.90515626039905861</v>
      </c>
      <c r="C30" s="452">
        <f t="shared" ref="C30:K30" si="1">SUM(C15:C17)</f>
        <v>0.79099181039253241</v>
      </c>
      <c r="D30" s="452">
        <f t="shared" si="1"/>
        <v>0.8811237428279397</v>
      </c>
      <c r="E30" s="452">
        <f t="shared" si="1"/>
        <v>0.54173183107650524</v>
      </c>
      <c r="F30" s="452">
        <f t="shared" si="1"/>
        <v>0.64028262181335371</v>
      </c>
      <c r="G30" s="452">
        <f t="shared" si="1"/>
        <v>0.77115999059316975</v>
      </c>
      <c r="H30" s="452">
        <f t="shared" si="1"/>
        <v>0.75001234775530334</v>
      </c>
      <c r="I30" s="452">
        <f t="shared" si="1"/>
        <v>0.81439875136887252</v>
      </c>
      <c r="J30" s="452">
        <f t="shared" si="1"/>
        <v>0.72735060675385177</v>
      </c>
      <c r="K30" s="452">
        <f t="shared" si="1"/>
        <v>0.57414651900762492</v>
      </c>
      <c r="L30" s="452">
        <f>SUM(L15:L17)</f>
        <v>1</v>
      </c>
      <c r="M30" s="452">
        <f>SUM(M15:M17)</f>
        <v>0.82172001508475456</v>
      </c>
    </row>
    <row r="31" spans="1:23" x14ac:dyDescent="0.35">
      <c r="L31"/>
      <c r="M31"/>
      <c r="Q31" s="5"/>
    </row>
    <row r="32" spans="1:23" x14ac:dyDescent="0.35">
      <c r="A32" s="123" t="s">
        <v>505</v>
      </c>
      <c r="B32" s="123" t="s">
        <v>34</v>
      </c>
      <c r="C32" s="123" t="s">
        <v>36</v>
      </c>
      <c r="D32" s="123" t="s">
        <v>38</v>
      </c>
      <c r="E32" s="123" t="s">
        <v>40</v>
      </c>
      <c r="F32" s="123" t="s">
        <v>42</v>
      </c>
      <c r="G32" s="123" t="s">
        <v>44</v>
      </c>
      <c r="H32" s="123" t="s">
        <v>46</v>
      </c>
      <c r="I32" s="123" t="s">
        <v>48</v>
      </c>
      <c r="J32" s="123" t="s">
        <v>50</v>
      </c>
      <c r="K32" s="123" t="s">
        <v>52</v>
      </c>
      <c r="L32" s="123" t="s">
        <v>54</v>
      </c>
      <c r="M32" s="123" t="s">
        <v>493</v>
      </c>
      <c r="O32" s="88"/>
      <c r="P32" s="87"/>
    </row>
    <row r="33" spans="1:23" x14ac:dyDescent="0.35">
      <c r="A33" s="84" t="s">
        <v>285</v>
      </c>
      <c r="B33" s="407">
        <v>1.3213875800981E-2</v>
      </c>
      <c r="C33" s="407">
        <v>0.18889688285610365</v>
      </c>
      <c r="D33" s="407">
        <v>0.26457370102986028</v>
      </c>
      <c r="E33" s="407">
        <v>0.3707697249953647</v>
      </c>
      <c r="F33" s="407">
        <v>7.7439143939213403E-2</v>
      </c>
      <c r="G33" s="407">
        <v>0.75114991922794239</v>
      </c>
      <c r="H33" s="407">
        <v>0.40067105954621879</v>
      </c>
      <c r="I33" s="407">
        <v>0.47949543012015922</v>
      </c>
      <c r="J33" s="407">
        <v>0.26557017524746096</v>
      </c>
      <c r="K33" s="407">
        <v>0.42695226222969923</v>
      </c>
      <c r="L33" s="367">
        <v>0</v>
      </c>
      <c r="M33" s="407">
        <v>0.74946751429338065</v>
      </c>
      <c r="O33" s="88" t="s">
        <v>478</v>
      </c>
      <c r="P33" s="87"/>
    </row>
    <row r="34" spans="1:23" x14ac:dyDescent="0.35">
      <c r="A34" s="84" t="s">
        <v>286</v>
      </c>
      <c r="B34" s="407">
        <v>0.2760369962266197</v>
      </c>
      <c r="C34" s="407">
        <v>0.36965765773619236</v>
      </c>
      <c r="D34" s="407">
        <v>0.47771254487501524</v>
      </c>
      <c r="E34" s="407">
        <v>0.13544388222799708</v>
      </c>
      <c r="F34" s="407">
        <v>0.38082943222890436</v>
      </c>
      <c r="G34" s="407">
        <v>1.9608947623101922E-2</v>
      </c>
      <c r="H34" s="407">
        <v>0.27744597499526535</v>
      </c>
      <c r="I34" s="407">
        <v>0.16379583021525312</v>
      </c>
      <c r="J34" s="407">
        <v>0.3089723847114122</v>
      </c>
      <c r="K34" s="407">
        <v>8.4238508213965613E-2</v>
      </c>
      <c r="L34" s="367">
        <f>R36/100</f>
        <v>0.12715077282006415</v>
      </c>
      <c r="M34" s="407">
        <v>6.8994040926595557E-2</v>
      </c>
      <c r="O34" s="88" t="s">
        <v>580</v>
      </c>
      <c r="P34" s="462"/>
      <c r="Q34" s="463" t="s">
        <v>582</v>
      </c>
      <c r="R34" s="463"/>
      <c r="S34" s="464"/>
    </row>
    <row r="35" spans="1:23" x14ac:dyDescent="0.35">
      <c r="A35" s="84" t="s">
        <v>330</v>
      </c>
      <c r="B35" s="407">
        <v>0.61590538837145792</v>
      </c>
      <c r="C35" s="407">
        <v>0.23243726980023638</v>
      </c>
      <c r="D35" s="407">
        <v>0.13883749692306407</v>
      </c>
      <c r="E35" s="407">
        <v>3.5518223853143398E-2</v>
      </c>
      <c r="F35" s="407">
        <v>0.18201404564523588</v>
      </c>
      <c r="G35" s="407">
        <v>4.011237421254237E-4</v>
      </c>
      <c r="H35" s="407">
        <v>7.1895313213819118E-2</v>
      </c>
      <c r="I35" s="407">
        <v>0.1711074910334601</v>
      </c>
      <c r="J35" s="407">
        <v>0.15280804679497859</v>
      </c>
      <c r="K35" s="407">
        <v>6.2955748563960065E-2</v>
      </c>
      <c r="L35" s="367">
        <f>R35/100</f>
        <v>0.5447652376786235</v>
      </c>
      <c r="M35" s="407">
        <v>3.2584598647782959E-3</v>
      </c>
      <c r="P35" s="410" t="s">
        <v>587</v>
      </c>
      <c r="Q35">
        <v>1868</v>
      </c>
      <c r="R35" s="116">
        <f t="shared" ref="R35:R40" si="2">Q35/$Q$41*100</f>
        <v>54.476523767862354</v>
      </c>
      <c r="S35" s="192" t="s">
        <v>502</v>
      </c>
    </row>
    <row r="36" spans="1:23" x14ac:dyDescent="0.35">
      <c r="A36" s="83" t="s">
        <v>108</v>
      </c>
      <c r="B36" s="407">
        <v>5.1639112390513857E-3</v>
      </c>
      <c r="C36" s="407">
        <v>9.8050025013408561E-3</v>
      </c>
      <c r="D36" s="407">
        <v>1.298916356294802E-3</v>
      </c>
      <c r="E36" s="407">
        <v>6.7240073264057107E-2</v>
      </c>
      <c r="F36" s="407">
        <v>1.3777713958130216E-2</v>
      </c>
      <c r="G36" s="407">
        <v>9.7140944486754449E-2</v>
      </c>
      <c r="H36" s="407">
        <v>3.0038264722936558E-3</v>
      </c>
      <c r="I36" s="407">
        <v>3.7649623151768418E-3</v>
      </c>
      <c r="J36" s="407">
        <v>1.4852072857038275E-2</v>
      </c>
      <c r="K36" s="407">
        <v>7.4482644340220033E-2</v>
      </c>
      <c r="L36" s="367">
        <v>0</v>
      </c>
      <c r="M36" s="407">
        <v>1.3909861729922528E-2</v>
      </c>
      <c r="P36" s="191" t="s">
        <v>583</v>
      </c>
      <c r="Q36">
        <v>436</v>
      </c>
      <c r="R36" s="116">
        <f t="shared" si="2"/>
        <v>12.715077282006416</v>
      </c>
      <c r="S36" s="192" t="s">
        <v>502</v>
      </c>
    </row>
    <row r="37" spans="1:23" x14ac:dyDescent="0.35">
      <c r="A37" s="84" t="s">
        <v>109</v>
      </c>
      <c r="B37" s="407">
        <v>3.1075970320211814E-4</v>
      </c>
      <c r="C37" s="407">
        <v>1.6126916347682995E-2</v>
      </c>
      <c r="D37" s="407">
        <v>1.9338522642940996E-3</v>
      </c>
      <c r="E37" s="407">
        <v>0.20110909949687941</v>
      </c>
      <c r="F37" s="407">
        <v>8.1721304315358359E-2</v>
      </c>
      <c r="G37" s="407">
        <v>2.6773939262145888E-2</v>
      </c>
      <c r="H37" s="407">
        <v>1.964163410545296E-2</v>
      </c>
      <c r="I37" s="407">
        <v>1.1306927408010266E-2</v>
      </c>
      <c r="J37" s="407">
        <v>2.0345709016517825E-2</v>
      </c>
      <c r="K37" s="407">
        <v>9.8235935846622865E-2</v>
      </c>
      <c r="L37" s="367">
        <v>0</v>
      </c>
      <c r="M37" s="407">
        <v>6.5309995773990038E-4</v>
      </c>
      <c r="P37" s="191" t="s">
        <v>508</v>
      </c>
      <c r="Q37">
        <v>0</v>
      </c>
      <c r="R37" s="116">
        <f t="shared" si="2"/>
        <v>0</v>
      </c>
      <c r="S37" s="192" t="s">
        <v>502</v>
      </c>
    </row>
    <row r="38" spans="1:23" x14ac:dyDescent="0.35">
      <c r="A38" s="84" t="s">
        <v>110</v>
      </c>
      <c r="B38" s="407">
        <v>8.6733359151412953E-5</v>
      </c>
      <c r="C38" s="407">
        <v>1.1110741938309403E-3</v>
      </c>
      <c r="D38" s="407">
        <v>2.5855421185781316E-7</v>
      </c>
      <c r="E38" s="407">
        <v>1.8273719871874414E-2</v>
      </c>
      <c r="F38" s="407">
        <v>7.3794391499110061E-3</v>
      </c>
      <c r="G38" s="407">
        <v>5.5992035288690246E-3</v>
      </c>
      <c r="H38" s="407">
        <v>6.238152652520509E-4</v>
      </c>
      <c r="I38" s="407">
        <v>1.2367044164683077E-4</v>
      </c>
      <c r="J38" s="407">
        <v>4.4481071240192398E-4</v>
      </c>
      <c r="K38" s="407">
        <v>1.1613149284971752E-2</v>
      </c>
      <c r="L38" s="367">
        <v>0</v>
      </c>
      <c r="M38" s="407">
        <v>1.5338046639374065E-3</v>
      </c>
      <c r="P38" s="191" t="s">
        <v>584</v>
      </c>
      <c r="Q38">
        <v>1014</v>
      </c>
      <c r="R38" s="116">
        <f t="shared" si="2"/>
        <v>29.571303587051617</v>
      </c>
      <c r="S38" s="192" t="s">
        <v>502</v>
      </c>
    </row>
    <row r="39" spans="1:23" x14ac:dyDescent="0.35">
      <c r="A39" s="84" t="s">
        <v>111</v>
      </c>
      <c r="B39" s="407">
        <v>6.2924072151971947E-5</v>
      </c>
      <c r="C39" s="407">
        <v>1.7062794715375247E-4</v>
      </c>
      <c r="D39" s="407">
        <v>2.1217635552166355E-4</v>
      </c>
      <c r="E39" s="407">
        <v>4.0305382311056149E-3</v>
      </c>
      <c r="F39" s="407">
        <v>2.8681330795635538E-3</v>
      </c>
      <c r="G39" s="407">
        <v>0</v>
      </c>
      <c r="H39" s="407">
        <v>4.9703321891174883E-5</v>
      </c>
      <c r="I39" s="407">
        <v>4.6537012747958835E-4</v>
      </c>
      <c r="J39" s="407">
        <v>5.8075964903519491E-3</v>
      </c>
      <c r="K39" s="407">
        <v>3.0653721191027461E-3</v>
      </c>
      <c r="L39" s="367">
        <v>0</v>
      </c>
      <c r="M39" s="407">
        <v>7.2745448066960375E-5</v>
      </c>
      <c r="P39" s="465" t="s">
        <v>585</v>
      </c>
      <c r="Q39" s="466">
        <v>32</v>
      </c>
      <c r="R39" s="116">
        <f t="shared" si="2"/>
        <v>0.93321668124817736</v>
      </c>
      <c r="S39" s="192" t="s">
        <v>502</v>
      </c>
    </row>
    <row r="40" spans="1:23" x14ac:dyDescent="0.35">
      <c r="A40" s="85" t="s">
        <v>112</v>
      </c>
      <c r="B40" s="407">
        <v>5.3306026591199238E-3</v>
      </c>
      <c r="C40" s="407">
        <v>2.3886940717374589E-2</v>
      </c>
      <c r="D40" s="407">
        <v>4.3386015699034622E-3</v>
      </c>
      <c r="E40" s="407">
        <v>2.8904067051552513E-3</v>
      </c>
      <c r="F40" s="407">
        <v>1.2902756316192223E-2</v>
      </c>
      <c r="G40" s="407">
        <v>4.1722075562431273E-2</v>
      </c>
      <c r="H40" s="407">
        <v>2.8451429826063719E-3</v>
      </c>
      <c r="I40" s="407">
        <v>1.2739490248206042E-2</v>
      </c>
      <c r="J40" s="407">
        <v>2.3351211772125756E-2</v>
      </c>
      <c r="K40" s="407">
        <v>6.309442770624088E-2</v>
      </c>
      <c r="L40" s="367">
        <f>R38/100</f>
        <v>0.29571303587051617</v>
      </c>
      <c r="M40" s="407">
        <v>2.0790459475885831E-2</v>
      </c>
      <c r="P40" s="191" t="s">
        <v>586</v>
      </c>
      <c r="Q40">
        <v>79</v>
      </c>
      <c r="R40" s="116">
        <f t="shared" si="2"/>
        <v>2.3038786818314376</v>
      </c>
      <c r="S40" s="192" t="s">
        <v>502</v>
      </c>
    </row>
    <row r="41" spans="1:23" x14ac:dyDescent="0.35">
      <c r="A41" s="84" t="s">
        <v>113</v>
      </c>
      <c r="B41" s="407">
        <v>2.439015630520557E-4</v>
      </c>
      <c r="C41" s="407">
        <v>0</v>
      </c>
      <c r="D41" s="407">
        <v>2.7051994141606358E-4</v>
      </c>
      <c r="E41" s="407">
        <v>2.7727022810161413E-4</v>
      </c>
      <c r="F41" s="407">
        <v>9.2331122908701521E-4</v>
      </c>
      <c r="G41" s="407">
        <v>8.7938670638632881E-5</v>
      </c>
      <c r="H41" s="407">
        <v>7.8267619629308958E-4</v>
      </c>
      <c r="I41" s="407">
        <v>0</v>
      </c>
      <c r="J41" s="407">
        <v>2.6962503550840627E-3</v>
      </c>
      <c r="K41" s="407">
        <v>2.7198099192756071E-3</v>
      </c>
      <c r="L41" s="367">
        <v>0</v>
      </c>
      <c r="M41" s="407">
        <v>6.5340906393272433E-4</v>
      </c>
      <c r="P41" s="226" t="s">
        <v>499</v>
      </c>
      <c r="Q41" s="227">
        <f>SUM(Q35:Q40)</f>
        <v>3429</v>
      </c>
      <c r="R41" s="227" t="s">
        <v>507</v>
      </c>
      <c r="S41" s="228"/>
    </row>
    <row r="42" spans="1:23" x14ac:dyDescent="0.35">
      <c r="A42" s="84" t="s">
        <v>114</v>
      </c>
      <c r="B42" s="407">
        <v>2.3959170998341588E-4</v>
      </c>
      <c r="C42" s="407">
        <v>0</v>
      </c>
      <c r="D42" s="407">
        <v>2.6573972962751311E-4</v>
      </c>
      <c r="E42" s="407">
        <v>2.7237073543292042E-4</v>
      </c>
      <c r="F42" s="407">
        <v>9.0699589423403552E-4</v>
      </c>
      <c r="G42" s="407">
        <v>8.6384753409677397E-5</v>
      </c>
      <c r="H42" s="407">
        <v>7.6884594730627475E-4</v>
      </c>
      <c r="I42" s="407">
        <v>0</v>
      </c>
      <c r="J42" s="407">
        <v>2.6486063692714159E-3</v>
      </c>
      <c r="K42" s="407">
        <v>2.67174962512282E-3</v>
      </c>
      <c r="L42" s="367">
        <f>R39/100</f>
        <v>9.3321668124817739E-3</v>
      </c>
      <c r="M42" s="407">
        <v>6.4186302502542813E-4</v>
      </c>
    </row>
    <row r="43" spans="1:23" x14ac:dyDescent="0.35">
      <c r="A43" s="84" t="s">
        <v>115</v>
      </c>
      <c r="B43" s="407">
        <v>1.5312279516773717E-2</v>
      </c>
      <c r="C43" s="407">
        <v>3.0917251771110446E-2</v>
      </c>
      <c r="D43" s="407">
        <v>2.7355781220453596E-2</v>
      </c>
      <c r="E43" s="407">
        <v>3.0258775338687637E-4</v>
      </c>
      <c r="F43" s="407">
        <v>3.9849321881062677E-4</v>
      </c>
      <c r="G43" s="407">
        <v>4.7080431031984718E-3</v>
      </c>
      <c r="H43" s="407">
        <v>1.3183641649379223E-3</v>
      </c>
      <c r="I43" s="407">
        <v>4.3197597637154396E-2</v>
      </c>
      <c r="J43" s="407">
        <v>1.9433337380001321E-2</v>
      </c>
      <c r="K43" s="407">
        <v>7.8768273776592904E-3</v>
      </c>
      <c r="L43" s="367">
        <f>R40/100</f>
        <v>2.3038786818314377E-2</v>
      </c>
      <c r="M43" s="407">
        <v>1.0151950508744787E-2</v>
      </c>
      <c r="P43" s="114"/>
      <c r="Q43" s="372"/>
      <c r="R43" s="372"/>
      <c r="S43" s="372"/>
      <c r="T43" s="372"/>
    </row>
    <row r="44" spans="1:23" x14ac:dyDescent="0.35">
      <c r="A44" s="84" t="s">
        <v>116</v>
      </c>
      <c r="B44" s="407">
        <v>3.7726798982461625E-2</v>
      </c>
      <c r="C44" s="407">
        <v>2.7855163642864746E-2</v>
      </c>
      <c r="D44" s="407">
        <v>2.6285117627784533E-2</v>
      </c>
      <c r="E44" s="407">
        <v>5.3317910590755316E-2</v>
      </c>
      <c r="F44" s="407">
        <v>7.5984876674379837E-2</v>
      </c>
      <c r="G44" s="407">
        <v>8.9589881795904755E-3</v>
      </c>
      <c r="H44" s="407">
        <v>3.2548889626891842E-2</v>
      </c>
      <c r="I44" s="407">
        <v>5.5787586237705654E-2</v>
      </c>
      <c r="J44" s="407">
        <v>6.7782810502236002E-2</v>
      </c>
      <c r="K44" s="407">
        <v>6.7333865050956468E-2</v>
      </c>
      <c r="L44" s="367">
        <v>0</v>
      </c>
      <c r="M44" s="407">
        <v>1.9990823703774308E-2</v>
      </c>
    </row>
    <row r="45" spans="1:23" x14ac:dyDescent="0.35">
      <c r="A45" s="84" t="s">
        <v>117</v>
      </c>
      <c r="B45" s="407">
        <v>1.6611298610472246E-2</v>
      </c>
      <c r="C45" s="407">
        <v>5.6499694118849607E-2</v>
      </c>
      <c r="D45" s="407">
        <v>4.2051693837096289E-2</v>
      </c>
      <c r="E45" s="407">
        <v>4.6947510766466367E-2</v>
      </c>
      <c r="F45" s="407">
        <v>9.4871367549450719E-2</v>
      </c>
      <c r="G45" s="407">
        <v>1.7413738591251369E-2</v>
      </c>
      <c r="H45" s="407">
        <v>7.1183592363716075E-2</v>
      </c>
      <c r="I45" s="407">
        <v>3.963187482955613E-2</v>
      </c>
      <c r="J45" s="407">
        <v>4.7732591070968847E-2</v>
      </c>
      <c r="K45" s="407">
        <v>6.255642502619195E-2</v>
      </c>
      <c r="L45" s="367">
        <v>0</v>
      </c>
      <c r="M45" s="407">
        <v>8.0060070909469844E-2</v>
      </c>
    </row>
    <row r="46" spans="1:23" x14ac:dyDescent="0.35">
      <c r="A46" s="84" t="s">
        <v>118</v>
      </c>
      <c r="B46" s="407">
        <v>1.3754938185521381E-2</v>
      </c>
      <c r="C46" s="407">
        <v>4.2635518367259616E-2</v>
      </c>
      <c r="D46" s="407">
        <v>1.4863599715456545E-2</v>
      </c>
      <c r="E46" s="407">
        <v>6.3606681280279728E-2</v>
      </c>
      <c r="F46" s="407">
        <v>6.7982986801529061E-2</v>
      </c>
      <c r="G46" s="407">
        <v>2.6348753268541039E-2</v>
      </c>
      <c r="H46" s="407">
        <v>0.11722116179805527</v>
      </c>
      <c r="I46" s="407">
        <v>1.8583769386191842E-2</v>
      </c>
      <c r="J46" s="407">
        <v>6.7554396720150997E-2</v>
      </c>
      <c r="K46" s="407">
        <v>3.220327469601051E-2</v>
      </c>
      <c r="L46" s="367">
        <v>0</v>
      </c>
      <c r="M46" s="407">
        <v>2.9821896428745772E-2</v>
      </c>
    </row>
    <row r="47" spans="1:23" x14ac:dyDescent="0.35">
      <c r="A47" s="3"/>
      <c r="B47" s="12"/>
      <c r="C47" s="12"/>
      <c r="D47" s="12"/>
      <c r="E47" s="12"/>
      <c r="F47" s="12"/>
      <c r="G47" s="12"/>
      <c r="H47" s="12"/>
      <c r="I47" s="12"/>
      <c r="J47" s="12"/>
      <c r="K47" s="12"/>
      <c r="W47" s="87" t="s">
        <v>331</v>
      </c>
    </row>
    <row r="48" spans="1:23" x14ac:dyDescent="0.35">
      <c r="A48" s="84" t="s">
        <v>329</v>
      </c>
      <c r="B48" s="10">
        <f>SUM(B33:B35)</f>
        <v>0.90515626039905861</v>
      </c>
      <c r="C48" s="10">
        <f t="shared" ref="C48:L48" si="3">SUM(C33:C35)</f>
        <v>0.79099181039253241</v>
      </c>
      <c r="D48" s="10">
        <f t="shared" si="3"/>
        <v>0.8811237428279397</v>
      </c>
      <c r="E48" s="10">
        <f t="shared" si="3"/>
        <v>0.54173183107650524</v>
      </c>
      <c r="F48" s="10">
        <f t="shared" si="3"/>
        <v>0.64028262181335371</v>
      </c>
      <c r="G48" s="10">
        <f t="shared" si="3"/>
        <v>0.77115999059316975</v>
      </c>
      <c r="H48" s="10">
        <f t="shared" si="3"/>
        <v>0.75001234775530334</v>
      </c>
      <c r="I48" s="10">
        <f t="shared" si="3"/>
        <v>0.81439875136887252</v>
      </c>
      <c r="J48" s="10">
        <f t="shared" si="3"/>
        <v>0.72735060675385177</v>
      </c>
      <c r="K48" s="10">
        <f t="shared" si="3"/>
        <v>0.57414651900762492</v>
      </c>
      <c r="L48" s="10">
        <f t="shared" si="3"/>
        <v>0.67191601049868765</v>
      </c>
      <c r="M48" s="10">
        <f>SUM(M33:M35)</f>
        <v>0.82172001508475456</v>
      </c>
    </row>
    <row r="49" spans="1:19" x14ac:dyDescent="0.35">
      <c r="L49" s="174"/>
      <c r="M49" s="174"/>
    </row>
    <row r="50" spans="1:19" x14ac:dyDescent="0.35">
      <c r="A50" s="123" t="s">
        <v>119</v>
      </c>
      <c r="B50" s="123"/>
      <c r="C50" s="123"/>
      <c r="D50" s="123"/>
      <c r="E50" s="123"/>
      <c r="F50" s="123"/>
      <c r="G50" s="123"/>
      <c r="H50" s="123"/>
      <c r="I50" s="123"/>
      <c r="J50" s="123"/>
      <c r="K50" s="123"/>
      <c r="L50" s="176"/>
      <c r="M50" s="176"/>
      <c r="O50" s="175" t="s">
        <v>120</v>
      </c>
      <c r="P50" s="175" t="s">
        <v>121</v>
      </c>
      <c r="Q50" s="5"/>
    </row>
    <row r="51" spans="1:19" x14ac:dyDescent="0.35">
      <c r="A51" s="3" t="s">
        <v>510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O51" s="88" t="s">
        <v>535</v>
      </c>
      <c r="P51" s="88" t="s">
        <v>536</v>
      </c>
      <c r="Q51" s="5"/>
    </row>
    <row r="52" spans="1:19" x14ac:dyDescent="0.35">
      <c r="A52" s="3" t="s">
        <v>518</v>
      </c>
      <c r="B52" s="119">
        <f>$L$52</f>
        <v>1905</v>
      </c>
      <c r="C52" s="119">
        <f t="shared" ref="C52:M52" si="4">$L$52</f>
        <v>1905</v>
      </c>
      <c r="D52" s="119">
        <f t="shared" si="4"/>
        <v>1905</v>
      </c>
      <c r="E52" s="119">
        <f t="shared" si="4"/>
        <v>1905</v>
      </c>
      <c r="F52" s="119">
        <f t="shared" si="4"/>
        <v>1905</v>
      </c>
      <c r="G52" s="119">
        <f t="shared" si="4"/>
        <v>1905</v>
      </c>
      <c r="H52" s="119">
        <f t="shared" si="4"/>
        <v>1905</v>
      </c>
      <c r="I52" s="119">
        <f t="shared" si="4"/>
        <v>1905</v>
      </c>
      <c r="J52" s="119">
        <f t="shared" si="4"/>
        <v>1905</v>
      </c>
      <c r="K52" s="119">
        <f t="shared" si="4"/>
        <v>1905</v>
      </c>
      <c r="L52" s="295">
        <f>Q41/2/0.9</f>
        <v>1905</v>
      </c>
      <c r="M52" s="119">
        <f t="shared" si="4"/>
        <v>1905</v>
      </c>
      <c r="O52" s="88" t="s">
        <v>535</v>
      </c>
      <c r="P52" s="88" t="s">
        <v>536</v>
      </c>
      <c r="Q52" s="5"/>
    </row>
    <row r="53" spans="1:19" x14ac:dyDescent="0.35">
      <c r="L53" s="174"/>
      <c r="M53" s="174"/>
      <c r="O53" s="88"/>
      <c r="P53" s="88"/>
    </row>
    <row r="54" spans="1:19" x14ac:dyDescent="0.35">
      <c r="A54" s="123" t="s">
        <v>122</v>
      </c>
      <c r="B54" s="123"/>
      <c r="C54" s="123"/>
      <c r="D54" s="123"/>
      <c r="E54" s="123"/>
      <c r="F54" s="123"/>
      <c r="G54" s="123"/>
      <c r="H54" s="123"/>
      <c r="I54" s="123"/>
      <c r="J54" s="123"/>
      <c r="K54" s="123"/>
      <c r="L54" s="176"/>
      <c r="M54" s="176"/>
      <c r="O54" s="88"/>
    </row>
    <row r="55" spans="1:19" x14ac:dyDescent="0.35">
      <c r="A55" s="3" t="s">
        <v>512</v>
      </c>
      <c r="B55" s="116">
        <v>52</v>
      </c>
      <c r="C55" s="116">
        <v>52</v>
      </c>
      <c r="D55" s="116">
        <v>52</v>
      </c>
      <c r="E55" s="116">
        <v>52</v>
      </c>
      <c r="F55" s="116">
        <v>52</v>
      </c>
      <c r="G55" s="116">
        <v>52</v>
      </c>
      <c r="H55" s="116">
        <v>52</v>
      </c>
      <c r="I55" s="116">
        <v>52</v>
      </c>
      <c r="J55" s="116">
        <v>52</v>
      </c>
      <c r="K55" s="116">
        <v>52</v>
      </c>
      <c r="L55" s="116">
        <v>52</v>
      </c>
      <c r="M55" s="116">
        <v>52</v>
      </c>
      <c r="O55" s="88" t="s">
        <v>511</v>
      </c>
      <c r="P55" s="88"/>
    </row>
    <row r="56" spans="1:19" x14ac:dyDescent="0.35">
      <c r="L56" s="16"/>
      <c r="M56" s="16"/>
      <c r="O56" s="88"/>
      <c r="P56" s="88"/>
      <c r="Q56" s="88"/>
      <c r="S56" s="88"/>
    </row>
    <row r="57" spans="1:19" x14ac:dyDescent="0.35">
      <c r="A57" s="123" t="s">
        <v>123</v>
      </c>
      <c r="B57" s="123"/>
      <c r="C57" s="123"/>
      <c r="D57" s="123"/>
      <c r="E57" s="123"/>
      <c r="F57" s="123"/>
      <c r="G57" s="123"/>
      <c r="H57" s="123"/>
      <c r="I57" s="123"/>
      <c r="J57" s="123"/>
      <c r="K57" s="123"/>
      <c r="L57" s="176"/>
      <c r="M57" s="176"/>
      <c r="O57" s="88"/>
    </row>
    <row r="58" spans="1:19" x14ac:dyDescent="0.35">
      <c r="A58" s="3" t="s">
        <v>574</v>
      </c>
      <c r="B58" s="295">
        <f>0.3*1000/3.6</f>
        <v>83.333333333333329</v>
      </c>
      <c r="C58" s="295">
        <f t="shared" ref="C58:M58" si="5">0.3*1000/3.6</f>
        <v>83.333333333333329</v>
      </c>
      <c r="D58" s="295">
        <f t="shared" si="5"/>
        <v>83.333333333333329</v>
      </c>
      <c r="E58" s="295">
        <f t="shared" si="5"/>
        <v>83.333333333333329</v>
      </c>
      <c r="F58" s="295">
        <f t="shared" si="5"/>
        <v>83.333333333333329</v>
      </c>
      <c r="G58" s="295">
        <f t="shared" si="5"/>
        <v>83.333333333333329</v>
      </c>
      <c r="H58" s="295">
        <f t="shared" si="5"/>
        <v>83.333333333333329</v>
      </c>
      <c r="I58" s="295">
        <f t="shared" si="5"/>
        <v>83.333333333333329</v>
      </c>
      <c r="J58" s="295">
        <f t="shared" si="5"/>
        <v>83.333333333333329</v>
      </c>
      <c r="K58" s="295">
        <f t="shared" si="5"/>
        <v>83.333333333333329</v>
      </c>
      <c r="L58" s="295">
        <f t="shared" si="5"/>
        <v>83.333333333333329</v>
      </c>
      <c r="M58" s="295">
        <f t="shared" si="5"/>
        <v>83.333333333333329</v>
      </c>
      <c r="O58" s="88" t="s">
        <v>575</v>
      </c>
    </row>
    <row r="59" spans="1:19" x14ac:dyDescent="0.35">
      <c r="A59" s="3" t="s">
        <v>573</v>
      </c>
      <c r="B59" s="295">
        <f>0.5*1000/3.6</f>
        <v>138.88888888888889</v>
      </c>
      <c r="C59" s="295">
        <f t="shared" ref="C59:M59" si="6">0.5*1000/3.6</f>
        <v>138.88888888888889</v>
      </c>
      <c r="D59" s="295">
        <f t="shared" si="6"/>
        <v>138.88888888888889</v>
      </c>
      <c r="E59" s="295">
        <f t="shared" si="6"/>
        <v>138.88888888888889</v>
      </c>
      <c r="F59" s="295">
        <f t="shared" si="6"/>
        <v>138.88888888888889</v>
      </c>
      <c r="G59" s="295">
        <f t="shared" si="6"/>
        <v>138.88888888888889</v>
      </c>
      <c r="H59" s="295">
        <f t="shared" si="6"/>
        <v>138.88888888888889</v>
      </c>
      <c r="I59" s="295">
        <f t="shared" si="6"/>
        <v>138.88888888888889</v>
      </c>
      <c r="J59" s="295">
        <f t="shared" si="6"/>
        <v>138.88888888888889</v>
      </c>
      <c r="K59" s="295">
        <f t="shared" si="6"/>
        <v>138.88888888888889</v>
      </c>
      <c r="L59" s="295">
        <f t="shared" si="6"/>
        <v>138.88888888888889</v>
      </c>
      <c r="M59" s="295">
        <f t="shared" si="6"/>
        <v>138.88888888888889</v>
      </c>
      <c r="O59" s="88"/>
    </row>
    <row r="60" spans="1:19" x14ac:dyDescent="0.35">
      <c r="O60" s="88"/>
    </row>
    <row r="61" spans="1:19" x14ac:dyDescent="0.35">
      <c r="A61" s="123" t="s">
        <v>124</v>
      </c>
      <c r="B61" s="123"/>
      <c r="C61" s="123"/>
      <c r="D61" s="123"/>
      <c r="E61" s="123"/>
      <c r="F61" s="123"/>
      <c r="G61" s="123"/>
      <c r="H61" s="123"/>
      <c r="I61" s="123"/>
      <c r="J61" s="123"/>
      <c r="K61" s="123"/>
      <c r="L61" s="176"/>
      <c r="M61" s="176"/>
    </row>
    <row r="62" spans="1:19" x14ac:dyDescent="0.35">
      <c r="A62" s="3" t="s">
        <v>265</v>
      </c>
      <c r="B62" s="13">
        <v>1.1000000000000001</v>
      </c>
      <c r="C62" s="13">
        <v>1.1000000000000001</v>
      </c>
      <c r="D62" s="13">
        <v>1.1000000000000001</v>
      </c>
      <c r="E62" s="13">
        <v>1.1000000000000001</v>
      </c>
      <c r="F62" s="13">
        <v>1.1000000000000001</v>
      </c>
      <c r="G62" s="13">
        <v>1.1000000000000001</v>
      </c>
      <c r="H62" s="13">
        <v>1.1000000000000001</v>
      </c>
      <c r="I62" s="13">
        <v>1.1000000000000001</v>
      </c>
      <c r="J62" s="13">
        <v>1.1000000000000001</v>
      </c>
      <c r="K62" s="13">
        <v>1.1000000000000001</v>
      </c>
      <c r="L62" s="13">
        <v>1.1000000000000001</v>
      </c>
      <c r="M62" s="13">
        <v>1.1000000000000001</v>
      </c>
      <c r="O62" s="245" t="s">
        <v>125</v>
      </c>
    </row>
    <row r="63" spans="1:19" x14ac:dyDescent="0.35">
      <c r="A63" s="3" t="s">
        <v>266</v>
      </c>
      <c r="B63" s="12">
        <v>0.9</v>
      </c>
      <c r="C63" s="12">
        <v>0.9</v>
      </c>
      <c r="D63" s="12">
        <v>0.9</v>
      </c>
      <c r="E63" s="12">
        <v>0.9</v>
      </c>
      <c r="F63" s="12">
        <v>0.9</v>
      </c>
      <c r="G63" s="12">
        <v>0.9</v>
      </c>
      <c r="H63" s="12">
        <v>0.9</v>
      </c>
      <c r="I63" s="12">
        <v>0.9</v>
      </c>
      <c r="J63" s="12">
        <v>0.9</v>
      </c>
      <c r="K63" s="12">
        <v>0.9</v>
      </c>
      <c r="L63" s="12">
        <v>0.9</v>
      </c>
      <c r="M63" s="12">
        <v>0.9</v>
      </c>
      <c r="O63" s="350"/>
    </row>
    <row r="64" spans="1:19" x14ac:dyDescent="0.35">
      <c r="L64" s="174"/>
      <c r="M64" s="174"/>
    </row>
    <row r="65" spans="1:15" x14ac:dyDescent="0.35">
      <c r="A65" s="123" t="s">
        <v>126</v>
      </c>
      <c r="B65" s="123"/>
      <c r="C65" s="123"/>
      <c r="D65" s="123"/>
      <c r="E65" s="123"/>
      <c r="F65" s="123"/>
      <c r="G65" s="123"/>
      <c r="H65" s="123"/>
      <c r="I65" s="123"/>
      <c r="J65" s="123"/>
      <c r="K65" s="123"/>
      <c r="L65" s="176"/>
      <c r="M65" s="176"/>
      <c r="O65" s="88"/>
    </row>
    <row r="66" spans="1:15" x14ac:dyDescent="0.35">
      <c r="A66" s="3" t="s">
        <v>127</v>
      </c>
      <c r="B66" s="18">
        <f>SUMPRODUCT(B67:B69,'Parameters, general'!$B$23:$B$25)</f>
        <v>0.38627677177026798</v>
      </c>
      <c r="C66" s="18">
        <f>SUMPRODUCT(C67:C69,'Parameters, general'!$B$23:$B$25)</f>
        <v>9.5381405160222713E-2</v>
      </c>
      <c r="D66" s="18">
        <f>SUMPRODUCT(D67:D69,'Parameters, general'!$B$23:$B$25)</f>
        <v>0.49048549543962316</v>
      </c>
      <c r="E66" s="18">
        <f>SUMPRODUCT(E67:E69,'Parameters, general'!$B$23:$B$25)</f>
        <v>0.67841599837959998</v>
      </c>
      <c r="F66" s="18">
        <f>SUMPRODUCT(F67:F69,'Parameters, general'!$B$23:$B$25)</f>
        <v>0.47045713416211871</v>
      </c>
      <c r="G66" s="18">
        <f>SUMPRODUCT(G67:G69,'Parameters, general'!$B$23:$B$25)</f>
        <v>0.40484566156116741</v>
      </c>
      <c r="H66" s="18">
        <f>SUMPRODUCT(H67:H69,'Parameters, general'!$B$23:$B$25)</f>
        <v>0.42738626455461243</v>
      </c>
      <c r="I66" s="18">
        <f>SUMPRODUCT(I67:I69,'Parameters, general'!$B$23:$B$25)</f>
        <v>0.52657781797980341</v>
      </c>
      <c r="J66" s="18">
        <f>SUMPRODUCT(J67:J69,'Parameters, general'!$B$23:$B$25)</f>
        <v>1.0319324183189464</v>
      </c>
      <c r="K66" s="18">
        <f>SUMPRODUCT(K67:K69,'Parameters, general'!$B$23:$B$25)</f>
        <v>0.29314059765558081</v>
      </c>
      <c r="L66" s="18">
        <f>SUMPRODUCT(L67:L69,'Parameters, general'!$B$23:$B$25)</f>
        <v>9.1599695300547013E-2</v>
      </c>
      <c r="M66" s="18">
        <v>0.4112020916109686</v>
      </c>
      <c r="O66" s="88" t="s">
        <v>128</v>
      </c>
    </row>
    <row r="67" spans="1:15" x14ac:dyDescent="0.35">
      <c r="A67" s="3" t="s">
        <v>129</v>
      </c>
      <c r="B67" s="72">
        <v>0.37053203522740003</v>
      </c>
      <c r="C67" s="139">
        <v>8.7112695367499993E-2</v>
      </c>
      <c r="D67" s="72">
        <v>0.46350339663360002</v>
      </c>
      <c r="E67" s="72">
        <v>0.63996298020209996</v>
      </c>
      <c r="F67" s="72">
        <v>0.43715184780049998</v>
      </c>
      <c r="G67" s="72">
        <v>0.3918720101247401</v>
      </c>
      <c r="H67" s="72">
        <v>0.37797633435819999</v>
      </c>
      <c r="I67" s="72">
        <v>0.49673189321139988</v>
      </c>
      <c r="J67" s="72">
        <v>0.9754510606115</v>
      </c>
      <c r="K67" s="72">
        <v>0.26811508139590001</v>
      </c>
      <c r="L67" s="72">
        <v>8.8450339728460003E-2</v>
      </c>
      <c r="M67" s="411">
        <v>0.39396368680829996</v>
      </c>
      <c r="O67" s="88"/>
    </row>
    <row r="68" spans="1:15" x14ac:dyDescent="0.35">
      <c r="A68" s="3" t="s">
        <v>130</v>
      </c>
      <c r="B68" s="138">
        <v>5.1107441647039987E-4</v>
      </c>
      <c r="C68" s="138">
        <v>2.700762131814E-4</v>
      </c>
      <c r="D68" s="138">
        <v>8.866310670443999E-4</v>
      </c>
      <c r="E68" s="138">
        <v>1.2704162262849E-3</v>
      </c>
      <c r="F68" s="138">
        <v>1.1037499887663997E-3</v>
      </c>
      <c r="G68" s="138">
        <v>4.22314047096554E-4</v>
      </c>
      <c r="H68" s="138">
        <v>1.6431484401077997E-3</v>
      </c>
      <c r="I68" s="138">
        <v>9.8347245312259998E-4</v>
      </c>
      <c r="J68" s="138">
        <v>1.8794008186636402E-3</v>
      </c>
      <c r="K68" s="138">
        <v>8.28784824796E-4</v>
      </c>
      <c r="L68" s="138">
        <v>9.8278548655939986E-5</v>
      </c>
      <c r="M68" s="411">
        <v>5.6578726519659992E-4</v>
      </c>
      <c r="O68" s="88"/>
    </row>
    <row r="69" spans="1:15" x14ac:dyDescent="0.35">
      <c r="A69" s="3" t="s">
        <v>131</v>
      </c>
      <c r="B69" s="91">
        <v>1.9063664150000001E-5</v>
      </c>
      <c r="C69" s="91">
        <v>8.1643940709999986E-6</v>
      </c>
      <c r="D69" s="91">
        <v>2.0759000300000004E-5</v>
      </c>
      <c r="E69" s="91">
        <v>2.2022764229999999E-5</v>
      </c>
      <c r="F69" s="91">
        <v>1.5316173940000001E-5</v>
      </c>
      <c r="G69" s="91">
        <v>1.439603085E-5</v>
      </c>
      <c r="H69" s="91">
        <v>1.6448395599999999E-5</v>
      </c>
      <c r="I69" s="91">
        <v>1.9942432050000001E-5</v>
      </c>
      <c r="J69" s="91">
        <v>1.7600493009999999E-5</v>
      </c>
      <c r="K69" s="91">
        <v>1.213809188E-5</v>
      </c>
      <c r="L69" s="91">
        <v>8.172400819999999E-6</v>
      </c>
      <c r="M69" s="449">
        <v>1.3997937029999999E-5</v>
      </c>
    </row>
    <row r="70" spans="1:15" x14ac:dyDescent="0.35">
      <c r="A70" s="3"/>
    </row>
    <row r="71" spans="1:15" x14ac:dyDescent="0.35">
      <c r="A71" s="123" t="s">
        <v>132</v>
      </c>
      <c r="B71" s="123"/>
      <c r="C71" s="123"/>
      <c r="D71" s="123"/>
      <c r="E71" s="123"/>
      <c r="F71" s="123"/>
      <c r="G71" s="123"/>
      <c r="H71" s="123"/>
      <c r="I71" s="123"/>
      <c r="J71" s="123"/>
      <c r="K71" s="123"/>
      <c r="L71" s="176"/>
      <c r="M71" s="176"/>
      <c r="O71" s="88"/>
    </row>
    <row r="72" spans="1:15" x14ac:dyDescent="0.35">
      <c r="A72" s="3" t="s">
        <v>133</v>
      </c>
      <c r="B72" s="14">
        <v>0.19</v>
      </c>
      <c r="C72" s="14">
        <v>0.19</v>
      </c>
      <c r="D72" s="14">
        <v>0.19</v>
      </c>
      <c r="E72" s="14">
        <v>0.19</v>
      </c>
      <c r="F72" s="14">
        <v>0.19</v>
      </c>
      <c r="G72" s="14">
        <v>0.19</v>
      </c>
      <c r="H72" s="14">
        <v>0.19</v>
      </c>
      <c r="I72" s="14">
        <v>0.19</v>
      </c>
      <c r="J72" s="14">
        <v>0.19</v>
      </c>
      <c r="K72" s="14">
        <v>0.19</v>
      </c>
      <c r="L72" s="14">
        <v>0.19</v>
      </c>
      <c r="M72" s="14"/>
      <c r="O72" s="88" t="s">
        <v>134</v>
      </c>
    </row>
    <row r="73" spans="1:15" x14ac:dyDescent="0.35">
      <c r="L73" s="12"/>
      <c r="M73" s="12"/>
      <c r="O73" s="88"/>
    </row>
    <row r="74" spans="1:15" x14ac:dyDescent="0.35">
      <c r="A74" s="123" t="s">
        <v>135</v>
      </c>
      <c r="B74" s="123"/>
      <c r="C74" s="123"/>
      <c r="D74" s="123"/>
      <c r="E74" s="123"/>
      <c r="F74" s="123"/>
      <c r="G74" s="123"/>
      <c r="H74" s="123"/>
      <c r="I74" s="123"/>
      <c r="J74" s="123"/>
      <c r="K74" s="123"/>
      <c r="L74" s="187"/>
      <c r="M74" s="187"/>
      <c r="O74" s="88"/>
    </row>
    <row r="75" spans="1:15" x14ac:dyDescent="0.35">
      <c r="A75" s="3" t="s">
        <v>136</v>
      </c>
      <c r="B75" s="104">
        <v>0.6</v>
      </c>
      <c r="C75" s="104">
        <v>0.3</v>
      </c>
      <c r="D75" s="104">
        <v>0.3</v>
      </c>
      <c r="E75" s="104">
        <v>0.3</v>
      </c>
      <c r="F75" s="104">
        <v>0.3</v>
      </c>
      <c r="G75" s="104">
        <v>0.3</v>
      </c>
      <c r="H75" s="104">
        <v>0.3</v>
      </c>
      <c r="I75" s="104">
        <v>0.3</v>
      </c>
      <c r="J75" s="104">
        <v>0.3</v>
      </c>
      <c r="K75" s="104">
        <v>0.3</v>
      </c>
      <c r="L75" s="104">
        <v>0.6</v>
      </c>
      <c r="M75" s="104">
        <v>0.3</v>
      </c>
      <c r="O75" s="88" t="s">
        <v>134</v>
      </c>
    </row>
    <row r="76" spans="1:15" x14ac:dyDescent="0.35">
      <c r="A76" s="3" t="s">
        <v>137</v>
      </c>
      <c r="B76" s="105">
        <v>0.4</v>
      </c>
      <c r="C76" s="105">
        <v>0.7</v>
      </c>
      <c r="D76" s="105">
        <v>0.7</v>
      </c>
      <c r="E76" s="105">
        <v>0.7</v>
      </c>
      <c r="F76" s="105">
        <v>0.7</v>
      </c>
      <c r="G76" s="105">
        <v>0.7</v>
      </c>
      <c r="H76" s="105">
        <v>0.7</v>
      </c>
      <c r="I76" s="105">
        <v>0.7</v>
      </c>
      <c r="J76" s="105">
        <v>0.7</v>
      </c>
      <c r="K76" s="105">
        <v>0.7</v>
      </c>
      <c r="L76" s="105">
        <v>0.4</v>
      </c>
      <c r="M76" s="105">
        <v>0.7</v>
      </c>
    </row>
    <row r="77" spans="1:15" x14ac:dyDescent="0.35">
      <c r="L77" s="12"/>
      <c r="M77"/>
    </row>
    <row r="78" spans="1:15" x14ac:dyDescent="0.35">
      <c r="A78" s="123" t="s">
        <v>138</v>
      </c>
      <c r="B78" s="123"/>
      <c r="C78" s="123"/>
      <c r="D78" s="123"/>
      <c r="E78" s="123"/>
      <c r="F78" s="123"/>
      <c r="G78" s="123"/>
      <c r="H78" s="123"/>
      <c r="I78" s="123"/>
      <c r="J78" s="123"/>
      <c r="K78" s="123"/>
      <c r="L78" s="176"/>
      <c r="M78" s="123"/>
    </row>
    <row r="79" spans="1:15" x14ac:dyDescent="0.35">
      <c r="A79" s="86" t="s">
        <v>139</v>
      </c>
      <c r="B79" s="30">
        <v>1.6E-2</v>
      </c>
      <c r="C79" s="30">
        <v>1.6E-2</v>
      </c>
      <c r="D79" s="30">
        <v>1.6E-2</v>
      </c>
      <c r="E79" s="30">
        <v>1.6E-2</v>
      </c>
      <c r="F79" s="30">
        <v>1.6E-2</v>
      </c>
      <c r="G79" s="30">
        <v>1.6E-2</v>
      </c>
      <c r="H79" s="30">
        <v>1.6E-2</v>
      </c>
      <c r="I79" s="30">
        <v>1.6E-2</v>
      </c>
      <c r="J79" s="30">
        <v>1.6E-2</v>
      </c>
      <c r="K79" s="30">
        <v>1.6E-2</v>
      </c>
      <c r="L79" s="30">
        <v>1.6E-2</v>
      </c>
      <c r="M79" s="30">
        <v>1.6E-2</v>
      </c>
    </row>
    <row r="80" spans="1:15" x14ac:dyDescent="0.35">
      <c r="A80" s="86" t="s">
        <v>436</v>
      </c>
      <c r="B80" s="30">
        <v>6.0000000000000001E-3</v>
      </c>
      <c r="C80" s="30">
        <v>6.0000000000000001E-3</v>
      </c>
      <c r="D80" s="30">
        <v>6.0000000000000001E-3</v>
      </c>
      <c r="E80" s="30">
        <v>6.0000000000000001E-3</v>
      </c>
      <c r="F80" s="30">
        <v>6.0000000000000001E-3</v>
      </c>
      <c r="G80" s="30">
        <v>6.0000000000000001E-3</v>
      </c>
      <c r="H80" s="30">
        <v>6.0000000000000001E-3</v>
      </c>
      <c r="I80" s="30">
        <v>6.0000000000000001E-3</v>
      </c>
      <c r="J80" s="30">
        <v>6.0000000000000001E-3</v>
      </c>
      <c r="K80" s="30">
        <v>6.0000000000000001E-3</v>
      </c>
      <c r="L80" s="30">
        <v>6.0000000000000001E-3</v>
      </c>
      <c r="M80" s="30">
        <v>6.0000000000000001E-3</v>
      </c>
    </row>
    <row r="81" spans="1:18" x14ac:dyDescent="0.35">
      <c r="A81" s="3" t="s">
        <v>140</v>
      </c>
      <c r="B81" s="4">
        <f t="shared" ref="B81:M81" si="7">B79-B80</f>
        <v>0.01</v>
      </c>
      <c r="C81" s="4">
        <f t="shared" si="7"/>
        <v>0.01</v>
      </c>
      <c r="D81" s="4">
        <f t="shared" si="7"/>
        <v>0.01</v>
      </c>
      <c r="E81" s="4">
        <f t="shared" si="7"/>
        <v>0.01</v>
      </c>
      <c r="F81" s="4">
        <f t="shared" si="7"/>
        <v>0.01</v>
      </c>
      <c r="G81" s="4">
        <f t="shared" si="7"/>
        <v>0.01</v>
      </c>
      <c r="H81" s="4">
        <f t="shared" si="7"/>
        <v>0.01</v>
      </c>
      <c r="I81" s="4">
        <f t="shared" ref="I81" si="8">I79-I80</f>
        <v>0.01</v>
      </c>
      <c r="J81" s="4">
        <f t="shared" si="7"/>
        <v>0.01</v>
      </c>
      <c r="K81" s="4">
        <f t="shared" si="7"/>
        <v>0.01</v>
      </c>
      <c r="L81" s="72">
        <f t="shared" si="7"/>
        <v>0.01</v>
      </c>
      <c r="M81" s="4">
        <f t="shared" si="7"/>
        <v>0.01</v>
      </c>
    </row>
    <row r="82" spans="1:18" x14ac:dyDescent="0.35">
      <c r="A82" s="86" t="s">
        <v>141</v>
      </c>
      <c r="B82" s="31">
        <v>0.1</v>
      </c>
      <c r="C82" s="31">
        <v>0.1</v>
      </c>
      <c r="D82" s="31">
        <v>0.1</v>
      </c>
      <c r="E82" s="31">
        <v>0.1</v>
      </c>
      <c r="F82" s="31">
        <v>0.1</v>
      </c>
      <c r="G82" s="31">
        <v>0.1</v>
      </c>
      <c r="H82" s="31">
        <v>0.1</v>
      </c>
      <c r="I82" s="31">
        <v>0.1</v>
      </c>
      <c r="J82" s="31">
        <v>0.1</v>
      </c>
      <c r="K82" s="31">
        <v>0.1</v>
      </c>
      <c r="L82" s="106">
        <v>0.1</v>
      </c>
      <c r="M82" s="31">
        <v>0.1</v>
      </c>
    </row>
    <row r="83" spans="1:18" x14ac:dyDescent="0.35">
      <c r="A83" s="3"/>
      <c r="L83" s="12"/>
      <c r="M83" s="12"/>
      <c r="R83" t="s">
        <v>482</v>
      </c>
    </row>
    <row r="84" spans="1:18" x14ac:dyDescent="0.35">
      <c r="A84" s="123" t="s">
        <v>570</v>
      </c>
      <c r="B84" s="123"/>
      <c r="C84" s="123"/>
      <c r="D84" s="123"/>
      <c r="E84" s="123"/>
      <c r="F84" s="123"/>
      <c r="G84" s="123"/>
      <c r="H84" s="123"/>
      <c r="I84" s="123"/>
      <c r="J84" s="123"/>
      <c r="K84" s="123"/>
      <c r="L84" s="187"/>
      <c r="M84" s="187"/>
      <c r="O84" s="88"/>
    </row>
    <row r="85" spans="1:18" x14ac:dyDescent="0.35">
      <c r="A85" s="86" t="s">
        <v>142</v>
      </c>
      <c r="B85" s="35">
        <v>0</v>
      </c>
      <c r="C85" s="35">
        <v>0</v>
      </c>
      <c r="D85" s="35">
        <v>0</v>
      </c>
      <c r="E85" s="35">
        <v>0</v>
      </c>
      <c r="F85" s="35">
        <v>0</v>
      </c>
      <c r="G85" s="35">
        <v>0</v>
      </c>
      <c r="H85" s="35">
        <v>0</v>
      </c>
      <c r="I85" s="35">
        <v>0</v>
      </c>
      <c r="J85" s="35">
        <v>0</v>
      </c>
      <c r="K85" s="35">
        <v>0</v>
      </c>
      <c r="L85" s="35">
        <v>0</v>
      </c>
      <c r="M85" s="35">
        <v>0</v>
      </c>
      <c r="O85" s="88" t="s">
        <v>530</v>
      </c>
    </row>
    <row r="86" spans="1:18" x14ac:dyDescent="0.35">
      <c r="L86" s="12"/>
      <c r="M86" s="12"/>
      <c r="O86" s="88"/>
    </row>
    <row r="87" spans="1:18" x14ac:dyDescent="0.35">
      <c r="A87" s="123" t="s">
        <v>143</v>
      </c>
      <c r="B87" s="123"/>
      <c r="C87" s="123"/>
      <c r="D87" s="123"/>
      <c r="E87" s="123"/>
      <c r="F87" s="123"/>
      <c r="G87" s="123"/>
      <c r="H87" s="123"/>
      <c r="I87" s="123"/>
      <c r="J87" s="123"/>
      <c r="K87" s="123"/>
      <c r="L87" s="176"/>
      <c r="M87" s="176"/>
      <c r="O87" s="88"/>
    </row>
    <row r="88" spans="1:18" x14ac:dyDescent="0.35">
      <c r="A88" s="86" t="s">
        <v>332</v>
      </c>
      <c r="B88" s="106">
        <v>33.6</v>
      </c>
      <c r="C88" s="106">
        <v>33.6</v>
      </c>
      <c r="D88" s="106">
        <v>33.6</v>
      </c>
      <c r="E88" s="106">
        <v>33.6</v>
      </c>
      <c r="F88" s="106">
        <v>33.6</v>
      </c>
      <c r="G88" s="106">
        <v>33.6</v>
      </c>
      <c r="H88" s="106">
        <v>33.6</v>
      </c>
      <c r="I88" s="106">
        <v>33.6</v>
      </c>
      <c r="J88" s="106">
        <v>33.6</v>
      </c>
      <c r="K88" s="106">
        <v>33.6</v>
      </c>
      <c r="L88" s="106">
        <v>33.6</v>
      </c>
      <c r="M88" s="106">
        <v>33.6</v>
      </c>
      <c r="O88" s="88" t="s">
        <v>144</v>
      </c>
    </row>
    <row r="89" spans="1:18" x14ac:dyDescent="0.35">
      <c r="A89" s="86" t="s">
        <v>333</v>
      </c>
      <c r="B89" s="106">
        <v>16.399999999999999</v>
      </c>
      <c r="C89" s="106">
        <v>16.399999999999999</v>
      </c>
      <c r="D89" s="106">
        <v>16.399999999999999</v>
      </c>
      <c r="E89" s="106">
        <v>16.399999999999999</v>
      </c>
      <c r="F89" s="106">
        <v>16.399999999999999</v>
      </c>
      <c r="G89" s="106">
        <v>16.399999999999999</v>
      </c>
      <c r="H89" s="106">
        <v>16.399999999999999</v>
      </c>
      <c r="I89" s="106">
        <v>16.399999999999999</v>
      </c>
      <c r="J89" s="106">
        <v>16.399999999999999</v>
      </c>
      <c r="K89" s="106">
        <v>16.399999999999999</v>
      </c>
      <c r="L89" s="106">
        <v>16.399999999999999</v>
      </c>
      <c r="M89" s="106">
        <v>16.399999999999999</v>
      </c>
      <c r="O89" s="88"/>
    </row>
    <row r="90" spans="1:18" x14ac:dyDescent="0.35">
      <c r="O90" s="88"/>
    </row>
    <row r="91" spans="1:18" x14ac:dyDescent="0.35">
      <c r="A91" s="123" t="s">
        <v>145</v>
      </c>
      <c r="B91" s="123"/>
      <c r="C91" s="123"/>
      <c r="D91" s="123"/>
      <c r="E91" s="123"/>
      <c r="F91" s="123"/>
      <c r="G91" s="123"/>
      <c r="H91" s="123"/>
      <c r="I91" s="123"/>
      <c r="J91" s="123"/>
      <c r="K91" s="123"/>
      <c r="L91" s="176"/>
      <c r="M91" s="176"/>
      <c r="O91" s="88"/>
    </row>
    <row r="92" spans="1:18" x14ac:dyDescent="0.35">
      <c r="A92" s="86" t="s">
        <v>146</v>
      </c>
      <c r="B92" s="217"/>
      <c r="C92" s="217"/>
      <c r="D92" s="217"/>
      <c r="E92" s="217"/>
      <c r="F92" s="217"/>
      <c r="G92" s="217"/>
      <c r="H92" s="217"/>
      <c r="I92" s="217"/>
      <c r="J92" s="217"/>
      <c r="K92" s="217"/>
      <c r="L92" s="217"/>
      <c r="M92" s="217"/>
      <c r="O92" s="88"/>
    </row>
    <row r="93" spans="1:18" x14ac:dyDescent="0.35">
      <c r="L93" s="174"/>
      <c r="M93" s="174"/>
      <c r="O93" s="88"/>
    </row>
    <row r="94" spans="1:18" x14ac:dyDescent="0.35">
      <c r="A94" s="86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O94" s="88"/>
    </row>
    <row r="95" spans="1:18" x14ac:dyDescent="0.35">
      <c r="A95" s="3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O95" s="88"/>
    </row>
    <row r="96" spans="1:18" x14ac:dyDescent="0.35">
      <c r="A96" s="3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O96" s="88"/>
    </row>
    <row r="97" spans="1:15" x14ac:dyDescent="0.35">
      <c r="A97" s="3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O97" s="88"/>
    </row>
    <row r="98" spans="1:15" x14ac:dyDescent="0.35">
      <c r="A98" s="3"/>
      <c r="B98" s="171"/>
      <c r="C98" s="171"/>
      <c r="D98" s="171"/>
      <c r="E98" s="171"/>
      <c r="F98" s="171"/>
      <c r="G98" s="171"/>
      <c r="H98" s="171"/>
      <c r="I98" s="171"/>
      <c r="J98" s="171"/>
      <c r="K98" s="171"/>
      <c r="L98" s="241"/>
      <c r="M98" s="241"/>
      <c r="O98" s="88"/>
    </row>
    <row r="99" spans="1:15" x14ac:dyDescent="0.35">
      <c r="A99" s="3"/>
      <c r="B99" s="242"/>
      <c r="C99" s="242"/>
      <c r="D99" s="242"/>
      <c r="E99" s="242"/>
      <c r="F99" s="242"/>
      <c r="G99" s="242"/>
      <c r="H99" s="242"/>
      <c r="I99" s="242"/>
      <c r="J99" s="242"/>
      <c r="K99" s="242"/>
      <c r="L99" s="110"/>
      <c r="M99" s="110"/>
      <c r="O99" s="88"/>
    </row>
    <row r="100" spans="1:15" x14ac:dyDescent="0.35">
      <c r="A100" s="3"/>
      <c r="B100" s="244"/>
      <c r="C100" s="244"/>
      <c r="D100" s="244"/>
      <c r="E100" s="244"/>
      <c r="F100" s="244"/>
      <c r="G100" s="244"/>
      <c r="H100" s="244"/>
      <c r="I100" s="244"/>
      <c r="J100" s="244"/>
      <c r="K100" s="244"/>
      <c r="L100" s="244"/>
      <c r="M100" s="244"/>
      <c r="O100" s="88"/>
    </row>
    <row r="101" spans="1:15" x14ac:dyDescent="0.35">
      <c r="G101" s="140"/>
      <c r="H101" s="141"/>
      <c r="I101" s="141"/>
      <c r="O101" s="88"/>
    </row>
    <row r="102" spans="1:15" x14ac:dyDescent="0.35">
      <c r="L102" s="16"/>
      <c r="M102" s="16"/>
      <c r="O102" s="88"/>
    </row>
  </sheetData>
  <phoneticPr fontId="78" type="noConversion"/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O172"/>
  <sheetViews>
    <sheetView topLeftCell="H9" zoomScale="75" zoomScaleNormal="80" workbookViewId="0">
      <selection activeCell="Y33" sqref="Y33"/>
    </sheetView>
  </sheetViews>
  <sheetFormatPr defaultColWidth="8.7265625" defaultRowHeight="14.5" x14ac:dyDescent="0.35"/>
  <cols>
    <col min="1" max="1" width="65.453125" customWidth="1"/>
    <col min="2" max="28" width="8.7265625" customWidth="1"/>
  </cols>
  <sheetData>
    <row r="1" spans="1:41" x14ac:dyDescent="0.35">
      <c r="B1" s="359"/>
      <c r="C1" s="10"/>
      <c r="S1" s="10"/>
    </row>
    <row r="2" spans="1:41" ht="18.5" x14ac:dyDescent="0.45">
      <c r="A2" s="1" t="s">
        <v>147</v>
      </c>
      <c r="B2" s="351"/>
      <c r="C2" s="172"/>
    </row>
    <row r="3" spans="1:41" x14ac:dyDescent="0.35">
      <c r="B3" t="s">
        <v>35</v>
      </c>
      <c r="D3" t="s">
        <v>37</v>
      </c>
      <c r="F3" t="s">
        <v>39</v>
      </c>
      <c r="H3" t="s">
        <v>41</v>
      </c>
      <c r="J3" t="s">
        <v>43</v>
      </c>
      <c r="L3" t="s">
        <v>45</v>
      </c>
      <c r="N3" t="s">
        <v>47</v>
      </c>
      <c r="P3" t="s">
        <v>49</v>
      </c>
      <c r="R3" t="s">
        <v>51</v>
      </c>
      <c r="T3" t="s">
        <v>53</v>
      </c>
      <c r="V3" s="16" t="s">
        <v>55</v>
      </c>
      <c r="X3" s="16" t="s">
        <v>495</v>
      </c>
      <c r="AC3" s="88" t="s">
        <v>148</v>
      </c>
    </row>
    <row r="4" spans="1:41" x14ac:dyDescent="0.35">
      <c r="A4" s="250"/>
      <c r="B4" s="251" t="s">
        <v>34</v>
      </c>
      <c r="C4" s="252"/>
      <c r="D4" s="251" t="s">
        <v>36</v>
      </c>
      <c r="E4" s="252"/>
      <c r="F4" s="252" t="s">
        <v>38</v>
      </c>
      <c r="G4" s="341"/>
      <c r="H4" s="252" t="s">
        <v>40</v>
      </c>
      <c r="I4" s="341"/>
      <c r="J4" s="340" t="s">
        <v>42</v>
      </c>
      <c r="K4" s="341"/>
      <c r="L4" s="340" t="s">
        <v>44</v>
      </c>
      <c r="M4" s="354"/>
      <c r="N4" s="353" t="s">
        <v>46</v>
      </c>
      <c r="O4" s="341"/>
      <c r="P4" s="340" t="s">
        <v>48</v>
      </c>
      <c r="Q4" s="341"/>
      <c r="R4" s="340" t="s">
        <v>50</v>
      </c>
      <c r="S4" s="341"/>
      <c r="T4" s="340" t="s">
        <v>52</v>
      </c>
      <c r="U4" s="252"/>
      <c r="V4" s="251" t="s">
        <v>54</v>
      </c>
      <c r="W4" s="360"/>
      <c r="X4" s="251" t="s">
        <v>493</v>
      </c>
      <c r="Y4" s="360"/>
      <c r="AC4" t="s">
        <v>85</v>
      </c>
      <c r="AD4" t="s">
        <v>36</v>
      </c>
      <c r="AE4" t="s">
        <v>38</v>
      </c>
      <c r="AF4" t="s">
        <v>40</v>
      </c>
      <c r="AG4" t="s">
        <v>91</v>
      </c>
      <c r="AH4" t="s">
        <v>44</v>
      </c>
      <c r="AI4" t="s">
        <v>46</v>
      </c>
      <c r="AJ4" t="s">
        <v>48</v>
      </c>
      <c r="AK4" t="s">
        <v>50</v>
      </c>
      <c r="AL4" t="s">
        <v>52</v>
      </c>
      <c r="AM4" t="s">
        <v>54</v>
      </c>
      <c r="AN4" t="s">
        <v>493</v>
      </c>
    </row>
    <row r="5" spans="1:41" x14ac:dyDescent="0.35">
      <c r="A5" s="229"/>
      <c r="B5" s="177" t="s">
        <v>276</v>
      </c>
      <c r="C5" s="188" t="s">
        <v>519</v>
      </c>
      <c r="D5" s="253" t="s">
        <v>276</v>
      </c>
      <c r="E5" s="188" t="s">
        <v>519</v>
      </c>
      <c r="F5" s="177" t="s">
        <v>276</v>
      </c>
      <c r="G5" s="188" t="s">
        <v>519</v>
      </c>
      <c r="H5" s="177" t="s">
        <v>276</v>
      </c>
      <c r="I5" s="188" t="s">
        <v>519</v>
      </c>
      <c r="J5" s="253" t="s">
        <v>276</v>
      </c>
      <c r="K5" s="188" t="s">
        <v>519</v>
      </c>
      <c r="L5" s="253" t="s">
        <v>276</v>
      </c>
      <c r="M5" s="188" t="s">
        <v>519</v>
      </c>
      <c r="N5" s="177" t="s">
        <v>276</v>
      </c>
      <c r="O5" s="188" t="s">
        <v>519</v>
      </c>
      <c r="P5" s="253" t="s">
        <v>276</v>
      </c>
      <c r="Q5" s="188" t="s">
        <v>519</v>
      </c>
      <c r="R5" s="253" t="s">
        <v>276</v>
      </c>
      <c r="S5" s="188" t="s">
        <v>519</v>
      </c>
      <c r="T5" s="253" t="s">
        <v>276</v>
      </c>
      <c r="U5" s="188" t="s">
        <v>519</v>
      </c>
      <c r="V5" s="177" t="s">
        <v>276</v>
      </c>
      <c r="W5" s="188" t="s">
        <v>519</v>
      </c>
      <c r="X5" s="177" t="s">
        <v>276</v>
      </c>
      <c r="Y5" s="188" t="s">
        <v>519</v>
      </c>
      <c r="AN5" s="179" t="s">
        <v>271</v>
      </c>
    </row>
    <row r="6" spans="1:41" x14ac:dyDescent="0.35">
      <c r="A6" s="412" t="s">
        <v>149</v>
      </c>
      <c r="B6" s="189">
        <v>3.0430722331225E-3</v>
      </c>
      <c r="C6" s="190">
        <v>3.0430722331225E-3</v>
      </c>
      <c r="D6" s="211">
        <v>0.33814626965405697</v>
      </c>
      <c r="E6" s="212">
        <v>0.33814626965405697</v>
      </c>
      <c r="F6" s="254">
        <v>0.13965938328801211</v>
      </c>
      <c r="G6" s="190">
        <v>0.13965938328801211</v>
      </c>
      <c r="H6" s="254">
        <v>0.64</v>
      </c>
      <c r="I6" s="190">
        <v>0.64</v>
      </c>
      <c r="J6" s="254">
        <v>0.16554360613088781</v>
      </c>
      <c r="K6" s="190">
        <v>0.16554360613088781</v>
      </c>
      <c r="L6" s="254">
        <v>0</v>
      </c>
      <c r="M6" s="190">
        <v>0</v>
      </c>
      <c r="N6" s="355">
        <v>0.49664793646199318</v>
      </c>
      <c r="O6" s="352">
        <v>0.49664793646199318</v>
      </c>
      <c r="P6" s="254">
        <v>0.22600000000000001</v>
      </c>
      <c r="Q6" s="190">
        <v>0.22600000000000001</v>
      </c>
      <c r="R6" s="254">
        <v>0.82936539250079377</v>
      </c>
      <c r="S6" s="190">
        <v>0.82936539250079377</v>
      </c>
      <c r="T6" s="254">
        <v>0.2664397693161335</v>
      </c>
      <c r="U6" s="190">
        <v>0.2664397693161335</v>
      </c>
      <c r="V6" s="426">
        <f>0.093*(1+0.02)</f>
        <v>9.486E-2</v>
      </c>
      <c r="W6" s="428">
        <f>0.093*(1+0.02)</f>
        <v>9.486E-2</v>
      </c>
      <c r="X6" s="427">
        <f>0.1874*(1+0.02)</f>
        <v>0.19114800000000001</v>
      </c>
      <c r="Y6" s="428">
        <f>0.1874*(1+0.02)</f>
        <v>0.19114800000000001</v>
      </c>
      <c r="AA6" s="167" t="s">
        <v>568</v>
      </c>
      <c r="AB6" s="253" t="s">
        <v>553</v>
      </c>
      <c r="AC6" s="179" t="s">
        <v>463</v>
      </c>
      <c r="AD6" s="179" t="s">
        <v>463</v>
      </c>
      <c r="AE6" s="179" t="s">
        <v>463</v>
      </c>
      <c r="AF6" s="179" t="s">
        <v>463</v>
      </c>
      <c r="AG6" s="179" t="s">
        <v>463</v>
      </c>
      <c r="AH6" s="179" t="s">
        <v>463</v>
      </c>
      <c r="AI6" s="179" t="s">
        <v>463</v>
      </c>
      <c r="AJ6" s="179" t="s">
        <v>463</v>
      </c>
      <c r="AK6" s="179" t="s">
        <v>463</v>
      </c>
      <c r="AL6" s="179" t="s">
        <v>463</v>
      </c>
      <c r="AM6" s="179" t="s">
        <v>463</v>
      </c>
      <c r="AN6" s="179" t="s">
        <v>463</v>
      </c>
      <c r="AO6" t="s">
        <v>552</v>
      </c>
    </row>
    <row r="7" spans="1:41" x14ac:dyDescent="0.35">
      <c r="A7" s="413" t="s">
        <v>150</v>
      </c>
      <c r="B7" s="189">
        <v>0.31293319961023902</v>
      </c>
      <c r="C7" s="190">
        <v>0.31293319961023902</v>
      </c>
      <c r="D7" s="211">
        <v>2.7268322766391559E-2</v>
      </c>
      <c r="E7" s="212">
        <v>2.7268322766391559E-2</v>
      </c>
      <c r="F7" s="254">
        <v>0.37211913987429007</v>
      </c>
      <c r="G7" s="190">
        <v>0.37211913987429007</v>
      </c>
      <c r="H7" s="254">
        <v>0.03</v>
      </c>
      <c r="I7" s="190">
        <v>0.03</v>
      </c>
      <c r="J7" s="254">
        <v>1.9710816533976761E-2</v>
      </c>
      <c r="K7" s="190">
        <v>1.9710816533976761E-2</v>
      </c>
      <c r="L7" s="254">
        <v>0</v>
      </c>
      <c r="M7" s="190">
        <v>0</v>
      </c>
      <c r="N7" s="14">
        <v>0.46886472923359362</v>
      </c>
      <c r="O7" s="212">
        <v>0.46886472923359362</v>
      </c>
      <c r="P7" s="254">
        <v>0.22600000000000001</v>
      </c>
      <c r="Q7" s="190">
        <v>0.22600000000000001</v>
      </c>
      <c r="R7" s="254">
        <v>5.0634201457048403E-2</v>
      </c>
      <c r="S7" s="190">
        <v>5.0634201457048403E-2</v>
      </c>
      <c r="T7" s="254">
        <v>6.1664139059120007E-3</v>
      </c>
      <c r="U7" s="190">
        <v>6.1664139059120007E-3</v>
      </c>
      <c r="V7" s="426">
        <f>0.2058*(1+0.02)</f>
        <v>0.20991600000000002</v>
      </c>
      <c r="W7" s="428">
        <f>0.2058*(1+0.02)</f>
        <v>0.20991600000000002</v>
      </c>
      <c r="X7" s="427">
        <f>0.1865*(1+0.02)</f>
        <v>0.19023000000000001</v>
      </c>
      <c r="Y7" s="428">
        <f>0.1865*(1+0.02)</f>
        <v>0.19023000000000001</v>
      </c>
      <c r="AC7" s="179" t="s">
        <v>463</v>
      </c>
      <c r="AD7" s="179" t="s">
        <v>463</v>
      </c>
      <c r="AE7" s="179" t="s">
        <v>463</v>
      </c>
      <c r="AF7" s="179" t="s">
        <v>463</v>
      </c>
      <c r="AG7" s="179" t="s">
        <v>463</v>
      </c>
      <c r="AH7" s="179" t="s">
        <v>463</v>
      </c>
      <c r="AI7" s="179" t="s">
        <v>463</v>
      </c>
      <c r="AJ7" s="179" t="s">
        <v>463</v>
      </c>
      <c r="AK7" s="179" t="s">
        <v>463</v>
      </c>
      <c r="AL7" s="179" t="s">
        <v>463</v>
      </c>
      <c r="AM7" s="179" t="s">
        <v>463</v>
      </c>
      <c r="AN7" s="179" t="s">
        <v>463</v>
      </c>
    </row>
    <row r="8" spans="1:41" x14ac:dyDescent="0.35">
      <c r="A8" s="413" t="s">
        <v>151</v>
      </c>
      <c r="B8" s="189">
        <v>0.39594552579619802</v>
      </c>
      <c r="C8" s="190">
        <v>0.39594552579619802</v>
      </c>
      <c r="D8" s="211">
        <v>9.0583847517868771E-2</v>
      </c>
      <c r="E8" s="212">
        <v>9.0583847517868771E-2</v>
      </c>
      <c r="F8" s="254">
        <v>0.25339931591162534</v>
      </c>
      <c r="G8" s="190">
        <v>0.25339931591162534</v>
      </c>
      <c r="H8" s="254">
        <v>0</v>
      </c>
      <c r="I8" s="190">
        <v>0</v>
      </c>
      <c r="J8" s="254">
        <v>0.5638992284783394</v>
      </c>
      <c r="K8" s="190">
        <v>0.5638992284783394</v>
      </c>
      <c r="L8" s="254">
        <v>0.48526024478871244</v>
      </c>
      <c r="M8" s="190">
        <v>0.48526024478871244</v>
      </c>
      <c r="N8" s="14">
        <v>0</v>
      </c>
      <c r="O8" s="212">
        <v>0</v>
      </c>
      <c r="P8" s="254">
        <v>0</v>
      </c>
      <c r="Q8" s="190">
        <v>0</v>
      </c>
      <c r="R8" s="254">
        <v>0</v>
      </c>
      <c r="S8" s="190">
        <v>0</v>
      </c>
      <c r="T8" s="254">
        <v>7.5768942108424803E-2</v>
      </c>
      <c r="U8" s="190">
        <v>7.5768942108424803E-2</v>
      </c>
      <c r="V8" s="426">
        <f>0.2045*(1+0.02)</f>
        <v>0.20859</v>
      </c>
      <c r="W8" s="428">
        <f>0.2045*(1+0.02)</f>
        <v>0.20859</v>
      </c>
      <c r="X8" s="427">
        <f>0*(1+0.02)</f>
        <v>0</v>
      </c>
      <c r="Y8" s="428">
        <f>0*(1+0.02)</f>
        <v>0</v>
      </c>
      <c r="AC8" s="179" t="s">
        <v>463</v>
      </c>
      <c r="AD8" s="179" t="s">
        <v>463</v>
      </c>
      <c r="AE8" s="179" t="s">
        <v>463</v>
      </c>
      <c r="AF8" s="179" t="s">
        <v>463</v>
      </c>
      <c r="AG8" s="179" t="s">
        <v>463</v>
      </c>
      <c r="AH8" s="179" t="s">
        <v>463</v>
      </c>
      <c r="AI8" s="179" t="s">
        <v>463</v>
      </c>
      <c r="AJ8" s="179" t="s">
        <v>463</v>
      </c>
      <c r="AK8" s="179" t="s">
        <v>463</v>
      </c>
      <c r="AL8" s="179" t="s">
        <v>463</v>
      </c>
      <c r="AM8" s="179" t="s">
        <v>463</v>
      </c>
      <c r="AN8" s="179" t="s">
        <v>463</v>
      </c>
    </row>
    <row r="9" spans="1:41" x14ac:dyDescent="0.35">
      <c r="A9" s="413" t="s">
        <v>459</v>
      </c>
      <c r="B9" s="189">
        <v>0.28807820236044102</v>
      </c>
      <c r="C9" s="190">
        <v>0.28807820236044102</v>
      </c>
      <c r="D9" s="211">
        <v>0.54400156006168277</v>
      </c>
      <c r="E9" s="212">
        <v>0.54400156006168277</v>
      </c>
      <c r="F9" s="254">
        <v>0.23482216092607236</v>
      </c>
      <c r="G9" s="190">
        <v>0.23482216092607236</v>
      </c>
      <c r="H9" s="254">
        <v>0.33</v>
      </c>
      <c r="I9" s="190">
        <v>0.33</v>
      </c>
      <c r="J9" s="254">
        <v>0.25084634885679596</v>
      </c>
      <c r="K9" s="190">
        <v>0.25084634885679596</v>
      </c>
      <c r="L9" s="254">
        <v>0.51473975521128756</v>
      </c>
      <c r="M9" s="190">
        <v>0.51473975521128756</v>
      </c>
      <c r="N9" s="14">
        <v>3.4487334304413128E-2</v>
      </c>
      <c r="O9" s="212">
        <v>3.4487334304413128E-2</v>
      </c>
      <c r="P9" s="254">
        <v>0.54799999999999993</v>
      </c>
      <c r="Q9" s="190">
        <v>0.54799999999999993</v>
      </c>
      <c r="R9" s="254">
        <v>0.1200004060421578</v>
      </c>
      <c r="S9" s="190">
        <v>0.1200004060421578</v>
      </c>
      <c r="T9" s="254">
        <v>0.65162487466952967</v>
      </c>
      <c r="U9" s="190">
        <v>0.65162487466952967</v>
      </c>
      <c r="V9" s="426">
        <f>0.4757*(1+0.02)</f>
        <v>0.48521400000000003</v>
      </c>
      <c r="W9" s="428">
        <f>0.4757*(1+0.02)</f>
        <v>0.48521400000000003</v>
      </c>
      <c r="X9" s="427">
        <f>(48.69+11.84)/100*(1+0.02)</f>
        <v>0.61740600000000012</v>
      </c>
      <c r="Y9" s="428">
        <f>(48.69+11.84)/100*(1+0.02)</f>
        <v>0.61740600000000012</v>
      </c>
      <c r="AC9" s="179" t="s">
        <v>463</v>
      </c>
      <c r="AD9" s="179" t="s">
        <v>463</v>
      </c>
      <c r="AE9" s="179" t="s">
        <v>463</v>
      </c>
      <c r="AF9" s="179" t="s">
        <v>463</v>
      </c>
      <c r="AG9" s="179" t="s">
        <v>463</v>
      </c>
      <c r="AH9" s="179" t="s">
        <v>463</v>
      </c>
      <c r="AI9" s="179" t="s">
        <v>463</v>
      </c>
      <c r="AJ9" s="179" t="s">
        <v>463</v>
      </c>
      <c r="AK9" s="179" t="s">
        <v>463</v>
      </c>
      <c r="AL9" s="179" t="s">
        <v>463</v>
      </c>
      <c r="AM9" s="179" t="s">
        <v>463</v>
      </c>
      <c r="AN9" s="179" t="s">
        <v>463</v>
      </c>
    </row>
    <row r="10" spans="1:41" x14ac:dyDescent="0.35">
      <c r="A10" s="230"/>
      <c r="B10" s="189"/>
      <c r="C10" s="190"/>
      <c r="D10" s="254"/>
      <c r="E10" s="254"/>
      <c r="F10" s="191"/>
      <c r="G10" s="190"/>
      <c r="H10" s="254"/>
      <c r="I10" s="190"/>
      <c r="J10" s="254"/>
      <c r="K10" s="190"/>
      <c r="L10" s="254"/>
      <c r="M10" s="190"/>
      <c r="N10" s="254"/>
      <c r="O10" s="190"/>
      <c r="P10" s="254"/>
      <c r="Q10" s="190"/>
      <c r="R10" s="254"/>
      <c r="S10" s="190"/>
      <c r="T10" s="254"/>
      <c r="U10" s="254"/>
      <c r="V10" s="189"/>
      <c r="W10" s="190"/>
      <c r="X10" s="189"/>
      <c r="Y10" s="190"/>
      <c r="AN10" s="179" t="s">
        <v>271</v>
      </c>
    </row>
    <row r="11" spans="1:41" x14ac:dyDescent="0.35">
      <c r="A11" s="231" t="s">
        <v>152</v>
      </c>
      <c r="B11" s="243"/>
      <c r="C11" s="255"/>
      <c r="D11" s="154"/>
      <c r="E11" s="154"/>
      <c r="F11" s="243"/>
      <c r="G11" s="255"/>
      <c r="H11" s="154"/>
      <c r="I11" s="255"/>
      <c r="J11" s="154"/>
      <c r="K11" s="255"/>
      <c r="L11" s="154"/>
      <c r="M11" s="255"/>
      <c r="N11" s="154"/>
      <c r="O11" s="255"/>
      <c r="P11" s="154"/>
      <c r="Q11" s="255"/>
      <c r="R11" s="154"/>
      <c r="S11" s="255"/>
      <c r="T11" s="154"/>
      <c r="U11" s="154"/>
      <c r="V11" s="243"/>
      <c r="W11" s="255"/>
      <c r="X11" s="243"/>
      <c r="Y11" s="255"/>
      <c r="AN11" s="179" t="s">
        <v>271</v>
      </c>
    </row>
    <row r="12" spans="1:41" x14ac:dyDescent="0.35">
      <c r="A12" s="232" t="s">
        <v>153</v>
      </c>
      <c r="B12" s="193"/>
      <c r="C12" s="194"/>
      <c r="D12" s="256"/>
      <c r="E12" s="256"/>
      <c r="F12" s="193"/>
      <c r="G12" s="194"/>
      <c r="H12" s="256"/>
      <c r="I12" s="194"/>
      <c r="J12" s="256"/>
      <c r="K12" s="194"/>
      <c r="L12" s="256"/>
      <c r="M12" s="194"/>
      <c r="N12" s="256"/>
      <c r="O12" s="194"/>
      <c r="P12" s="256"/>
      <c r="Q12" s="194"/>
      <c r="R12" s="256"/>
      <c r="S12" s="194"/>
      <c r="T12" s="256"/>
      <c r="U12" s="256"/>
      <c r="V12" s="193"/>
      <c r="W12" s="194"/>
      <c r="X12" s="193"/>
      <c r="Y12" s="194"/>
      <c r="AN12" s="179" t="s">
        <v>271</v>
      </c>
    </row>
    <row r="13" spans="1:41" x14ac:dyDescent="0.35">
      <c r="A13" s="233" t="s">
        <v>154</v>
      </c>
      <c r="B13" s="195">
        <v>0.02</v>
      </c>
      <c r="C13" s="192"/>
      <c r="D13" s="72">
        <v>3.689779255806698E-2</v>
      </c>
      <c r="F13" s="195">
        <v>0.02</v>
      </c>
      <c r="G13" s="192"/>
      <c r="H13" s="345">
        <v>0.04</v>
      </c>
      <c r="I13" s="192"/>
      <c r="J13" s="345">
        <v>0.02</v>
      </c>
      <c r="K13" s="192"/>
      <c r="L13" s="345"/>
      <c r="M13" s="192"/>
      <c r="N13" s="72">
        <v>2.4483947165778425E-2</v>
      </c>
      <c r="O13" s="192"/>
      <c r="P13" s="345">
        <v>0.02</v>
      </c>
      <c r="Q13" s="192"/>
      <c r="R13" s="345">
        <v>0.02</v>
      </c>
      <c r="S13" s="192"/>
      <c r="T13" s="72">
        <v>2.2873889042297649E-2</v>
      </c>
      <c r="V13" s="195">
        <v>0.02</v>
      </c>
      <c r="W13" s="192"/>
      <c r="X13" s="437">
        <v>0.17</v>
      </c>
      <c r="Y13" s="213"/>
      <c r="AB13" s="179"/>
      <c r="AC13" s="179" t="s">
        <v>477</v>
      </c>
      <c r="AD13" s="179" t="s">
        <v>462</v>
      </c>
      <c r="AE13" s="179" t="s">
        <v>462</v>
      </c>
      <c r="AF13" s="179" t="s">
        <v>462</v>
      </c>
      <c r="AG13" s="179" t="s">
        <v>462</v>
      </c>
      <c r="AH13" s="179" t="s">
        <v>462</v>
      </c>
      <c r="AI13" s="179" t="s">
        <v>462</v>
      </c>
      <c r="AJ13" s="179" t="s">
        <v>462</v>
      </c>
      <c r="AK13" s="179" t="s">
        <v>462</v>
      </c>
      <c r="AL13" s="179" t="s">
        <v>462</v>
      </c>
      <c r="AM13" s="179" t="s">
        <v>462</v>
      </c>
      <c r="AN13" s="179" t="s">
        <v>462</v>
      </c>
    </row>
    <row r="14" spans="1:41" x14ac:dyDescent="0.35">
      <c r="A14" s="234" t="s">
        <v>156</v>
      </c>
      <c r="B14" s="195">
        <v>0.14360000000000001</v>
      </c>
      <c r="C14" s="192"/>
      <c r="D14" s="72">
        <v>0.29059681377022661</v>
      </c>
      <c r="F14" s="195">
        <v>0.145875</v>
      </c>
      <c r="G14" s="192"/>
      <c r="H14" s="345">
        <v>0.22</v>
      </c>
      <c r="I14" s="192"/>
      <c r="J14" s="345">
        <v>0.14406894113160398</v>
      </c>
      <c r="K14" s="192"/>
      <c r="L14" s="345"/>
      <c r="M14" s="192"/>
      <c r="N14" s="72">
        <v>0.16619940422448767</v>
      </c>
      <c r="O14" s="192"/>
      <c r="P14" s="345">
        <v>0.17</v>
      </c>
      <c r="Q14" s="192"/>
      <c r="R14" s="345">
        <v>0.17</v>
      </c>
      <c r="S14" s="192"/>
      <c r="T14" s="72">
        <v>0.18348350218554224</v>
      </c>
      <c r="V14" s="195">
        <v>3.5000000000000003E-2</v>
      </c>
      <c r="W14" s="192"/>
      <c r="X14" s="437">
        <v>0.17</v>
      </c>
      <c r="Y14" s="213"/>
      <c r="AB14" s="179"/>
      <c r="AC14" s="179" t="s">
        <v>477</v>
      </c>
      <c r="AD14" s="179" t="s">
        <v>462</v>
      </c>
      <c r="AE14" s="179" t="s">
        <v>462</v>
      </c>
      <c r="AF14" s="179" t="s">
        <v>462</v>
      </c>
      <c r="AG14" s="179" t="s">
        <v>462</v>
      </c>
      <c r="AH14" s="179" t="s">
        <v>462</v>
      </c>
      <c r="AI14" s="179" t="s">
        <v>462</v>
      </c>
      <c r="AJ14" s="179" t="s">
        <v>462</v>
      </c>
      <c r="AK14" s="179" t="s">
        <v>462</v>
      </c>
      <c r="AL14" s="179" t="s">
        <v>462</v>
      </c>
      <c r="AM14" s="179" t="s">
        <v>462</v>
      </c>
      <c r="AN14" s="179" t="s">
        <v>462</v>
      </c>
    </row>
    <row r="15" spans="1:41" x14ac:dyDescent="0.35">
      <c r="A15" s="233" t="s">
        <v>445</v>
      </c>
      <c r="B15" s="195">
        <v>0.14399999999999999</v>
      </c>
      <c r="C15" s="192"/>
      <c r="D15" s="72">
        <v>5.9240377530939331E-2</v>
      </c>
      <c r="F15" s="195">
        <v>0.17</v>
      </c>
      <c r="G15" s="192"/>
      <c r="H15" s="345"/>
      <c r="I15" s="192"/>
      <c r="J15" s="345">
        <v>6.2702465030950394E-2</v>
      </c>
      <c r="K15" s="192"/>
      <c r="L15" s="345">
        <v>0.21</v>
      </c>
      <c r="M15" s="192"/>
      <c r="N15" s="345"/>
      <c r="O15" s="192"/>
      <c r="P15" s="345">
        <v>0.17</v>
      </c>
      <c r="Q15" s="192"/>
      <c r="R15" s="345"/>
      <c r="S15" s="192"/>
      <c r="T15" s="72">
        <v>8.849070699396594E-2</v>
      </c>
      <c r="V15" s="195">
        <v>0.17</v>
      </c>
      <c r="W15" s="192"/>
      <c r="X15" s="421"/>
      <c r="Y15" s="213"/>
      <c r="AB15" s="179"/>
      <c r="AC15" s="179" t="s">
        <v>477</v>
      </c>
      <c r="AD15" s="179" t="s">
        <v>462</v>
      </c>
      <c r="AE15" s="179" t="s">
        <v>462</v>
      </c>
      <c r="AF15" s="179" t="s">
        <v>462</v>
      </c>
      <c r="AG15" s="179" t="s">
        <v>462</v>
      </c>
      <c r="AH15" s="179" t="s">
        <v>462</v>
      </c>
      <c r="AI15" s="179" t="s">
        <v>462</v>
      </c>
      <c r="AJ15" s="179" t="s">
        <v>462</v>
      </c>
      <c r="AK15" s="179" t="s">
        <v>462</v>
      </c>
      <c r="AL15" s="179" t="s">
        <v>462</v>
      </c>
      <c r="AM15" s="179" t="s">
        <v>462</v>
      </c>
      <c r="AN15" s="179" t="s">
        <v>271</v>
      </c>
    </row>
    <row r="16" spans="1:41" x14ac:dyDescent="0.35">
      <c r="A16" s="233" t="s">
        <v>461</v>
      </c>
      <c r="B16" s="195">
        <v>0.14399999999999999</v>
      </c>
      <c r="C16" s="192"/>
      <c r="D16" s="345">
        <v>0.365387112008209</v>
      </c>
      <c r="F16" s="195">
        <v>0.17</v>
      </c>
      <c r="G16" s="192"/>
      <c r="H16" s="345"/>
      <c r="I16" s="192"/>
      <c r="J16" s="345">
        <v>0.15475135833562839</v>
      </c>
      <c r="K16" s="192"/>
      <c r="L16" s="345">
        <v>0.21</v>
      </c>
      <c r="M16" s="192"/>
      <c r="N16" s="345"/>
      <c r="O16" s="192"/>
      <c r="P16" s="345">
        <v>0.17</v>
      </c>
      <c r="Q16" s="192"/>
      <c r="R16" s="345"/>
      <c r="S16" s="192"/>
      <c r="T16" s="345">
        <v>0.1113</v>
      </c>
      <c r="V16" s="195">
        <v>0.17</v>
      </c>
      <c r="W16" s="192"/>
      <c r="X16" s="421"/>
      <c r="Y16" s="213"/>
      <c r="AB16" s="179"/>
      <c r="AC16" s="179" t="s">
        <v>477</v>
      </c>
      <c r="AD16" s="179" t="s">
        <v>462</v>
      </c>
      <c r="AE16" s="179" t="s">
        <v>462</v>
      </c>
      <c r="AF16" s="179" t="s">
        <v>462</v>
      </c>
      <c r="AG16" s="179" t="s">
        <v>462</v>
      </c>
      <c r="AH16" s="179" t="s">
        <v>462</v>
      </c>
      <c r="AI16" s="179" t="s">
        <v>462</v>
      </c>
      <c r="AJ16" s="179" t="s">
        <v>403</v>
      </c>
      <c r="AK16" s="179" t="s">
        <v>462</v>
      </c>
      <c r="AL16" s="179" t="s">
        <v>462</v>
      </c>
      <c r="AM16" s="179" t="s">
        <v>462</v>
      </c>
      <c r="AN16" s="179" t="s">
        <v>271</v>
      </c>
    </row>
    <row r="17" spans="1:40" x14ac:dyDescent="0.35">
      <c r="A17" s="233" t="s">
        <v>460</v>
      </c>
      <c r="B17" s="195">
        <v>4.7000000000000002E-3</v>
      </c>
      <c r="C17" s="192"/>
      <c r="D17" s="195">
        <v>4.7000000000000002E-3</v>
      </c>
      <c r="F17" s="195">
        <v>0.01</v>
      </c>
      <c r="G17" s="192"/>
      <c r="H17" s="345">
        <v>1.4999999999999999E-2</v>
      </c>
      <c r="I17" s="192"/>
      <c r="J17" s="345">
        <v>0.01</v>
      </c>
      <c r="K17" s="192"/>
      <c r="L17" s="345">
        <v>4.7000000000000002E-3</v>
      </c>
      <c r="M17" s="192"/>
      <c r="N17" s="345">
        <v>1.11209867914446E-2</v>
      </c>
      <c r="O17" s="192"/>
      <c r="P17" s="345">
        <v>0.01</v>
      </c>
      <c r="Q17" s="192"/>
      <c r="R17" s="345">
        <v>0.01</v>
      </c>
      <c r="S17" s="192"/>
      <c r="T17" s="345">
        <v>1.1966629969767099E-2</v>
      </c>
      <c r="V17" s="195">
        <v>0.01</v>
      </c>
      <c r="W17" s="192"/>
      <c r="X17" s="437">
        <v>0.01</v>
      </c>
      <c r="Y17" s="213"/>
      <c r="AB17" s="179"/>
      <c r="AC17" s="179" t="s">
        <v>477</v>
      </c>
      <c r="AD17" s="179" t="s">
        <v>462</v>
      </c>
      <c r="AE17" s="179" t="s">
        <v>462</v>
      </c>
      <c r="AF17" s="179" t="s">
        <v>462</v>
      </c>
      <c r="AG17" s="179" t="s">
        <v>462</v>
      </c>
      <c r="AH17" s="179" t="s">
        <v>462</v>
      </c>
      <c r="AI17" s="179" t="s">
        <v>462</v>
      </c>
      <c r="AJ17" s="179"/>
      <c r="AK17" s="179" t="s">
        <v>462</v>
      </c>
      <c r="AL17" s="179" t="s">
        <v>462</v>
      </c>
      <c r="AM17" s="179" t="s">
        <v>462</v>
      </c>
      <c r="AN17" s="179" t="s">
        <v>462</v>
      </c>
    </row>
    <row r="18" spans="1:40" x14ac:dyDescent="0.35">
      <c r="A18" s="233" t="s">
        <v>157</v>
      </c>
      <c r="B18" s="196">
        <v>0.8</v>
      </c>
      <c r="C18" s="192"/>
      <c r="D18" s="344">
        <v>0.87</v>
      </c>
      <c r="F18" s="196">
        <v>0.87</v>
      </c>
      <c r="G18" s="192"/>
      <c r="H18" s="344">
        <v>0.87</v>
      </c>
      <c r="I18" s="192"/>
      <c r="J18" s="344">
        <v>0.87</v>
      </c>
      <c r="K18" s="192"/>
      <c r="L18" s="344">
        <v>0.87</v>
      </c>
      <c r="M18" s="192"/>
      <c r="N18" s="344">
        <v>0.87</v>
      </c>
      <c r="O18" s="192"/>
      <c r="P18" s="344">
        <v>0.87</v>
      </c>
      <c r="Q18" s="192"/>
      <c r="R18" s="344">
        <v>0.87</v>
      </c>
      <c r="S18" s="192"/>
      <c r="T18" s="344">
        <v>0.87</v>
      </c>
      <c r="V18" s="196">
        <v>0.87</v>
      </c>
      <c r="W18" s="192"/>
      <c r="X18" s="438">
        <v>0.87</v>
      </c>
      <c r="Y18" s="213"/>
      <c r="AB18" s="179"/>
      <c r="AC18" t="s">
        <v>259</v>
      </c>
      <c r="AD18" t="s">
        <v>268</v>
      </c>
      <c r="AE18" t="s">
        <v>268</v>
      </c>
      <c r="AF18" t="s">
        <v>268</v>
      </c>
      <c r="AG18" t="s">
        <v>268</v>
      </c>
      <c r="AH18" t="s">
        <v>268</v>
      </c>
      <c r="AI18" s="179" t="s">
        <v>462</v>
      </c>
      <c r="AJ18" t="s">
        <v>268</v>
      </c>
      <c r="AK18" t="s">
        <v>268</v>
      </c>
      <c r="AL18" t="s">
        <v>268</v>
      </c>
      <c r="AM18" s="179" t="s">
        <v>155</v>
      </c>
      <c r="AN18" s="179" t="s">
        <v>554</v>
      </c>
    </row>
    <row r="19" spans="1:40" x14ac:dyDescent="0.35">
      <c r="A19" s="233" t="s">
        <v>158</v>
      </c>
      <c r="B19" s="196">
        <v>0.24</v>
      </c>
      <c r="C19" s="198">
        <v>0.18</v>
      </c>
      <c r="D19" s="344">
        <v>0.24</v>
      </c>
      <c r="E19" s="14">
        <v>0.18044529176999999</v>
      </c>
      <c r="F19" s="196">
        <v>0.23</v>
      </c>
      <c r="G19" s="192">
        <v>0.23</v>
      </c>
      <c r="H19" s="344">
        <v>0.24</v>
      </c>
      <c r="I19" s="339">
        <v>0.17</v>
      </c>
      <c r="J19" s="344">
        <v>0.24</v>
      </c>
      <c r="K19" s="339">
        <v>0.17</v>
      </c>
      <c r="L19" s="344">
        <v>0.24</v>
      </c>
      <c r="M19" s="339">
        <v>0.18</v>
      </c>
      <c r="N19" s="344">
        <v>0.24</v>
      </c>
      <c r="O19" s="339">
        <v>0.27</v>
      </c>
      <c r="P19" s="344">
        <v>0.22</v>
      </c>
      <c r="Q19" s="192"/>
      <c r="R19" s="344">
        <v>0.24</v>
      </c>
      <c r="S19" s="339">
        <v>0.17</v>
      </c>
      <c r="T19" s="344">
        <v>0.24</v>
      </c>
      <c r="U19" s="344">
        <v>0.18</v>
      </c>
      <c r="V19" s="196">
        <v>0.24</v>
      </c>
      <c r="W19" s="339">
        <v>0.18</v>
      </c>
      <c r="X19" s="438">
        <v>0.24</v>
      </c>
      <c r="Y19" s="440">
        <v>0.18</v>
      </c>
      <c r="Z19" s="6"/>
      <c r="AB19" s="179"/>
      <c r="AC19" s="179" t="s">
        <v>475</v>
      </c>
      <c r="AD19" s="179" t="s">
        <v>269</v>
      </c>
      <c r="AE19" s="179" t="s">
        <v>269</v>
      </c>
      <c r="AF19" s="179" t="s">
        <v>269</v>
      </c>
      <c r="AG19" s="179" t="s">
        <v>269</v>
      </c>
      <c r="AH19" s="179" t="s">
        <v>269</v>
      </c>
      <c r="AI19" s="179" t="s">
        <v>269</v>
      </c>
      <c r="AJ19" s="179" t="s">
        <v>269</v>
      </c>
      <c r="AK19" s="179" t="s">
        <v>269</v>
      </c>
      <c r="AL19" s="179" t="s">
        <v>269</v>
      </c>
      <c r="AM19" s="179" t="s">
        <v>269</v>
      </c>
      <c r="AN19" s="179" t="s">
        <v>271</v>
      </c>
    </row>
    <row r="20" spans="1:40" x14ac:dyDescent="0.35">
      <c r="A20" s="233"/>
      <c r="B20" s="196"/>
      <c r="C20" s="192"/>
      <c r="D20" s="344"/>
      <c r="F20" s="196"/>
      <c r="G20" s="192"/>
      <c r="H20" s="344"/>
      <c r="I20" s="192"/>
      <c r="J20" s="344"/>
      <c r="K20" s="192"/>
      <c r="L20" s="344"/>
      <c r="M20" s="192"/>
      <c r="N20" s="344"/>
      <c r="O20" s="192"/>
      <c r="P20" s="344"/>
      <c r="Q20" s="192"/>
      <c r="R20" s="344"/>
      <c r="S20" s="192"/>
      <c r="T20" s="344"/>
      <c r="V20" s="196"/>
      <c r="W20" s="192"/>
      <c r="X20" s="422"/>
      <c r="Y20" s="213"/>
      <c r="AB20" s="179"/>
      <c r="AN20" s="179" t="s">
        <v>271</v>
      </c>
    </row>
    <row r="21" spans="1:40" x14ac:dyDescent="0.35">
      <c r="A21" s="234" t="s">
        <v>159</v>
      </c>
      <c r="B21" s="14">
        <v>2.5430740283442455</v>
      </c>
      <c r="C21" s="212">
        <v>2.5430740283442455</v>
      </c>
      <c r="D21" s="14">
        <v>1.9056720345</v>
      </c>
      <c r="E21" s="212">
        <v>1.9056720345</v>
      </c>
      <c r="F21" s="14">
        <v>1.44</v>
      </c>
      <c r="G21" s="212">
        <v>1.44</v>
      </c>
      <c r="H21" s="14">
        <v>2.82</v>
      </c>
      <c r="I21" s="212">
        <v>2.82</v>
      </c>
      <c r="J21" s="14">
        <v>2.6</v>
      </c>
      <c r="K21" s="212">
        <v>2.6</v>
      </c>
      <c r="L21" s="14">
        <v>1.63</v>
      </c>
      <c r="M21" s="212">
        <v>1.63</v>
      </c>
      <c r="N21" s="14">
        <v>2.3520664682653201</v>
      </c>
      <c r="O21" s="212">
        <v>2.3520664682653201</v>
      </c>
      <c r="P21" s="14">
        <v>2.59</v>
      </c>
      <c r="Q21" s="212">
        <v>2.59</v>
      </c>
      <c r="R21" s="14">
        <v>1.79</v>
      </c>
      <c r="S21" s="212">
        <v>1.79</v>
      </c>
      <c r="T21" s="14">
        <v>2.98</v>
      </c>
      <c r="U21" s="212">
        <v>2.98</v>
      </c>
      <c r="V21" s="14">
        <v>1.75</v>
      </c>
      <c r="W21" s="212">
        <v>1.75</v>
      </c>
      <c r="X21" s="407">
        <v>1.97</v>
      </c>
      <c r="Y21" s="439">
        <v>1.97</v>
      </c>
      <c r="AC21" s="179" t="s">
        <v>476</v>
      </c>
      <c r="AD21" s="179" t="s">
        <v>269</v>
      </c>
      <c r="AE21" s="179" t="s">
        <v>269</v>
      </c>
      <c r="AF21" s="179" t="s">
        <v>269</v>
      </c>
      <c r="AG21" s="179" t="s">
        <v>269</v>
      </c>
      <c r="AH21" s="179" t="s">
        <v>269</v>
      </c>
      <c r="AI21" s="179" t="s">
        <v>269</v>
      </c>
      <c r="AJ21" s="179" t="s">
        <v>269</v>
      </c>
      <c r="AK21" s="179" t="s">
        <v>269</v>
      </c>
      <c r="AL21" s="179" t="s">
        <v>270</v>
      </c>
      <c r="AM21" s="179" t="s">
        <v>269</v>
      </c>
      <c r="AN21" s="179" t="s">
        <v>271</v>
      </c>
    </row>
    <row r="22" spans="1:40" x14ac:dyDescent="0.35">
      <c r="A22" s="229"/>
      <c r="D22" s="191"/>
      <c r="F22" s="191"/>
      <c r="H22" s="191"/>
      <c r="J22" s="191"/>
      <c r="L22" s="191"/>
      <c r="N22" s="191"/>
      <c r="P22" s="191"/>
      <c r="R22" s="191"/>
      <c r="T22" s="191"/>
      <c r="V22" s="191"/>
      <c r="W22" s="192"/>
      <c r="X22" s="191"/>
      <c r="Y22" s="192"/>
    </row>
    <row r="23" spans="1:40" x14ac:dyDescent="0.35">
      <c r="A23" s="235" t="s">
        <v>160</v>
      </c>
      <c r="B23" s="199"/>
      <c r="C23" s="200"/>
      <c r="D23" s="107"/>
      <c r="E23" s="107"/>
      <c r="F23" s="199"/>
      <c r="G23" s="107"/>
      <c r="H23" s="199"/>
      <c r="I23" s="200"/>
      <c r="J23" s="199"/>
      <c r="K23" s="200"/>
      <c r="L23" s="199"/>
      <c r="M23" s="200"/>
      <c r="N23" s="199"/>
      <c r="O23" s="107"/>
      <c r="P23" s="199"/>
      <c r="Q23" s="200"/>
      <c r="R23" s="199"/>
      <c r="S23" s="107"/>
      <c r="T23" s="199"/>
      <c r="U23" s="107"/>
      <c r="V23" s="199"/>
      <c r="W23" s="200"/>
      <c r="X23" s="199"/>
      <c r="Y23" s="200"/>
    </row>
    <row r="24" spans="1:40" x14ac:dyDescent="0.35">
      <c r="A24" s="234" t="s">
        <v>161</v>
      </c>
      <c r="B24" s="210">
        <f>Production!$B$5*B6*$B$21*365</f>
        <v>0</v>
      </c>
      <c r="C24" s="119">
        <f>(Production!$B$6+Production!$B$7)*C6*$C$21*365</f>
        <v>2.8246466562867143</v>
      </c>
      <c r="D24" s="210">
        <f>Production!$C$5*D6*$D$21*365</f>
        <v>0</v>
      </c>
      <c r="E24" s="119">
        <f>(Production!$C$6+Production!$C$7)*E6*$E$21*365</f>
        <v>235.20449972233479</v>
      </c>
      <c r="F24" s="210">
        <f>Production!$D$5*F6*$F$21*365</f>
        <v>0</v>
      </c>
      <c r="G24" s="119">
        <f>(Production!$D$6+Production!$D$7)*G6*$G$21*365</f>
        <v>73.404971856179174</v>
      </c>
      <c r="H24" s="210">
        <f>Production!$E$5*H6*$H$21*365</f>
        <v>0</v>
      </c>
      <c r="I24" s="119">
        <f>(Production!$E$6+Production!$E$7)*I6*$I$21*365</f>
        <v>658.75199999999995</v>
      </c>
      <c r="J24" s="210">
        <f>Production!$F$5*J6*$J$21*365</f>
        <v>0</v>
      </c>
      <c r="K24" s="119">
        <f>(Production!$F$6+Production!$F$7)*K6*$K$21*365</f>
        <v>157.10088221821255</v>
      </c>
      <c r="L24" s="210">
        <f>Production!$G$5*L6*$L$21*365</f>
        <v>0</v>
      </c>
      <c r="M24" s="119">
        <f>(Production!$G$6+Production!$G$7)*M6*$M$21*365</f>
        <v>0</v>
      </c>
      <c r="N24" s="210">
        <f>Production!$H$5*N6*$N$21*365</f>
        <v>0</v>
      </c>
      <c r="O24" s="119">
        <f>(Production!$H$6+Production!$H$7)*O6*$O$21*365</f>
        <v>426.3743696281781</v>
      </c>
      <c r="P24" s="210">
        <f>Production!$I$5*P6*$P$21*365</f>
        <v>0</v>
      </c>
      <c r="Q24" s="119">
        <f>(Production!$I$6+Production!$I$7)*Q6*$Q$21*365</f>
        <v>213.64909999999998</v>
      </c>
      <c r="R24" s="210">
        <f>Production!$J$5*R6*$R$21*365</f>
        <v>0</v>
      </c>
      <c r="S24" s="119">
        <f>(Production!$J$6+Production!$J$7)*S6*$S$21*365</f>
        <v>541.86587919039368</v>
      </c>
      <c r="T24" s="210">
        <f>Production!$K$5*T6*$T$21*365</f>
        <v>0</v>
      </c>
      <c r="U24" s="371">
        <f>(Production!$K$6+Production!$K$7)*U6*$U$21*365</f>
        <v>289.80653708515842</v>
      </c>
      <c r="V24" s="210">
        <f>Production!$L$5*V6*$V$21*365</f>
        <v>0</v>
      </c>
      <c r="W24" s="371">
        <f>(Production!$L$6+Production!$L$7)*W6*$W$21*365</f>
        <v>60.591825000000007</v>
      </c>
      <c r="X24" s="210">
        <f>Production!$L$5*X6*$X$21*365</f>
        <v>0</v>
      </c>
      <c r="Y24" s="371">
        <f>(Production!$L$6+Production!$L$7)*Y6*$Y$21*365</f>
        <v>137.44496940000002</v>
      </c>
    </row>
    <row r="25" spans="1:40" x14ac:dyDescent="0.35">
      <c r="A25" s="234" t="s">
        <v>162</v>
      </c>
      <c r="B25" s="210">
        <f>Production!$B$5*B7*$B$21*365</f>
        <v>0</v>
      </c>
      <c r="C25" s="119">
        <f>(Production!$B$6+Production!$B$7)*C7*$C$21*365</f>
        <v>290.47148677544448</v>
      </c>
      <c r="D25" s="210">
        <f>Production!$C$5*D7*$D$21*365</f>
        <v>0</v>
      </c>
      <c r="E25" s="119">
        <f>(Production!$C$6+Production!$C$7)*E7*$E$21*365</f>
        <v>18.967035245125707</v>
      </c>
      <c r="F25" s="210">
        <f>Production!$D$5*F7*$F$21*365</f>
        <v>0</v>
      </c>
      <c r="G25" s="119">
        <f>(Production!$D$6+Production!$D$7)*G7*$G$21*365</f>
        <v>195.58581991792687</v>
      </c>
      <c r="H25" s="210">
        <f>Production!$E$5*H7*$H$21*365</f>
        <v>0</v>
      </c>
      <c r="I25" s="119">
        <f>(Production!$E$6+Production!$E$7)*I7*$I$21*365</f>
        <v>30.878999999999998</v>
      </c>
      <c r="J25" s="210">
        <f>Production!$F$5*J7*$J$21*365</f>
        <v>0</v>
      </c>
      <c r="K25" s="119">
        <f>(Production!$F$6+Production!$F$7)*K7*$K$21*365</f>
        <v>18.705564890743947</v>
      </c>
      <c r="L25" s="210">
        <f>Production!$G$5*L7*$L$21*365</f>
        <v>0</v>
      </c>
      <c r="M25" s="119">
        <f>(Production!$G$6+Production!$G$7)*M7*$M$21*365</f>
        <v>0</v>
      </c>
      <c r="N25" s="210">
        <f>Production!$H$5*N7*$N$21*365</f>
        <v>0</v>
      </c>
      <c r="O25" s="119">
        <f>(Production!$H$6+Production!$H$7)*O7*$O$21*365</f>
        <v>402.52236784066139</v>
      </c>
      <c r="P25" s="210">
        <f>Production!$I$5*P7*$P$21*365</f>
        <v>0</v>
      </c>
      <c r="Q25" s="119">
        <f>(Production!$I$6+Production!$I$7)*Q7*$Q$21*365</f>
        <v>213.64909999999998</v>
      </c>
      <c r="R25" s="210">
        <f>Production!$J$5*R7*$R$21*365</f>
        <v>0</v>
      </c>
      <c r="S25" s="119">
        <f>(Production!$J$6+Production!$J$7)*S7*$S$21*365</f>
        <v>33.081855521962574</v>
      </c>
      <c r="T25" s="210">
        <f>Production!$K$5*T7*$T$21*365</f>
        <v>0</v>
      </c>
      <c r="U25" s="371">
        <f>(Production!$K$6+Production!$K$7)*U7*$U$21*365</f>
        <v>6.7072084054604835</v>
      </c>
      <c r="V25" s="210">
        <f>Production!$L$5*V7*$V$21*365</f>
        <v>0</v>
      </c>
      <c r="W25" s="371">
        <f>(Production!$L$6+Production!$L$7)*W7*$W$21*365</f>
        <v>134.08384500000003</v>
      </c>
      <c r="X25" s="210">
        <f>Production!$L$5*X7*$X$21*365</f>
        <v>0</v>
      </c>
      <c r="Y25" s="371">
        <f>(Production!$L$6+Production!$L$7)*Y7*$Y$21*365</f>
        <v>136.78488150000001</v>
      </c>
    </row>
    <row r="26" spans="1:40" x14ac:dyDescent="0.35">
      <c r="A26" s="234" t="s">
        <v>163</v>
      </c>
      <c r="B26" s="210">
        <f>Production!$B$5*B8*$B$21*365</f>
        <v>0</v>
      </c>
      <c r="C26" s="371">
        <f>(Production!$B$6+Production!$B$7)*C8*$C$21*365</f>
        <v>367.52535590136745</v>
      </c>
      <c r="D26" s="210">
        <f>Production!$C$5*D8*$D$21*365</f>
        <v>0</v>
      </c>
      <c r="E26" s="119">
        <f>(Production!$C$6+Production!$C$7)*E8*$E$21*365</f>
        <v>63.007433322158384</v>
      </c>
      <c r="F26" s="210">
        <f>Production!$D$5*F8*$F$21*365</f>
        <v>0</v>
      </c>
      <c r="G26" s="119">
        <f>(Production!$D$6+Production!$D$7)*G8*$G$21*365</f>
        <v>133.18668044315027</v>
      </c>
      <c r="H26" s="210">
        <f>Production!$E$5*H8*$H$21*365</f>
        <v>0</v>
      </c>
      <c r="I26" s="119">
        <f>(Production!$E$6+Production!$E$7)*I8*$I$21*365</f>
        <v>0</v>
      </c>
      <c r="J26" s="210">
        <f>Production!$F$5*J8*$J$21*365</f>
        <v>0</v>
      </c>
      <c r="K26" s="119">
        <f>(Production!$F$6+Production!$F$7)*K8*$K$21*365</f>
        <v>535.14036782594417</v>
      </c>
      <c r="L26" s="210">
        <f>Production!$G$5*L8*$L$21*365</f>
        <v>0</v>
      </c>
      <c r="M26" s="119">
        <f>(Production!$G$6+Production!$G$7)*M8*$M$21*365</f>
        <v>288.70558263704442</v>
      </c>
      <c r="N26" s="210">
        <f>Production!$H$5*N8*$N$21*365</f>
        <v>0</v>
      </c>
      <c r="O26" s="119">
        <f>(Production!$H$6+Production!$H$7)*O8*$O$21*365</f>
        <v>0</v>
      </c>
      <c r="P26" s="210">
        <f>Production!$I$5*P8*$P$21*365</f>
        <v>0</v>
      </c>
      <c r="Q26" s="119">
        <f>(Production!$I$6+Production!$I$7)*Q8*$Q$21*365</f>
        <v>0</v>
      </c>
      <c r="R26" s="210">
        <f>Production!$J$5*R8*$R$21*365</f>
        <v>0</v>
      </c>
      <c r="S26" s="119">
        <f>(Production!$J$6+Production!$J$7)*S8*$S$21*365</f>
        <v>0</v>
      </c>
      <c r="T26" s="210">
        <f>Production!$K$5*T8*$T$21*365</f>
        <v>0</v>
      </c>
      <c r="U26" s="119">
        <f>(Production!$K$6+Production!$K$7)*U8*$U$21*365</f>
        <v>82.413878331333663</v>
      </c>
      <c r="V26" s="210">
        <f>Production!$L$5*V8*$V$21*365</f>
        <v>0</v>
      </c>
      <c r="W26" s="371">
        <f>(Production!$L$6+Production!$L$7)*W8*$W$21*365</f>
        <v>133.2368625</v>
      </c>
      <c r="X26" s="210">
        <f>Production!$L$5*X8*$X$21*365</f>
        <v>0</v>
      </c>
      <c r="Y26" s="371">
        <f>(Production!$L$6+Production!$L$7)*Y8*$Y$21*365</f>
        <v>0</v>
      </c>
    </row>
    <row r="27" spans="1:40" x14ac:dyDescent="0.35">
      <c r="A27" s="234" t="s">
        <v>285</v>
      </c>
      <c r="B27" s="210">
        <f>Production!$B$5*B9*$B$21*365</f>
        <v>0</v>
      </c>
      <c r="C27" s="119">
        <f>(Production!$B$6+Production!$B$7)*C9*$C$21*365</f>
        <v>267.40053101255143</v>
      </c>
      <c r="D27" s="210">
        <f>Production!$C$5*D9*$D$21*365</f>
        <v>0</v>
      </c>
      <c r="E27" s="119">
        <f>(Production!$C$6+Production!$C$7)*E9*$E$21*365</f>
        <v>378.39132430288117</v>
      </c>
      <c r="F27" s="210">
        <f>Production!$D$5*F9*$F$21*365</f>
        <v>0</v>
      </c>
      <c r="G27" s="119">
        <f>(Production!$D$6+Production!$D$7)*G9*$G$21*365</f>
        <v>123.42252778274363</v>
      </c>
      <c r="H27" s="210">
        <f>Production!$E$5*H9*$H$21*365</f>
        <v>0</v>
      </c>
      <c r="I27" s="119">
        <f>(Production!$E$6+Production!$E$7)*I9*$I$21*365</f>
        <v>339.66899999999998</v>
      </c>
      <c r="J27" s="210">
        <f>Production!$F$5*J9*$J$21*365</f>
        <v>0</v>
      </c>
      <c r="K27" s="119">
        <f>(Production!$F$6+Production!$F$7)*K9*$K$21*365</f>
        <v>238.05318506509937</v>
      </c>
      <c r="L27" s="210">
        <f>Production!$G$5*L9*$L$21*365</f>
        <v>0</v>
      </c>
      <c r="M27" s="119">
        <f>(Production!$G$6+Production!$G$7)*M9*$M$21*365</f>
        <v>306.24441736295552</v>
      </c>
      <c r="N27" s="210">
        <f>Production!$H$5*N9*$N$21*365</f>
        <v>0</v>
      </c>
      <c r="O27" s="119">
        <f>(Production!$H$6+Production!$H$7)*O9*$O$21*365</f>
        <v>29.60752344800224</v>
      </c>
      <c r="P27" s="210">
        <f>Production!$I$5*P9*$P$21*365</f>
        <v>0</v>
      </c>
      <c r="Q27" s="119">
        <f>(Production!$I$6+Production!$I$7)*Q9*$Q$21*365</f>
        <v>518.05179999999984</v>
      </c>
      <c r="R27" s="210">
        <f>Production!$J$5*R9*$R$21*365</f>
        <v>0</v>
      </c>
      <c r="S27" s="119">
        <f>(Production!$J$6+Production!$J$7)*S9*$S$21*365</f>
        <v>78.402265287643786</v>
      </c>
      <c r="T27" s="210">
        <f>Production!$K$5*T9*$T$21*365</f>
        <v>0</v>
      </c>
      <c r="U27" s="371">
        <f>(Production!$K$6+Production!$K$7)*U9*$U$21*365</f>
        <v>708.77237617804747</v>
      </c>
      <c r="V27" s="210">
        <f>Production!$L$5*V9*$V$21*365</f>
        <v>0</v>
      </c>
      <c r="W27" s="371">
        <f>(Production!$L$6+Production!$L$7)*W9*$W$21*365</f>
        <v>309.93044250000003</v>
      </c>
      <c r="X27" s="210">
        <f>Production!$L$5*X9*$X$21*365</f>
        <v>0</v>
      </c>
      <c r="Y27" s="371">
        <f>(Production!$L$6+Production!$L$7)*Y9*$Y$21*365</f>
        <v>443.94578430000013</v>
      </c>
    </row>
    <row r="28" spans="1:40" x14ac:dyDescent="0.35">
      <c r="A28" s="229"/>
      <c r="B28" s="203"/>
      <c r="C28" s="202"/>
      <c r="D28" s="191"/>
      <c r="E28" s="202"/>
      <c r="F28" s="191"/>
      <c r="G28" s="202"/>
      <c r="H28" s="191"/>
      <c r="I28" s="202"/>
      <c r="J28" s="191"/>
      <c r="K28" s="202"/>
      <c r="L28" s="191"/>
      <c r="M28" s="202"/>
      <c r="N28" s="191"/>
      <c r="O28" s="202"/>
      <c r="P28" s="191"/>
      <c r="Q28" s="202"/>
      <c r="R28" s="191"/>
      <c r="S28" s="202"/>
      <c r="T28" s="191"/>
      <c r="U28" s="202"/>
      <c r="V28" s="191"/>
      <c r="W28" s="202"/>
      <c r="X28" s="191"/>
      <c r="Y28" s="202"/>
    </row>
    <row r="29" spans="1:40" x14ac:dyDescent="0.35">
      <c r="A29" s="236" t="s">
        <v>164</v>
      </c>
      <c r="B29" s="199"/>
      <c r="C29" s="257"/>
      <c r="D29" s="199"/>
      <c r="E29" s="342"/>
      <c r="F29" s="107"/>
      <c r="G29" s="257"/>
      <c r="H29" s="199"/>
      <c r="I29" s="342"/>
      <c r="J29" s="199"/>
      <c r="K29" s="342"/>
      <c r="L29" s="199"/>
      <c r="M29" s="342"/>
      <c r="N29" s="199"/>
      <c r="O29" s="257"/>
      <c r="P29" s="199"/>
      <c r="Q29" s="257"/>
      <c r="R29" s="199"/>
      <c r="S29" s="257"/>
      <c r="T29" s="199"/>
      <c r="U29" s="257"/>
      <c r="V29" s="199"/>
      <c r="W29" s="342"/>
      <c r="X29" s="199"/>
      <c r="Y29" s="342"/>
    </row>
    <row r="30" spans="1:40" x14ac:dyDescent="0.35">
      <c r="A30" s="234" t="s">
        <v>161</v>
      </c>
      <c r="B30" s="203">
        <f>B24*$B$19*0.67*B13</f>
        <v>0</v>
      </c>
      <c r="C30" s="10">
        <f>C24*$C$19*0.67*B13</f>
        <v>6.8130477349635553E-3</v>
      </c>
      <c r="D30" s="203">
        <f>D24*$D$19*0.67*D13</f>
        <v>0</v>
      </c>
      <c r="E30" s="204">
        <f>E24*$E$19*0.67*D13</f>
        <v>1.0492195361479435</v>
      </c>
      <c r="F30" s="10">
        <f>F24*$F$19*0.67*F13</f>
        <v>0</v>
      </c>
      <c r="G30" s="10">
        <f>G24*$G$19*0.67*F13</f>
        <v>0.22623412326074424</v>
      </c>
      <c r="H30" s="203">
        <f>H24*$H$19*0.67*H13</f>
        <v>0</v>
      </c>
      <c r="I30" s="204">
        <f>I24*$I$19*0.67*H13</f>
        <v>3.0012741120000004</v>
      </c>
      <c r="J30" s="10">
        <f>J24*$J$19*0.67*J13</f>
        <v>0</v>
      </c>
      <c r="K30" s="204">
        <f>K24*$K$19*0.67*J13</f>
        <v>0.3578758096930883</v>
      </c>
      <c r="L30" s="203">
        <f>L24*$L$19*0.67*L13</f>
        <v>0</v>
      </c>
      <c r="M30" s="204">
        <f>M24*$M$19*0.67*L13</f>
        <v>0</v>
      </c>
      <c r="N30" s="203">
        <f>N24*$N$19*0.67*N13</f>
        <v>0</v>
      </c>
      <c r="O30" s="10">
        <f>O24*$O$19*0.67*N13</f>
        <v>1.8884743517722478</v>
      </c>
      <c r="P30" s="203">
        <f>P24*$P$19*0.67*P13</f>
        <v>0</v>
      </c>
      <c r="Q30" s="10">
        <f>Q24*$Q$19*0.67*P13</f>
        <v>0</v>
      </c>
      <c r="R30" s="203">
        <f>R24*$R$19*0.67*R13</f>
        <v>0</v>
      </c>
      <c r="S30" s="10">
        <f>S24*$S$19*0.67*R13</f>
        <v>1.234370472795717</v>
      </c>
      <c r="T30" s="203">
        <f>T24*$T$19*0.67*T13</f>
        <v>0</v>
      </c>
      <c r="U30" s="10">
        <f>U24*$U$19*0.67*T13</f>
        <v>0.79945771030602308</v>
      </c>
      <c r="V30" s="203">
        <f>V24*$V$19*0.67*V13</f>
        <v>0</v>
      </c>
      <c r="W30" s="204">
        <f>W24*$W$19*0.67*V13</f>
        <v>0.14614748190000001</v>
      </c>
      <c r="X30" s="203">
        <f>X24*$X$19*0.67*X13</f>
        <v>0</v>
      </c>
      <c r="Y30" s="204">
        <f>Y24*$Y$19*0.67*X13</f>
        <v>2.8178967626388007</v>
      </c>
      <c r="AC30" s="10"/>
      <c r="AD30" s="10"/>
      <c r="AE30" s="10"/>
      <c r="AF30" s="10"/>
    </row>
    <row r="31" spans="1:40" x14ac:dyDescent="0.35">
      <c r="A31" s="234" t="s">
        <v>162</v>
      </c>
      <c r="B31" s="203">
        <f>B25*$B$19*0.67*B14</f>
        <v>0</v>
      </c>
      <c r="C31" s="10">
        <f t="shared" ref="C31" si="0">C25*$C$19*0.67*B14</f>
        <v>5.0304316834150322</v>
      </c>
      <c r="D31" s="203">
        <f t="shared" ref="D31:D32" si="1">D25*$D$19*0.67*D14</f>
        <v>0</v>
      </c>
      <c r="E31" s="204">
        <f>E25*$E$19*0.67*D14</f>
        <v>0.66636266579149483</v>
      </c>
      <c r="F31" s="10">
        <f t="shared" ref="F31" si="2">F25*$F$19*0.67*F14</f>
        <v>0</v>
      </c>
      <c r="G31" s="10">
        <f t="shared" ref="G31" si="3">G25*$G$19*0.67*F14</f>
        <v>4.3966396561493006</v>
      </c>
      <c r="H31" s="203">
        <f t="shared" ref="H31:H32" si="4">H25*$H$19*0.67*H14</f>
        <v>0</v>
      </c>
      <c r="I31" s="204">
        <f t="shared" ref="I31" si="5">I25*$I$19*0.67*H14</f>
        <v>0.77376598200000002</v>
      </c>
      <c r="J31" s="10">
        <f t="shared" ref="J31:J32" si="6">J25*$J$19*0.67*J14</f>
        <v>0</v>
      </c>
      <c r="K31" s="204">
        <f t="shared" ref="K31" si="7">K25*$K$19*0.67*J14</f>
        <v>0.30694807659418294</v>
      </c>
      <c r="L31" s="203">
        <f t="shared" ref="L31:L32" si="8">L25*$L$19*0.67*L14</f>
        <v>0</v>
      </c>
      <c r="M31" s="204">
        <f t="shared" ref="M31" si="9">M25*$M$19*0.67*L14</f>
        <v>0</v>
      </c>
      <c r="N31" s="203">
        <f t="shared" ref="N31:N32" si="10">N25*$N$19*0.67*N14</f>
        <v>0</v>
      </c>
      <c r="O31" s="10">
        <f t="shared" ref="O31" si="11">O25*$O$19*0.67*N14</f>
        <v>12.102025069936573</v>
      </c>
      <c r="P31" s="203">
        <f t="shared" ref="P31" si="12">P25*$P$19*0.67*P14</f>
        <v>0</v>
      </c>
      <c r="Q31" s="10">
        <f t="shared" ref="Q31" si="13">Q25*$Q$19*0.67*P14</f>
        <v>0</v>
      </c>
      <c r="R31" s="203">
        <f t="shared" ref="R31:R32" si="14">R25*$R$19*0.67*R14</f>
        <v>0</v>
      </c>
      <c r="S31" s="10">
        <f t="shared" ref="S31" si="15">S25*$S$19*0.67*R14</f>
        <v>0.64056396847176145</v>
      </c>
      <c r="T31" s="203">
        <f t="shared" ref="T31:T32" si="16">T25*$T$19*0.67*T14</f>
        <v>0</v>
      </c>
      <c r="U31" s="10">
        <f t="shared" ref="U31" si="17">U25*$U$19*0.67*T14</f>
        <v>0.14841784782753681</v>
      </c>
      <c r="V31" s="203">
        <f>V25*$V$19*0.67*V14</f>
        <v>0</v>
      </c>
      <c r="W31" s="204">
        <f>W25*$W$19*0.67*V14</f>
        <v>0.56596790974500011</v>
      </c>
      <c r="X31" s="203">
        <f t="shared" ref="X31:X32" si="18">X25*$X$19*0.67*X14</f>
        <v>0</v>
      </c>
      <c r="Y31" s="204">
        <f>Y25*$Y$19*0.67*X14</f>
        <v>2.8043636405130008</v>
      </c>
      <c r="AC31" s="10"/>
      <c r="AD31" s="10"/>
      <c r="AE31" s="10"/>
      <c r="AF31" s="10"/>
    </row>
    <row r="32" spans="1:40" x14ac:dyDescent="0.35">
      <c r="A32" s="234" t="s">
        <v>165</v>
      </c>
      <c r="B32" s="203">
        <f t="shared" ref="B32" si="19">B26*$B$19*0.67*B15</f>
        <v>0</v>
      </c>
      <c r="C32" s="10">
        <f>C26*$C$19*0.67*B16</f>
        <v>6.3825923407255081</v>
      </c>
      <c r="D32" s="203">
        <f t="shared" si="1"/>
        <v>0</v>
      </c>
      <c r="E32" s="204">
        <f>E26*$E$19*0.67*D16</f>
        <v>2.7833342948871196</v>
      </c>
      <c r="F32" s="10">
        <f>F26*$F$19*0.67*F15</f>
        <v>0</v>
      </c>
      <c r="G32" s="10">
        <f>G26*$G$19*0.67*F16</f>
        <v>3.489091467569208</v>
      </c>
      <c r="H32" s="203">
        <f t="shared" si="4"/>
        <v>0</v>
      </c>
      <c r="I32" s="204">
        <f>I26*$I$19*0.67*H16</f>
        <v>0</v>
      </c>
      <c r="J32" s="10">
        <f t="shared" si="6"/>
        <v>0</v>
      </c>
      <c r="K32" s="204">
        <f>K26*$K$19*0.67*J16</f>
        <v>9.4324802957452363</v>
      </c>
      <c r="L32" s="203">
        <f t="shared" si="8"/>
        <v>0</v>
      </c>
      <c r="M32" s="204">
        <f>M26*$M$19*0.67*L16</f>
        <v>7.3117575858657862</v>
      </c>
      <c r="N32" s="203">
        <f t="shared" si="10"/>
        <v>0</v>
      </c>
      <c r="O32" s="10">
        <f>O26*$O$19*0.67*N16</f>
        <v>0</v>
      </c>
      <c r="P32" s="203">
        <f>P26*$P$19*0.67*P15</f>
        <v>0</v>
      </c>
      <c r="Q32" s="10">
        <f>Q26*$Q$19*0.67*P16</f>
        <v>0</v>
      </c>
      <c r="R32" s="203">
        <f t="shared" si="14"/>
        <v>0</v>
      </c>
      <c r="S32" s="10">
        <f>S26*$S$19*0.67*R16</f>
        <v>0</v>
      </c>
      <c r="T32" s="203">
        <f t="shared" si="16"/>
        <v>0</v>
      </c>
      <c r="U32" s="10">
        <f>U26*$U$19*0.67*T16</f>
        <v>1.1062233577882588</v>
      </c>
      <c r="V32" s="203">
        <f>V26*$V$19*0.67*V15</f>
        <v>0</v>
      </c>
      <c r="W32" s="204">
        <f>W26*$W$19*0.67*V16</f>
        <v>2.7316221549750002</v>
      </c>
      <c r="X32" s="203">
        <f t="shared" si="18"/>
        <v>0</v>
      </c>
      <c r="Y32" s="204">
        <f>Y26*$Y$19*0.67*X16</f>
        <v>0</v>
      </c>
      <c r="AC32" s="10"/>
      <c r="AD32" s="10"/>
      <c r="AE32" s="10"/>
      <c r="AF32" s="10"/>
    </row>
    <row r="33" spans="1:32" x14ac:dyDescent="0.35">
      <c r="A33" s="234" t="s">
        <v>285</v>
      </c>
      <c r="B33" s="203">
        <f>B27*$B$19*0.67*B17</f>
        <v>0</v>
      </c>
      <c r="C33" s="10">
        <f>C27*$C$19*0.67*B17</f>
        <v>0.15156796898853439</v>
      </c>
      <c r="D33" s="203">
        <f>D27*$D$19*0.67*D17</f>
        <v>0</v>
      </c>
      <c r="E33" s="204">
        <f>E27*$D$19*0.67*D17</f>
        <v>0.28597302725514551</v>
      </c>
      <c r="F33" s="10">
        <f>F27*$F$19*0.67*F17</f>
        <v>0</v>
      </c>
      <c r="G33" s="10">
        <f>G27*$G$19*0.67*F17</f>
        <v>0.19019411531320796</v>
      </c>
      <c r="H33" s="203">
        <f>H27*$H$19*0.67*H17</f>
        <v>0</v>
      </c>
      <c r="I33" s="204">
        <f>I27*$I$19*0.67*H17</f>
        <v>0.58032448650000001</v>
      </c>
      <c r="J33" s="10">
        <f>J27*$J$19*0.67*J17</f>
        <v>0</v>
      </c>
      <c r="K33" s="204">
        <f>K27*$K$19*0.67*J17</f>
        <v>0.27114257778914819</v>
      </c>
      <c r="L33" s="203">
        <f>L27*$L$19*0.67*L17</f>
        <v>0</v>
      </c>
      <c r="M33" s="204">
        <f>M27*$M$19*0.67*L17</f>
        <v>0.17358546064967048</v>
      </c>
      <c r="N33" s="203">
        <f>N27*$N$19*0.67*N17</f>
        <v>0</v>
      </c>
      <c r="O33" s="10">
        <f>O27*$O$19*0.67*N17</f>
        <v>5.9564016284144823E-2</v>
      </c>
      <c r="P33" s="203">
        <f>P27*$P$19*0.67*P17</f>
        <v>0</v>
      </c>
      <c r="Q33" s="10">
        <f>Q27*$Q$19*0.67*P17</f>
        <v>0</v>
      </c>
      <c r="R33" s="203">
        <f>R27*$R$19*0.67*R17</f>
        <v>0</v>
      </c>
      <c r="S33" s="10">
        <f>S27*$S$19*0.67*R17</f>
        <v>8.930018016262628E-2</v>
      </c>
      <c r="T33" s="203">
        <f>T27*$T$19*0.67*T17</f>
        <v>0</v>
      </c>
      <c r="U33" s="10">
        <f>U27*$U$19*0.67*T17</f>
        <v>1.0228829810769409</v>
      </c>
      <c r="V33" s="203">
        <f>V27*$V$19*0.67*V17</f>
        <v>0</v>
      </c>
      <c r="W33" s="204">
        <f>W27*$W$19*0.67*V17</f>
        <v>0.37377611365500002</v>
      </c>
      <c r="X33" s="203">
        <f>X27*$X$19*0.67*X17</f>
        <v>0</v>
      </c>
      <c r="Y33" s="204">
        <f>Y27*$Y$19*0.67*X17</f>
        <v>0.53539861586580018</v>
      </c>
      <c r="AC33" s="10"/>
      <c r="AD33" s="10"/>
      <c r="AE33" s="10"/>
      <c r="AF33" s="10"/>
    </row>
    <row r="34" spans="1:32" x14ac:dyDescent="0.35">
      <c r="A34" s="234" t="s">
        <v>166</v>
      </c>
      <c r="B34" s="431"/>
      <c r="C34" s="432">
        <f>SUM(B30:C33)</f>
        <v>11.571405040864038</v>
      </c>
      <c r="D34" s="431"/>
      <c r="E34" s="433">
        <f>SUM(D30:E33)</f>
        <v>4.784889524081704</v>
      </c>
      <c r="F34" s="432"/>
      <c r="G34" s="433">
        <f>SUM(F30:G33)</f>
        <v>8.3021593622924605</v>
      </c>
      <c r="H34" s="431"/>
      <c r="I34" s="433">
        <f>SUM(H30:I33)</f>
        <v>4.3553645805000007</v>
      </c>
      <c r="J34" s="431"/>
      <c r="K34" s="433">
        <f>SUM(J30:K33)</f>
        <v>10.368446759821655</v>
      </c>
      <c r="L34" s="432"/>
      <c r="M34" s="433">
        <f>SUM(L30:M33)</f>
        <v>7.4853430465154567</v>
      </c>
      <c r="N34" s="431"/>
      <c r="O34" s="433">
        <f>SUM(N30:O33)</f>
        <v>14.050063437992966</v>
      </c>
      <c r="P34" s="431"/>
      <c r="Q34" s="433">
        <f>SUM(P30:Q33)</f>
        <v>0</v>
      </c>
      <c r="R34" s="431"/>
      <c r="S34" s="433">
        <f>SUM(R30:S33)</f>
        <v>1.9642346214301047</v>
      </c>
      <c r="T34" s="431"/>
      <c r="U34" s="433">
        <f>SUM(T30:U33)</f>
        <v>3.0769818969987597</v>
      </c>
      <c r="V34" s="431"/>
      <c r="W34" s="433">
        <f>SUM(V30:W33)</f>
        <v>3.8175136602750004</v>
      </c>
      <c r="X34" s="431"/>
      <c r="Y34" s="433">
        <f>SUM(X30:Y33)</f>
        <v>6.1576590190176015</v>
      </c>
      <c r="AC34" s="10"/>
      <c r="AD34" s="10"/>
      <c r="AE34" s="10"/>
      <c r="AF34" s="10"/>
    </row>
    <row r="35" spans="1:32" x14ac:dyDescent="0.35">
      <c r="A35" s="234" t="s">
        <v>551</v>
      </c>
      <c r="B35" s="203"/>
      <c r="C35" s="10">
        <f>C34/Production!B23</f>
        <v>0.11011995661271448</v>
      </c>
      <c r="D35" s="203"/>
      <c r="E35" s="204">
        <f>E34/Production!C23</f>
        <v>4.5535682566441797E-2</v>
      </c>
      <c r="F35" s="10"/>
      <c r="G35" s="10">
        <f>G34/Production!D23</f>
        <v>7.9007987840621061E-2</v>
      </c>
      <c r="H35" s="203"/>
      <c r="I35" s="10">
        <f>I34/Production!E23</f>
        <v>4.1448083179482308E-2</v>
      </c>
      <c r="J35" s="203"/>
      <c r="K35" s="10">
        <f>K34/Production!F23</f>
        <v>9.867193338239108E-2</v>
      </c>
      <c r="L35" s="203"/>
      <c r="M35" s="10">
        <f>M34/Production!G23</f>
        <v>7.1234707332655661E-2</v>
      </c>
      <c r="N35" s="203"/>
      <c r="O35" s="10">
        <f>O34/Production!H23</f>
        <v>0.13370825502467612</v>
      </c>
      <c r="P35" s="203"/>
      <c r="Q35" s="10">
        <f>Q34/Production!I23</f>
        <v>0</v>
      </c>
      <c r="R35" s="203"/>
      <c r="S35" s="10">
        <f>S34/Production!J23</f>
        <v>1.8692754296061143E-2</v>
      </c>
      <c r="T35" s="203"/>
      <c r="U35" s="10">
        <f>U34/Production!K23</f>
        <v>2.9282279187274076E-2</v>
      </c>
      <c r="V35" s="203"/>
      <c r="W35" s="10">
        <f>W34/Production!L23</f>
        <v>3.632959326489342E-2</v>
      </c>
      <c r="X35" s="203"/>
      <c r="Y35" s="204">
        <f>Y34/Production!M23</f>
        <v>5.8599724200776568E-2</v>
      </c>
      <c r="AB35" s="4"/>
      <c r="AC35" s="4"/>
      <c r="AD35" s="4"/>
      <c r="AE35" s="4"/>
      <c r="AF35" s="4"/>
    </row>
    <row r="36" spans="1:32" x14ac:dyDescent="0.35">
      <c r="A36" s="234"/>
      <c r="B36" s="191"/>
      <c r="D36" s="191"/>
      <c r="E36" s="192"/>
      <c r="H36" s="191"/>
      <c r="J36" s="191"/>
      <c r="L36" s="191"/>
      <c r="N36" s="191"/>
      <c r="P36" s="191"/>
      <c r="R36" s="191"/>
      <c r="T36" s="191"/>
      <c r="V36" s="191"/>
      <c r="W36" s="192"/>
      <c r="X36" s="191"/>
      <c r="Y36" s="192"/>
    </row>
    <row r="37" spans="1:32" x14ac:dyDescent="0.35">
      <c r="A37" s="231" t="s">
        <v>168</v>
      </c>
      <c r="B37" s="243"/>
      <c r="C37" s="154"/>
      <c r="D37" s="243"/>
      <c r="E37" s="255"/>
      <c r="F37" s="154"/>
      <c r="G37" s="154"/>
      <c r="H37" s="243"/>
      <c r="I37" s="154"/>
      <c r="J37" s="243"/>
      <c r="K37" s="154"/>
      <c r="L37" s="243"/>
      <c r="M37" s="154"/>
      <c r="N37" s="243"/>
      <c r="O37" s="154"/>
      <c r="P37" s="243"/>
      <c r="Q37" s="154"/>
      <c r="R37" s="243"/>
      <c r="S37" s="154"/>
      <c r="T37" s="243"/>
      <c r="U37" s="154"/>
      <c r="V37" s="243"/>
      <c r="W37" s="255"/>
      <c r="X37" s="243"/>
      <c r="Y37" s="255"/>
    </row>
    <row r="38" spans="1:32" x14ac:dyDescent="0.35">
      <c r="A38" s="236" t="s">
        <v>169</v>
      </c>
      <c r="B38" s="199"/>
      <c r="C38" s="107"/>
      <c r="D38" s="199"/>
      <c r="E38" s="200"/>
      <c r="F38" s="107"/>
      <c r="G38" s="107"/>
      <c r="H38" s="199"/>
      <c r="I38" s="107"/>
      <c r="J38" s="199"/>
      <c r="K38" s="107"/>
      <c r="L38" s="199"/>
      <c r="M38" s="107"/>
      <c r="N38" s="199"/>
      <c r="O38" s="107"/>
      <c r="P38" s="199"/>
      <c r="Q38" s="107"/>
      <c r="R38" s="199"/>
      <c r="S38" s="107"/>
      <c r="T38" s="199"/>
      <c r="U38" s="107"/>
      <c r="V38" s="199"/>
      <c r="W38" s="200"/>
      <c r="X38" s="199"/>
      <c r="Y38" s="200"/>
      <c r="AA38" s="167" t="s">
        <v>567</v>
      </c>
    </row>
    <row r="39" spans="1:32" x14ac:dyDescent="0.35">
      <c r="A39" s="234" t="s">
        <v>170</v>
      </c>
      <c r="B39" s="254">
        <v>42.34</v>
      </c>
      <c r="C39" s="190">
        <v>42.34</v>
      </c>
      <c r="D39" s="254">
        <v>59.99</v>
      </c>
      <c r="E39" s="352">
        <v>59.991253303000001</v>
      </c>
      <c r="F39" s="355">
        <v>43.79</v>
      </c>
      <c r="G39" s="352">
        <v>43.786859999999997</v>
      </c>
      <c r="H39" s="355">
        <v>53.44</v>
      </c>
      <c r="I39" s="352">
        <v>53.439750643391207</v>
      </c>
      <c r="J39" s="355">
        <v>52.57</v>
      </c>
      <c r="K39" s="352">
        <v>52.571885197854918</v>
      </c>
      <c r="L39" s="355">
        <v>57.16</v>
      </c>
      <c r="M39" s="352">
        <v>57.159813022474381</v>
      </c>
      <c r="N39" s="254">
        <v>52.34</v>
      </c>
      <c r="O39" s="352">
        <v>52.33523846681635</v>
      </c>
      <c r="P39" s="355">
        <v>36.950000000000003</v>
      </c>
      <c r="Q39" s="352">
        <v>36.951655332741332</v>
      </c>
      <c r="R39" s="355">
        <v>50.96</v>
      </c>
      <c r="S39" s="352">
        <v>50.964126356708121</v>
      </c>
      <c r="T39" s="355">
        <v>57.44</v>
      </c>
      <c r="U39" s="352">
        <v>57.444594930976102</v>
      </c>
      <c r="V39" s="355">
        <v>42.24</v>
      </c>
      <c r="W39" s="352">
        <v>42.2381130623655</v>
      </c>
      <c r="X39" s="441">
        <v>44.42</v>
      </c>
      <c r="Y39" s="442">
        <v>44.42</v>
      </c>
      <c r="AA39" s="179" t="s">
        <v>555</v>
      </c>
    </row>
    <row r="40" spans="1:32" x14ac:dyDescent="0.35">
      <c r="A40" s="234" t="s">
        <v>171</v>
      </c>
      <c r="B40" s="206">
        <v>0.6</v>
      </c>
      <c r="C40" s="258">
        <v>0.6</v>
      </c>
      <c r="D40" s="206">
        <v>0.6</v>
      </c>
      <c r="E40" s="258">
        <v>0.6</v>
      </c>
      <c r="F40" s="206">
        <v>0.6</v>
      </c>
      <c r="G40" s="258">
        <v>0.6</v>
      </c>
      <c r="H40" s="206">
        <v>0.6</v>
      </c>
      <c r="I40" s="258">
        <v>0.6</v>
      </c>
      <c r="J40" s="206">
        <v>0.6</v>
      </c>
      <c r="K40" s="258">
        <v>0.6</v>
      </c>
      <c r="L40" s="206">
        <v>0.6</v>
      </c>
      <c r="M40" s="258">
        <v>0.6</v>
      </c>
      <c r="N40" s="206">
        <v>0.6</v>
      </c>
      <c r="O40" s="258">
        <v>0.6</v>
      </c>
      <c r="P40" s="206">
        <v>0.6</v>
      </c>
      <c r="Q40" s="258">
        <v>0.6</v>
      </c>
      <c r="R40" s="206">
        <v>0.6</v>
      </c>
      <c r="S40" s="258">
        <v>0.6</v>
      </c>
      <c r="T40" s="206">
        <v>0.6</v>
      </c>
      <c r="U40" s="258">
        <v>0.6</v>
      </c>
      <c r="V40" s="206">
        <v>0.6</v>
      </c>
      <c r="W40" s="207">
        <v>0.6</v>
      </c>
      <c r="X40" s="443">
        <v>0.6</v>
      </c>
      <c r="Y40" s="444">
        <v>0.6</v>
      </c>
      <c r="AA40" s="179" t="s">
        <v>172</v>
      </c>
    </row>
    <row r="41" spans="1:32" x14ac:dyDescent="0.35">
      <c r="A41" s="234"/>
      <c r="B41" s="206"/>
      <c r="C41" s="258"/>
      <c r="D41" s="206"/>
      <c r="E41" s="258"/>
      <c r="F41" s="206"/>
      <c r="G41" s="258"/>
      <c r="H41" s="206"/>
      <c r="I41" s="258"/>
      <c r="J41" s="206"/>
      <c r="K41" s="258"/>
      <c r="L41" s="206"/>
      <c r="M41" s="258"/>
      <c r="N41" s="206"/>
      <c r="O41" s="258"/>
      <c r="P41" s="206"/>
      <c r="Q41" s="258"/>
      <c r="R41" s="206"/>
      <c r="S41" s="258"/>
      <c r="T41" s="206"/>
      <c r="U41" s="258"/>
      <c r="V41" s="206"/>
      <c r="W41" s="207"/>
      <c r="X41" s="206"/>
      <c r="Y41" s="207"/>
      <c r="AA41" s="179"/>
    </row>
    <row r="42" spans="1:32" x14ac:dyDescent="0.35">
      <c r="A42" s="236" t="s">
        <v>173</v>
      </c>
      <c r="B42" s="199"/>
      <c r="C42" s="107"/>
      <c r="D42" s="199"/>
      <c r="E42" s="107"/>
      <c r="F42" s="199"/>
      <c r="G42" s="107"/>
      <c r="H42" s="199"/>
      <c r="I42" s="107"/>
      <c r="J42" s="199"/>
      <c r="K42" s="107"/>
      <c r="L42" s="199"/>
      <c r="M42" s="107"/>
      <c r="N42" s="199"/>
      <c r="O42" s="107"/>
      <c r="P42" s="199"/>
      <c r="Q42" s="107"/>
      <c r="R42" s="199"/>
      <c r="S42" s="107"/>
      <c r="T42" s="199"/>
      <c r="U42" s="107"/>
      <c r="V42" s="199"/>
      <c r="W42" s="200"/>
      <c r="X42" s="199"/>
      <c r="Y42" s="200"/>
    </row>
    <row r="43" spans="1:32" x14ac:dyDescent="0.35">
      <c r="A43" s="234" t="s">
        <v>161</v>
      </c>
      <c r="B43" s="246">
        <f>Production!$B$5*B6*$B$39</f>
        <v>0</v>
      </c>
      <c r="C43" s="17">
        <f>(Production!$B$6+Production!$B$7)*C6*$C$39</f>
        <v>0.12884367835040667</v>
      </c>
      <c r="D43" s="246">
        <f>Production!$C$5*D6*$D$39</f>
        <v>0</v>
      </c>
      <c r="E43" s="17">
        <f>(Production!$C$6+Production!$C$7)*E6*$E$39</f>
        <v>20.285818516281076</v>
      </c>
      <c r="F43" s="246">
        <f>Production!$D$5*F6*$F$39</f>
        <v>0</v>
      </c>
      <c r="G43" s="17">
        <f>(Production!$D$6+Production!$D$7)*G6*$G$39</f>
        <v>6.1152458637185259</v>
      </c>
      <c r="H43" s="246">
        <f>Production!$E$5*H6*$H$39</f>
        <v>0</v>
      </c>
      <c r="I43" s="17">
        <f>(Production!$E$6+Production!$E$7)*I6*$I$39</f>
        <v>34.201440411770371</v>
      </c>
      <c r="J43" s="246">
        <f>Production!$F$5*J6*$J$39</f>
        <v>0</v>
      </c>
      <c r="K43" s="17">
        <f>(Production!$F$6+Production!$F$7)*K6*$K$39</f>
        <v>8.7029394567519454</v>
      </c>
      <c r="L43" s="246">
        <f>Production!$G$5*L6*$L$39</f>
        <v>0</v>
      </c>
      <c r="M43" s="17">
        <f>(Production!$G$6+Production!$G$7)*M6*$M$39</f>
        <v>0</v>
      </c>
      <c r="N43" s="246">
        <f>Production!$H$5*N6*$N$39</f>
        <v>0</v>
      </c>
      <c r="O43" s="17">
        <f>(Production!$H$6+Production!$H$7)*O6*$O$39</f>
        <v>25.992188188790667</v>
      </c>
      <c r="P43" s="246">
        <f>Production!$I$5*P6*$P$39</f>
        <v>0</v>
      </c>
      <c r="Q43" s="17">
        <f>(Production!$I$6+Production!$I$7)*Q6*$Q$39</f>
        <v>8.3510741051995421</v>
      </c>
      <c r="R43" s="246">
        <f>Production!$J$5*R6*$R$39</f>
        <v>0</v>
      </c>
      <c r="S43" s="17">
        <f>(Production!$J$6+Production!$J$7)*S6*$S$39</f>
        <v>42.267882659291281</v>
      </c>
      <c r="T43" s="246">
        <f>Production!$K$5*T6*$T$39</f>
        <v>0</v>
      </c>
      <c r="U43" s="17">
        <f>(Production!$K$6+Production!$K$7)*U6*$U$39</f>
        <v>15.305524621868004</v>
      </c>
      <c r="V43" s="246">
        <f>Production!$L$5*V6*$V$39</f>
        <v>0</v>
      </c>
      <c r="W43" s="343">
        <f>(Production!$L$6+Production!$L$7)*W6*$W$39</f>
        <v>4.006707405095991</v>
      </c>
      <c r="X43" s="246">
        <f>Production!$L$5*X6*$X$39</f>
        <v>0</v>
      </c>
      <c r="Y43" s="343">
        <f>(Production!$L$6+Production!$L$7)*Y6*$Y$39</f>
        <v>8.4907941600000001</v>
      </c>
    </row>
    <row r="44" spans="1:32" x14ac:dyDescent="0.35">
      <c r="A44" s="234" t="s">
        <v>162</v>
      </c>
      <c r="B44" s="246">
        <f>Production!$B$5*B7*$B$39</f>
        <v>0</v>
      </c>
      <c r="C44" s="17">
        <f>(Production!$B$6+Production!$B$7)*C7*$C$39</f>
        <v>13.249591671497521</v>
      </c>
      <c r="D44" s="246">
        <f>Production!$C$5*D7*$D$39</f>
        <v>0</v>
      </c>
      <c r="E44" s="17">
        <f>(Production!$C$6+Production!$C$7)*E7*$E$39</f>
        <v>1.6358608582265577</v>
      </c>
      <c r="F44" s="246">
        <f>Production!$D$5*F7*$F$39</f>
        <v>0</v>
      </c>
      <c r="G44" s="17">
        <f>(Production!$D$6+Production!$D$7)*G7*$G$39</f>
        <v>16.293928680995958</v>
      </c>
      <c r="H44" s="246">
        <f>Production!$E$5*H7*$H$39</f>
        <v>0</v>
      </c>
      <c r="I44" s="17">
        <f>(Production!$E$6+Production!$E$7)*I7*$I$39</f>
        <v>1.6031925193017362</v>
      </c>
      <c r="J44" s="246">
        <f>Production!$F$5*J7*$J$39</f>
        <v>0</v>
      </c>
      <c r="K44" s="17">
        <f>(Production!$F$6+Production!$F$7)*K7*$K$39</f>
        <v>1.0362347839802069</v>
      </c>
      <c r="L44" s="246">
        <f>Production!$G$5*L7*$L$39</f>
        <v>0</v>
      </c>
      <c r="M44" s="17">
        <f>(Production!$G$6+Production!$G$7)*M7*$M$39</f>
        <v>0</v>
      </c>
      <c r="N44" s="246">
        <f>Production!$H$5*N7*$N$39</f>
        <v>0</v>
      </c>
      <c r="O44" s="17">
        <f>(Production!$H$6+Production!$H$7)*O7*$O$39</f>
        <v>24.5381474131194</v>
      </c>
      <c r="P44" s="246">
        <f>Production!$I$5*P7*$P$39</f>
        <v>0</v>
      </c>
      <c r="Q44" s="17">
        <f>(Production!$I$6+Production!$I$7)*Q7*$Q$39</f>
        <v>8.3510741051995421</v>
      </c>
      <c r="R44" s="246">
        <f>Production!$J$5*R7*$R$39</f>
        <v>0</v>
      </c>
      <c r="S44" s="17">
        <f>(Production!$J$6+Production!$J$7)*S7*$S$39</f>
        <v>2.5805278410280295</v>
      </c>
      <c r="T44" s="246">
        <f>Production!$K$5*T7*$T$39</f>
        <v>0</v>
      </c>
      <c r="U44" s="17">
        <f>(Production!$K$6+Production!$K$7)*U7*$U$39</f>
        <v>0.35422714900185304</v>
      </c>
      <c r="V44" s="246">
        <f>Production!$L$5*V7*$V$39</f>
        <v>0</v>
      </c>
      <c r="W44" s="343">
        <f>(Production!$L$6+Production!$L$7)*W7*$W$39</f>
        <v>8.8664557415995162</v>
      </c>
      <c r="X44" s="246">
        <f>Production!$L$5*X7*$X$39</f>
        <v>0</v>
      </c>
      <c r="Y44" s="343">
        <f>(Production!$L$6+Production!$L$7)*Y7*$Y$39</f>
        <v>8.4500166000000014</v>
      </c>
    </row>
    <row r="45" spans="1:32" x14ac:dyDescent="0.35">
      <c r="A45" s="234" t="s">
        <v>163</v>
      </c>
      <c r="B45" s="246">
        <f>Production!$B$5*B8*$B$39</f>
        <v>0</v>
      </c>
      <c r="C45" s="17">
        <f>(Production!$B$6+Production!$B$7)*C8*$C$39</f>
        <v>16.764333562211025</v>
      </c>
      <c r="D45" s="246">
        <f>Production!$C$5*D8*$D$39</f>
        <v>0</v>
      </c>
      <c r="E45" s="17">
        <f>(Production!$C$6+Production!$C$7)*E8*$E$39</f>
        <v>5.4342385416047936</v>
      </c>
      <c r="F45" s="246">
        <f>Production!$D$5*F8*$F$39</f>
        <v>0</v>
      </c>
      <c r="G45" s="17">
        <f>(Production!$D$6+Production!$D$7)*G8*$G$39</f>
        <v>11.095560369918111</v>
      </c>
      <c r="H45" s="246">
        <f>Production!$E$5*H8*$H$39</f>
        <v>0</v>
      </c>
      <c r="I45" s="17">
        <f>(Production!$E$6+Production!$E$7)*I8*$I$39</f>
        <v>0</v>
      </c>
      <c r="J45" s="246">
        <f>Production!$F$5*J8*$J$39</f>
        <v>0</v>
      </c>
      <c r="K45" s="17">
        <f>(Production!$F$6+Production!$F$7)*K8*$K$39</f>
        <v>29.645245502722219</v>
      </c>
      <c r="L45" s="246">
        <f>Production!$G$5*L8*$L$39</f>
        <v>0</v>
      </c>
      <c r="M45" s="17">
        <f>(Production!$G$6+Production!$G$7)*M8*$M$39</f>
        <v>27.737384859362951</v>
      </c>
      <c r="N45" s="246">
        <f>Production!$H$5*N8*$N$39</f>
        <v>0</v>
      </c>
      <c r="O45" s="17">
        <f>(Production!$H$6+Production!$H$7)*O8*$O$39</f>
        <v>0</v>
      </c>
      <c r="P45" s="246">
        <f>Production!$I$5*P8*$P$39</f>
        <v>0</v>
      </c>
      <c r="Q45" s="17">
        <f>(Production!$I$6+Production!$I$7)*Q8*$Q$39</f>
        <v>0</v>
      </c>
      <c r="R45" s="246">
        <f>Production!$J$5*R8*$R$39</f>
        <v>0</v>
      </c>
      <c r="S45" s="17">
        <f>(Production!$J$6+Production!$J$7)*S8*$S$39</f>
        <v>0</v>
      </c>
      <c r="T45" s="246">
        <f>Production!$K$5*T8*$T$39</f>
        <v>0</v>
      </c>
      <c r="U45" s="17">
        <f>(Production!$K$6+Production!$K$7)*U8*$U$39</f>
        <v>4.3525161877670415</v>
      </c>
      <c r="V45" s="246">
        <f>Production!$L$5*V8*$V$39</f>
        <v>0</v>
      </c>
      <c r="W45" s="343">
        <f>(Production!$L$6+Production!$L$7)*W8*$W$39</f>
        <v>8.81044800367882</v>
      </c>
      <c r="X45" s="246">
        <f>Production!$L$5*X8*$X$39</f>
        <v>0</v>
      </c>
      <c r="Y45" s="343">
        <f>(Production!$L$6+Production!$L$7)*Y8*$Y$39</f>
        <v>0</v>
      </c>
    </row>
    <row r="46" spans="1:32" x14ac:dyDescent="0.35">
      <c r="A46" s="234" t="s">
        <v>285</v>
      </c>
      <c r="B46" s="246">
        <f>Production!$B$5*B9*$B$39</f>
        <v>0</v>
      </c>
      <c r="C46" s="17">
        <f>(Production!$B$6+Production!$B$7)*C9*$C$39</f>
        <v>12.197231087941073</v>
      </c>
      <c r="D46" s="246">
        <f>Production!$C$5*D9*$D$39</f>
        <v>0</v>
      </c>
      <c r="E46" s="17">
        <f>(Production!$C$6+Production!$C$7)*E9*$E$39</f>
        <v>32.635335386887583</v>
      </c>
      <c r="F46" s="246">
        <f>Production!$D$5*F9*$F$39</f>
        <v>0</v>
      </c>
      <c r="G46" s="17">
        <f>(Production!$D$6+Production!$D$7)*G9*$G$39</f>
        <v>10.282125085367401</v>
      </c>
      <c r="H46" s="246">
        <f>Production!$E$5*H9*$H$39</f>
        <v>0</v>
      </c>
      <c r="I46" s="17">
        <f>(Production!$E$6+Production!$E$7)*I9*$I$39</f>
        <v>17.635117712319101</v>
      </c>
      <c r="J46" s="246">
        <f>Production!$F$5*J9*$J$39</f>
        <v>0</v>
      </c>
      <c r="K46" s="17">
        <f>(Production!$F$6+Production!$F$7)*K9*$K$39</f>
        <v>13.187465454400543</v>
      </c>
      <c r="L46" s="246">
        <f>Production!$G$5*L9*$L$39</f>
        <v>0</v>
      </c>
      <c r="M46" s="17">
        <f>(Production!$G$6+Production!$G$7)*M9*$M$39</f>
        <v>29.42242816311143</v>
      </c>
      <c r="N46" s="246">
        <f>Production!$H$5*N9*$N$39</f>
        <v>0</v>
      </c>
      <c r="O46" s="17">
        <f>(Production!$H$6+Production!$H$7)*O9*$O$39</f>
        <v>1.804902864906277</v>
      </c>
      <c r="P46" s="246">
        <f>Production!$I$5*P9*$P$39</f>
        <v>0</v>
      </c>
      <c r="Q46" s="17">
        <f>(Production!$I$6+Production!$I$7)*Q9*$Q$39</f>
        <v>20.249507122342248</v>
      </c>
      <c r="R46" s="246">
        <f>Production!$J$5*R9*$R$39</f>
        <v>0</v>
      </c>
      <c r="S46" s="17">
        <f>(Production!$J$6+Production!$J$7)*S9*$S$39</f>
        <v>6.1157158563888103</v>
      </c>
      <c r="T46" s="246">
        <f>Production!$K$5*T9*$T$39</f>
        <v>0</v>
      </c>
      <c r="U46" s="17">
        <f>(Production!$K$6+Production!$K$7)*U9*$U$39</f>
        <v>37.432326972339204</v>
      </c>
      <c r="V46" s="246">
        <f>Production!$L$5*V9*$V$39</f>
        <v>0</v>
      </c>
      <c r="W46" s="343">
        <f>(Production!$L$6+Production!$L$7)*W9*$W$39</f>
        <v>20.494523791442614</v>
      </c>
      <c r="X46" s="246">
        <f>Production!$L$5*X9*$X$39</f>
        <v>0</v>
      </c>
      <c r="Y46" s="343">
        <f>(Production!$L$6+Production!$L$7)*Y9*$Y$39</f>
        <v>27.425174520000006</v>
      </c>
    </row>
    <row r="47" spans="1:32" x14ac:dyDescent="0.35">
      <c r="A47" s="229"/>
      <c r="B47" s="191"/>
      <c r="D47" s="191"/>
      <c r="F47" s="191"/>
      <c r="H47" s="191"/>
      <c r="J47" s="191"/>
      <c r="L47" s="191"/>
      <c r="N47" s="191"/>
      <c r="P47" s="191"/>
      <c r="R47" s="191"/>
      <c r="T47" s="191"/>
      <c r="V47" s="191"/>
      <c r="W47" s="192"/>
      <c r="X47" s="191"/>
      <c r="Y47" s="192"/>
    </row>
    <row r="48" spans="1:32" x14ac:dyDescent="0.35">
      <c r="A48" s="236" t="s">
        <v>174</v>
      </c>
      <c r="B48" s="199"/>
      <c r="C48" s="107"/>
      <c r="D48" s="199"/>
      <c r="E48" s="107"/>
      <c r="F48" s="199"/>
      <c r="G48" s="107"/>
      <c r="H48" s="199"/>
      <c r="I48" s="107"/>
      <c r="J48" s="199"/>
      <c r="K48" s="107"/>
      <c r="L48" s="199"/>
      <c r="M48" s="107"/>
      <c r="N48" s="199"/>
      <c r="O48" s="107"/>
      <c r="P48" s="199"/>
      <c r="Q48" s="107"/>
      <c r="R48" s="199"/>
      <c r="S48" s="107"/>
      <c r="T48" s="199"/>
      <c r="U48" s="107"/>
      <c r="V48" s="199"/>
      <c r="W48" s="200"/>
      <c r="X48" s="199"/>
      <c r="Y48" s="200"/>
      <c r="AA48" s="167" t="s">
        <v>569</v>
      </c>
    </row>
    <row r="49" spans="1:27" x14ac:dyDescent="0.35">
      <c r="A49" s="234" t="s">
        <v>161</v>
      </c>
      <c r="B49" s="208">
        <f>B43*$B$40</f>
        <v>0</v>
      </c>
      <c r="C49" s="5">
        <f>C43*$C$40</f>
        <v>7.7306207010244002E-2</v>
      </c>
      <c r="D49" s="208">
        <f>D43*$D$40</f>
        <v>0</v>
      </c>
      <c r="E49" s="5">
        <f>E43*$E$40</f>
        <v>12.171491109768645</v>
      </c>
      <c r="F49" s="208">
        <f>F43*$F$40</f>
        <v>0</v>
      </c>
      <c r="G49" s="5">
        <f>G43*$G$40</f>
        <v>3.6691475182311155</v>
      </c>
      <c r="H49" s="208">
        <f>H43*$H$40</f>
        <v>0</v>
      </c>
      <c r="I49" s="5">
        <f>I43*$I$40</f>
        <v>20.520864247062221</v>
      </c>
      <c r="J49" s="208">
        <f>J43*$J$40</f>
        <v>0</v>
      </c>
      <c r="K49" s="5">
        <f>K43*$K$40</f>
        <v>5.221763674051167</v>
      </c>
      <c r="L49" s="208">
        <f>L43*$L$40</f>
        <v>0</v>
      </c>
      <c r="M49" s="5">
        <f>M43*$M$40</f>
        <v>0</v>
      </c>
      <c r="N49" s="208">
        <f>N43*$N$40</f>
        <v>0</v>
      </c>
      <c r="O49" s="5">
        <f>O43*$O$40</f>
        <v>15.5953129132744</v>
      </c>
      <c r="P49" s="208">
        <f>P43*$P$40</f>
        <v>0</v>
      </c>
      <c r="Q49" s="5">
        <f>Q43*$Q$40</f>
        <v>5.0106444631197249</v>
      </c>
      <c r="R49" s="208">
        <f>R43*$R$40</f>
        <v>0</v>
      </c>
      <c r="S49" s="5">
        <f>S43*$S$40</f>
        <v>25.360729595574767</v>
      </c>
      <c r="T49" s="208">
        <f>T43*$T$40</f>
        <v>0</v>
      </c>
      <c r="U49" s="5">
        <f>U43*$U$40</f>
        <v>9.1833147731208022</v>
      </c>
      <c r="V49" s="208">
        <f>V43*$V$40+V85</f>
        <v>0.32</v>
      </c>
      <c r="W49" s="209">
        <f>W43*$W$40</f>
        <v>2.4040244430575943</v>
      </c>
      <c r="X49" s="208">
        <f>X43*$X$40</f>
        <v>0</v>
      </c>
      <c r="Y49" s="209">
        <f>Y43*$Y$40</f>
        <v>5.0944764959999995</v>
      </c>
    </row>
    <row r="50" spans="1:27" x14ac:dyDescent="0.35">
      <c r="A50" s="234" t="s">
        <v>162</v>
      </c>
      <c r="B50" s="208">
        <f>B44*$B$40</f>
        <v>0</v>
      </c>
      <c r="C50" s="5">
        <f>C44*$C$40</f>
        <v>7.9497550028985122</v>
      </c>
      <c r="D50" s="208">
        <f t="shared" ref="D50:D52" si="20">D44*$D$40</f>
        <v>0</v>
      </c>
      <c r="E50" s="5">
        <f t="shared" ref="E50:E52" si="21">E44*$E$40</f>
        <v>0.98151651493593461</v>
      </c>
      <c r="F50" s="208">
        <f t="shared" ref="F50:F52" si="22">F44*$F$40</f>
        <v>0</v>
      </c>
      <c r="G50" s="5">
        <f t="shared" ref="G50:G52" si="23">G44*$G$40</f>
        <v>9.7763572085975738</v>
      </c>
      <c r="H50" s="208">
        <f t="shared" ref="H50:H52" si="24">H44*$H$40</f>
        <v>0</v>
      </c>
      <c r="I50" s="5">
        <f t="shared" ref="I50:I51" si="25">I44*$I$40</f>
        <v>0.96191551158104172</v>
      </c>
      <c r="J50" s="208">
        <f t="shared" ref="J50:J52" si="26">J44*$J$40</f>
        <v>0</v>
      </c>
      <c r="K50" s="5">
        <f t="shared" ref="K50:K52" si="27">K44*$K$40</f>
        <v>0.62174087038812409</v>
      </c>
      <c r="L50" s="208">
        <f t="shared" ref="L50:L52" si="28">L44*$L$40</f>
        <v>0</v>
      </c>
      <c r="M50" s="5">
        <f t="shared" ref="M50:M52" si="29">M44*$M$40</f>
        <v>0</v>
      </c>
      <c r="N50" s="208">
        <f t="shared" ref="N50:N52" si="30">N44*$N$40</f>
        <v>0</v>
      </c>
      <c r="O50" s="5">
        <f t="shared" ref="O50:O52" si="31">O44*$O$40</f>
        <v>14.72288844787164</v>
      </c>
      <c r="P50" s="208">
        <f t="shared" ref="P50:P52" si="32">P44*$P$40</f>
        <v>0</v>
      </c>
      <c r="Q50" s="5">
        <f t="shared" ref="Q50:Q52" si="33">Q44*$Q$40</f>
        <v>5.0106444631197249</v>
      </c>
      <c r="R50" s="208">
        <f t="shared" ref="R50:R51" si="34">R44*$R$40</f>
        <v>0</v>
      </c>
      <c r="S50" s="5">
        <f t="shared" ref="S50:S52" si="35">S44*$S$40</f>
        <v>1.5483167046168176</v>
      </c>
      <c r="T50" s="208">
        <f t="shared" ref="T50" si="36">T44*$T$40</f>
        <v>0</v>
      </c>
      <c r="U50" s="5">
        <f t="shared" ref="U50:U52" si="37">U44*$U$40</f>
        <v>0.21253628940111183</v>
      </c>
      <c r="V50" s="208">
        <f>V44*$V$40</f>
        <v>0</v>
      </c>
      <c r="W50" s="209">
        <f>W44*$W$40</f>
        <v>5.3198734449597094</v>
      </c>
      <c r="X50" s="208">
        <f t="shared" ref="X50:X52" si="38">X44*$X$40</f>
        <v>0</v>
      </c>
      <c r="Y50" s="209">
        <f t="shared" ref="Y50:Y52" si="39">Y44*$Y$40</f>
        <v>5.070009960000001</v>
      </c>
    </row>
    <row r="51" spans="1:27" x14ac:dyDescent="0.35">
      <c r="A51" s="234" t="s">
        <v>163</v>
      </c>
      <c r="B51" s="208">
        <f t="shared" ref="B51" si="40">B45*$B$40</f>
        <v>0</v>
      </c>
      <c r="C51" s="5">
        <f t="shared" ref="C51" si="41">C45*$C$40</f>
        <v>10.058600137326614</v>
      </c>
      <c r="D51" s="208">
        <f t="shared" si="20"/>
        <v>0</v>
      </c>
      <c r="E51" s="5">
        <f t="shared" si="21"/>
        <v>3.2605431249628762</v>
      </c>
      <c r="F51" s="208">
        <f t="shared" si="22"/>
        <v>0</v>
      </c>
      <c r="G51" s="5">
        <f t="shared" si="23"/>
        <v>6.6573362219508665</v>
      </c>
      <c r="H51" s="208">
        <f t="shared" si="24"/>
        <v>0</v>
      </c>
      <c r="I51" s="5">
        <f t="shared" si="25"/>
        <v>0</v>
      </c>
      <c r="J51" s="208">
        <f t="shared" si="26"/>
        <v>0</v>
      </c>
      <c r="K51" s="5">
        <f t="shared" si="27"/>
        <v>17.787147301633329</v>
      </c>
      <c r="L51" s="208">
        <f t="shared" si="28"/>
        <v>0</v>
      </c>
      <c r="M51" s="5">
        <f t="shared" si="29"/>
        <v>16.642430915617769</v>
      </c>
      <c r="N51" s="208">
        <f t="shared" si="30"/>
        <v>0</v>
      </c>
      <c r="O51" s="5">
        <f t="shared" si="31"/>
        <v>0</v>
      </c>
      <c r="P51" s="208">
        <f t="shared" si="32"/>
        <v>0</v>
      </c>
      <c r="Q51" s="5">
        <f t="shared" si="33"/>
        <v>0</v>
      </c>
      <c r="R51" s="208">
        <f t="shared" si="34"/>
        <v>0</v>
      </c>
      <c r="S51" s="5">
        <f t="shared" si="35"/>
        <v>0</v>
      </c>
      <c r="T51" s="208">
        <f>T45*$T$40</f>
        <v>0</v>
      </c>
      <c r="U51" s="5">
        <f>U45*$U$40</f>
        <v>2.6115097126602249</v>
      </c>
      <c r="V51" s="208">
        <f>V45*$V$40</f>
        <v>0</v>
      </c>
      <c r="W51" s="209">
        <f>W45*$W$40</f>
        <v>5.2862688022072915</v>
      </c>
      <c r="X51" s="208">
        <f t="shared" si="38"/>
        <v>0</v>
      </c>
      <c r="Y51" s="209">
        <f t="shared" si="39"/>
        <v>0</v>
      </c>
    </row>
    <row r="52" spans="1:27" x14ac:dyDescent="0.35">
      <c r="A52" s="234" t="s">
        <v>285</v>
      </c>
      <c r="B52" s="208">
        <f>B46*$B$40</f>
        <v>0</v>
      </c>
      <c r="C52" s="5">
        <f>C46*$C$40</f>
        <v>7.3183386527646439</v>
      </c>
      <c r="D52" s="208">
        <f t="shared" si="20"/>
        <v>0</v>
      </c>
      <c r="E52" s="5">
        <f t="shared" si="21"/>
        <v>19.58120123213255</v>
      </c>
      <c r="F52" s="208">
        <f t="shared" si="22"/>
        <v>0</v>
      </c>
      <c r="G52" s="5">
        <f t="shared" si="23"/>
        <v>6.1692750512204402</v>
      </c>
      <c r="H52" s="208">
        <f t="shared" si="24"/>
        <v>0</v>
      </c>
      <c r="I52" s="5">
        <f>I46*$I$40</f>
        <v>10.58107062739146</v>
      </c>
      <c r="J52" s="208">
        <f t="shared" si="26"/>
        <v>0</v>
      </c>
      <c r="K52" s="5">
        <f t="shared" si="27"/>
        <v>7.9124792726403257</v>
      </c>
      <c r="L52" s="208">
        <f t="shared" si="28"/>
        <v>0</v>
      </c>
      <c r="M52" s="5">
        <f t="shared" si="29"/>
        <v>17.653456897866857</v>
      </c>
      <c r="N52" s="208">
        <f t="shared" si="30"/>
        <v>0</v>
      </c>
      <c r="O52" s="5">
        <f t="shared" si="31"/>
        <v>1.0829417189437662</v>
      </c>
      <c r="P52" s="208">
        <f t="shared" si="32"/>
        <v>0</v>
      </c>
      <c r="Q52" s="5">
        <f t="shared" si="33"/>
        <v>12.149704273405348</v>
      </c>
      <c r="R52" s="208">
        <f>R46*$R$40</f>
        <v>0</v>
      </c>
      <c r="S52" s="5">
        <f t="shared" si="35"/>
        <v>3.6694295138332862</v>
      </c>
      <c r="T52" s="208">
        <f>T46*$T$40</f>
        <v>0</v>
      </c>
      <c r="U52" s="5">
        <f t="shared" si="37"/>
        <v>22.459396183403523</v>
      </c>
      <c r="V52" s="208">
        <f>V46*$V$40</f>
        <v>0</v>
      </c>
      <c r="W52" s="209">
        <f>W46*$W$40</f>
        <v>12.296714274865568</v>
      </c>
      <c r="X52" s="208">
        <f t="shared" si="38"/>
        <v>0</v>
      </c>
      <c r="Y52" s="209">
        <f t="shared" si="39"/>
        <v>16.455104712000004</v>
      </c>
    </row>
    <row r="53" spans="1:27" x14ac:dyDescent="0.35">
      <c r="A53" s="229"/>
      <c r="B53" s="191"/>
      <c r="D53" s="191"/>
      <c r="F53" s="191"/>
      <c r="H53" s="191"/>
      <c r="J53" s="191"/>
      <c r="L53" s="191"/>
      <c r="N53" s="191"/>
      <c r="P53" s="191"/>
      <c r="R53" s="191"/>
      <c r="T53" s="191"/>
      <c r="V53" s="191"/>
      <c r="W53" s="192"/>
      <c r="X53" s="191"/>
      <c r="Y53" s="192"/>
    </row>
    <row r="54" spans="1:27" x14ac:dyDescent="0.35">
      <c r="A54" s="236" t="s">
        <v>175</v>
      </c>
      <c r="B54" s="199"/>
      <c r="C54" s="107"/>
      <c r="D54" s="199"/>
      <c r="E54" s="107"/>
      <c r="F54" s="199"/>
      <c r="G54" s="107"/>
      <c r="H54" s="199"/>
      <c r="I54" s="107"/>
      <c r="J54" s="199"/>
      <c r="K54" s="107"/>
      <c r="L54" s="199"/>
      <c r="M54" s="107"/>
      <c r="N54" s="199"/>
      <c r="O54" s="107"/>
      <c r="P54" s="199"/>
      <c r="Q54" s="107"/>
      <c r="R54" s="199"/>
      <c r="S54" s="107"/>
      <c r="T54" s="199"/>
      <c r="U54" s="107"/>
      <c r="V54" s="199"/>
      <c r="W54" s="200"/>
      <c r="X54" s="199"/>
      <c r="Y54" s="200"/>
      <c r="AA54" s="167" t="s">
        <v>176</v>
      </c>
    </row>
    <row r="55" spans="1:27" x14ac:dyDescent="0.35">
      <c r="A55" s="234" t="s">
        <v>161</v>
      </c>
      <c r="B55" s="208">
        <f>B49*B61</f>
        <v>0</v>
      </c>
      <c r="C55" s="5">
        <f t="shared" ref="C55:Y55" si="42">C49*C61</f>
        <v>6.1844965608195204E-3</v>
      </c>
      <c r="D55" s="208">
        <f t="shared" si="42"/>
        <v>0</v>
      </c>
      <c r="E55" s="5">
        <f t="shared" si="42"/>
        <v>0.97371928878149161</v>
      </c>
      <c r="F55" s="208">
        <f t="shared" si="42"/>
        <v>0</v>
      </c>
      <c r="G55" s="5">
        <f t="shared" si="42"/>
        <v>0.29353180145848923</v>
      </c>
      <c r="H55" s="208">
        <f t="shared" si="42"/>
        <v>0</v>
      </c>
      <c r="I55" s="5">
        <f t="shared" si="42"/>
        <v>1.6416691397649776</v>
      </c>
      <c r="J55" s="208">
        <f t="shared" si="42"/>
        <v>0</v>
      </c>
      <c r="K55" s="5">
        <f t="shared" si="42"/>
        <v>0.41774109392409337</v>
      </c>
      <c r="L55" s="208">
        <f t="shared" si="42"/>
        <v>0</v>
      </c>
      <c r="M55" s="5">
        <f t="shared" si="42"/>
        <v>0</v>
      </c>
      <c r="N55" s="208">
        <f t="shared" si="42"/>
        <v>0</v>
      </c>
      <c r="O55" s="5">
        <f>O49*O61</f>
        <v>1.247625033061952</v>
      </c>
      <c r="P55" s="208">
        <f t="shared" si="42"/>
        <v>0</v>
      </c>
      <c r="Q55" s="5">
        <f t="shared" si="42"/>
        <v>0.40085155704957798</v>
      </c>
      <c r="R55" s="208">
        <f t="shared" si="42"/>
        <v>0</v>
      </c>
      <c r="S55" s="5">
        <f t="shared" si="42"/>
        <v>2.0288583676459813</v>
      </c>
      <c r="T55" s="208">
        <f t="shared" si="42"/>
        <v>0</v>
      </c>
      <c r="U55" s="5">
        <f t="shared" si="42"/>
        <v>0.73466518184966423</v>
      </c>
      <c r="V55" s="208">
        <f t="shared" ref="V55" si="43">V49*V61</f>
        <v>2.5600000000000001E-2</v>
      </c>
      <c r="W55" s="209">
        <f>W49*W61</f>
        <v>0.19232195544460756</v>
      </c>
      <c r="X55" s="208">
        <f t="shared" si="42"/>
        <v>0</v>
      </c>
      <c r="Y55" s="209">
        <f t="shared" si="42"/>
        <v>0.40755811968</v>
      </c>
    </row>
    <row r="56" spans="1:27" x14ac:dyDescent="0.35">
      <c r="A56" s="234" t="s">
        <v>162</v>
      </c>
      <c r="B56" s="208">
        <f t="shared" ref="B56:Y56" si="44">B50*B62</f>
        <v>0</v>
      </c>
      <c r="C56" s="5">
        <f t="shared" si="44"/>
        <v>1.9079412006956429</v>
      </c>
      <c r="D56" s="208">
        <f t="shared" si="44"/>
        <v>0</v>
      </c>
      <c r="E56" s="5">
        <f t="shared" si="44"/>
        <v>0.23556396358462431</v>
      </c>
      <c r="F56" s="208">
        <f t="shared" si="44"/>
        <v>0</v>
      </c>
      <c r="G56" s="5">
        <f t="shared" si="44"/>
        <v>2.3463257300634175</v>
      </c>
      <c r="H56" s="208">
        <f t="shared" si="44"/>
        <v>0</v>
      </c>
      <c r="I56" s="5">
        <f t="shared" si="44"/>
        <v>0.23085972277944999</v>
      </c>
      <c r="J56" s="208">
        <f t="shared" si="44"/>
        <v>0</v>
      </c>
      <c r="K56" s="5">
        <f t="shared" si="44"/>
        <v>0.14921780889314978</v>
      </c>
      <c r="L56" s="208">
        <f t="shared" si="44"/>
        <v>0</v>
      </c>
      <c r="M56" s="5">
        <f t="shared" si="44"/>
        <v>0</v>
      </c>
      <c r="N56" s="208">
        <f t="shared" si="44"/>
        <v>0</v>
      </c>
      <c r="O56" s="5">
        <f t="shared" si="44"/>
        <v>3.5334932274891933</v>
      </c>
      <c r="P56" s="208">
        <f t="shared" si="44"/>
        <v>0</v>
      </c>
      <c r="Q56" s="5">
        <f t="shared" si="44"/>
        <v>1.2025546711487338</v>
      </c>
      <c r="R56" s="208">
        <f t="shared" si="44"/>
        <v>0</v>
      </c>
      <c r="S56" s="5">
        <f t="shared" si="44"/>
        <v>0.3715960091080362</v>
      </c>
      <c r="T56" s="208">
        <f t="shared" si="44"/>
        <v>0</v>
      </c>
      <c r="U56" s="5">
        <f t="shared" si="44"/>
        <v>5.1008709456266836E-2</v>
      </c>
      <c r="V56" s="208">
        <f t="shared" ref="V56" si="45">V50*V62</f>
        <v>0</v>
      </c>
      <c r="W56" s="209">
        <f>W50*W62</f>
        <v>1.2767696267903301</v>
      </c>
      <c r="X56" s="208">
        <f t="shared" si="44"/>
        <v>0</v>
      </c>
      <c r="Y56" s="209">
        <f t="shared" si="44"/>
        <v>1.2168023904000003</v>
      </c>
    </row>
    <row r="57" spans="1:27" x14ac:dyDescent="0.35">
      <c r="A57" s="234" t="s">
        <v>163</v>
      </c>
      <c r="B57" s="208">
        <f t="shared" ref="B57:Y57" si="46">B51*B61</f>
        <v>0</v>
      </c>
      <c r="C57" s="5">
        <f t="shared" si="46"/>
        <v>0.80468801098612919</v>
      </c>
      <c r="D57" s="208">
        <f t="shared" si="46"/>
        <v>0</v>
      </c>
      <c r="E57" s="5">
        <f t="shared" si="46"/>
        <v>0.26084344999703013</v>
      </c>
      <c r="F57" s="208">
        <f t="shared" si="46"/>
        <v>0</v>
      </c>
      <c r="G57" s="5">
        <f t="shared" si="46"/>
        <v>0.53258689775606938</v>
      </c>
      <c r="H57" s="208">
        <f t="shared" si="46"/>
        <v>0</v>
      </c>
      <c r="I57" s="5">
        <f t="shared" si="46"/>
        <v>0</v>
      </c>
      <c r="J57" s="208">
        <f t="shared" si="46"/>
        <v>0</v>
      </c>
      <c r="K57" s="5">
        <f t="shared" si="46"/>
        <v>1.4229717841306664</v>
      </c>
      <c r="L57" s="208">
        <f t="shared" si="46"/>
        <v>0</v>
      </c>
      <c r="M57" s="5">
        <f t="shared" si="46"/>
        <v>1.3313944732494216</v>
      </c>
      <c r="N57" s="208">
        <f t="shared" si="46"/>
        <v>0</v>
      </c>
      <c r="O57" s="5">
        <f t="shared" si="46"/>
        <v>0</v>
      </c>
      <c r="P57" s="208">
        <f t="shared" si="46"/>
        <v>0</v>
      </c>
      <c r="Q57" s="5">
        <f t="shared" si="46"/>
        <v>0</v>
      </c>
      <c r="R57" s="208">
        <f t="shared" si="46"/>
        <v>0</v>
      </c>
      <c r="S57" s="5">
        <f t="shared" si="46"/>
        <v>0</v>
      </c>
      <c r="T57" s="208">
        <f t="shared" si="46"/>
        <v>0</v>
      </c>
      <c r="U57" s="5">
        <f t="shared" si="46"/>
        <v>0.208920777012818</v>
      </c>
      <c r="V57" s="208">
        <f t="shared" ref="V57:W57" si="47">V51*V61</f>
        <v>0</v>
      </c>
      <c r="W57" s="209">
        <f t="shared" si="47"/>
        <v>0.42290150417658334</v>
      </c>
      <c r="X57" s="208">
        <f t="shared" si="46"/>
        <v>0</v>
      </c>
      <c r="Y57" s="209">
        <f t="shared" si="46"/>
        <v>0</v>
      </c>
      <c r="AA57" s="88" t="s">
        <v>177</v>
      </c>
    </row>
    <row r="58" spans="1:27" x14ac:dyDescent="0.35">
      <c r="A58" s="234" t="s">
        <v>166</v>
      </c>
      <c r="B58" s="208"/>
      <c r="C58" s="5">
        <f>SUM(B55:C57)</f>
        <v>2.7188137082425916</v>
      </c>
      <c r="D58" s="208"/>
      <c r="E58" s="5">
        <f>SUM(D55:E57)</f>
        <v>1.4701267023631459</v>
      </c>
      <c r="F58" s="208"/>
      <c r="G58" s="5">
        <f>SUM(F55:G57)</f>
        <v>3.1724444292779759</v>
      </c>
      <c r="H58" s="208"/>
      <c r="I58" s="5">
        <f>SUM(H55:I57)</f>
        <v>1.8725288625444276</v>
      </c>
      <c r="J58" s="208"/>
      <c r="K58" s="5">
        <f>SUM(J55:K57)</f>
        <v>1.9899306869479094</v>
      </c>
      <c r="L58" s="208"/>
      <c r="M58" s="5">
        <f>SUM(L55:M57)</f>
        <v>1.3313944732494216</v>
      </c>
      <c r="N58" s="208"/>
      <c r="O58" s="5">
        <f>SUM(N55:O57)</f>
        <v>4.7811182605511453</v>
      </c>
      <c r="P58" s="208"/>
      <c r="Q58" s="5">
        <f>SUM(P55:Q57)</f>
        <v>1.6034062281983119</v>
      </c>
      <c r="R58" s="208"/>
      <c r="S58" s="5">
        <f>SUM(R55:S57)</f>
        <v>2.4004543767540176</v>
      </c>
      <c r="T58" s="208"/>
      <c r="U58" s="5">
        <f>SUM(T55:U57)</f>
        <v>0.99459466831874899</v>
      </c>
      <c r="V58" s="208"/>
      <c r="W58" s="209">
        <f>SUM(V55:W57)</f>
        <v>1.9175930864115209</v>
      </c>
      <c r="X58" s="208"/>
      <c r="Y58" s="209">
        <f>SUM(X55:Y57)</f>
        <v>1.6243605100800003</v>
      </c>
      <c r="AA58" s="88"/>
    </row>
    <row r="59" spans="1:27" x14ac:dyDescent="0.35">
      <c r="A59" s="234" t="s">
        <v>167</v>
      </c>
      <c r="B59" s="208"/>
      <c r="C59" s="5"/>
      <c r="D59" s="208"/>
      <c r="E59" s="5"/>
      <c r="F59" s="208"/>
      <c r="G59" s="5"/>
      <c r="H59" s="208"/>
      <c r="I59" s="5"/>
      <c r="J59" s="208"/>
      <c r="K59" s="5"/>
      <c r="L59" s="208"/>
      <c r="M59" s="5"/>
      <c r="N59" s="208"/>
      <c r="O59" s="5"/>
      <c r="P59" s="208"/>
      <c r="Q59" s="5"/>
      <c r="R59" s="208"/>
      <c r="S59" s="5"/>
      <c r="T59" s="208"/>
      <c r="U59" s="5"/>
      <c r="V59" s="208"/>
      <c r="W59" s="209"/>
      <c r="X59" s="208"/>
      <c r="Y59" s="209"/>
      <c r="AA59" s="88"/>
    </row>
    <row r="60" spans="1:27" x14ac:dyDescent="0.35">
      <c r="A60" s="234"/>
      <c r="B60" s="210"/>
      <c r="D60" s="210"/>
      <c r="F60" s="210"/>
      <c r="H60" s="210"/>
      <c r="J60" s="210"/>
      <c r="L60" s="210"/>
      <c r="N60" s="210"/>
      <c r="P60" s="210"/>
      <c r="R60" s="210"/>
      <c r="T60" s="210"/>
      <c r="V60" s="210"/>
      <c r="W60" s="192"/>
      <c r="X60" s="210"/>
      <c r="Y60" s="192"/>
    </row>
    <row r="61" spans="1:27" x14ac:dyDescent="0.35">
      <c r="A61" s="237" t="s">
        <v>178</v>
      </c>
      <c r="B61" s="211">
        <v>0.08</v>
      </c>
      <c r="C61" s="14">
        <v>0.08</v>
      </c>
      <c r="D61" s="211">
        <v>0.08</v>
      </c>
      <c r="E61" s="14">
        <v>0.08</v>
      </c>
      <c r="F61" s="211">
        <v>0.08</v>
      </c>
      <c r="G61" s="14">
        <v>0.08</v>
      </c>
      <c r="H61" s="211">
        <v>0.08</v>
      </c>
      <c r="I61" s="14">
        <v>0.08</v>
      </c>
      <c r="J61" s="211">
        <v>0.08</v>
      </c>
      <c r="K61" s="14">
        <v>0.08</v>
      </c>
      <c r="L61" s="211">
        <v>0.08</v>
      </c>
      <c r="M61" s="14">
        <v>0.08</v>
      </c>
      <c r="N61" s="211">
        <v>0.08</v>
      </c>
      <c r="O61" s="14">
        <v>0.08</v>
      </c>
      <c r="P61" s="211">
        <v>0.08</v>
      </c>
      <c r="Q61" s="14">
        <v>0.08</v>
      </c>
      <c r="R61" s="211">
        <v>0.08</v>
      </c>
      <c r="S61" s="14">
        <v>0.08</v>
      </c>
      <c r="T61" s="211">
        <v>0.08</v>
      </c>
      <c r="U61" s="14">
        <v>0.08</v>
      </c>
      <c r="V61" s="211">
        <v>0.08</v>
      </c>
      <c r="W61" s="212">
        <v>0.08</v>
      </c>
      <c r="X61" s="211">
        <v>0.08</v>
      </c>
      <c r="Y61" s="212">
        <v>0.08</v>
      </c>
      <c r="AA61" s="179" t="s">
        <v>467</v>
      </c>
    </row>
    <row r="62" spans="1:27" x14ac:dyDescent="0.35">
      <c r="A62" s="237" t="s">
        <v>179</v>
      </c>
      <c r="B62" s="211">
        <v>0.24</v>
      </c>
      <c r="C62" s="14">
        <v>0.24</v>
      </c>
      <c r="D62" s="211">
        <v>0.24</v>
      </c>
      <c r="E62" s="14">
        <v>0.24</v>
      </c>
      <c r="F62" s="211">
        <v>0.24</v>
      </c>
      <c r="G62" s="14">
        <v>0.24</v>
      </c>
      <c r="H62" s="211">
        <v>0.24</v>
      </c>
      <c r="I62" s="14">
        <v>0.24</v>
      </c>
      <c r="J62" s="211">
        <v>0.24</v>
      </c>
      <c r="K62" s="14">
        <v>0.24</v>
      </c>
      <c r="L62" s="211">
        <v>0.24</v>
      </c>
      <c r="M62" s="14">
        <v>0.24</v>
      </c>
      <c r="N62" s="211">
        <v>0.24</v>
      </c>
      <c r="O62" s="14">
        <v>0.24</v>
      </c>
      <c r="P62" s="211">
        <v>0.24</v>
      </c>
      <c r="Q62" s="14">
        <v>0.24</v>
      </c>
      <c r="R62" s="211">
        <v>0.24</v>
      </c>
      <c r="S62" s="14">
        <v>0.24</v>
      </c>
      <c r="T62" s="211">
        <v>0.24</v>
      </c>
      <c r="U62" s="14">
        <v>0.24</v>
      </c>
      <c r="V62" s="211">
        <v>0.24</v>
      </c>
      <c r="W62" s="212">
        <v>0.24</v>
      </c>
      <c r="X62" s="211">
        <v>0.24</v>
      </c>
      <c r="Y62" s="212">
        <v>0.24</v>
      </c>
    </row>
    <row r="63" spans="1:27" x14ac:dyDescent="0.35">
      <c r="A63" s="229"/>
      <c r="B63" s="191"/>
      <c r="D63" s="191"/>
      <c r="F63" s="191"/>
      <c r="H63" s="191"/>
      <c r="J63" s="191"/>
      <c r="L63" s="191"/>
      <c r="N63" s="191"/>
      <c r="P63" s="191"/>
      <c r="R63" s="191"/>
      <c r="T63" s="191"/>
      <c r="V63" s="191"/>
      <c r="W63" s="192"/>
      <c r="X63" s="191"/>
      <c r="Y63" s="192"/>
    </row>
    <row r="64" spans="1:27" x14ac:dyDescent="0.35">
      <c r="A64" s="229"/>
      <c r="B64" s="191"/>
      <c r="D64" s="191"/>
      <c r="F64" s="191"/>
      <c r="G64" s="99"/>
      <c r="H64" s="191"/>
      <c r="J64" s="191"/>
      <c r="L64" s="191"/>
      <c r="N64" s="191"/>
      <c r="P64" s="191"/>
      <c r="R64" s="191"/>
      <c r="T64" s="191"/>
      <c r="V64" s="191"/>
      <c r="W64" s="192"/>
      <c r="X64" s="191"/>
      <c r="Y64" s="192"/>
    </row>
    <row r="65" spans="1:28" x14ac:dyDescent="0.35">
      <c r="A65" s="236" t="s">
        <v>180</v>
      </c>
      <c r="B65" s="199"/>
      <c r="C65" s="107"/>
      <c r="D65" s="199"/>
      <c r="E65" s="107"/>
      <c r="F65" s="199"/>
      <c r="G65" s="107"/>
      <c r="H65" s="199"/>
      <c r="I65" s="107"/>
      <c r="J65" s="199"/>
      <c r="K65" s="107"/>
      <c r="L65" s="199"/>
      <c r="M65" s="107"/>
      <c r="N65" s="199"/>
      <c r="O65" s="107"/>
      <c r="P65" s="199"/>
      <c r="Q65" s="107"/>
      <c r="R65" s="199"/>
      <c r="S65" s="107"/>
      <c r="T65" s="199"/>
      <c r="U65" s="107"/>
      <c r="V65" s="199"/>
      <c r="W65" s="200"/>
      <c r="X65" s="199"/>
      <c r="Y65" s="200"/>
    </row>
    <row r="66" spans="1:28" x14ac:dyDescent="0.35">
      <c r="A66" s="234" t="s">
        <v>161</v>
      </c>
      <c r="B66" s="208">
        <f t="shared" ref="B66:Y66" si="48">B49-B55</f>
        <v>0</v>
      </c>
      <c r="C66" s="10">
        <f t="shared" si="48"/>
        <v>7.1121710449424475E-2</v>
      </c>
      <c r="D66" s="208">
        <f t="shared" si="48"/>
        <v>0</v>
      </c>
      <c r="E66" s="10">
        <f t="shared" si="48"/>
        <v>11.197771820987153</v>
      </c>
      <c r="F66" s="208">
        <f t="shared" si="48"/>
        <v>0</v>
      </c>
      <c r="G66" s="10">
        <f t="shared" si="48"/>
        <v>3.3756157167726264</v>
      </c>
      <c r="H66" s="208">
        <f t="shared" si="48"/>
        <v>0</v>
      </c>
      <c r="I66" s="10">
        <f t="shared" si="48"/>
        <v>18.879195107297242</v>
      </c>
      <c r="J66" s="208">
        <f t="shared" si="48"/>
        <v>0</v>
      </c>
      <c r="K66" s="10">
        <f t="shared" si="48"/>
        <v>4.8040225801270733</v>
      </c>
      <c r="L66" s="208">
        <f t="shared" si="48"/>
        <v>0</v>
      </c>
      <c r="M66" s="10">
        <f t="shared" si="48"/>
        <v>0</v>
      </c>
      <c r="N66" s="208">
        <f t="shared" si="48"/>
        <v>0</v>
      </c>
      <c r="O66" s="10">
        <f t="shared" si="48"/>
        <v>14.347687880212447</v>
      </c>
      <c r="P66" s="208">
        <f t="shared" si="48"/>
        <v>0</v>
      </c>
      <c r="Q66" s="10">
        <f t="shared" si="48"/>
        <v>4.6097929060701466</v>
      </c>
      <c r="R66" s="208">
        <f t="shared" si="48"/>
        <v>0</v>
      </c>
      <c r="S66" s="10">
        <f t="shared" si="48"/>
        <v>23.331871227928787</v>
      </c>
      <c r="T66" s="208">
        <f t="shared" si="48"/>
        <v>0</v>
      </c>
      <c r="U66" s="10">
        <f t="shared" si="48"/>
        <v>8.4486495912711383</v>
      </c>
      <c r="V66" s="208">
        <f t="shared" si="48"/>
        <v>0.2944</v>
      </c>
      <c r="W66" s="204">
        <f t="shared" si="48"/>
        <v>2.2117024876129867</v>
      </c>
      <c r="X66" s="208">
        <f t="shared" si="48"/>
        <v>0</v>
      </c>
      <c r="Y66" s="204">
        <f t="shared" si="48"/>
        <v>4.6869183763199995</v>
      </c>
    </row>
    <row r="67" spans="1:28" x14ac:dyDescent="0.35">
      <c r="A67" s="234" t="s">
        <v>162</v>
      </c>
      <c r="B67" s="208">
        <f t="shared" ref="B67:Y67" si="49">B50-B56</f>
        <v>0</v>
      </c>
      <c r="C67" s="10">
        <f t="shared" si="49"/>
        <v>6.0418138022028689</v>
      </c>
      <c r="D67" s="208">
        <f t="shared" si="49"/>
        <v>0</v>
      </c>
      <c r="E67" s="10">
        <f t="shared" si="49"/>
        <v>0.74595255135131033</v>
      </c>
      <c r="F67" s="208">
        <f t="shared" si="49"/>
        <v>0</v>
      </c>
      <c r="G67" s="10">
        <f t="shared" si="49"/>
        <v>7.4300314785341559</v>
      </c>
      <c r="H67" s="208">
        <f t="shared" si="49"/>
        <v>0</v>
      </c>
      <c r="I67" s="10">
        <f t="shared" si="49"/>
        <v>0.73105578880159172</v>
      </c>
      <c r="J67" s="208">
        <f t="shared" si="49"/>
        <v>0</v>
      </c>
      <c r="K67" s="10">
        <f t="shared" si="49"/>
        <v>0.47252306149497431</v>
      </c>
      <c r="L67" s="208">
        <f t="shared" si="49"/>
        <v>0</v>
      </c>
      <c r="M67" s="10">
        <f t="shared" si="49"/>
        <v>0</v>
      </c>
      <c r="N67" s="208">
        <f t="shared" si="49"/>
        <v>0</v>
      </c>
      <c r="O67" s="10">
        <f t="shared" si="49"/>
        <v>11.189395220382446</v>
      </c>
      <c r="P67" s="208">
        <f t="shared" si="49"/>
        <v>0</v>
      </c>
      <c r="Q67" s="10">
        <f t="shared" si="49"/>
        <v>3.8080897919709908</v>
      </c>
      <c r="R67" s="208">
        <f t="shared" si="49"/>
        <v>0</v>
      </c>
      <c r="S67" s="10">
        <f t="shared" si="49"/>
        <v>1.1767206955087814</v>
      </c>
      <c r="T67" s="208">
        <f t="shared" si="49"/>
        <v>0</v>
      </c>
      <c r="U67" s="10">
        <f t="shared" si="49"/>
        <v>0.16152757994484498</v>
      </c>
      <c r="V67" s="208">
        <f t="shared" si="49"/>
        <v>0</v>
      </c>
      <c r="W67" s="204">
        <f t="shared" si="49"/>
        <v>4.0431038181693797</v>
      </c>
      <c r="X67" s="208">
        <f t="shared" si="49"/>
        <v>0</v>
      </c>
      <c r="Y67" s="204">
        <f t="shared" si="49"/>
        <v>3.8532075696000008</v>
      </c>
    </row>
    <row r="68" spans="1:28" x14ac:dyDescent="0.35">
      <c r="A68" s="234" t="s">
        <v>163</v>
      </c>
      <c r="B68" s="208">
        <f t="shared" ref="B68:Y68" si="50">B51-B57</f>
        <v>0</v>
      </c>
      <c r="C68" s="10">
        <f t="shared" si="50"/>
        <v>9.2539121263404844</v>
      </c>
      <c r="D68" s="208">
        <f t="shared" si="50"/>
        <v>0</v>
      </c>
      <c r="E68" s="10">
        <f t="shared" si="50"/>
        <v>2.999699674965846</v>
      </c>
      <c r="F68" s="208">
        <f t="shared" si="50"/>
        <v>0</v>
      </c>
      <c r="G68" s="10">
        <f t="shared" si="50"/>
        <v>6.1247493241947968</v>
      </c>
      <c r="H68" s="208">
        <f t="shared" si="50"/>
        <v>0</v>
      </c>
      <c r="I68" s="10">
        <f t="shared" si="50"/>
        <v>0</v>
      </c>
      <c r="J68" s="208">
        <f t="shared" si="50"/>
        <v>0</v>
      </c>
      <c r="K68" s="10">
        <f t="shared" si="50"/>
        <v>16.364175517502662</v>
      </c>
      <c r="L68" s="208">
        <f t="shared" si="50"/>
        <v>0</v>
      </c>
      <c r="M68" s="10">
        <f t="shared" si="50"/>
        <v>15.311036442368348</v>
      </c>
      <c r="N68" s="208">
        <f t="shared" si="50"/>
        <v>0</v>
      </c>
      <c r="O68" s="10">
        <f t="shared" si="50"/>
        <v>0</v>
      </c>
      <c r="P68" s="208">
        <f t="shared" si="50"/>
        <v>0</v>
      </c>
      <c r="Q68" s="10">
        <f t="shared" si="50"/>
        <v>0</v>
      </c>
      <c r="R68" s="208">
        <f t="shared" si="50"/>
        <v>0</v>
      </c>
      <c r="S68" s="10">
        <f t="shared" si="50"/>
        <v>0</v>
      </c>
      <c r="T68" s="208">
        <f t="shared" si="50"/>
        <v>0</v>
      </c>
      <c r="U68" s="10">
        <f t="shared" si="50"/>
        <v>2.4025889356474068</v>
      </c>
      <c r="V68" s="208">
        <f t="shared" si="50"/>
        <v>0</v>
      </c>
      <c r="W68" s="204">
        <f t="shared" si="50"/>
        <v>4.8633672980307079</v>
      </c>
      <c r="X68" s="208">
        <f t="shared" si="50"/>
        <v>0</v>
      </c>
      <c r="Y68" s="204">
        <f t="shared" si="50"/>
        <v>0</v>
      </c>
    </row>
    <row r="69" spans="1:28" x14ac:dyDescent="0.35">
      <c r="A69" s="229"/>
      <c r="B69" s="191"/>
      <c r="D69" s="191"/>
      <c r="F69" s="191"/>
      <c r="H69" s="191"/>
      <c r="J69" s="191"/>
      <c r="L69" s="191"/>
      <c r="N69" s="191"/>
      <c r="P69" s="191"/>
      <c r="R69" s="191"/>
      <c r="T69" s="191"/>
      <c r="V69" s="191"/>
      <c r="W69" s="192"/>
      <c r="X69" s="191"/>
      <c r="Y69" s="192"/>
    </row>
    <row r="70" spans="1:28" x14ac:dyDescent="0.35">
      <c r="A70" s="236" t="s">
        <v>572</v>
      </c>
      <c r="B70" s="214"/>
      <c r="C70" s="107"/>
      <c r="D70" s="214"/>
      <c r="E70" s="107"/>
      <c r="F70" s="214"/>
      <c r="G70" s="107"/>
      <c r="H70" s="214"/>
      <c r="I70" s="107"/>
      <c r="J70" s="214"/>
      <c r="K70" s="107"/>
      <c r="L70" s="214"/>
      <c r="M70" s="107"/>
      <c r="N70" s="214"/>
      <c r="O70" s="107"/>
      <c r="P70" s="214"/>
      <c r="Q70" s="107"/>
      <c r="R70" s="214"/>
      <c r="S70" s="107"/>
      <c r="T70" s="214"/>
      <c r="U70" s="107"/>
      <c r="V70" s="214"/>
      <c r="W70" s="200"/>
      <c r="X70" s="214"/>
      <c r="Y70" s="200"/>
      <c r="AA70" s="167" t="s">
        <v>181</v>
      </c>
    </row>
    <row r="71" spans="1:28" x14ac:dyDescent="0.35">
      <c r="A71" s="234" t="s">
        <v>161</v>
      </c>
      <c r="B71" s="215">
        <f t="shared" ref="B71:Y71" si="51">B66</f>
        <v>0</v>
      </c>
      <c r="C71" s="17">
        <f t="shared" si="51"/>
        <v>7.1121710449424475E-2</v>
      </c>
      <c r="D71" s="215">
        <f t="shared" si="51"/>
        <v>0</v>
      </c>
      <c r="E71" s="17">
        <f t="shared" si="51"/>
        <v>11.197771820987153</v>
      </c>
      <c r="F71" s="215">
        <f t="shared" si="51"/>
        <v>0</v>
      </c>
      <c r="G71" s="17">
        <f t="shared" si="51"/>
        <v>3.3756157167726264</v>
      </c>
      <c r="H71" s="215">
        <f t="shared" si="51"/>
        <v>0</v>
      </c>
      <c r="I71" s="17">
        <f t="shared" si="51"/>
        <v>18.879195107297242</v>
      </c>
      <c r="J71" s="215">
        <f t="shared" si="51"/>
        <v>0</v>
      </c>
      <c r="K71" s="17">
        <f t="shared" si="51"/>
        <v>4.8040225801270733</v>
      </c>
      <c r="L71" s="215">
        <f t="shared" si="51"/>
        <v>0</v>
      </c>
      <c r="M71" s="17">
        <f t="shared" si="51"/>
        <v>0</v>
      </c>
      <c r="N71" s="215">
        <f t="shared" si="51"/>
        <v>0</v>
      </c>
      <c r="O71" s="17">
        <f t="shared" si="51"/>
        <v>14.347687880212447</v>
      </c>
      <c r="P71" s="215">
        <f t="shared" si="51"/>
        <v>0</v>
      </c>
      <c r="Q71" s="17">
        <f t="shared" si="51"/>
        <v>4.6097929060701466</v>
      </c>
      <c r="R71" s="215">
        <f t="shared" si="51"/>
        <v>0</v>
      </c>
      <c r="S71" s="17">
        <f t="shared" si="51"/>
        <v>23.331871227928787</v>
      </c>
      <c r="T71" s="215">
        <f t="shared" si="51"/>
        <v>0</v>
      </c>
      <c r="U71" s="17">
        <f t="shared" si="51"/>
        <v>8.4486495912711383</v>
      </c>
      <c r="V71" s="215">
        <f t="shared" si="51"/>
        <v>0.2944</v>
      </c>
      <c r="W71" s="343">
        <f t="shared" si="51"/>
        <v>2.2117024876129867</v>
      </c>
      <c r="X71" s="215">
        <f t="shared" si="51"/>
        <v>0</v>
      </c>
      <c r="Y71" s="343">
        <f t="shared" si="51"/>
        <v>4.6869183763199995</v>
      </c>
    </row>
    <row r="72" spans="1:28" x14ac:dyDescent="0.35">
      <c r="A72" s="234" t="s">
        <v>162</v>
      </c>
      <c r="B72" s="208">
        <f t="shared" ref="B72:Y72" si="52">B67+((B44-B50)*B75)</f>
        <v>0</v>
      </c>
      <c r="C72" s="10">
        <f t="shared" si="52"/>
        <v>6.5717974690627701</v>
      </c>
      <c r="D72" s="208">
        <f t="shared" si="52"/>
        <v>0</v>
      </c>
      <c r="E72" s="10">
        <f t="shared" si="52"/>
        <v>0.8113869856803726</v>
      </c>
      <c r="F72" s="208">
        <f t="shared" si="52"/>
        <v>0</v>
      </c>
      <c r="G72" s="10">
        <f t="shared" si="52"/>
        <v>8.0817886257739939</v>
      </c>
      <c r="H72" s="208">
        <f t="shared" si="52"/>
        <v>0</v>
      </c>
      <c r="I72" s="10">
        <f t="shared" si="52"/>
        <v>0.79518348957366114</v>
      </c>
      <c r="J72" s="208">
        <f t="shared" si="52"/>
        <v>0</v>
      </c>
      <c r="K72" s="10">
        <f t="shared" si="52"/>
        <v>0.51397245285418258</v>
      </c>
      <c r="L72" s="208">
        <f t="shared" si="52"/>
        <v>0</v>
      </c>
      <c r="M72" s="10">
        <f t="shared" si="52"/>
        <v>0</v>
      </c>
      <c r="N72" s="208">
        <f t="shared" si="52"/>
        <v>0</v>
      </c>
      <c r="O72" s="10">
        <f t="shared" si="52"/>
        <v>12.170921116907222</v>
      </c>
      <c r="P72" s="208">
        <f t="shared" si="52"/>
        <v>0</v>
      </c>
      <c r="Q72" s="10">
        <f t="shared" si="52"/>
        <v>4.1421327561789729</v>
      </c>
      <c r="R72" s="208">
        <f t="shared" si="52"/>
        <v>0</v>
      </c>
      <c r="S72" s="10">
        <f t="shared" si="52"/>
        <v>1.2799418091499026</v>
      </c>
      <c r="T72" s="208">
        <f t="shared" si="52"/>
        <v>0</v>
      </c>
      <c r="U72" s="10">
        <f t="shared" si="52"/>
        <v>0.17569666590491911</v>
      </c>
      <c r="V72" s="208">
        <f t="shared" si="52"/>
        <v>0</v>
      </c>
      <c r="W72" s="204">
        <f t="shared" si="52"/>
        <v>4.3977620478333606</v>
      </c>
      <c r="X72" s="208">
        <f t="shared" si="52"/>
        <v>0</v>
      </c>
      <c r="Y72" s="204">
        <f t="shared" si="52"/>
        <v>4.1912082336000012</v>
      </c>
    </row>
    <row r="73" spans="1:28" x14ac:dyDescent="0.35">
      <c r="A73" s="234" t="s">
        <v>165</v>
      </c>
      <c r="B73" s="208">
        <f t="shared" ref="B73:Y73" si="53">B68</f>
        <v>0</v>
      </c>
      <c r="C73" s="10">
        <f t="shared" si="53"/>
        <v>9.2539121263404844</v>
      </c>
      <c r="D73" s="208">
        <f t="shared" si="53"/>
        <v>0</v>
      </c>
      <c r="E73" s="10">
        <f t="shared" si="53"/>
        <v>2.999699674965846</v>
      </c>
      <c r="F73" s="208">
        <f t="shared" si="53"/>
        <v>0</v>
      </c>
      <c r="G73" s="10">
        <f t="shared" si="53"/>
        <v>6.1247493241947968</v>
      </c>
      <c r="H73" s="208">
        <f t="shared" si="53"/>
        <v>0</v>
      </c>
      <c r="I73" s="10">
        <f t="shared" si="53"/>
        <v>0</v>
      </c>
      <c r="J73" s="208">
        <f t="shared" si="53"/>
        <v>0</v>
      </c>
      <c r="K73" s="10">
        <f t="shared" si="53"/>
        <v>16.364175517502662</v>
      </c>
      <c r="L73" s="208">
        <f t="shared" si="53"/>
        <v>0</v>
      </c>
      <c r="M73" s="10">
        <f t="shared" si="53"/>
        <v>15.311036442368348</v>
      </c>
      <c r="N73" s="208">
        <f t="shared" si="53"/>
        <v>0</v>
      </c>
      <c r="O73" s="10">
        <f t="shared" si="53"/>
        <v>0</v>
      </c>
      <c r="P73" s="208">
        <f t="shared" si="53"/>
        <v>0</v>
      </c>
      <c r="Q73" s="10">
        <f t="shared" si="53"/>
        <v>0</v>
      </c>
      <c r="R73" s="208">
        <f t="shared" si="53"/>
        <v>0</v>
      </c>
      <c r="S73" s="10">
        <f t="shared" si="53"/>
        <v>0</v>
      </c>
      <c r="T73" s="208">
        <f t="shared" si="53"/>
        <v>0</v>
      </c>
      <c r="U73" s="10">
        <f t="shared" si="53"/>
        <v>2.4025889356474068</v>
      </c>
      <c r="V73" s="208">
        <f t="shared" si="53"/>
        <v>0</v>
      </c>
      <c r="W73" s="204">
        <f t="shared" si="53"/>
        <v>4.8633672980307079</v>
      </c>
      <c r="X73" s="208">
        <f t="shared" si="53"/>
        <v>0</v>
      </c>
      <c r="Y73" s="204">
        <f t="shared" si="53"/>
        <v>0</v>
      </c>
    </row>
    <row r="74" spans="1:28" x14ac:dyDescent="0.35">
      <c r="A74" s="229"/>
      <c r="B74" s="191"/>
      <c r="D74" s="191"/>
      <c r="F74" s="191"/>
      <c r="H74" s="191"/>
      <c r="J74" s="191"/>
      <c r="L74" s="191"/>
      <c r="N74" s="191"/>
      <c r="P74" s="191"/>
      <c r="R74" s="191"/>
      <c r="T74" s="191"/>
      <c r="V74" s="191"/>
      <c r="W74" s="192"/>
      <c r="X74" s="191"/>
      <c r="Y74" s="192"/>
    </row>
    <row r="75" spans="1:28" x14ac:dyDescent="0.35">
      <c r="A75" s="234" t="s">
        <v>182</v>
      </c>
      <c r="B75" s="197">
        <v>0.1</v>
      </c>
      <c r="C75" s="12">
        <v>0.1</v>
      </c>
      <c r="D75" s="197">
        <v>0.1</v>
      </c>
      <c r="E75" s="12">
        <v>0.1</v>
      </c>
      <c r="F75" s="197">
        <v>0.1</v>
      </c>
      <c r="G75" s="12">
        <v>0.1</v>
      </c>
      <c r="H75" s="197">
        <v>0.1</v>
      </c>
      <c r="I75" s="12">
        <v>0.1</v>
      </c>
      <c r="J75" s="197">
        <v>0.1</v>
      </c>
      <c r="K75" s="12">
        <v>0.1</v>
      </c>
      <c r="L75" s="197">
        <v>0.1</v>
      </c>
      <c r="M75" s="12">
        <v>0.1</v>
      </c>
      <c r="N75" s="197">
        <v>0.1</v>
      </c>
      <c r="O75" s="12">
        <v>0.1</v>
      </c>
      <c r="P75" s="197">
        <v>0.1</v>
      </c>
      <c r="Q75" s="12">
        <v>0.1</v>
      </c>
      <c r="R75" s="197">
        <v>0.1</v>
      </c>
      <c r="S75" s="12">
        <v>0.1</v>
      </c>
      <c r="T75" s="197">
        <v>0.1</v>
      </c>
      <c r="U75" s="12">
        <v>0.1</v>
      </c>
      <c r="V75" s="197">
        <v>0.1</v>
      </c>
      <c r="W75" s="198">
        <v>0.1</v>
      </c>
      <c r="X75" s="197">
        <v>0.1</v>
      </c>
      <c r="Y75" s="198">
        <v>0.1</v>
      </c>
      <c r="Z75" s="12"/>
      <c r="AA75" s="179" t="s">
        <v>183</v>
      </c>
    </row>
    <row r="76" spans="1:28" x14ac:dyDescent="0.35">
      <c r="A76" s="234" t="s">
        <v>571</v>
      </c>
      <c r="B76" s="197">
        <v>6.7000000000000002E-3</v>
      </c>
      <c r="C76" s="12"/>
      <c r="D76" s="197"/>
      <c r="E76" s="12"/>
      <c r="F76" s="197"/>
      <c r="G76" s="12"/>
      <c r="H76" s="197"/>
      <c r="I76" s="12"/>
      <c r="J76" s="197"/>
      <c r="K76" s="12"/>
      <c r="L76" s="197"/>
      <c r="M76" s="12"/>
      <c r="N76" s="197"/>
      <c r="O76" s="12"/>
      <c r="P76" s="197"/>
      <c r="Q76" s="12"/>
      <c r="R76" s="197"/>
      <c r="S76" s="12"/>
      <c r="T76" s="197"/>
      <c r="U76" s="12"/>
      <c r="V76" s="197"/>
      <c r="W76" s="198"/>
      <c r="X76" s="197"/>
      <c r="Y76" s="198"/>
      <c r="Z76" s="12"/>
      <c r="AA76" s="179"/>
    </row>
    <row r="77" spans="1:28" x14ac:dyDescent="0.35">
      <c r="A77" s="229"/>
      <c r="B77" s="191"/>
      <c r="D77" s="191"/>
      <c r="F77" s="191"/>
      <c r="H77" s="191"/>
      <c r="J77" s="191"/>
      <c r="L77" s="191"/>
      <c r="N77" s="191"/>
      <c r="P77" s="191"/>
      <c r="R77" s="191"/>
      <c r="T77" s="191"/>
      <c r="V77" s="191"/>
      <c r="W77" s="192"/>
      <c r="X77" s="191"/>
      <c r="Y77" s="192"/>
    </row>
    <row r="78" spans="1:28" x14ac:dyDescent="0.35">
      <c r="A78" s="239" t="s">
        <v>184</v>
      </c>
      <c r="B78" s="199"/>
      <c r="C78" s="107"/>
      <c r="D78" s="199"/>
      <c r="E78" s="107"/>
      <c r="F78" s="199"/>
      <c r="G78" s="107"/>
      <c r="H78" s="199"/>
      <c r="I78" s="107"/>
      <c r="J78" s="199"/>
      <c r="K78" s="107"/>
      <c r="L78" s="199"/>
      <c r="M78" s="107"/>
      <c r="N78" s="199"/>
      <c r="O78" s="107"/>
      <c r="P78" s="199"/>
      <c r="Q78" s="107"/>
      <c r="R78" s="199"/>
      <c r="S78" s="107"/>
      <c r="T78" s="199"/>
      <c r="U78" s="107"/>
      <c r="V78" s="199"/>
      <c r="W78" s="200"/>
      <c r="X78" s="199"/>
      <c r="Y78" s="200"/>
      <c r="AA78" s="167" t="s">
        <v>185</v>
      </c>
      <c r="AB78" s="88" t="s">
        <v>186</v>
      </c>
    </row>
    <row r="79" spans="1:28" x14ac:dyDescent="0.35">
      <c r="A79" s="234" t="s">
        <v>161</v>
      </c>
      <c r="B79" s="216">
        <f t="shared" ref="B79:Y79" si="54">B71*B85</f>
        <v>0</v>
      </c>
      <c r="C79" s="4">
        <f t="shared" si="54"/>
        <v>2.2758947343815832E-2</v>
      </c>
      <c r="D79" s="216">
        <f t="shared" si="54"/>
        <v>0</v>
      </c>
      <c r="E79" s="4">
        <f t="shared" si="54"/>
        <v>3.5832869827158893</v>
      </c>
      <c r="F79" s="216">
        <f t="shared" si="54"/>
        <v>0</v>
      </c>
      <c r="G79" s="4">
        <f t="shared" si="54"/>
        <v>1.0801970293672405</v>
      </c>
      <c r="H79" s="216">
        <f t="shared" si="54"/>
        <v>0</v>
      </c>
      <c r="I79" s="4">
        <f t="shared" si="54"/>
        <v>6.0413424343351174</v>
      </c>
      <c r="J79" s="216">
        <f t="shared" si="54"/>
        <v>0</v>
      </c>
      <c r="K79" s="4">
        <f t="shared" si="54"/>
        <v>1.5372872256406636</v>
      </c>
      <c r="L79" s="216">
        <f t="shared" si="54"/>
        <v>0</v>
      </c>
      <c r="M79" s="4">
        <f t="shared" si="54"/>
        <v>0</v>
      </c>
      <c r="N79" s="216">
        <f t="shared" si="54"/>
        <v>0</v>
      </c>
      <c r="O79" s="4">
        <f t="shared" si="54"/>
        <v>4.5912601216679834</v>
      </c>
      <c r="P79" s="216">
        <f t="shared" si="54"/>
        <v>0</v>
      </c>
      <c r="Q79" s="4">
        <f t="shared" si="54"/>
        <v>1.475133729942447</v>
      </c>
      <c r="R79" s="216">
        <f t="shared" si="54"/>
        <v>0</v>
      </c>
      <c r="S79" s="4">
        <f t="shared" si="54"/>
        <v>7.4661987929372122</v>
      </c>
      <c r="T79" s="216">
        <f t="shared" si="54"/>
        <v>0</v>
      </c>
      <c r="U79" s="4">
        <f t="shared" si="54"/>
        <v>2.7035678692067644</v>
      </c>
      <c r="V79" s="216">
        <f t="shared" si="54"/>
        <v>9.4208E-2</v>
      </c>
      <c r="W79" s="205">
        <f t="shared" si="54"/>
        <v>0.70774479603615581</v>
      </c>
      <c r="X79" s="216">
        <f t="shared" si="54"/>
        <v>0</v>
      </c>
      <c r="Y79" s="205">
        <f t="shared" si="54"/>
        <v>1.4998138804223999</v>
      </c>
    </row>
    <row r="80" spans="1:28" x14ac:dyDescent="0.35">
      <c r="A80" s="234" t="s">
        <v>162</v>
      </c>
      <c r="B80" s="216">
        <f t="shared" ref="B80:Y80" si="55">B72*B86</f>
        <v>0</v>
      </c>
      <c r="C80" s="4">
        <f t="shared" si="55"/>
        <v>1.6429493672656925</v>
      </c>
      <c r="D80" s="216">
        <f t="shared" si="55"/>
        <v>0</v>
      </c>
      <c r="E80" s="4">
        <f t="shared" si="55"/>
        <v>0.20284674642009315</v>
      </c>
      <c r="F80" s="216">
        <f t="shared" si="55"/>
        <v>0</v>
      </c>
      <c r="G80" s="4">
        <f t="shared" si="55"/>
        <v>2.0204471564434985</v>
      </c>
      <c r="H80" s="216">
        <f t="shared" si="55"/>
        <v>0</v>
      </c>
      <c r="I80" s="4">
        <f t="shared" si="55"/>
        <v>0.19879587239341528</v>
      </c>
      <c r="J80" s="216">
        <f t="shared" si="55"/>
        <v>0</v>
      </c>
      <c r="K80" s="4">
        <f t="shared" si="55"/>
        <v>0.12849311321354565</v>
      </c>
      <c r="L80" s="216">
        <f t="shared" si="55"/>
        <v>0</v>
      </c>
      <c r="M80" s="4">
        <f t="shared" si="55"/>
        <v>0</v>
      </c>
      <c r="N80" s="216">
        <f t="shared" si="55"/>
        <v>0</v>
      </c>
      <c r="O80" s="4">
        <f t="shared" si="55"/>
        <v>3.0427302792268054</v>
      </c>
      <c r="P80" s="216">
        <f t="shared" si="55"/>
        <v>0</v>
      </c>
      <c r="Q80" s="4">
        <f t="shared" si="55"/>
        <v>1.0355331890447432</v>
      </c>
      <c r="R80" s="216">
        <f t="shared" si="55"/>
        <v>0</v>
      </c>
      <c r="S80" s="4">
        <f t="shared" si="55"/>
        <v>0.31998545228747566</v>
      </c>
      <c r="T80" s="216">
        <f t="shared" si="55"/>
        <v>0</v>
      </c>
      <c r="U80" s="4">
        <f t="shared" si="55"/>
        <v>4.3924166476229778E-2</v>
      </c>
      <c r="V80" s="216">
        <f t="shared" si="55"/>
        <v>0</v>
      </c>
      <c r="W80" s="205">
        <f t="shared" si="55"/>
        <v>1.0994405119583401</v>
      </c>
      <c r="X80" s="216">
        <f t="shared" si="55"/>
        <v>0</v>
      </c>
      <c r="Y80" s="205">
        <f t="shared" si="55"/>
        <v>1.0478020584000003</v>
      </c>
    </row>
    <row r="81" spans="1:33" x14ac:dyDescent="0.35">
      <c r="A81" s="234" t="s">
        <v>163</v>
      </c>
      <c r="B81" s="216">
        <f t="shared" ref="B81:Y81" si="56">B73*B85</f>
        <v>0</v>
      </c>
      <c r="C81" s="4">
        <f t="shared" si="56"/>
        <v>2.9612518804289549</v>
      </c>
      <c r="D81" s="216">
        <f t="shared" si="56"/>
        <v>0</v>
      </c>
      <c r="E81" s="4">
        <f t="shared" si="56"/>
        <v>0.95990389598907078</v>
      </c>
      <c r="F81" s="216">
        <f t="shared" si="56"/>
        <v>0</v>
      </c>
      <c r="G81" s="4">
        <f t="shared" si="56"/>
        <v>1.959919783742335</v>
      </c>
      <c r="H81" s="216">
        <f t="shared" si="56"/>
        <v>0</v>
      </c>
      <c r="I81" s="4">
        <f t="shared" si="56"/>
        <v>0</v>
      </c>
      <c r="J81" s="216">
        <f t="shared" si="56"/>
        <v>0</v>
      </c>
      <c r="K81" s="4">
        <f t="shared" si="56"/>
        <v>5.2365361656008522</v>
      </c>
      <c r="L81" s="216">
        <f t="shared" si="56"/>
        <v>0</v>
      </c>
      <c r="M81" s="4">
        <f t="shared" si="56"/>
        <v>4.8995316615578712</v>
      </c>
      <c r="N81" s="216">
        <f t="shared" si="56"/>
        <v>0</v>
      </c>
      <c r="O81" s="4">
        <f t="shared" si="56"/>
        <v>0</v>
      </c>
      <c r="P81" s="216">
        <f t="shared" si="56"/>
        <v>0</v>
      </c>
      <c r="Q81" s="4">
        <f t="shared" si="56"/>
        <v>0</v>
      </c>
      <c r="R81" s="216">
        <f t="shared" si="56"/>
        <v>0</v>
      </c>
      <c r="S81" s="4">
        <f t="shared" si="56"/>
        <v>0</v>
      </c>
      <c r="T81" s="216">
        <f t="shared" si="56"/>
        <v>0</v>
      </c>
      <c r="U81" s="4">
        <f t="shared" si="56"/>
        <v>0.76882845940717015</v>
      </c>
      <c r="V81" s="216">
        <f t="shared" si="56"/>
        <v>0</v>
      </c>
      <c r="W81" s="205">
        <f t="shared" si="56"/>
        <v>1.5562775353698266</v>
      </c>
      <c r="X81" s="216">
        <f t="shared" si="56"/>
        <v>0</v>
      </c>
      <c r="Y81" s="205">
        <f t="shared" si="56"/>
        <v>0</v>
      </c>
      <c r="AA81" s="88" t="s">
        <v>177</v>
      </c>
    </row>
    <row r="82" spans="1:33" x14ac:dyDescent="0.35">
      <c r="A82" s="234" t="s">
        <v>166</v>
      </c>
      <c r="B82" s="201"/>
      <c r="C82" s="116">
        <f>SUM(B79:C81)</f>
        <v>4.6269601950384631</v>
      </c>
      <c r="D82" s="201"/>
      <c r="E82" s="116">
        <f>SUM(D79:E81)</f>
        <v>4.7460376251250533</v>
      </c>
      <c r="F82" s="201"/>
      <c r="G82" s="116">
        <f>SUM(F79:G81)</f>
        <v>5.0605639695530744</v>
      </c>
      <c r="H82" s="201"/>
      <c r="I82" s="116">
        <f>SUM(H79:I81)</f>
        <v>6.2401383067285323</v>
      </c>
      <c r="J82" s="201"/>
      <c r="K82" s="116">
        <f>SUM(J79:K81)</f>
        <v>6.9023165044550616</v>
      </c>
      <c r="L82" s="201"/>
      <c r="M82" s="116">
        <f>SUM(L79:M81)</f>
        <v>4.8995316615578712</v>
      </c>
      <c r="N82" s="201"/>
      <c r="O82" s="116">
        <f>SUM(N79:O81)</f>
        <v>7.6339904008947883</v>
      </c>
      <c r="P82" s="201"/>
      <c r="Q82" s="116">
        <f>SUM(P79:Q81)</f>
        <v>2.51066691898719</v>
      </c>
      <c r="R82" s="201"/>
      <c r="S82" s="116">
        <f>SUM(R79:S81)</f>
        <v>7.7861842452246881</v>
      </c>
      <c r="T82" s="201"/>
      <c r="U82" s="116">
        <f>SUM(T79:U81)</f>
        <v>3.5163204950901643</v>
      </c>
      <c r="V82" s="201"/>
      <c r="W82" s="202">
        <f>SUM(V79:W81)</f>
        <v>3.4576708433643226</v>
      </c>
      <c r="X82" s="201"/>
      <c r="Y82" s="202">
        <f>SUM(X79:Y81)</f>
        <v>2.5476159388224002</v>
      </c>
    </row>
    <row r="83" spans="1:33" x14ac:dyDescent="0.35">
      <c r="A83" s="234"/>
      <c r="B83" s="201"/>
      <c r="C83" s="116"/>
      <c r="D83" s="201"/>
      <c r="E83" s="116"/>
      <c r="F83" s="201"/>
      <c r="G83" s="116"/>
      <c r="H83" s="201"/>
      <c r="I83" s="116"/>
      <c r="J83" s="201"/>
      <c r="K83" s="116"/>
      <c r="L83" s="201"/>
      <c r="M83" s="116"/>
      <c r="N83" s="201"/>
      <c r="O83" s="116"/>
      <c r="P83" s="201"/>
      <c r="Q83" s="116"/>
      <c r="R83" s="201"/>
      <c r="S83" s="116"/>
      <c r="T83" s="201"/>
      <c r="U83" s="116"/>
      <c r="V83" s="201"/>
      <c r="W83" s="202"/>
      <c r="X83" s="201"/>
      <c r="Y83" s="202"/>
      <c r="AA83" s="88"/>
    </row>
    <row r="84" spans="1:33" x14ac:dyDescent="0.35">
      <c r="A84" s="229"/>
      <c r="B84" s="191"/>
      <c r="D84" s="191"/>
      <c r="F84" s="191"/>
      <c r="H84" s="191"/>
      <c r="J84" s="191"/>
      <c r="L84" s="191"/>
      <c r="N84" s="191"/>
      <c r="P84" s="191"/>
      <c r="R84" s="191"/>
      <c r="T84" s="191"/>
      <c r="V84" s="191"/>
      <c r="W84" s="192"/>
      <c r="X84" s="191"/>
      <c r="Y84" s="192"/>
    </row>
    <row r="85" spans="1:33" x14ac:dyDescent="0.35">
      <c r="A85" s="237" t="s">
        <v>187</v>
      </c>
      <c r="B85" s="211">
        <v>0.32</v>
      </c>
      <c r="C85" s="14">
        <v>0.32</v>
      </c>
      <c r="D85" s="211">
        <v>0.32</v>
      </c>
      <c r="E85" s="14">
        <v>0.32</v>
      </c>
      <c r="F85" s="211">
        <v>0.32</v>
      </c>
      <c r="G85" s="14">
        <v>0.32</v>
      </c>
      <c r="H85" s="211">
        <v>0.32</v>
      </c>
      <c r="I85" s="14">
        <v>0.32</v>
      </c>
      <c r="J85" s="211">
        <v>0.32</v>
      </c>
      <c r="K85" s="14">
        <v>0.32</v>
      </c>
      <c r="L85" s="211">
        <v>0.32</v>
      </c>
      <c r="M85" s="14">
        <v>0.32</v>
      </c>
      <c r="N85" s="211">
        <v>0.32</v>
      </c>
      <c r="O85" s="14">
        <v>0.32</v>
      </c>
      <c r="P85" s="211">
        <v>0.32</v>
      </c>
      <c r="Q85" s="14">
        <v>0.32</v>
      </c>
      <c r="R85" s="211">
        <v>0.32</v>
      </c>
      <c r="S85" s="14">
        <v>0.32</v>
      </c>
      <c r="T85" s="211">
        <v>0.32</v>
      </c>
      <c r="U85" s="14">
        <v>0.32</v>
      </c>
      <c r="V85" s="211">
        <v>0.32</v>
      </c>
      <c r="W85" s="212">
        <v>0.32</v>
      </c>
      <c r="X85" s="211">
        <v>0.32</v>
      </c>
      <c r="Y85" s="212">
        <v>0.32</v>
      </c>
      <c r="AA85" s="179" t="s">
        <v>172</v>
      </c>
    </row>
    <row r="86" spans="1:33" x14ac:dyDescent="0.35">
      <c r="A86" s="237" t="s">
        <v>188</v>
      </c>
      <c r="B86" s="211">
        <v>0.25</v>
      </c>
      <c r="C86" s="14">
        <v>0.25</v>
      </c>
      <c r="D86" s="211">
        <v>0.25</v>
      </c>
      <c r="E86" s="14">
        <v>0.25</v>
      </c>
      <c r="F86" s="211">
        <v>0.25</v>
      </c>
      <c r="G86" s="14">
        <v>0.25</v>
      </c>
      <c r="H86" s="211">
        <v>0.25</v>
      </c>
      <c r="I86" s="14">
        <v>0.25</v>
      </c>
      <c r="J86" s="211">
        <v>0.25</v>
      </c>
      <c r="K86" s="14">
        <v>0.25</v>
      </c>
      <c r="L86" s="211">
        <v>0.25</v>
      </c>
      <c r="M86" s="14">
        <v>0.25</v>
      </c>
      <c r="N86" s="211">
        <v>0.25</v>
      </c>
      <c r="O86" s="14">
        <v>0.25</v>
      </c>
      <c r="P86" s="211">
        <v>0.25</v>
      </c>
      <c r="Q86" s="14">
        <v>0.25</v>
      </c>
      <c r="R86" s="211">
        <v>0.25</v>
      </c>
      <c r="S86" s="14">
        <v>0.25</v>
      </c>
      <c r="T86" s="211">
        <v>0.25</v>
      </c>
      <c r="U86" s="14">
        <v>0.25</v>
      </c>
      <c r="V86" s="211">
        <v>0.25</v>
      </c>
      <c r="W86" s="212">
        <v>0.25</v>
      </c>
      <c r="X86" s="211">
        <v>0.25</v>
      </c>
      <c r="Y86" s="212">
        <v>0.25</v>
      </c>
      <c r="AA86" s="179" t="s">
        <v>172</v>
      </c>
    </row>
    <row r="87" spans="1:33" x14ac:dyDescent="0.35">
      <c r="A87" s="229"/>
      <c r="B87" s="191"/>
      <c r="D87" s="191"/>
      <c r="F87" s="191"/>
      <c r="H87" s="191"/>
      <c r="J87" s="191"/>
      <c r="L87" s="191"/>
      <c r="N87" s="191"/>
      <c r="P87" s="191"/>
      <c r="R87" s="191"/>
      <c r="T87" s="191"/>
      <c r="V87" s="191"/>
      <c r="W87" s="192"/>
      <c r="X87" s="191"/>
      <c r="Y87" s="192"/>
    </row>
    <row r="88" spans="1:33" x14ac:dyDescent="0.35">
      <c r="A88" s="239" t="s">
        <v>189</v>
      </c>
      <c r="B88" s="199"/>
      <c r="C88" s="107"/>
      <c r="D88" s="199"/>
      <c r="E88" s="107"/>
      <c r="F88" s="199"/>
      <c r="G88" s="107"/>
      <c r="H88" s="199"/>
      <c r="I88" s="107"/>
      <c r="J88" s="199"/>
      <c r="K88" s="107"/>
      <c r="L88" s="199"/>
      <c r="M88" s="107"/>
      <c r="N88" s="199"/>
      <c r="O88" s="107"/>
      <c r="P88" s="199"/>
      <c r="Q88" s="107"/>
      <c r="R88" s="199"/>
      <c r="S88" s="107"/>
      <c r="T88" s="199"/>
      <c r="U88" s="107"/>
      <c r="V88" s="199"/>
      <c r="W88" s="200"/>
      <c r="X88" s="199"/>
      <c r="Y88" s="200"/>
    </row>
    <row r="89" spans="1:33" x14ac:dyDescent="0.35">
      <c r="A89" s="234" t="s">
        <v>161</v>
      </c>
      <c r="B89" s="203">
        <f t="shared" ref="B89:Y89" si="57">B71*B95</f>
        <v>0</v>
      </c>
      <c r="C89" s="10">
        <f t="shared" si="57"/>
        <v>1.4224342089884895E-3</v>
      </c>
      <c r="D89" s="203">
        <f t="shared" si="57"/>
        <v>0</v>
      </c>
      <c r="E89" s="10">
        <f t="shared" si="57"/>
        <v>0.22395543641974308</v>
      </c>
      <c r="F89" s="203">
        <f t="shared" si="57"/>
        <v>0</v>
      </c>
      <c r="G89" s="10">
        <f t="shared" si="57"/>
        <v>6.7512314335452531E-2</v>
      </c>
      <c r="H89" s="203">
        <f t="shared" si="57"/>
        <v>0</v>
      </c>
      <c r="I89" s="10">
        <f t="shared" si="57"/>
        <v>0.37758390214594484</v>
      </c>
      <c r="J89" s="203">
        <f t="shared" si="57"/>
        <v>0</v>
      </c>
      <c r="K89" s="10">
        <f t="shared" si="57"/>
        <v>9.6080451602541472E-2</v>
      </c>
      <c r="L89" s="203">
        <f t="shared" si="57"/>
        <v>0</v>
      </c>
      <c r="M89" s="10">
        <f t="shared" si="57"/>
        <v>0</v>
      </c>
      <c r="N89" s="203">
        <f t="shared" si="57"/>
        <v>0</v>
      </c>
      <c r="O89" s="10">
        <f t="shared" si="57"/>
        <v>0.28695375760424896</v>
      </c>
      <c r="P89" s="203">
        <f t="shared" si="57"/>
        <v>0</v>
      </c>
      <c r="Q89" s="10">
        <f t="shared" si="57"/>
        <v>9.2195858121402935E-2</v>
      </c>
      <c r="R89" s="203">
        <f t="shared" si="57"/>
        <v>0</v>
      </c>
      <c r="S89" s="10">
        <f t="shared" si="57"/>
        <v>0.46663742455857576</v>
      </c>
      <c r="T89" s="203">
        <f t="shared" si="57"/>
        <v>0</v>
      </c>
      <c r="U89" s="10">
        <f t="shared" si="57"/>
        <v>0.16897299182542277</v>
      </c>
      <c r="V89" s="203">
        <f t="shared" si="57"/>
        <v>5.888E-3</v>
      </c>
      <c r="W89" s="204">
        <f t="shared" si="57"/>
        <v>4.4234049752259738E-2</v>
      </c>
      <c r="X89" s="203">
        <f t="shared" si="57"/>
        <v>0</v>
      </c>
      <c r="Y89" s="204">
        <f t="shared" si="57"/>
        <v>9.3738367526399996E-2</v>
      </c>
    </row>
    <row r="90" spans="1:33" x14ac:dyDescent="0.35">
      <c r="A90" s="234" t="s">
        <v>162</v>
      </c>
      <c r="B90" s="203">
        <f t="shared" ref="B90:Y90" si="58">B72*B96</f>
        <v>0</v>
      </c>
      <c r="C90" s="10">
        <f t="shared" si="58"/>
        <v>6.5717974690627706E-2</v>
      </c>
      <c r="D90" s="203">
        <f t="shared" si="58"/>
        <v>0</v>
      </c>
      <c r="E90" s="10">
        <f t="shared" si="58"/>
        <v>8.1138698568037262E-3</v>
      </c>
      <c r="F90" s="203">
        <f t="shared" si="58"/>
        <v>0</v>
      </c>
      <c r="G90" s="10">
        <f t="shared" si="58"/>
        <v>8.0817886257739946E-2</v>
      </c>
      <c r="H90" s="203">
        <f t="shared" si="58"/>
        <v>0</v>
      </c>
      <c r="I90" s="10">
        <f t="shared" si="58"/>
        <v>7.9518348957366113E-3</v>
      </c>
      <c r="J90" s="203">
        <f t="shared" si="58"/>
        <v>0</v>
      </c>
      <c r="K90" s="10">
        <f t="shared" si="58"/>
        <v>5.1397245285418258E-3</v>
      </c>
      <c r="L90" s="203">
        <f t="shared" si="58"/>
        <v>0</v>
      </c>
      <c r="M90" s="10">
        <f t="shared" si="58"/>
        <v>0</v>
      </c>
      <c r="N90" s="203">
        <f t="shared" si="58"/>
        <v>0</v>
      </c>
      <c r="O90" s="10">
        <f t="shared" si="58"/>
        <v>0.12170921116907221</v>
      </c>
      <c r="P90" s="203">
        <f t="shared" si="58"/>
        <v>0</v>
      </c>
      <c r="Q90" s="10">
        <f t="shared" si="58"/>
        <v>4.1421327561789727E-2</v>
      </c>
      <c r="R90" s="203">
        <f t="shared" si="58"/>
        <v>0</v>
      </c>
      <c r="S90" s="10">
        <f t="shared" si="58"/>
        <v>1.2799418091499027E-2</v>
      </c>
      <c r="T90" s="203">
        <f t="shared" si="58"/>
        <v>0</v>
      </c>
      <c r="U90" s="10">
        <f t="shared" si="58"/>
        <v>1.7569666590491911E-3</v>
      </c>
      <c r="V90" s="203">
        <f t="shared" si="58"/>
        <v>0</v>
      </c>
      <c r="W90" s="204">
        <f t="shared" si="58"/>
        <v>4.3977620478333604E-2</v>
      </c>
      <c r="X90" s="203">
        <f t="shared" si="58"/>
        <v>0</v>
      </c>
      <c r="Y90" s="204">
        <f t="shared" si="58"/>
        <v>4.1912082336000016E-2</v>
      </c>
    </row>
    <row r="91" spans="1:33" x14ac:dyDescent="0.35">
      <c r="A91" s="234" t="s">
        <v>163</v>
      </c>
      <c r="B91" s="203">
        <f t="shared" ref="B91:Y91" si="59">B73*B95</f>
        <v>0</v>
      </c>
      <c r="C91" s="10">
        <f t="shared" si="59"/>
        <v>0.18507824252680968</v>
      </c>
      <c r="D91" s="203">
        <f t="shared" si="59"/>
        <v>0</v>
      </c>
      <c r="E91" s="10">
        <f t="shared" si="59"/>
        <v>5.9993993499316924E-2</v>
      </c>
      <c r="F91" s="203">
        <f t="shared" si="59"/>
        <v>0</v>
      </c>
      <c r="G91" s="10">
        <f t="shared" si="59"/>
        <v>0.12249498648389594</v>
      </c>
      <c r="H91" s="203">
        <f t="shared" si="59"/>
        <v>0</v>
      </c>
      <c r="I91" s="10">
        <f t="shared" si="59"/>
        <v>0</v>
      </c>
      <c r="J91" s="203">
        <f t="shared" si="59"/>
        <v>0</v>
      </c>
      <c r="K91" s="10">
        <f t="shared" si="59"/>
        <v>0.32728351035005326</v>
      </c>
      <c r="L91" s="203">
        <f t="shared" si="59"/>
        <v>0</v>
      </c>
      <c r="M91" s="10">
        <f t="shared" si="59"/>
        <v>0.30622072884736695</v>
      </c>
      <c r="N91" s="203">
        <f t="shared" si="59"/>
        <v>0</v>
      </c>
      <c r="O91" s="10">
        <f t="shared" si="59"/>
        <v>0</v>
      </c>
      <c r="P91" s="203">
        <f t="shared" si="59"/>
        <v>0</v>
      </c>
      <c r="Q91" s="10">
        <f t="shared" si="59"/>
        <v>0</v>
      </c>
      <c r="R91" s="203">
        <f t="shared" si="59"/>
        <v>0</v>
      </c>
      <c r="S91" s="10">
        <f t="shared" si="59"/>
        <v>0</v>
      </c>
      <c r="T91" s="203">
        <f t="shared" si="59"/>
        <v>0</v>
      </c>
      <c r="U91" s="10">
        <f t="shared" si="59"/>
        <v>4.8051778712948134E-2</v>
      </c>
      <c r="V91" s="203">
        <f t="shared" si="59"/>
        <v>0</v>
      </c>
      <c r="W91" s="204">
        <f t="shared" si="59"/>
        <v>9.7267345960614163E-2</v>
      </c>
      <c r="X91" s="203">
        <f t="shared" si="59"/>
        <v>0</v>
      </c>
      <c r="Y91" s="204">
        <f t="shared" si="59"/>
        <v>0</v>
      </c>
      <c r="AA91" s="88" t="s">
        <v>177</v>
      </c>
    </row>
    <row r="92" spans="1:33" x14ac:dyDescent="0.35">
      <c r="A92" s="234" t="s">
        <v>166</v>
      </c>
      <c r="B92" s="431"/>
      <c r="C92" s="432">
        <f>SUM(B89:C91)</f>
        <v>0.25221865142642585</v>
      </c>
      <c r="D92" s="431"/>
      <c r="E92" s="432">
        <f>SUM(D89:E91)</f>
        <v>0.29206329977586376</v>
      </c>
      <c r="F92" s="431"/>
      <c r="G92" s="432">
        <f>SUM(F89:G91)</f>
        <v>0.27082518707708841</v>
      </c>
      <c r="H92" s="431"/>
      <c r="I92" s="432">
        <f>SUM(H89:I91)</f>
        <v>0.38553573704168143</v>
      </c>
      <c r="J92" s="431"/>
      <c r="K92" s="432">
        <f>SUM(J89:K91)</f>
        <v>0.42850368648113657</v>
      </c>
      <c r="L92" s="431"/>
      <c r="M92" s="432">
        <f>SUM(L89:M91)</f>
        <v>0.30622072884736695</v>
      </c>
      <c r="N92" s="431"/>
      <c r="O92" s="432">
        <f>SUM(N89:O91)</f>
        <v>0.4086629687733212</v>
      </c>
      <c r="P92" s="431"/>
      <c r="Q92" s="432">
        <f>SUM(P89:Q91)</f>
        <v>0.13361718568319267</v>
      </c>
      <c r="R92" s="431"/>
      <c r="S92" s="432">
        <f>SUM(R89:S91)</f>
        <v>0.4794368426500748</v>
      </c>
      <c r="T92" s="431"/>
      <c r="U92" s="432">
        <f>SUM(T89:U91)</f>
        <v>0.21878173719742011</v>
      </c>
      <c r="V92" s="431"/>
      <c r="W92" s="432">
        <f>SUM(V89:W91)</f>
        <v>0.1913670161912075</v>
      </c>
      <c r="X92" s="431"/>
      <c r="Y92" s="433">
        <f>SUM(X89:Y91)</f>
        <v>0.13565044986240002</v>
      </c>
    </row>
    <row r="93" spans="1:33" x14ac:dyDescent="0.35">
      <c r="A93" s="234"/>
      <c r="B93" s="429"/>
      <c r="C93" s="99">
        <f>C92/Production!B23</f>
        <v>2.4002536298670142E-3</v>
      </c>
      <c r="D93" s="429"/>
      <c r="E93" s="430">
        <f>E92/Production!C23</f>
        <v>2.7794375692411855E-3</v>
      </c>
      <c r="F93" s="99"/>
      <c r="G93" s="99">
        <f>G92/Production!D23</f>
        <v>2.5773238206803239E-3</v>
      </c>
      <c r="H93" s="429"/>
      <c r="I93" s="99">
        <f>I92/Production!E23</f>
        <v>3.668973515813489E-3</v>
      </c>
      <c r="J93" s="429"/>
      <c r="K93" s="99">
        <f>K92/Production!F23</f>
        <v>4.0778805336994343E-3</v>
      </c>
      <c r="L93" s="429"/>
      <c r="M93" s="99">
        <f>M92/Production!G23</f>
        <v>2.914167575631585E-3</v>
      </c>
      <c r="N93" s="429"/>
      <c r="O93" s="99">
        <f>O92/Production!H23</f>
        <v>3.8890651767541037E-3</v>
      </c>
      <c r="P93" s="429"/>
      <c r="Q93" s="99">
        <f>Q92/Production!I23</f>
        <v>1.2715758058925834E-3</v>
      </c>
      <c r="R93" s="429"/>
      <c r="S93" s="99">
        <f>S92/Production!J23</f>
        <v>4.5625889098788999E-3</v>
      </c>
      <c r="T93" s="429"/>
      <c r="U93" s="99">
        <f>U92/Production!K23</f>
        <v>2.0820492691037318E-3</v>
      </c>
      <c r="V93" s="429"/>
      <c r="W93" s="99">
        <f>W92/Production!L23</f>
        <v>1.8211554643243956E-3</v>
      </c>
      <c r="X93" s="429"/>
      <c r="Y93" s="430">
        <f>Y92/Production!M23</f>
        <v>1.2909254840350211E-3</v>
      </c>
    </row>
    <row r="94" spans="1:33" x14ac:dyDescent="0.35">
      <c r="A94" s="229"/>
      <c r="B94" s="191"/>
      <c r="D94" s="191"/>
      <c r="F94" s="191"/>
      <c r="H94" s="191"/>
      <c r="J94" s="191"/>
      <c r="L94" s="191"/>
      <c r="M94" s="192"/>
      <c r="N94" s="191"/>
      <c r="P94" s="191"/>
      <c r="R94" s="191"/>
      <c r="T94" s="191"/>
      <c r="V94" s="191"/>
      <c r="W94" s="192"/>
      <c r="X94" s="191"/>
      <c r="Y94" s="192"/>
    </row>
    <row r="95" spans="1:33" x14ac:dyDescent="0.35">
      <c r="A95" s="237" t="s">
        <v>190</v>
      </c>
      <c r="B95" s="211">
        <v>0.02</v>
      </c>
      <c r="C95" s="14">
        <v>0.02</v>
      </c>
      <c r="D95" s="211">
        <v>0.02</v>
      </c>
      <c r="E95" s="14">
        <v>0.02</v>
      </c>
      <c r="F95" s="211">
        <v>0.02</v>
      </c>
      <c r="G95" s="14">
        <v>0.02</v>
      </c>
      <c r="H95" s="211">
        <v>0.02</v>
      </c>
      <c r="I95" s="14">
        <v>0.02</v>
      </c>
      <c r="J95" s="211">
        <v>0.02</v>
      </c>
      <c r="K95" s="14">
        <v>0.02</v>
      </c>
      <c r="L95" s="211">
        <v>0.02</v>
      </c>
      <c r="M95" s="14">
        <v>0.02</v>
      </c>
      <c r="N95" s="211">
        <v>0.02</v>
      </c>
      <c r="O95" s="14">
        <v>0.02</v>
      </c>
      <c r="P95" s="211">
        <v>0.02</v>
      </c>
      <c r="Q95" s="14">
        <v>0.02</v>
      </c>
      <c r="R95" s="211">
        <v>0.02</v>
      </c>
      <c r="S95" s="14">
        <v>0.02</v>
      </c>
      <c r="T95" s="211">
        <v>0.02</v>
      </c>
      <c r="U95" s="14">
        <v>0.02</v>
      </c>
      <c r="V95" s="211">
        <v>0.02</v>
      </c>
      <c r="W95" s="212">
        <v>0.02</v>
      </c>
      <c r="X95" s="211">
        <v>0.02</v>
      </c>
      <c r="Y95" s="212">
        <v>0.02</v>
      </c>
      <c r="Z95" s="14"/>
      <c r="AA95" s="179" t="s">
        <v>566</v>
      </c>
      <c r="AD95" s="6"/>
      <c r="AE95" s="6"/>
      <c r="AG95" s="88" t="s">
        <v>191</v>
      </c>
    </row>
    <row r="96" spans="1:33" x14ac:dyDescent="0.35">
      <c r="A96" s="237" t="s">
        <v>192</v>
      </c>
      <c r="B96" s="211">
        <v>0.01</v>
      </c>
      <c r="C96" s="14">
        <v>0.01</v>
      </c>
      <c r="D96" s="211">
        <v>0.01</v>
      </c>
      <c r="E96" s="14">
        <v>0.01</v>
      </c>
      <c r="F96" s="211">
        <v>0.01</v>
      </c>
      <c r="G96" s="14">
        <v>0.01</v>
      </c>
      <c r="H96" s="211">
        <v>0.01</v>
      </c>
      <c r="I96" s="14">
        <v>0.01</v>
      </c>
      <c r="J96" s="211">
        <v>0.01</v>
      </c>
      <c r="K96" s="14">
        <v>0.01</v>
      </c>
      <c r="L96" s="211">
        <v>0.01</v>
      </c>
      <c r="M96" s="14">
        <v>0.01</v>
      </c>
      <c r="N96" s="211">
        <v>0.01</v>
      </c>
      <c r="O96" s="14">
        <v>0.01</v>
      </c>
      <c r="P96" s="211">
        <v>0.01</v>
      </c>
      <c r="Q96" s="14">
        <v>0.01</v>
      </c>
      <c r="R96" s="211">
        <v>0.01</v>
      </c>
      <c r="S96" s="14">
        <v>0.01</v>
      </c>
      <c r="T96" s="211">
        <v>0.01</v>
      </c>
      <c r="U96" s="14">
        <v>0.01</v>
      </c>
      <c r="V96" s="211">
        <v>0.01</v>
      </c>
      <c r="W96" s="212">
        <v>0.01</v>
      </c>
      <c r="X96" s="211">
        <v>0.01</v>
      </c>
      <c r="Y96" s="212">
        <v>0.01</v>
      </c>
      <c r="Z96" s="217"/>
      <c r="AA96" s="179" t="s">
        <v>193</v>
      </c>
    </row>
    <row r="97" spans="1:27" x14ac:dyDescent="0.35">
      <c r="A97" s="229"/>
      <c r="B97" s="191"/>
      <c r="D97" s="191"/>
      <c r="F97" s="191"/>
      <c r="H97" s="191"/>
      <c r="J97" s="191"/>
      <c r="L97" s="191"/>
      <c r="N97" s="191"/>
      <c r="P97" s="191"/>
      <c r="R97" s="191"/>
      <c r="T97" s="191"/>
      <c r="V97" s="191"/>
      <c r="W97" s="192"/>
      <c r="X97" s="191"/>
      <c r="Y97" s="192"/>
    </row>
    <row r="98" spans="1:27" x14ac:dyDescent="0.35">
      <c r="A98" s="239" t="s">
        <v>194</v>
      </c>
      <c r="B98" s="199"/>
      <c r="C98" s="107"/>
      <c r="D98" s="199"/>
      <c r="E98" s="107"/>
      <c r="F98" s="199"/>
      <c r="G98" s="107"/>
      <c r="H98" s="199"/>
      <c r="I98" s="107"/>
      <c r="J98" s="199"/>
      <c r="K98" s="107"/>
      <c r="L98" s="199"/>
      <c r="M98" s="107"/>
      <c r="N98" s="199"/>
      <c r="O98" s="107"/>
      <c r="P98" s="199"/>
      <c r="Q98" s="107"/>
      <c r="R98" s="199"/>
      <c r="S98" s="107"/>
      <c r="T98" s="199"/>
      <c r="U98" s="107"/>
      <c r="V98" s="199"/>
      <c r="W98" s="200"/>
      <c r="X98" s="199"/>
      <c r="Y98" s="200"/>
    </row>
    <row r="99" spans="1:27" x14ac:dyDescent="0.35">
      <c r="A99" s="234" t="s">
        <v>161</v>
      </c>
      <c r="B99" s="203">
        <f t="shared" ref="B99:Y99" si="60">B71*(B103+B105)</f>
        <v>0</v>
      </c>
      <c r="C99" s="10">
        <f t="shared" si="60"/>
        <v>2.2047730239321588E-2</v>
      </c>
      <c r="D99" s="203">
        <f t="shared" si="60"/>
        <v>0</v>
      </c>
      <c r="E99" s="10">
        <f t="shared" si="60"/>
        <v>3.4713092645060173</v>
      </c>
      <c r="F99" s="203">
        <f t="shared" si="60"/>
        <v>0</v>
      </c>
      <c r="G99" s="10">
        <f t="shared" si="60"/>
        <v>1.0464408721995142</v>
      </c>
      <c r="H99" s="203">
        <f t="shared" si="60"/>
        <v>0</v>
      </c>
      <c r="I99" s="10">
        <f t="shared" si="60"/>
        <v>5.8525504832621449</v>
      </c>
      <c r="J99" s="203">
        <f t="shared" si="60"/>
        <v>0</v>
      </c>
      <c r="K99" s="10">
        <f t="shared" si="60"/>
        <v>1.4892469998393927</v>
      </c>
      <c r="L99" s="203">
        <f t="shared" si="60"/>
        <v>0</v>
      </c>
      <c r="M99" s="10">
        <f t="shared" si="60"/>
        <v>0</v>
      </c>
      <c r="N99" s="203">
        <f t="shared" si="60"/>
        <v>0</v>
      </c>
      <c r="O99" s="10">
        <f t="shared" si="60"/>
        <v>4.4477832428658584</v>
      </c>
      <c r="P99" s="203">
        <f t="shared" si="60"/>
        <v>0</v>
      </c>
      <c r="Q99" s="10">
        <f t="shared" si="60"/>
        <v>1.4290358008817454</v>
      </c>
      <c r="R99" s="203">
        <f t="shared" si="60"/>
        <v>0</v>
      </c>
      <c r="S99" s="10">
        <f t="shared" si="60"/>
        <v>7.2328800806579236</v>
      </c>
      <c r="T99" s="203">
        <f t="shared" si="60"/>
        <v>0</v>
      </c>
      <c r="U99" s="10">
        <f t="shared" si="60"/>
        <v>2.619081373294053</v>
      </c>
      <c r="V99" s="203">
        <f t="shared" si="60"/>
        <v>9.1263999999999998E-2</v>
      </c>
      <c r="W99" s="204">
        <f t="shared" si="60"/>
        <v>0.68562777116002582</v>
      </c>
      <c r="X99" s="203">
        <f t="shared" si="60"/>
        <v>0</v>
      </c>
      <c r="Y99" s="204">
        <f t="shared" si="60"/>
        <v>1.4529446966591999</v>
      </c>
    </row>
    <row r="100" spans="1:27" x14ac:dyDescent="0.35">
      <c r="A100" s="234" t="s">
        <v>162</v>
      </c>
      <c r="B100" s="203">
        <f t="shared" ref="B100:Y100" si="61">B72*(B104+B106)</f>
        <v>0</v>
      </c>
      <c r="C100" s="10">
        <f t="shared" si="61"/>
        <v>2.0372572154094586E-2</v>
      </c>
      <c r="D100" s="203">
        <f t="shared" si="61"/>
        <v>0</v>
      </c>
      <c r="E100" s="10">
        <f t="shared" si="61"/>
        <v>2.515299655609155E-3</v>
      </c>
      <c r="F100" s="203">
        <f t="shared" si="61"/>
        <v>0</v>
      </c>
      <c r="G100" s="10">
        <f t="shared" si="61"/>
        <v>2.5053544739899382E-2</v>
      </c>
      <c r="H100" s="203">
        <f t="shared" si="61"/>
        <v>0</v>
      </c>
      <c r="I100" s="10">
        <f t="shared" si="61"/>
        <v>2.4650688176783495E-3</v>
      </c>
      <c r="J100" s="203">
        <f t="shared" si="61"/>
        <v>0</v>
      </c>
      <c r="K100" s="10">
        <f t="shared" si="61"/>
        <v>1.593314603847966E-3</v>
      </c>
      <c r="L100" s="203">
        <f t="shared" si="61"/>
        <v>0</v>
      </c>
      <c r="M100" s="10">
        <f t="shared" si="61"/>
        <v>0</v>
      </c>
      <c r="N100" s="203">
        <f t="shared" si="61"/>
        <v>0</v>
      </c>
      <c r="O100" s="10">
        <f t="shared" si="61"/>
        <v>3.7729855462412386E-2</v>
      </c>
      <c r="P100" s="203">
        <f t="shared" si="61"/>
        <v>0</v>
      </c>
      <c r="Q100" s="10">
        <f t="shared" si="61"/>
        <v>1.2840611544154815E-2</v>
      </c>
      <c r="R100" s="203">
        <f t="shared" si="61"/>
        <v>0</v>
      </c>
      <c r="S100" s="10">
        <f t="shared" si="61"/>
        <v>3.9678196083646981E-3</v>
      </c>
      <c r="T100" s="203">
        <f t="shared" si="61"/>
        <v>0</v>
      </c>
      <c r="U100" s="10">
        <f t="shared" si="61"/>
        <v>5.4465966430524923E-4</v>
      </c>
      <c r="V100" s="203">
        <f t="shared" si="61"/>
        <v>0</v>
      </c>
      <c r="W100" s="204">
        <f t="shared" si="61"/>
        <v>1.3633062348283417E-2</v>
      </c>
      <c r="X100" s="203">
        <f t="shared" si="61"/>
        <v>0</v>
      </c>
      <c r="Y100" s="204">
        <f t="shared" si="61"/>
        <v>1.2992745524160004E-2</v>
      </c>
    </row>
    <row r="101" spans="1:27" x14ac:dyDescent="0.35">
      <c r="A101" s="234" t="s">
        <v>163</v>
      </c>
      <c r="B101" s="203">
        <f t="shared" ref="B101:Y101" si="62">B73*(B103+B105)</f>
        <v>0</v>
      </c>
      <c r="C101" s="10">
        <f t="shared" si="62"/>
        <v>2.8687127591655504</v>
      </c>
      <c r="D101" s="203">
        <f t="shared" si="62"/>
        <v>0</v>
      </c>
      <c r="E101" s="10">
        <f t="shared" si="62"/>
        <v>0.92990689923941228</v>
      </c>
      <c r="F101" s="203">
        <f t="shared" si="62"/>
        <v>0</v>
      </c>
      <c r="G101" s="10">
        <f t="shared" si="62"/>
        <v>1.898672290500387</v>
      </c>
      <c r="H101" s="203">
        <f t="shared" si="62"/>
        <v>0</v>
      </c>
      <c r="I101" s="10">
        <f t="shared" si="62"/>
        <v>0</v>
      </c>
      <c r="J101" s="203">
        <f t="shared" si="62"/>
        <v>0</v>
      </c>
      <c r="K101" s="10">
        <f t="shared" si="62"/>
        <v>5.0728944104258256</v>
      </c>
      <c r="L101" s="203">
        <f t="shared" si="62"/>
        <v>0</v>
      </c>
      <c r="M101" s="10">
        <f t="shared" si="62"/>
        <v>4.7464212971341881</v>
      </c>
      <c r="N101" s="203">
        <f t="shared" si="62"/>
        <v>0</v>
      </c>
      <c r="O101" s="10">
        <f t="shared" si="62"/>
        <v>0</v>
      </c>
      <c r="P101" s="203">
        <f t="shared" si="62"/>
        <v>0</v>
      </c>
      <c r="Q101" s="10">
        <f t="shared" si="62"/>
        <v>0</v>
      </c>
      <c r="R101" s="203">
        <f t="shared" si="62"/>
        <v>0</v>
      </c>
      <c r="S101" s="10">
        <f t="shared" si="62"/>
        <v>0</v>
      </c>
      <c r="T101" s="203">
        <f t="shared" si="62"/>
        <v>0</v>
      </c>
      <c r="U101" s="10">
        <f t="shared" si="62"/>
        <v>0.74480257005069617</v>
      </c>
      <c r="V101" s="203">
        <f t="shared" si="62"/>
        <v>0</v>
      </c>
      <c r="W101" s="204">
        <f t="shared" si="62"/>
        <v>1.5076438623895194</v>
      </c>
      <c r="X101" s="203">
        <f t="shared" si="62"/>
        <v>0</v>
      </c>
      <c r="Y101" s="204">
        <f t="shared" si="62"/>
        <v>0</v>
      </c>
      <c r="AA101" s="88" t="s">
        <v>177</v>
      </c>
    </row>
    <row r="102" spans="1:27" x14ac:dyDescent="0.35">
      <c r="A102" s="229"/>
      <c r="B102" s="191"/>
      <c r="D102" s="191"/>
      <c r="F102" s="191"/>
      <c r="H102" s="191"/>
      <c r="J102" s="191"/>
      <c r="L102" s="191"/>
      <c r="N102" s="191"/>
      <c r="P102" s="191"/>
      <c r="R102" s="191"/>
      <c r="T102" s="191"/>
      <c r="V102" s="191"/>
      <c r="W102" s="192"/>
      <c r="X102" s="191"/>
      <c r="Y102" s="192"/>
    </row>
    <row r="103" spans="1:27" x14ac:dyDescent="0.35">
      <c r="A103" s="237" t="s">
        <v>195</v>
      </c>
      <c r="B103" s="211">
        <v>0.01</v>
      </c>
      <c r="C103" s="14">
        <v>0.01</v>
      </c>
      <c r="D103" s="211">
        <v>0.01</v>
      </c>
      <c r="E103" s="14">
        <v>0.01</v>
      </c>
      <c r="F103" s="211">
        <v>0.01</v>
      </c>
      <c r="G103" s="14">
        <v>0.01</v>
      </c>
      <c r="H103" s="211">
        <v>0.01</v>
      </c>
      <c r="I103" s="14">
        <v>0.01</v>
      </c>
      <c r="J103" s="211">
        <v>0.01</v>
      </c>
      <c r="K103" s="14">
        <v>0.01</v>
      </c>
      <c r="L103" s="211">
        <v>0.01</v>
      </c>
      <c r="M103" s="14">
        <v>0.01</v>
      </c>
      <c r="N103" s="211">
        <v>0.01</v>
      </c>
      <c r="O103" s="14">
        <v>0.01</v>
      </c>
      <c r="P103" s="211">
        <v>0.01</v>
      </c>
      <c r="Q103" s="14">
        <v>0.01</v>
      </c>
      <c r="R103" s="211">
        <v>0.01</v>
      </c>
      <c r="S103" s="14">
        <v>0.01</v>
      </c>
      <c r="T103" s="211">
        <v>0.01</v>
      </c>
      <c r="U103" s="14">
        <v>0.01</v>
      </c>
      <c r="V103" s="211">
        <v>0.01</v>
      </c>
      <c r="W103" s="212">
        <v>0.01</v>
      </c>
      <c r="X103" s="211">
        <v>0.01</v>
      </c>
      <c r="Y103" s="212">
        <v>0.01</v>
      </c>
      <c r="AA103" s="179" t="s">
        <v>196</v>
      </c>
    </row>
    <row r="104" spans="1:27" x14ac:dyDescent="0.35">
      <c r="A104" s="237" t="s">
        <v>197</v>
      </c>
      <c r="B104" s="218">
        <v>1E-4</v>
      </c>
      <c r="C104" s="139">
        <v>1E-4</v>
      </c>
      <c r="D104" s="218">
        <v>1E-4</v>
      </c>
      <c r="E104" s="139">
        <v>1E-4</v>
      </c>
      <c r="F104" s="218">
        <v>1E-4</v>
      </c>
      <c r="G104" s="139">
        <v>1E-4</v>
      </c>
      <c r="H104" s="218">
        <v>1E-4</v>
      </c>
      <c r="I104" s="139">
        <v>1E-4</v>
      </c>
      <c r="J104" s="218">
        <v>1E-4</v>
      </c>
      <c r="K104" s="139">
        <v>1E-4</v>
      </c>
      <c r="L104" s="218">
        <v>1E-4</v>
      </c>
      <c r="M104" s="139">
        <v>1E-4</v>
      </c>
      <c r="N104" s="218">
        <v>1E-4</v>
      </c>
      <c r="O104" s="139">
        <v>1E-4</v>
      </c>
      <c r="P104" s="218">
        <v>1E-4</v>
      </c>
      <c r="Q104" s="139">
        <v>1E-4</v>
      </c>
      <c r="R104" s="218">
        <v>1E-4</v>
      </c>
      <c r="S104" s="139">
        <v>1E-4</v>
      </c>
      <c r="T104" s="218">
        <v>1E-4</v>
      </c>
      <c r="U104" s="139">
        <v>1E-4</v>
      </c>
      <c r="V104" s="218">
        <v>1E-4</v>
      </c>
      <c r="W104" s="219">
        <v>1E-4</v>
      </c>
      <c r="X104" s="218">
        <v>1E-4</v>
      </c>
      <c r="Y104" s="219">
        <v>1E-4</v>
      </c>
      <c r="AA104" s="179" t="s">
        <v>196</v>
      </c>
    </row>
    <row r="105" spans="1:27" x14ac:dyDescent="0.35">
      <c r="A105" s="237" t="s">
        <v>198</v>
      </c>
      <c r="B105" s="197">
        <v>0.3</v>
      </c>
      <c r="C105" s="12">
        <v>0.3</v>
      </c>
      <c r="D105" s="197">
        <v>0.3</v>
      </c>
      <c r="E105" s="12">
        <v>0.3</v>
      </c>
      <c r="F105" s="197">
        <v>0.3</v>
      </c>
      <c r="G105" s="12">
        <v>0.3</v>
      </c>
      <c r="H105" s="197">
        <v>0.3</v>
      </c>
      <c r="I105" s="12">
        <v>0.3</v>
      </c>
      <c r="J105" s="197">
        <v>0.3</v>
      </c>
      <c r="K105" s="12">
        <v>0.3</v>
      </c>
      <c r="L105" s="197">
        <v>0.3</v>
      </c>
      <c r="M105" s="12">
        <v>0.3</v>
      </c>
      <c r="N105" s="197">
        <v>0.3</v>
      </c>
      <c r="O105" s="12">
        <v>0.3</v>
      </c>
      <c r="P105" s="197">
        <v>0.3</v>
      </c>
      <c r="Q105" s="12">
        <v>0.3</v>
      </c>
      <c r="R105" s="197">
        <v>0.3</v>
      </c>
      <c r="S105" s="12">
        <v>0.3</v>
      </c>
      <c r="T105" s="197">
        <v>0.3</v>
      </c>
      <c r="U105" s="12">
        <v>0.3</v>
      </c>
      <c r="V105" s="197">
        <v>0.3</v>
      </c>
      <c r="W105" s="198">
        <v>0.3</v>
      </c>
      <c r="X105" s="197">
        <v>0.3</v>
      </c>
      <c r="Y105" s="198">
        <v>0.3</v>
      </c>
      <c r="AA105" s="179" t="s">
        <v>196</v>
      </c>
    </row>
    <row r="106" spans="1:27" x14ac:dyDescent="0.35">
      <c r="A106" s="237" t="s">
        <v>199</v>
      </c>
      <c r="B106" s="197">
        <v>3.0000000000000001E-3</v>
      </c>
      <c r="C106" s="12">
        <v>3.0000000000000001E-3</v>
      </c>
      <c r="D106" s="197">
        <v>3.0000000000000001E-3</v>
      </c>
      <c r="E106" s="12">
        <v>3.0000000000000001E-3</v>
      </c>
      <c r="F106" s="197">
        <v>3.0000000000000001E-3</v>
      </c>
      <c r="G106" s="12">
        <v>3.0000000000000001E-3</v>
      </c>
      <c r="H106" s="197">
        <v>3.0000000000000001E-3</v>
      </c>
      <c r="I106" s="12">
        <v>3.0000000000000001E-3</v>
      </c>
      <c r="J106" s="197">
        <v>3.0000000000000001E-3</v>
      </c>
      <c r="K106" s="12">
        <v>3.0000000000000001E-3</v>
      </c>
      <c r="L106" s="197">
        <v>3.0000000000000001E-3</v>
      </c>
      <c r="M106" s="12">
        <v>3.0000000000000001E-3</v>
      </c>
      <c r="N106" s="197">
        <v>3.0000000000000001E-3</v>
      </c>
      <c r="O106" s="12">
        <v>3.0000000000000001E-3</v>
      </c>
      <c r="P106" s="197">
        <v>3.0000000000000001E-3</v>
      </c>
      <c r="Q106" s="12">
        <v>3.0000000000000001E-3</v>
      </c>
      <c r="R106" s="197">
        <v>3.0000000000000001E-3</v>
      </c>
      <c r="S106" s="12">
        <v>3.0000000000000001E-3</v>
      </c>
      <c r="T106" s="197">
        <v>3.0000000000000001E-3</v>
      </c>
      <c r="U106" s="12">
        <v>3.0000000000000001E-3</v>
      </c>
      <c r="V106" s="197">
        <v>3.0000000000000001E-3</v>
      </c>
      <c r="W106" s="198">
        <v>3.0000000000000001E-3</v>
      </c>
      <c r="X106" s="197">
        <v>3.0000000000000001E-3</v>
      </c>
      <c r="Y106" s="198">
        <v>3.0000000000000001E-3</v>
      </c>
      <c r="AA106" s="179" t="s">
        <v>196</v>
      </c>
    </row>
    <row r="107" spans="1:27" x14ac:dyDescent="0.35">
      <c r="A107" s="229"/>
      <c r="B107" s="191"/>
      <c r="D107" s="191"/>
      <c r="F107" s="191"/>
      <c r="H107" s="191"/>
      <c r="J107" s="191"/>
      <c r="L107" s="191"/>
      <c r="N107" s="191"/>
      <c r="P107" s="191"/>
      <c r="R107" s="191"/>
      <c r="T107" s="191"/>
      <c r="V107" s="191"/>
      <c r="W107" s="192"/>
      <c r="X107" s="191"/>
      <c r="Y107" s="192"/>
    </row>
    <row r="108" spans="1:27" x14ac:dyDescent="0.35">
      <c r="A108" s="236" t="s">
        <v>200</v>
      </c>
      <c r="B108" s="199"/>
      <c r="C108" s="107"/>
      <c r="D108" s="199"/>
      <c r="E108" s="107"/>
      <c r="F108" s="199"/>
      <c r="G108" s="107"/>
      <c r="H108" s="199"/>
      <c r="I108" s="107"/>
      <c r="J108" s="199"/>
      <c r="K108" s="107"/>
      <c r="L108" s="199"/>
      <c r="M108" s="107"/>
      <c r="N108" s="199"/>
      <c r="O108" s="107"/>
      <c r="P108" s="199"/>
      <c r="Q108" s="107"/>
      <c r="R108" s="199"/>
      <c r="S108" s="107"/>
      <c r="T108" s="199"/>
      <c r="U108" s="107"/>
      <c r="V108" s="199"/>
      <c r="W108" s="200"/>
      <c r="X108" s="199"/>
      <c r="Y108" s="200"/>
    </row>
    <row r="109" spans="1:27" x14ac:dyDescent="0.35">
      <c r="A109" s="234" t="s">
        <v>161</v>
      </c>
      <c r="B109" s="208">
        <f t="shared" ref="B109:Y109" si="63">B71-B79-B89-B99</f>
        <v>0</v>
      </c>
      <c r="C109" s="5">
        <f t="shared" si="63"/>
        <v>2.4892598657298568E-2</v>
      </c>
      <c r="D109" s="208">
        <f t="shared" si="63"/>
        <v>0</v>
      </c>
      <c r="E109" s="5">
        <f t="shared" si="63"/>
        <v>3.9192201373455036</v>
      </c>
      <c r="F109" s="208">
        <f t="shared" si="63"/>
        <v>0</v>
      </c>
      <c r="G109" s="5">
        <f t="shared" si="63"/>
        <v>1.1814655008704189</v>
      </c>
      <c r="H109" s="208">
        <f t="shared" si="63"/>
        <v>0</v>
      </c>
      <c r="I109" s="5">
        <f t="shared" si="63"/>
        <v>6.607718287554035</v>
      </c>
      <c r="J109" s="208">
        <f t="shared" si="63"/>
        <v>0</v>
      </c>
      <c r="K109" s="5">
        <f t="shared" si="63"/>
        <v>1.6814079030444757</v>
      </c>
      <c r="L109" s="208">
        <f t="shared" si="63"/>
        <v>0</v>
      </c>
      <c r="M109" s="5">
        <f t="shared" si="63"/>
        <v>0</v>
      </c>
      <c r="N109" s="208">
        <f t="shared" si="63"/>
        <v>0</v>
      </c>
      <c r="O109" s="5">
        <f t="shared" si="63"/>
        <v>5.0216907580743584</v>
      </c>
      <c r="P109" s="208">
        <f t="shared" si="63"/>
        <v>0</v>
      </c>
      <c r="Q109" s="5">
        <f t="shared" si="63"/>
        <v>1.6134275171245511</v>
      </c>
      <c r="R109" s="208">
        <f t="shared" si="63"/>
        <v>0</v>
      </c>
      <c r="S109" s="5">
        <f t="shared" si="63"/>
        <v>8.1661549297750753</v>
      </c>
      <c r="T109" s="208">
        <f t="shared" si="63"/>
        <v>0</v>
      </c>
      <c r="U109" s="5">
        <f t="shared" si="63"/>
        <v>2.9570273569448977</v>
      </c>
      <c r="V109" s="208">
        <f t="shared" si="63"/>
        <v>0.10303999999999998</v>
      </c>
      <c r="W109" s="209">
        <f t="shared" si="63"/>
        <v>0.77409587066454533</v>
      </c>
      <c r="X109" s="208">
        <f t="shared" si="63"/>
        <v>0</v>
      </c>
      <c r="Y109" s="209">
        <f t="shared" si="63"/>
        <v>1.6404214317119996</v>
      </c>
    </row>
    <row r="110" spans="1:27" x14ac:dyDescent="0.35">
      <c r="A110" s="234" t="s">
        <v>162</v>
      </c>
      <c r="B110" s="208">
        <f t="shared" ref="B110:Y110" si="64">B72-B80-B90-B100</f>
        <v>0</v>
      </c>
      <c r="C110" s="5">
        <f t="shared" si="64"/>
        <v>4.8427575549523549</v>
      </c>
      <c r="D110" s="208">
        <f t="shared" si="64"/>
        <v>0</v>
      </c>
      <c r="E110" s="5">
        <f t="shared" si="64"/>
        <v>0.59791106974786656</v>
      </c>
      <c r="F110" s="208">
        <f t="shared" si="64"/>
        <v>0</v>
      </c>
      <c r="G110" s="5">
        <f t="shared" si="64"/>
        <v>5.955470038332856</v>
      </c>
      <c r="H110" s="208">
        <f t="shared" si="64"/>
        <v>0</v>
      </c>
      <c r="I110" s="5">
        <f t="shared" si="64"/>
        <v>0.58597071346683083</v>
      </c>
      <c r="J110" s="208">
        <f t="shared" si="64"/>
        <v>0</v>
      </c>
      <c r="K110" s="5">
        <f t="shared" si="64"/>
        <v>0.37874630050824715</v>
      </c>
      <c r="L110" s="208">
        <f t="shared" si="64"/>
        <v>0</v>
      </c>
      <c r="M110" s="5">
        <f t="shared" si="64"/>
        <v>0</v>
      </c>
      <c r="N110" s="208">
        <f t="shared" si="64"/>
        <v>0</v>
      </c>
      <c r="O110" s="5">
        <f t="shared" si="64"/>
        <v>8.9687517710489306</v>
      </c>
      <c r="P110" s="208">
        <f t="shared" si="64"/>
        <v>0</v>
      </c>
      <c r="Q110" s="5">
        <f t="shared" si="64"/>
        <v>3.052337628028285</v>
      </c>
      <c r="R110" s="208">
        <f t="shared" si="64"/>
        <v>0</v>
      </c>
      <c r="S110" s="5">
        <f t="shared" si="64"/>
        <v>0.94318911916256332</v>
      </c>
      <c r="T110" s="208">
        <f t="shared" si="64"/>
        <v>0</v>
      </c>
      <c r="U110" s="5">
        <f t="shared" si="64"/>
        <v>0.12947087310533489</v>
      </c>
      <c r="V110" s="208">
        <f t="shared" si="64"/>
        <v>0</v>
      </c>
      <c r="W110" s="209">
        <f t="shared" si="64"/>
        <v>3.2407108530484035</v>
      </c>
      <c r="X110" s="208">
        <f t="shared" si="64"/>
        <v>0</v>
      </c>
      <c r="Y110" s="209">
        <f t="shared" si="64"/>
        <v>3.0885013473398408</v>
      </c>
    </row>
    <row r="111" spans="1:27" x14ac:dyDescent="0.35">
      <c r="A111" s="234" t="s">
        <v>163</v>
      </c>
      <c r="B111" s="208">
        <f t="shared" ref="B111:Y111" si="65">B73-B81-B91-B101</f>
        <v>0</v>
      </c>
      <c r="C111" s="5">
        <f t="shared" si="65"/>
        <v>3.2388692442191687</v>
      </c>
      <c r="D111" s="208">
        <f t="shared" si="65"/>
        <v>0</v>
      </c>
      <c r="E111" s="5">
        <f t="shared" si="65"/>
        <v>1.0498948862380462</v>
      </c>
      <c r="F111" s="208">
        <f t="shared" si="65"/>
        <v>0</v>
      </c>
      <c r="G111" s="5">
        <f t="shared" si="65"/>
        <v>2.1436622634681788</v>
      </c>
      <c r="H111" s="208">
        <f t="shared" si="65"/>
        <v>0</v>
      </c>
      <c r="I111" s="209">
        <f t="shared" si="65"/>
        <v>0</v>
      </c>
      <c r="J111" s="208">
        <f t="shared" si="65"/>
        <v>0</v>
      </c>
      <c r="K111" s="5">
        <f t="shared" si="65"/>
        <v>5.7274614311259304</v>
      </c>
      <c r="L111" s="208">
        <f t="shared" si="65"/>
        <v>0</v>
      </c>
      <c r="M111" s="5">
        <f t="shared" si="65"/>
        <v>5.3588627548289223</v>
      </c>
      <c r="N111" s="208">
        <f t="shared" si="65"/>
        <v>0</v>
      </c>
      <c r="O111" s="5">
        <f t="shared" si="65"/>
        <v>0</v>
      </c>
      <c r="P111" s="208">
        <f t="shared" si="65"/>
        <v>0</v>
      </c>
      <c r="Q111" s="5">
        <f t="shared" si="65"/>
        <v>0</v>
      </c>
      <c r="R111" s="208">
        <f t="shared" si="65"/>
        <v>0</v>
      </c>
      <c r="S111" s="5">
        <f t="shared" si="65"/>
        <v>0</v>
      </c>
      <c r="T111" s="208">
        <f t="shared" si="65"/>
        <v>0</v>
      </c>
      <c r="U111" s="5">
        <f t="shared" si="65"/>
        <v>0.84090612747659232</v>
      </c>
      <c r="V111" s="208">
        <f t="shared" si="65"/>
        <v>0</v>
      </c>
      <c r="W111" s="209">
        <f t="shared" si="65"/>
        <v>1.7021785543107477</v>
      </c>
      <c r="X111" s="208">
        <f t="shared" si="65"/>
        <v>0</v>
      </c>
      <c r="Y111" s="209">
        <f t="shared" si="65"/>
        <v>0</v>
      </c>
    </row>
    <row r="112" spans="1:27" x14ac:dyDescent="0.35">
      <c r="A112" s="237"/>
      <c r="B112" s="208"/>
      <c r="C112" s="5"/>
      <c r="D112" s="208"/>
      <c r="E112" s="5"/>
      <c r="F112" s="208"/>
      <c r="G112" s="5"/>
      <c r="H112" s="208"/>
      <c r="I112" s="5"/>
      <c r="J112" s="208"/>
      <c r="K112" s="5"/>
      <c r="L112" s="208"/>
      <c r="M112" s="5"/>
      <c r="N112" s="208"/>
      <c r="O112" s="5"/>
      <c r="P112" s="208"/>
      <c r="Q112" s="5"/>
      <c r="R112" s="208"/>
      <c r="S112" s="5"/>
      <c r="T112" s="208"/>
      <c r="U112" s="5"/>
      <c r="V112" s="208"/>
      <c r="W112" s="209"/>
      <c r="X112" s="208"/>
      <c r="Y112" s="209"/>
    </row>
    <row r="113" spans="1:27" x14ac:dyDescent="0.35">
      <c r="A113" s="239" t="s">
        <v>201</v>
      </c>
      <c r="B113" s="220"/>
      <c r="C113" s="221"/>
      <c r="D113" s="220"/>
      <c r="E113" s="221"/>
      <c r="F113" s="220"/>
      <c r="G113" s="221"/>
      <c r="H113" s="220"/>
      <c r="I113" s="221"/>
      <c r="J113" s="220"/>
      <c r="K113" s="221"/>
      <c r="L113" s="220"/>
      <c r="M113" s="221"/>
      <c r="N113" s="220"/>
      <c r="O113" s="221"/>
      <c r="P113" s="220"/>
      <c r="Q113" s="221"/>
      <c r="R113" s="220"/>
      <c r="S113" s="221"/>
      <c r="T113" s="220"/>
      <c r="U113" s="221"/>
      <c r="V113" s="220"/>
      <c r="W113" s="222"/>
      <c r="X113" s="220"/>
      <c r="Y113" s="222"/>
      <c r="AA113" s="167" t="s">
        <v>202</v>
      </c>
    </row>
    <row r="114" spans="1:27" x14ac:dyDescent="0.35">
      <c r="A114" s="234" t="s">
        <v>161</v>
      </c>
      <c r="B114" s="208">
        <f t="shared" ref="B114:Y114" si="66">B109*B120</f>
        <v>0</v>
      </c>
      <c r="C114" s="5">
        <f t="shared" si="66"/>
        <v>1.6926967086963028E-2</v>
      </c>
      <c r="D114" s="208">
        <f t="shared" si="66"/>
        <v>0</v>
      </c>
      <c r="E114" s="5">
        <f t="shared" si="66"/>
        <v>2.6650696933949427</v>
      </c>
      <c r="F114" s="208">
        <f t="shared" si="66"/>
        <v>0</v>
      </c>
      <c r="G114" s="5">
        <f t="shared" si="66"/>
        <v>0.80339654059188492</v>
      </c>
      <c r="H114" s="208">
        <f t="shared" si="66"/>
        <v>0</v>
      </c>
      <c r="I114" s="5">
        <f t="shared" si="66"/>
        <v>4.4932484355367439</v>
      </c>
      <c r="J114" s="208">
        <f t="shared" si="66"/>
        <v>0</v>
      </c>
      <c r="K114" s="5">
        <f t="shared" si="66"/>
        <v>1.1433573740702436</v>
      </c>
      <c r="L114" s="208">
        <f t="shared" si="66"/>
        <v>0</v>
      </c>
      <c r="M114" s="5">
        <f t="shared" si="66"/>
        <v>0</v>
      </c>
      <c r="N114" s="208">
        <f t="shared" si="66"/>
        <v>0</v>
      </c>
      <c r="O114" s="5">
        <f t="shared" si="66"/>
        <v>3.4147497154905642</v>
      </c>
      <c r="P114" s="208">
        <f t="shared" si="66"/>
        <v>0</v>
      </c>
      <c r="Q114" s="5">
        <f t="shared" si="66"/>
        <v>1.0971307116446949</v>
      </c>
      <c r="R114" s="208">
        <f t="shared" si="66"/>
        <v>0</v>
      </c>
      <c r="S114" s="5">
        <f t="shared" si="66"/>
        <v>5.5529853522470516</v>
      </c>
      <c r="T114" s="208">
        <f t="shared" si="66"/>
        <v>0</v>
      </c>
      <c r="U114" s="5">
        <f t="shared" si="66"/>
        <v>2.0107786027225307</v>
      </c>
      <c r="V114" s="208">
        <f t="shared" si="66"/>
        <v>7.0067199999999996E-2</v>
      </c>
      <c r="W114" s="209">
        <f t="shared" si="66"/>
        <v>0.52638519205189083</v>
      </c>
      <c r="X114" s="208">
        <f t="shared" si="66"/>
        <v>0</v>
      </c>
      <c r="Y114" s="209">
        <f t="shared" si="66"/>
        <v>1.1154865735641599</v>
      </c>
    </row>
    <row r="115" spans="1:27" x14ac:dyDescent="0.35">
      <c r="A115" s="234" t="s">
        <v>162</v>
      </c>
      <c r="B115" s="208">
        <f t="shared" ref="B115:Y115" si="67">B110*B121</f>
        <v>0</v>
      </c>
      <c r="C115" s="5">
        <f t="shared" si="67"/>
        <v>2.6635166552237952</v>
      </c>
      <c r="D115" s="208">
        <f t="shared" si="67"/>
        <v>0</v>
      </c>
      <c r="E115" s="5">
        <f t="shared" si="67"/>
        <v>0.32885108836132665</v>
      </c>
      <c r="F115" s="208">
        <f t="shared" si="67"/>
        <v>0</v>
      </c>
      <c r="G115" s="5">
        <f t="shared" si="67"/>
        <v>3.2755085210830712</v>
      </c>
      <c r="H115" s="208">
        <f t="shared" si="67"/>
        <v>0</v>
      </c>
      <c r="I115" s="5">
        <f t="shared" si="67"/>
        <v>0.32228389240675698</v>
      </c>
      <c r="J115" s="208">
        <f t="shared" si="67"/>
        <v>0</v>
      </c>
      <c r="K115" s="5">
        <f t="shared" si="67"/>
        <v>0.20831046527953595</v>
      </c>
      <c r="L115" s="208">
        <f t="shared" si="67"/>
        <v>0</v>
      </c>
      <c r="M115" s="5">
        <f t="shared" si="67"/>
        <v>0</v>
      </c>
      <c r="N115" s="208">
        <f t="shared" si="67"/>
        <v>0</v>
      </c>
      <c r="O115" s="5">
        <f t="shared" si="67"/>
        <v>4.9328134740769123</v>
      </c>
      <c r="P115" s="208">
        <f t="shared" si="67"/>
        <v>0</v>
      </c>
      <c r="Q115" s="5">
        <f t="shared" si="67"/>
        <v>1.6787856954155569</v>
      </c>
      <c r="R115" s="208">
        <f t="shared" si="67"/>
        <v>0</v>
      </c>
      <c r="S115" s="5">
        <f t="shared" si="67"/>
        <v>0.51875401553940992</v>
      </c>
      <c r="T115" s="208">
        <f t="shared" si="67"/>
        <v>0</v>
      </c>
      <c r="U115" s="5">
        <f t="shared" si="67"/>
        <v>7.1208980207934203E-2</v>
      </c>
      <c r="V115" s="208">
        <f t="shared" si="67"/>
        <v>0</v>
      </c>
      <c r="W115" s="209">
        <f t="shared" si="67"/>
        <v>1.782390969176622</v>
      </c>
      <c r="X115" s="208">
        <f t="shared" si="67"/>
        <v>0</v>
      </c>
      <c r="Y115" s="209">
        <f t="shared" si="67"/>
        <v>1.6986757410369127</v>
      </c>
    </row>
    <row r="116" spans="1:27" x14ac:dyDescent="0.35">
      <c r="A116" s="234" t="s">
        <v>163</v>
      </c>
      <c r="B116" s="208">
        <f t="shared" ref="B116:Y116" si="68">B111*B120</f>
        <v>0</v>
      </c>
      <c r="C116" s="5">
        <f t="shared" si="68"/>
        <v>2.2024310860690348</v>
      </c>
      <c r="D116" s="208">
        <f t="shared" si="68"/>
        <v>0</v>
      </c>
      <c r="E116" s="5">
        <f t="shared" si="68"/>
        <v>0.71392852264187145</v>
      </c>
      <c r="F116" s="208">
        <f t="shared" si="68"/>
        <v>0</v>
      </c>
      <c r="G116" s="5">
        <f t="shared" si="68"/>
        <v>1.4576903391583618</v>
      </c>
      <c r="H116" s="208">
        <f t="shared" si="68"/>
        <v>0</v>
      </c>
      <c r="I116" s="5">
        <f t="shared" si="68"/>
        <v>0</v>
      </c>
      <c r="J116" s="208">
        <f t="shared" si="68"/>
        <v>0</v>
      </c>
      <c r="K116" s="5">
        <f t="shared" si="68"/>
        <v>3.8946737731656329</v>
      </c>
      <c r="L116" s="208">
        <f t="shared" si="68"/>
        <v>0</v>
      </c>
      <c r="M116" s="5">
        <f t="shared" si="68"/>
        <v>3.6440266732836673</v>
      </c>
      <c r="N116" s="208">
        <f t="shared" si="68"/>
        <v>0</v>
      </c>
      <c r="O116" s="5">
        <f t="shared" si="68"/>
        <v>0</v>
      </c>
      <c r="P116" s="208">
        <f t="shared" si="68"/>
        <v>0</v>
      </c>
      <c r="Q116" s="5">
        <f t="shared" si="68"/>
        <v>0</v>
      </c>
      <c r="R116" s="208">
        <f t="shared" si="68"/>
        <v>0</v>
      </c>
      <c r="S116" s="5">
        <f t="shared" si="68"/>
        <v>0</v>
      </c>
      <c r="T116" s="208">
        <f t="shared" si="68"/>
        <v>0</v>
      </c>
      <c r="U116" s="5">
        <f t="shared" si="68"/>
        <v>0.57181616668408286</v>
      </c>
      <c r="V116" s="208">
        <f t="shared" si="68"/>
        <v>0</v>
      </c>
      <c r="W116" s="209">
        <f t="shared" si="68"/>
        <v>1.1574814169313086</v>
      </c>
      <c r="X116" s="208">
        <f t="shared" si="68"/>
        <v>0</v>
      </c>
      <c r="Y116" s="209">
        <f t="shared" si="68"/>
        <v>0</v>
      </c>
    </row>
    <row r="117" spans="1:27" x14ac:dyDescent="0.35">
      <c r="A117" s="234" t="s">
        <v>166</v>
      </c>
      <c r="B117" s="208"/>
      <c r="C117" s="5">
        <f>SUM(B114:C116)</f>
        <v>4.8828747083797932</v>
      </c>
      <c r="D117" s="208"/>
      <c r="E117" s="5">
        <f>SUM(D114:E116)</f>
        <v>3.7078493043981409</v>
      </c>
      <c r="F117" s="208"/>
      <c r="G117" s="5">
        <f>SUM(F114:G116)</f>
        <v>5.5365954008333187</v>
      </c>
      <c r="H117" s="208"/>
      <c r="I117" s="5">
        <f>SUM(H114:I116)</f>
        <v>4.8155323279435009</v>
      </c>
      <c r="J117" s="208"/>
      <c r="K117" s="5">
        <f>SUM(J114:K116)</f>
        <v>5.2463416125154128</v>
      </c>
      <c r="L117" s="208"/>
      <c r="M117" s="5">
        <f>SUM(L114:M116)</f>
        <v>3.6440266732836673</v>
      </c>
      <c r="N117" s="208"/>
      <c r="O117" s="5">
        <f>SUM(N114:O116)</f>
        <v>8.3475631895674773</v>
      </c>
      <c r="P117" s="208"/>
      <c r="Q117" s="5">
        <f>SUM(P114:Q116)</f>
        <v>2.7759164070602518</v>
      </c>
      <c r="R117" s="208"/>
      <c r="S117" s="5">
        <f>SUM(R114:S116)</f>
        <v>6.0717393677864617</v>
      </c>
      <c r="T117" s="208"/>
      <c r="U117" s="5">
        <f>SUM(T114:U116)</f>
        <v>2.6538037496145481</v>
      </c>
      <c r="V117" s="208"/>
      <c r="W117" s="209">
        <f>SUM(V114:W116)</f>
        <v>3.5363247781598215</v>
      </c>
      <c r="X117" s="208"/>
      <c r="Y117" s="209">
        <f>SUM(X114:Y116)</f>
        <v>2.8141623146010728</v>
      </c>
    </row>
    <row r="118" spans="1:27" x14ac:dyDescent="0.35">
      <c r="A118" s="234"/>
      <c r="B118" s="208"/>
      <c r="C118" s="5"/>
      <c r="D118" s="208"/>
      <c r="E118" s="5"/>
      <c r="F118" s="208"/>
      <c r="G118" s="5"/>
      <c r="H118" s="208"/>
      <c r="I118" s="5"/>
      <c r="J118" s="208"/>
      <c r="K118" s="5"/>
      <c r="L118" s="208"/>
      <c r="M118" s="5"/>
      <c r="N118" s="208"/>
      <c r="O118" s="5"/>
      <c r="P118" s="208"/>
      <c r="Q118" s="5"/>
      <c r="R118" s="208"/>
      <c r="S118" s="5"/>
      <c r="T118" s="208"/>
      <c r="U118" s="5"/>
      <c r="V118" s="208"/>
      <c r="W118" s="209"/>
      <c r="X118" s="208"/>
      <c r="Y118" s="209"/>
    </row>
    <row r="119" spans="1:27" x14ac:dyDescent="0.35">
      <c r="A119" s="229"/>
      <c r="B119" s="191"/>
      <c r="D119" s="191"/>
      <c r="F119" s="191"/>
      <c r="H119" s="191"/>
      <c r="J119" s="191"/>
      <c r="L119" s="191"/>
      <c r="N119" s="191"/>
      <c r="P119" s="191"/>
      <c r="R119" s="191"/>
      <c r="T119" s="191"/>
      <c r="V119" s="191"/>
      <c r="W119" s="192"/>
      <c r="X119" s="191"/>
      <c r="Y119" s="192"/>
    </row>
    <row r="120" spans="1:27" x14ac:dyDescent="0.35">
      <c r="A120" s="237" t="s">
        <v>203</v>
      </c>
      <c r="B120" s="211">
        <v>0.68</v>
      </c>
      <c r="C120" s="14">
        <v>0.68</v>
      </c>
      <c r="D120" s="211">
        <v>0.68</v>
      </c>
      <c r="E120" s="14">
        <v>0.68</v>
      </c>
      <c r="F120" s="211">
        <v>0.68</v>
      </c>
      <c r="G120" s="14">
        <v>0.68</v>
      </c>
      <c r="H120" s="211">
        <v>0.68</v>
      </c>
      <c r="I120" s="14">
        <v>0.68</v>
      </c>
      <c r="J120" s="211">
        <v>0.68</v>
      </c>
      <c r="K120" s="14">
        <v>0.68</v>
      </c>
      <c r="L120" s="211">
        <v>0.68</v>
      </c>
      <c r="M120" s="14">
        <v>0.68</v>
      </c>
      <c r="N120" s="211">
        <v>0.68</v>
      </c>
      <c r="O120" s="14">
        <v>0.68</v>
      </c>
      <c r="P120" s="211">
        <v>0.68</v>
      </c>
      <c r="Q120" s="14">
        <v>0.68</v>
      </c>
      <c r="R120" s="211">
        <v>0.68</v>
      </c>
      <c r="S120" s="14">
        <v>0.68</v>
      </c>
      <c r="T120" s="211">
        <v>0.68</v>
      </c>
      <c r="U120" s="14">
        <v>0.68</v>
      </c>
      <c r="V120" s="211">
        <v>0.68</v>
      </c>
      <c r="W120" s="212">
        <v>0.68</v>
      </c>
      <c r="X120" s="211">
        <v>0.68</v>
      </c>
      <c r="Y120" s="212">
        <v>0.68</v>
      </c>
      <c r="AA120" s="179" t="s">
        <v>172</v>
      </c>
    </row>
    <row r="121" spans="1:27" x14ac:dyDescent="0.35">
      <c r="A121" s="237" t="s">
        <v>204</v>
      </c>
      <c r="B121" s="211">
        <v>0.55000000000000004</v>
      </c>
      <c r="C121" s="14">
        <v>0.55000000000000004</v>
      </c>
      <c r="D121" s="211">
        <v>0.55000000000000004</v>
      </c>
      <c r="E121" s="14">
        <v>0.55000000000000004</v>
      </c>
      <c r="F121" s="211">
        <v>0.55000000000000004</v>
      </c>
      <c r="G121" s="14">
        <v>0.55000000000000004</v>
      </c>
      <c r="H121" s="211">
        <v>0.55000000000000004</v>
      </c>
      <c r="I121" s="14">
        <v>0.55000000000000004</v>
      </c>
      <c r="J121" s="211">
        <v>0.55000000000000004</v>
      </c>
      <c r="K121" s="14">
        <v>0.55000000000000004</v>
      </c>
      <c r="L121" s="211">
        <v>0.55000000000000004</v>
      </c>
      <c r="M121" s="14">
        <v>0.55000000000000004</v>
      </c>
      <c r="N121" s="211">
        <v>0.55000000000000004</v>
      </c>
      <c r="O121" s="14">
        <v>0.55000000000000004</v>
      </c>
      <c r="P121" s="211">
        <v>0.55000000000000004</v>
      </c>
      <c r="Q121" s="14">
        <v>0.55000000000000004</v>
      </c>
      <c r="R121" s="211">
        <v>0.55000000000000004</v>
      </c>
      <c r="S121" s="14">
        <v>0.55000000000000004</v>
      </c>
      <c r="T121" s="211">
        <v>0.55000000000000004</v>
      </c>
      <c r="U121" s="14">
        <v>0.55000000000000004</v>
      </c>
      <c r="V121" s="211">
        <v>0.55000000000000004</v>
      </c>
      <c r="W121" s="212">
        <v>0.55000000000000004</v>
      </c>
      <c r="X121" s="211">
        <v>0.55000000000000004</v>
      </c>
      <c r="Y121" s="212">
        <v>0.55000000000000004</v>
      </c>
      <c r="AA121" s="179" t="s">
        <v>172</v>
      </c>
    </row>
    <row r="122" spans="1:27" x14ac:dyDescent="0.35">
      <c r="A122" s="234" t="s">
        <v>205</v>
      </c>
      <c r="B122" s="197">
        <v>0.01</v>
      </c>
      <c r="D122" s="197">
        <v>0.01</v>
      </c>
      <c r="F122" s="197">
        <v>0.01</v>
      </c>
      <c r="H122" s="197">
        <v>0.01</v>
      </c>
      <c r="J122" s="197">
        <v>0.01</v>
      </c>
      <c r="L122" s="197">
        <v>0.01</v>
      </c>
      <c r="N122" s="197">
        <v>0.01</v>
      </c>
      <c r="P122" s="197">
        <v>0.01</v>
      </c>
      <c r="R122" s="197">
        <v>0.01</v>
      </c>
      <c r="T122" s="197">
        <v>0.01</v>
      </c>
      <c r="V122" s="197">
        <v>0.01</v>
      </c>
      <c r="W122" s="192"/>
      <c r="X122" s="197">
        <v>0.01</v>
      </c>
      <c r="Y122" s="192"/>
      <c r="AA122" s="179" t="s">
        <v>206</v>
      </c>
    </row>
    <row r="123" spans="1:27" x14ac:dyDescent="0.35">
      <c r="A123" s="229"/>
      <c r="B123" s="191"/>
      <c r="D123" s="191"/>
      <c r="F123" s="191"/>
      <c r="H123" s="191"/>
      <c r="J123" s="191"/>
      <c r="L123" s="191"/>
      <c r="N123" s="191"/>
      <c r="P123" s="191"/>
      <c r="R123" s="191"/>
      <c r="T123" s="191"/>
      <c r="V123" s="191"/>
      <c r="W123" s="192"/>
      <c r="X123" s="191"/>
      <c r="Y123" s="192"/>
    </row>
    <row r="124" spans="1:27" x14ac:dyDescent="0.35">
      <c r="A124" s="236" t="s">
        <v>207</v>
      </c>
      <c r="B124" s="199"/>
      <c r="C124" s="107"/>
      <c r="D124" s="199"/>
      <c r="E124" s="107"/>
      <c r="F124" s="199"/>
      <c r="G124" s="107"/>
      <c r="H124" s="199"/>
      <c r="I124" s="107"/>
      <c r="J124" s="199"/>
      <c r="K124" s="107"/>
      <c r="L124" s="199"/>
      <c r="M124" s="107"/>
      <c r="N124" s="199"/>
      <c r="O124" s="107"/>
      <c r="P124" s="199"/>
      <c r="Q124" s="107"/>
      <c r="R124" s="199"/>
      <c r="S124" s="107"/>
      <c r="T124" s="199"/>
      <c r="U124" s="107"/>
      <c r="V124" s="199"/>
      <c r="W124" s="200"/>
      <c r="X124" s="199"/>
      <c r="Y124" s="200"/>
      <c r="AA124" s="362" t="s">
        <v>469</v>
      </c>
    </row>
    <row r="125" spans="1:27" x14ac:dyDescent="0.35">
      <c r="A125" s="234" t="s">
        <v>161</v>
      </c>
      <c r="B125" s="208">
        <f t="shared" ref="B125:Y125" si="69">B109-B114</f>
        <v>0</v>
      </c>
      <c r="C125" s="5">
        <f t="shared" si="69"/>
        <v>7.96563157033554E-3</v>
      </c>
      <c r="D125" s="208">
        <f t="shared" si="69"/>
        <v>0</v>
      </c>
      <c r="E125" s="5">
        <f t="shared" si="69"/>
        <v>1.2541504439505609</v>
      </c>
      <c r="F125" s="208">
        <f t="shared" si="69"/>
        <v>0</v>
      </c>
      <c r="G125" s="5">
        <f t="shared" si="69"/>
        <v>0.37806896027853398</v>
      </c>
      <c r="H125" s="208">
        <f t="shared" si="69"/>
        <v>0</v>
      </c>
      <c r="I125" s="5">
        <f t="shared" si="69"/>
        <v>2.1144698520172911</v>
      </c>
      <c r="J125" s="208">
        <f t="shared" si="69"/>
        <v>0</v>
      </c>
      <c r="K125" s="5">
        <f t="shared" si="69"/>
        <v>0.53805052897423211</v>
      </c>
      <c r="L125" s="208">
        <f t="shared" si="69"/>
        <v>0</v>
      </c>
      <c r="M125" s="5">
        <f t="shared" si="69"/>
        <v>0</v>
      </c>
      <c r="N125" s="208">
        <f t="shared" si="69"/>
        <v>0</v>
      </c>
      <c r="O125" s="5">
        <f t="shared" si="69"/>
        <v>1.6069410425837942</v>
      </c>
      <c r="P125" s="208">
        <f t="shared" si="69"/>
        <v>0</v>
      </c>
      <c r="Q125" s="5">
        <f t="shared" si="69"/>
        <v>0.51629680547985624</v>
      </c>
      <c r="R125" s="208">
        <f t="shared" si="69"/>
        <v>0</v>
      </c>
      <c r="S125" s="5">
        <f t="shared" si="69"/>
        <v>2.6131695775280237</v>
      </c>
      <c r="T125" s="208">
        <f t="shared" si="69"/>
        <v>0</v>
      </c>
      <c r="U125" s="5">
        <f t="shared" si="69"/>
        <v>0.94624875422236698</v>
      </c>
      <c r="V125" s="208">
        <f t="shared" si="69"/>
        <v>3.2972799999999983E-2</v>
      </c>
      <c r="W125" s="209">
        <f t="shared" si="69"/>
        <v>0.2477106786126545</v>
      </c>
      <c r="X125" s="208">
        <f t="shared" si="69"/>
        <v>0</v>
      </c>
      <c r="Y125" s="209">
        <f t="shared" si="69"/>
        <v>0.52493485814783969</v>
      </c>
    </row>
    <row r="126" spans="1:27" x14ac:dyDescent="0.35">
      <c r="A126" s="234" t="s">
        <v>162</v>
      </c>
      <c r="B126" s="208">
        <f t="shared" ref="B126:Y126" si="70">B110-B115</f>
        <v>0</v>
      </c>
      <c r="C126" s="5">
        <f t="shared" si="70"/>
        <v>2.1792408997285597</v>
      </c>
      <c r="D126" s="208">
        <f t="shared" si="70"/>
        <v>0</v>
      </c>
      <c r="E126" s="5">
        <f t="shared" si="70"/>
        <v>0.26905998138653991</v>
      </c>
      <c r="F126" s="208">
        <f t="shared" si="70"/>
        <v>0</v>
      </c>
      <c r="G126" s="5">
        <f t="shared" si="70"/>
        <v>2.6799615172497848</v>
      </c>
      <c r="H126" s="208">
        <f t="shared" si="70"/>
        <v>0</v>
      </c>
      <c r="I126" s="5">
        <f t="shared" si="70"/>
        <v>0.26368682106007385</v>
      </c>
      <c r="J126" s="208">
        <f t="shared" si="70"/>
        <v>0</v>
      </c>
      <c r="K126" s="5">
        <f t="shared" si="70"/>
        <v>0.1704358352287112</v>
      </c>
      <c r="L126" s="208">
        <f t="shared" si="70"/>
        <v>0</v>
      </c>
      <c r="M126" s="5">
        <f t="shared" si="70"/>
        <v>0</v>
      </c>
      <c r="N126" s="208">
        <f t="shared" si="70"/>
        <v>0</v>
      </c>
      <c r="O126" s="5">
        <f t="shared" si="70"/>
        <v>4.0359382969720183</v>
      </c>
      <c r="P126" s="208">
        <f t="shared" si="70"/>
        <v>0</v>
      </c>
      <c r="Q126" s="5">
        <f t="shared" si="70"/>
        <v>1.3735519326127281</v>
      </c>
      <c r="R126" s="208">
        <f t="shared" si="70"/>
        <v>0</v>
      </c>
      <c r="S126" s="5">
        <f t="shared" si="70"/>
        <v>0.4244351036231534</v>
      </c>
      <c r="T126" s="208">
        <f t="shared" si="70"/>
        <v>0</v>
      </c>
      <c r="U126" s="5">
        <f t="shared" si="70"/>
        <v>5.8261892897400691E-2</v>
      </c>
      <c r="V126" s="208">
        <f t="shared" si="70"/>
        <v>0</v>
      </c>
      <c r="W126" s="209">
        <f t="shared" si="70"/>
        <v>1.4583198838717815</v>
      </c>
      <c r="X126" s="208">
        <f t="shared" si="70"/>
        <v>0</v>
      </c>
      <c r="Y126" s="209">
        <f t="shared" si="70"/>
        <v>1.3898256063029282</v>
      </c>
    </row>
    <row r="127" spans="1:27" x14ac:dyDescent="0.35">
      <c r="A127" s="234" t="s">
        <v>163</v>
      </c>
      <c r="B127" s="208">
        <f t="shared" ref="B127:Y127" si="71">B111-B116</f>
        <v>0</v>
      </c>
      <c r="C127" s="5">
        <f t="shared" si="71"/>
        <v>1.0364381581501338</v>
      </c>
      <c r="D127" s="208">
        <f t="shared" si="71"/>
        <v>0</v>
      </c>
      <c r="E127" s="5">
        <f t="shared" si="71"/>
        <v>0.33596636359617471</v>
      </c>
      <c r="F127" s="208">
        <f t="shared" si="71"/>
        <v>0</v>
      </c>
      <c r="G127" s="5">
        <f t="shared" si="71"/>
        <v>0.68597192430981702</v>
      </c>
      <c r="H127" s="208">
        <f t="shared" si="71"/>
        <v>0</v>
      </c>
      <c r="I127" s="5">
        <f t="shared" si="71"/>
        <v>0</v>
      </c>
      <c r="J127" s="208">
        <f t="shared" si="71"/>
        <v>0</v>
      </c>
      <c r="K127" s="5">
        <f t="shared" si="71"/>
        <v>1.8327876579602975</v>
      </c>
      <c r="L127" s="208">
        <f t="shared" si="71"/>
        <v>0</v>
      </c>
      <c r="M127" s="5">
        <f t="shared" si="71"/>
        <v>1.714836081545255</v>
      </c>
      <c r="N127" s="208">
        <f t="shared" si="71"/>
        <v>0</v>
      </c>
      <c r="O127" s="5">
        <f t="shared" si="71"/>
        <v>0</v>
      </c>
      <c r="P127" s="208">
        <f t="shared" si="71"/>
        <v>0</v>
      </c>
      <c r="Q127" s="5">
        <f t="shared" si="71"/>
        <v>0</v>
      </c>
      <c r="R127" s="208">
        <f t="shared" si="71"/>
        <v>0</v>
      </c>
      <c r="S127" s="5">
        <f t="shared" si="71"/>
        <v>0</v>
      </c>
      <c r="T127" s="208">
        <f t="shared" si="71"/>
        <v>0</v>
      </c>
      <c r="U127" s="5">
        <f t="shared" si="71"/>
        <v>0.26908996079250946</v>
      </c>
      <c r="V127" s="208">
        <f t="shared" si="71"/>
        <v>0</v>
      </c>
      <c r="W127" s="209">
        <f t="shared" si="71"/>
        <v>0.54469713737943914</v>
      </c>
      <c r="X127" s="208">
        <f t="shared" si="71"/>
        <v>0</v>
      </c>
      <c r="Y127" s="209">
        <f t="shared" si="71"/>
        <v>0</v>
      </c>
    </row>
    <row r="128" spans="1:27" x14ac:dyDescent="0.35">
      <c r="A128" s="238"/>
      <c r="B128" s="208"/>
      <c r="C128" s="5"/>
      <c r="D128" s="208"/>
      <c r="E128" s="5"/>
      <c r="F128" s="208"/>
      <c r="G128" s="5"/>
      <c r="H128" s="208"/>
      <c r="I128" s="5"/>
      <c r="J128" s="208"/>
      <c r="K128" s="5"/>
      <c r="L128" s="208"/>
      <c r="M128" s="5"/>
      <c r="N128" s="208"/>
      <c r="O128" s="5"/>
      <c r="P128" s="208"/>
      <c r="Q128" s="5"/>
      <c r="R128" s="208"/>
      <c r="S128" s="5"/>
      <c r="T128" s="208"/>
      <c r="U128" s="5"/>
      <c r="V128" s="208"/>
      <c r="W128" s="209"/>
      <c r="X128" s="208"/>
      <c r="Y128" s="209"/>
    </row>
    <row r="129" spans="1:27" x14ac:dyDescent="0.35">
      <c r="A129" s="236" t="s">
        <v>470</v>
      </c>
      <c r="B129" s="199"/>
      <c r="C129" s="107"/>
      <c r="D129" s="199"/>
      <c r="E129" s="107"/>
      <c r="F129" s="199"/>
      <c r="G129" s="107"/>
      <c r="H129" s="199"/>
      <c r="I129" s="107"/>
      <c r="J129" s="199"/>
      <c r="K129" s="107"/>
      <c r="L129" s="199"/>
      <c r="M129" s="107"/>
      <c r="N129" s="199"/>
      <c r="O129" s="107"/>
      <c r="P129" s="199"/>
      <c r="Q129" s="107"/>
      <c r="R129" s="199"/>
      <c r="S129" s="107"/>
      <c r="T129" s="199"/>
      <c r="U129" s="107"/>
      <c r="V129" s="199"/>
      <c r="W129" s="200"/>
      <c r="X129" s="199"/>
      <c r="Y129" s="200"/>
      <c r="AA129" s="362" t="s">
        <v>468</v>
      </c>
    </row>
    <row r="130" spans="1:27" x14ac:dyDescent="0.35">
      <c r="A130" s="363" t="s">
        <v>471</v>
      </c>
      <c r="B130" s="208">
        <f t="shared" ref="B130:Y130" si="72">B52*B133</f>
        <v>0</v>
      </c>
      <c r="C130" s="5">
        <f t="shared" si="72"/>
        <v>1.0245674113870502</v>
      </c>
      <c r="D130" s="208">
        <f t="shared" si="72"/>
        <v>0</v>
      </c>
      <c r="E130" s="5">
        <f t="shared" si="72"/>
        <v>2.7413681724985572</v>
      </c>
      <c r="F130" s="208">
        <f t="shared" si="72"/>
        <v>0</v>
      </c>
      <c r="G130" s="5">
        <f t="shared" si="72"/>
        <v>0.86369850717086172</v>
      </c>
      <c r="H130" s="208">
        <f t="shared" si="72"/>
        <v>0</v>
      </c>
      <c r="I130" s="5">
        <f t="shared" si="72"/>
        <v>1.4813498878348046</v>
      </c>
      <c r="J130" s="208">
        <f t="shared" si="72"/>
        <v>0</v>
      </c>
      <c r="K130" s="5">
        <f t="shared" si="72"/>
        <v>1.1077470981696458</v>
      </c>
      <c r="L130" s="208">
        <f t="shared" si="72"/>
        <v>0</v>
      </c>
      <c r="M130" s="5">
        <f t="shared" si="72"/>
        <v>2.4714839657013603</v>
      </c>
      <c r="N130" s="208">
        <f t="shared" si="72"/>
        <v>0</v>
      </c>
      <c r="O130" s="5">
        <f t="shared" si="72"/>
        <v>0.15161184065212729</v>
      </c>
      <c r="P130" s="208">
        <f t="shared" si="72"/>
        <v>0</v>
      </c>
      <c r="Q130" s="5">
        <f t="shared" si="72"/>
        <v>1.7009585982767488</v>
      </c>
      <c r="R130" s="208">
        <f t="shared" si="72"/>
        <v>0</v>
      </c>
      <c r="S130" s="5">
        <f t="shared" si="72"/>
        <v>0.51372013193666011</v>
      </c>
      <c r="T130" s="208">
        <f t="shared" si="72"/>
        <v>0</v>
      </c>
      <c r="U130" s="5">
        <f t="shared" si="72"/>
        <v>3.1443154656764936</v>
      </c>
      <c r="V130" s="208">
        <f t="shared" si="72"/>
        <v>0</v>
      </c>
      <c r="W130" s="209">
        <f t="shared" si="72"/>
        <v>1.7215399984811797</v>
      </c>
      <c r="X130" s="208">
        <f t="shared" si="72"/>
        <v>0</v>
      </c>
      <c r="Y130" s="209">
        <f t="shared" si="72"/>
        <v>2.3037146596800007</v>
      </c>
    </row>
    <row r="131" spans="1:27" x14ac:dyDescent="0.35">
      <c r="A131" s="363"/>
      <c r="B131" s="208"/>
      <c r="C131" s="5">
        <f>SUM(B130:C130)</f>
        <v>1.0245674113870502</v>
      </c>
      <c r="D131" s="208"/>
      <c r="E131" s="5">
        <f>SUM(D130:E130)</f>
        <v>2.7413681724985572</v>
      </c>
      <c r="F131" s="208"/>
      <c r="G131" s="5">
        <f>SUM(F130:G130)</f>
        <v>0.86369850717086172</v>
      </c>
      <c r="H131" s="208"/>
      <c r="I131" s="5">
        <f>SUM(H130:I130)</f>
        <v>1.4813498878348046</v>
      </c>
      <c r="J131" s="208"/>
      <c r="K131" s="5">
        <f>SUM(J130:K130)</f>
        <v>1.1077470981696458</v>
      </c>
      <c r="L131" s="208"/>
      <c r="M131" s="5">
        <f>SUM(L130:M130)</f>
        <v>2.4714839657013603</v>
      </c>
      <c r="N131" s="208"/>
      <c r="O131" s="5">
        <f>SUM(N130:O130)</f>
        <v>0.15161184065212729</v>
      </c>
      <c r="P131" s="208"/>
      <c r="Q131" s="5">
        <f>SUM(P130:Q130)</f>
        <v>1.7009585982767488</v>
      </c>
      <c r="R131" s="208"/>
      <c r="S131" s="5">
        <f>SUM(R130:S130)</f>
        <v>0.51372013193666011</v>
      </c>
      <c r="T131" s="208"/>
      <c r="U131" s="5">
        <f>SUM(T130:U130)</f>
        <v>3.1443154656764936</v>
      </c>
      <c r="V131" s="208"/>
      <c r="W131" s="5">
        <f>SUM(V130:W130)</f>
        <v>1.7215399984811797</v>
      </c>
      <c r="X131" s="208"/>
      <c r="Y131" s="5">
        <f>SUM(X130:Y130)</f>
        <v>2.3037146596800007</v>
      </c>
    </row>
    <row r="132" spans="1:27" x14ac:dyDescent="0.35">
      <c r="A132" s="234"/>
      <c r="B132" s="208"/>
      <c r="C132" s="5"/>
      <c r="D132" s="208"/>
      <c r="E132" s="5"/>
      <c r="F132" s="208"/>
      <c r="G132" s="5"/>
      <c r="H132" s="208"/>
      <c r="I132" s="5"/>
      <c r="J132" s="208"/>
      <c r="K132" s="5"/>
      <c r="L132" s="208"/>
      <c r="M132" s="5"/>
      <c r="N132" s="208"/>
      <c r="O132" s="5"/>
      <c r="P132" s="208"/>
      <c r="Q132" s="5"/>
      <c r="R132" s="208"/>
      <c r="S132" s="5"/>
      <c r="T132" s="208"/>
      <c r="U132" s="5"/>
      <c r="V132" s="208"/>
      <c r="W132" s="209"/>
      <c r="X132" s="208"/>
      <c r="Y132" s="209"/>
    </row>
    <row r="133" spans="1:27" x14ac:dyDescent="0.35">
      <c r="A133" s="229" t="s">
        <v>472</v>
      </c>
      <c r="B133" s="211">
        <v>0.14000000000000001</v>
      </c>
      <c r="C133" s="14">
        <v>0.14000000000000001</v>
      </c>
      <c r="D133" s="211">
        <v>0.14000000000000001</v>
      </c>
      <c r="E133" s="14">
        <v>0.14000000000000001</v>
      </c>
      <c r="F133" s="211">
        <v>0.14000000000000001</v>
      </c>
      <c r="G133" s="14">
        <v>0.14000000000000001</v>
      </c>
      <c r="H133" s="211">
        <v>0.14000000000000001</v>
      </c>
      <c r="I133" s="14">
        <v>0.14000000000000001</v>
      </c>
      <c r="J133" s="211">
        <v>0.14000000000000001</v>
      </c>
      <c r="K133" s="14">
        <v>0.14000000000000001</v>
      </c>
      <c r="L133" s="211">
        <v>0.14000000000000001</v>
      </c>
      <c r="M133" s="14">
        <v>0.14000000000000001</v>
      </c>
      <c r="N133" s="211">
        <v>0.14000000000000001</v>
      </c>
      <c r="O133" s="14">
        <v>0.14000000000000001</v>
      </c>
      <c r="P133" s="211">
        <v>0.14000000000000001</v>
      </c>
      <c r="Q133" s="14">
        <v>0.14000000000000001</v>
      </c>
      <c r="R133" s="211">
        <v>0.14000000000000001</v>
      </c>
      <c r="S133" s="14">
        <v>0.14000000000000001</v>
      </c>
      <c r="T133" s="211">
        <v>0.14000000000000001</v>
      </c>
      <c r="U133" s="14">
        <v>0.14000000000000001</v>
      </c>
      <c r="V133" s="211">
        <v>0.14000000000000001</v>
      </c>
      <c r="W133" s="212">
        <v>0.14000000000000001</v>
      </c>
      <c r="X133" s="211">
        <v>0.14000000000000001</v>
      </c>
      <c r="Y133" s="212">
        <v>0.14000000000000001</v>
      </c>
      <c r="AA133" s="179" t="s">
        <v>172</v>
      </c>
    </row>
    <row r="134" spans="1:27" x14ac:dyDescent="0.35">
      <c r="A134" s="236" t="s">
        <v>208</v>
      </c>
      <c r="B134" s="220"/>
      <c r="C134" s="221"/>
      <c r="D134" s="220"/>
      <c r="E134" s="221"/>
      <c r="F134" s="220"/>
      <c r="G134" s="221"/>
      <c r="H134" s="220"/>
      <c r="I134" s="221"/>
      <c r="J134" s="220"/>
      <c r="K134" s="221"/>
      <c r="L134" s="220"/>
      <c r="M134" s="221"/>
      <c r="N134" s="220"/>
      <c r="O134" s="221"/>
      <c r="P134" s="220"/>
      <c r="Q134" s="221"/>
      <c r="R134" s="220"/>
      <c r="S134" s="221"/>
      <c r="T134" s="220"/>
      <c r="U134" s="221"/>
      <c r="V134" s="220"/>
      <c r="W134" s="222"/>
      <c r="X134" s="220"/>
      <c r="Y134" s="222"/>
    </row>
    <row r="135" spans="1:27" x14ac:dyDescent="0.35">
      <c r="A135" s="234" t="s">
        <v>161</v>
      </c>
      <c r="B135" s="208">
        <f t="shared" ref="B135:Y135" si="73">B55+B79+B89+B99+B114</f>
        <v>0</v>
      </c>
      <c r="C135" s="5">
        <f t="shared" si="73"/>
        <v>6.9340575439908458E-2</v>
      </c>
      <c r="D135" s="208">
        <f t="shared" si="73"/>
        <v>0</v>
      </c>
      <c r="E135" s="5">
        <f t="shared" si="73"/>
        <v>10.917340665818083</v>
      </c>
      <c r="F135" s="208">
        <f t="shared" si="73"/>
        <v>0</v>
      </c>
      <c r="G135" s="5">
        <f t="shared" si="73"/>
        <v>3.2910785579525812</v>
      </c>
      <c r="H135" s="208">
        <f t="shared" si="73"/>
        <v>0</v>
      </c>
      <c r="I135" s="5">
        <f t="shared" si="73"/>
        <v>18.406394395044927</v>
      </c>
      <c r="J135" s="208">
        <f t="shared" si="73"/>
        <v>0</v>
      </c>
      <c r="K135" s="5">
        <f t="shared" si="73"/>
        <v>4.6837131450769345</v>
      </c>
      <c r="L135" s="208">
        <f t="shared" si="73"/>
        <v>0</v>
      </c>
      <c r="M135" s="5">
        <f t="shared" si="73"/>
        <v>0</v>
      </c>
      <c r="N135" s="208">
        <f t="shared" si="73"/>
        <v>0</v>
      </c>
      <c r="O135" s="5">
        <f t="shared" si="73"/>
        <v>13.988371870690607</v>
      </c>
      <c r="P135" s="208">
        <f t="shared" si="73"/>
        <v>0</v>
      </c>
      <c r="Q135" s="5">
        <f t="shared" si="73"/>
        <v>4.4943476576398682</v>
      </c>
      <c r="R135" s="208">
        <f t="shared" si="73"/>
        <v>0</v>
      </c>
      <c r="S135" s="5">
        <f t="shared" si="73"/>
        <v>22.747560018046745</v>
      </c>
      <c r="T135" s="208">
        <f t="shared" si="73"/>
        <v>0</v>
      </c>
      <c r="U135" s="5">
        <f t="shared" si="73"/>
        <v>8.2370660188984353</v>
      </c>
      <c r="V135" s="208">
        <f t="shared" si="73"/>
        <v>0.28702719999999998</v>
      </c>
      <c r="W135" s="209">
        <f t="shared" si="73"/>
        <v>2.1563137644449397</v>
      </c>
      <c r="X135" s="208">
        <f t="shared" si="73"/>
        <v>0</v>
      </c>
      <c r="Y135" s="209">
        <f t="shared" si="73"/>
        <v>4.5695416378521596</v>
      </c>
    </row>
    <row r="136" spans="1:27" x14ac:dyDescent="0.35">
      <c r="A136" s="234" t="s">
        <v>162</v>
      </c>
      <c r="B136" s="208">
        <f t="shared" ref="B136:Y136" si="74">B56+B80+B90+B100+B115</f>
        <v>0</v>
      </c>
      <c r="C136" s="5">
        <f t="shared" si="74"/>
        <v>6.3004977700298532</v>
      </c>
      <c r="D136" s="208">
        <f t="shared" si="74"/>
        <v>0</v>
      </c>
      <c r="E136" s="5">
        <f t="shared" si="74"/>
        <v>0.77789096787845691</v>
      </c>
      <c r="F136" s="208">
        <f t="shared" si="74"/>
        <v>0</v>
      </c>
      <c r="G136" s="5">
        <f t="shared" si="74"/>
        <v>7.7481528385876262</v>
      </c>
      <c r="H136" s="208">
        <f t="shared" si="74"/>
        <v>0</v>
      </c>
      <c r="I136" s="5">
        <f t="shared" si="74"/>
        <v>0.76235639129303712</v>
      </c>
      <c r="J136" s="208">
        <f t="shared" si="74"/>
        <v>0</v>
      </c>
      <c r="K136" s="5">
        <f t="shared" si="74"/>
        <v>0.49275442651862122</v>
      </c>
      <c r="L136" s="208">
        <f t="shared" si="74"/>
        <v>0</v>
      </c>
      <c r="M136" s="5">
        <f t="shared" si="74"/>
        <v>0</v>
      </c>
      <c r="N136" s="208">
        <f t="shared" si="74"/>
        <v>0</v>
      </c>
      <c r="O136" s="5">
        <f t="shared" si="74"/>
        <v>11.668476047424395</v>
      </c>
      <c r="P136" s="208">
        <f t="shared" si="74"/>
        <v>0</v>
      </c>
      <c r="Q136" s="5">
        <f t="shared" si="74"/>
        <v>3.9711354947149786</v>
      </c>
      <c r="R136" s="208">
        <f t="shared" si="74"/>
        <v>0</v>
      </c>
      <c r="S136" s="5">
        <f t="shared" si="74"/>
        <v>1.2271027146347855</v>
      </c>
      <c r="T136" s="208">
        <f t="shared" si="74"/>
        <v>0</v>
      </c>
      <c r="U136" s="5">
        <f t="shared" si="74"/>
        <v>0.16844348246378527</v>
      </c>
      <c r="V136" s="208">
        <f t="shared" si="74"/>
        <v>0</v>
      </c>
      <c r="W136" s="209">
        <f t="shared" si="74"/>
        <v>4.2162117907519097</v>
      </c>
      <c r="X136" s="208">
        <f t="shared" si="74"/>
        <v>0</v>
      </c>
      <c r="Y136" s="209">
        <f t="shared" si="74"/>
        <v>4.018185017697073</v>
      </c>
    </row>
    <row r="137" spans="1:27" x14ac:dyDescent="0.35">
      <c r="A137" s="234" t="s">
        <v>163</v>
      </c>
      <c r="B137" s="208">
        <f t="shared" ref="B137:Y137" si="75">B57+B81+B91+B101+B116</f>
        <v>0</v>
      </c>
      <c r="C137" s="5">
        <f t="shared" si="75"/>
        <v>9.0221619791764791</v>
      </c>
      <c r="D137" s="208">
        <f t="shared" si="75"/>
        <v>0</v>
      </c>
      <c r="E137" s="5">
        <f t="shared" si="75"/>
        <v>2.9245767613667013</v>
      </c>
      <c r="F137" s="208">
        <f t="shared" si="75"/>
        <v>0</v>
      </c>
      <c r="G137" s="5">
        <f t="shared" si="75"/>
        <v>5.971364297641049</v>
      </c>
      <c r="H137" s="208">
        <f t="shared" si="75"/>
        <v>0</v>
      </c>
      <c r="I137" s="5">
        <f t="shared" si="75"/>
        <v>0</v>
      </c>
      <c r="J137" s="208">
        <f t="shared" si="75"/>
        <v>0</v>
      </c>
      <c r="K137" s="5">
        <f t="shared" si="75"/>
        <v>15.95435964367303</v>
      </c>
      <c r="L137" s="208">
        <f t="shared" si="75"/>
        <v>0</v>
      </c>
      <c r="M137" s="5">
        <f t="shared" si="75"/>
        <v>14.927594834072515</v>
      </c>
      <c r="N137" s="208">
        <f t="shared" si="75"/>
        <v>0</v>
      </c>
      <c r="O137" s="5">
        <f t="shared" si="75"/>
        <v>0</v>
      </c>
      <c r="P137" s="208">
        <f t="shared" si="75"/>
        <v>0</v>
      </c>
      <c r="Q137" s="5">
        <f t="shared" si="75"/>
        <v>0</v>
      </c>
      <c r="R137" s="208">
        <f t="shared" si="75"/>
        <v>0</v>
      </c>
      <c r="S137" s="5">
        <f t="shared" si="75"/>
        <v>0</v>
      </c>
      <c r="T137" s="208">
        <f t="shared" si="75"/>
        <v>0</v>
      </c>
      <c r="U137" s="5">
        <f t="shared" si="75"/>
        <v>2.3424197518677152</v>
      </c>
      <c r="V137" s="208">
        <f t="shared" si="75"/>
        <v>0</v>
      </c>
      <c r="W137" s="209">
        <f t="shared" si="75"/>
        <v>4.7415716648278528</v>
      </c>
      <c r="X137" s="208">
        <f t="shared" si="75"/>
        <v>0</v>
      </c>
      <c r="Y137" s="209">
        <f t="shared" si="75"/>
        <v>0</v>
      </c>
    </row>
    <row r="138" spans="1:27" x14ac:dyDescent="0.35">
      <c r="A138" s="234" t="s">
        <v>285</v>
      </c>
      <c r="B138" s="208">
        <f>B130</f>
        <v>0</v>
      </c>
      <c r="C138" s="5">
        <f t="shared" ref="C138:Y138" si="76">C130</f>
        <v>1.0245674113870502</v>
      </c>
      <c r="D138" s="208">
        <f t="shared" si="76"/>
        <v>0</v>
      </c>
      <c r="E138" s="5">
        <f t="shared" si="76"/>
        <v>2.7413681724985572</v>
      </c>
      <c r="F138" s="208">
        <f t="shared" si="76"/>
        <v>0</v>
      </c>
      <c r="G138" s="5">
        <f t="shared" si="76"/>
        <v>0.86369850717086172</v>
      </c>
      <c r="H138" s="208">
        <f t="shared" si="76"/>
        <v>0</v>
      </c>
      <c r="I138" s="5">
        <f t="shared" si="76"/>
        <v>1.4813498878348046</v>
      </c>
      <c r="J138" s="208">
        <f t="shared" si="76"/>
        <v>0</v>
      </c>
      <c r="K138" s="5">
        <f t="shared" si="76"/>
        <v>1.1077470981696458</v>
      </c>
      <c r="L138" s="208">
        <f t="shared" si="76"/>
        <v>0</v>
      </c>
      <c r="M138" s="5">
        <f t="shared" si="76"/>
        <v>2.4714839657013603</v>
      </c>
      <c r="N138" s="208">
        <f t="shared" si="76"/>
        <v>0</v>
      </c>
      <c r="O138" s="5">
        <f t="shared" si="76"/>
        <v>0.15161184065212729</v>
      </c>
      <c r="P138" s="208">
        <f t="shared" si="76"/>
        <v>0</v>
      </c>
      <c r="Q138" s="5">
        <f t="shared" si="76"/>
        <v>1.7009585982767488</v>
      </c>
      <c r="R138" s="208">
        <f t="shared" si="76"/>
        <v>0</v>
      </c>
      <c r="S138" s="5">
        <f t="shared" si="76"/>
        <v>0.51372013193666011</v>
      </c>
      <c r="T138" s="208">
        <f t="shared" si="76"/>
        <v>0</v>
      </c>
      <c r="U138" s="5">
        <f t="shared" si="76"/>
        <v>3.1443154656764936</v>
      </c>
      <c r="V138" s="208">
        <f t="shared" ref="V138:W138" si="77">V130</f>
        <v>0</v>
      </c>
      <c r="W138" s="209">
        <f t="shared" si="77"/>
        <v>1.7215399984811797</v>
      </c>
      <c r="X138" s="208">
        <f t="shared" si="76"/>
        <v>0</v>
      </c>
      <c r="Y138" s="209">
        <f t="shared" si="76"/>
        <v>2.3037146596800007</v>
      </c>
    </row>
    <row r="139" spans="1:27" x14ac:dyDescent="0.35">
      <c r="A139" s="358" t="s">
        <v>209</v>
      </c>
      <c r="B139" s="208"/>
      <c r="C139" s="5"/>
      <c r="D139" s="208"/>
      <c r="E139" s="5"/>
      <c r="F139" s="208"/>
      <c r="G139" s="5"/>
      <c r="H139" s="208"/>
      <c r="I139" s="5"/>
      <c r="J139" s="208"/>
      <c r="K139" s="5"/>
      <c r="L139" s="208"/>
      <c r="M139" s="5"/>
      <c r="N139" s="208"/>
      <c r="O139" s="5"/>
      <c r="P139" s="208"/>
      <c r="Q139" s="5"/>
      <c r="R139" s="208"/>
      <c r="S139" s="5"/>
      <c r="T139" s="208"/>
      <c r="U139" s="5"/>
      <c r="V139" s="208"/>
      <c r="W139" s="209"/>
      <c r="X139" s="208"/>
      <c r="Y139" s="209"/>
    </row>
    <row r="140" spans="1:27" x14ac:dyDescent="0.35">
      <c r="A140" s="234" t="s">
        <v>161</v>
      </c>
      <c r="B140" s="223" t="str">
        <f t="shared" ref="B140:Y140" si="78">IF(B43=0,"",B135/B43)</f>
        <v/>
      </c>
      <c r="C140" s="259">
        <f t="shared" si="78"/>
        <v>0.53817599999999999</v>
      </c>
      <c r="D140" s="223" t="str">
        <f t="shared" si="78"/>
        <v/>
      </c>
      <c r="E140" s="259">
        <f t="shared" si="78"/>
        <v>0.53817599999999988</v>
      </c>
      <c r="F140" s="223" t="str">
        <f t="shared" si="78"/>
        <v/>
      </c>
      <c r="G140" s="259">
        <f t="shared" si="78"/>
        <v>0.53817599999999999</v>
      </c>
      <c r="H140" s="223" t="str">
        <f t="shared" si="78"/>
        <v/>
      </c>
      <c r="I140" s="259">
        <f t="shared" si="78"/>
        <v>0.53817599999999988</v>
      </c>
      <c r="J140" s="223" t="str">
        <f t="shared" si="78"/>
        <v/>
      </c>
      <c r="K140" s="259">
        <f t="shared" si="78"/>
        <v>0.53817599999999999</v>
      </c>
      <c r="L140" s="223" t="str">
        <f t="shared" si="78"/>
        <v/>
      </c>
      <c r="M140" s="259" t="str">
        <f t="shared" si="78"/>
        <v/>
      </c>
      <c r="N140" s="223" t="str">
        <f t="shared" si="78"/>
        <v/>
      </c>
      <c r="O140" s="259">
        <f t="shared" si="78"/>
        <v>0.53817599999999999</v>
      </c>
      <c r="P140" s="223" t="str">
        <f t="shared" si="78"/>
        <v/>
      </c>
      <c r="Q140" s="259">
        <f t="shared" si="78"/>
        <v>0.53817599999999999</v>
      </c>
      <c r="R140" s="223" t="str">
        <f t="shared" si="78"/>
        <v/>
      </c>
      <c r="S140" s="259">
        <f t="shared" si="78"/>
        <v>0.53817599999999999</v>
      </c>
      <c r="T140" s="223" t="str">
        <f t="shared" si="78"/>
        <v/>
      </c>
      <c r="U140" s="259">
        <f t="shared" si="78"/>
        <v>0.53817599999999999</v>
      </c>
      <c r="V140" s="223" t="str">
        <f t="shared" si="78"/>
        <v/>
      </c>
      <c r="W140" s="224">
        <f t="shared" si="78"/>
        <v>0.53817599999999988</v>
      </c>
      <c r="X140" s="223" t="str">
        <f t="shared" si="78"/>
        <v/>
      </c>
      <c r="Y140" s="224">
        <f t="shared" si="78"/>
        <v>0.53817599999999999</v>
      </c>
    </row>
    <row r="141" spans="1:27" x14ac:dyDescent="0.35">
      <c r="A141" s="234" t="s">
        <v>162</v>
      </c>
      <c r="B141" s="223" t="str">
        <f t="shared" ref="B141:Y141" si="79">IF(B44=0,"",B136/B44)</f>
        <v/>
      </c>
      <c r="C141" s="259">
        <f t="shared" si="79"/>
        <v>0.47552391999999999</v>
      </c>
      <c r="D141" s="223" t="str">
        <f t="shared" si="79"/>
        <v/>
      </c>
      <c r="E141" s="259">
        <f t="shared" si="79"/>
        <v>0.47552391999999999</v>
      </c>
      <c r="F141" s="223" t="str">
        <f t="shared" si="79"/>
        <v/>
      </c>
      <c r="G141" s="259">
        <f t="shared" si="79"/>
        <v>0.47552391999999993</v>
      </c>
      <c r="H141" s="223" t="str">
        <f t="shared" si="79"/>
        <v/>
      </c>
      <c r="I141" s="259">
        <f t="shared" si="79"/>
        <v>0.47552391999999988</v>
      </c>
      <c r="J141" s="223" t="str">
        <f t="shared" si="79"/>
        <v/>
      </c>
      <c r="K141" s="259">
        <f t="shared" si="79"/>
        <v>0.47552392000000004</v>
      </c>
      <c r="L141" s="223" t="str">
        <f t="shared" si="79"/>
        <v/>
      </c>
      <c r="M141" s="259" t="str">
        <f t="shared" si="79"/>
        <v/>
      </c>
      <c r="N141" s="223" t="str">
        <f t="shared" si="79"/>
        <v/>
      </c>
      <c r="O141" s="259">
        <f t="shared" si="79"/>
        <v>0.47552391999999993</v>
      </c>
      <c r="P141" s="223" t="str">
        <f t="shared" si="79"/>
        <v/>
      </c>
      <c r="Q141" s="259">
        <f t="shared" si="79"/>
        <v>0.47552391999999999</v>
      </c>
      <c r="R141" s="223" t="str">
        <f t="shared" si="79"/>
        <v/>
      </c>
      <c r="S141" s="259">
        <f t="shared" si="79"/>
        <v>0.47552392000000004</v>
      </c>
      <c r="T141" s="223" t="str">
        <f t="shared" si="79"/>
        <v/>
      </c>
      <c r="U141" s="259">
        <f t="shared" si="79"/>
        <v>0.47552392000000004</v>
      </c>
      <c r="V141" s="223" t="str">
        <f t="shared" si="79"/>
        <v/>
      </c>
      <c r="W141" s="224">
        <f t="shared" si="79"/>
        <v>0.4755239200000001</v>
      </c>
      <c r="X141" s="223" t="str">
        <f t="shared" si="79"/>
        <v/>
      </c>
      <c r="Y141" s="224">
        <f t="shared" si="79"/>
        <v>0.47552392000000004</v>
      </c>
    </row>
    <row r="142" spans="1:27" x14ac:dyDescent="0.35">
      <c r="A142" s="234" t="s">
        <v>163</v>
      </c>
      <c r="B142" s="223" t="str">
        <f t="shared" ref="B142:Y142" si="80">IF(B45=0,"",B137/B45)</f>
        <v/>
      </c>
      <c r="C142" s="259">
        <f t="shared" si="80"/>
        <v>0.53817599999999988</v>
      </c>
      <c r="D142" s="223" t="str">
        <f t="shared" si="80"/>
        <v/>
      </c>
      <c r="E142" s="259">
        <f t="shared" si="80"/>
        <v>0.53817599999999999</v>
      </c>
      <c r="F142" s="223" t="str">
        <f t="shared" si="80"/>
        <v/>
      </c>
      <c r="G142" s="259">
        <f t="shared" si="80"/>
        <v>0.53817599999999999</v>
      </c>
      <c r="H142" s="223" t="str">
        <f t="shared" si="80"/>
        <v/>
      </c>
      <c r="I142" s="259" t="str">
        <f t="shared" si="80"/>
        <v/>
      </c>
      <c r="J142" s="223" t="str">
        <f t="shared" si="80"/>
        <v/>
      </c>
      <c r="K142" s="259">
        <f t="shared" si="80"/>
        <v>0.53817599999999988</v>
      </c>
      <c r="L142" s="223" t="str">
        <f t="shared" si="80"/>
        <v/>
      </c>
      <c r="M142" s="259">
        <f t="shared" si="80"/>
        <v>0.53817599999999999</v>
      </c>
      <c r="N142" s="223" t="str">
        <f t="shared" si="80"/>
        <v/>
      </c>
      <c r="O142" s="259" t="str">
        <f t="shared" si="80"/>
        <v/>
      </c>
      <c r="P142" s="223" t="str">
        <f t="shared" si="80"/>
        <v/>
      </c>
      <c r="Q142" s="259" t="str">
        <f t="shared" si="80"/>
        <v/>
      </c>
      <c r="R142" s="223" t="str">
        <f t="shared" si="80"/>
        <v/>
      </c>
      <c r="S142" s="259" t="str">
        <f t="shared" si="80"/>
        <v/>
      </c>
      <c r="T142" s="223" t="str">
        <f t="shared" si="80"/>
        <v/>
      </c>
      <c r="U142" s="259">
        <f t="shared" si="80"/>
        <v>0.53817599999999999</v>
      </c>
      <c r="V142" s="223" t="str">
        <f t="shared" si="80"/>
        <v/>
      </c>
      <c r="W142" s="224">
        <f t="shared" si="80"/>
        <v>0.53817599999999999</v>
      </c>
      <c r="X142" s="223" t="str">
        <f t="shared" si="80"/>
        <v/>
      </c>
      <c r="Y142" s="224" t="str">
        <f t="shared" si="80"/>
        <v/>
      </c>
    </row>
    <row r="143" spans="1:27" x14ac:dyDescent="0.35">
      <c r="A143" s="237" t="s">
        <v>285</v>
      </c>
      <c r="B143" s="223" t="str">
        <f t="shared" ref="B143:Y143" si="81">IF(B46=0,"",B138/B46)</f>
        <v/>
      </c>
      <c r="C143" s="259">
        <f t="shared" si="81"/>
        <v>8.4000000000000005E-2</v>
      </c>
      <c r="D143" s="223" t="str">
        <f t="shared" si="81"/>
        <v/>
      </c>
      <c r="E143" s="259">
        <f t="shared" si="81"/>
        <v>8.4000000000000005E-2</v>
      </c>
      <c r="F143" s="223" t="str">
        <f t="shared" si="81"/>
        <v/>
      </c>
      <c r="G143" s="259">
        <f t="shared" si="81"/>
        <v>8.4000000000000005E-2</v>
      </c>
      <c r="H143" s="223" t="str">
        <f t="shared" si="81"/>
        <v/>
      </c>
      <c r="I143" s="259">
        <f t="shared" si="81"/>
        <v>8.4000000000000005E-2</v>
      </c>
      <c r="J143" s="223" t="str">
        <f t="shared" si="81"/>
        <v/>
      </c>
      <c r="K143" s="259">
        <f t="shared" si="81"/>
        <v>8.4000000000000005E-2</v>
      </c>
      <c r="L143" s="223" t="str">
        <f t="shared" si="81"/>
        <v/>
      </c>
      <c r="M143" s="259">
        <f t="shared" si="81"/>
        <v>8.4000000000000005E-2</v>
      </c>
      <c r="N143" s="223" t="str">
        <f t="shared" si="81"/>
        <v/>
      </c>
      <c r="O143" s="259">
        <f t="shared" si="81"/>
        <v>8.4000000000000019E-2</v>
      </c>
      <c r="P143" s="223" t="str">
        <f t="shared" si="81"/>
        <v/>
      </c>
      <c r="Q143" s="259">
        <f t="shared" si="81"/>
        <v>8.3999999999999991E-2</v>
      </c>
      <c r="R143" s="223" t="str">
        <f t="shared" si="81"/>
        <v/>
      </c>
      <c r="S143" s="259">
        <f t="shared" si="81"/>
        <v>8.4000000000000005E-2</v>
      </c>
      <c r="T143" s="223" t="str">
        <f t="shared" si="81"/>
        <v/>
      </c>
      <c r="U143" s="259">
        <f t="shared" si="81"/>
        <v>8.4000000000000005E-2</v>
      </c>
      <c r="V143" s="223" t="str">
        <f t="shared" si="81"/>
        <v/>
      </c>
      <c r="W143" s="224">
        <f t="shared" si="81"/>
        <v>8.4000000000000005E-2</v>
      </c>
      <c r="X143" s="223" t="str">
        <f t="shared" si="81"/>
        <v/>
      </c>
      <c r="Y143" s="224">
        <f t="shared" si="81"/>
        <v>8.4000000000000005E-2</v>
      </c>
    </row>
    <row r="144" spans="1:27" x14ac:dyDescent="0.35">
      <c r="A144" s="234"/>
      <c r="B144" s="191"/>
      <c r="D144" s="191"/>
      <c r="F144" s="191"/>
      <c r="H144" s="191"/>
      <c r="J144" s="191"/>
      <c r="L144" s="191"/>
      <c r="M144" s="192"/>
      <c r="P144" s="191"/>
      <c r="R144" s="191"/>
      <c r="T144" s="191"/>
      <c r="V144" s="191"/>
      <c r="W144" s="192"/>
      <c r="X144" s="191"/>
      <c r="Y144" s="192"/>
    </row>
    <row r="145" spans="1:26" x14ac:dyDescent="0.35">
      <c r="A145" s="236" t="s">
        <v>210</v>
      </c>
      <c r="B145" s="199"/>
      <c r="C145" s="107"/>
      <c r="D145" s="199"/>
      <c r="E145" s="107"/>
      <c r="F145" s="199"/>
      <c r="G145" s="107"/>
      <c r="H145" s="199"/>
      <c r="I145" s="107"/>
      <c r="J145" s="199"/>
      <c r="K145" s="107"/>
      <c r="L145" s="199"/>
      <c r="M145" s="200"/>
      <c r="N145" s="107"/>
      <c r="O145" s="107"/>
      <c r="P145" s="199"/>
      <c r="Q145" s="107"/>
      <c r="R145" s="199"/>
      <c r="S145" s="107"/>
      <c r="T145" s="199"/>
      <c r="U145" s="107"/>
      <c r="V145" s="199"/>
      <c r="W145" s="200"/>
      <c r="X145" s="199"/>
      <c r="Y145" s="200"/>
    </row>
    <row r="146" spans="1:26" x14ac:dyDescent="0.35">
      <c r="A146" s="234" t="s">
        <v>161</v>
      </c>
      <c r="B146" s="208">
        <f t="shared" ref="B146:Y146" si="82">B43-B135</f>
        <v>0</v>
      </c>
      <c r="C146" s="5">
        <f t="shared" si="82"/>
        <v>5.9503102910498207E-2</v>
      </c>
      <c r="D146" s="208">
        <f t="shared" si="82"/>
        <v>0</v>
      </c>
      <c r="E146" s="5">
        <f t="shared" si="82"/>
        <v>9.3684778504629929</v>
      </c>
      <c r="F146" s="208">
        <f t="shared" si="82"/>
        <v>0</v>
      </c>
      <c r="G146" s="5">
        <f t="shared" si="82"/>
        <v>2.8241673057659447</v>
      </c>
      <c r="H146" s="208">
        <f t="shared" si="82"/>
        <v>0</v>
      </c>
      <c r="I146" s="5">
        <f t="shared" si="82"/>
        <v>15.795046016725443</v>
      </c>
      <c r="J146" s="208">
        <f t="shared" si="82"/>
        <v>0</v>
      </c>
      <c r="K146" s="5">
        <f t="shared" si="82"/>
        <v>4.0192263116750109</v>
      </c>
      <c r="L146" s="208">
        <f t="shared" si="82"/>
        <v>0</v>
      </c>
      <c r="M146" s="209">
        <f t="shared" si="82"/>
        <v>0</v>
      </c>
      <c r="N146" s="5">
        <f t="shared" si="82"/>
        <v>0</v>
      </c>
      <c r="O146" s="5">
        <f t="shared" si="82"/>
        <v>12.003816318100061</v>
      </c>
      <c r="P146" s="208">
        <f t="shared" si="82"/>
        <v>0</v>
      </c>
      <c r="Q146" s="5">
        <f t="shared" si="82"/>
        <v>3.8567264475596739</v>
      </c>
      <c r="R146" s="208">
        <f t="shared" si="82"/>
        <v>0</v>
      </c>
      <c r="S146" s="5">
        <f t="shared" si="82"/>
        <v>19.520322641244537</v>
      </c>
      <c r="T146" s="208">
        <f t="shared" si="82"/>
        <v>0</v>
      </c>
      <c r="U146" s="5">
        <f t="shared" si="82"/>
        <v>7.0684586029695691</v>
      </c>
      <c r="V146" s="208">
        <f t="shared" si="82"/>
        <v>-0.28702719999999998</v>
      </c>
      <c r="W146" s="209">
        <f t="shared" si="82"/>
        <v>1.8503936406510513</v>
      </c>
      <c r="X146" s="208">
        <f t="shared" si="82"/>
        <v>0</v>
      </c>
      <c r="Y146" s="209">
        <f t="shared" si="82"/>
        <v>3.9212525221478405</v>
      </c>
    </row>
    <row r="147" spans="1:26" x14ac:dyDescent="0.35">
      <c r="A147" s="234" t="s">
        <v>162</v>
      </c>
      <c r="B147" s="208">
        <f t="shared" ref="B147:Y147" si="83">B44-B136</f>
        <v>0</v>
      </c>
      <c r="C147" s="5">
        <f t="shared" si="83"/>
        <v>6.949093901467668</v>
      </c>
      <c r="D147" s="208">
        <f t="shared" si="83"/>
        <v>0</v>
      </c>
      <c r="E147" s="5">
        <f t="shared" si="83"/>
        <v>0.85796989034810078</v>
      </c>
      <c r="F147" s="208">
        <f t="shared" si="83"/>
        <v>0</v>
      </c>
      <c r="G147" s="5">
        <f t="shared" si="83"/>
        <v>8.5457758424083323</v>
      </c>
      <c r="H147" s="208">
        <f t="shared" si="83"/>
        <v>0</v>
      </c>
      <c r="I147" s="5">
        <f t="shared" si="83"/>
        <v>0.84083612800869911</v>
      </c>
      <c r="J147" s="208">
        <f t="shared" si="83"/>
        <v>0</v>
      </c>
      <c r="K147" s="5">
        <f t="shared" si="83"/>
        <v>0.54348035746158563</v>
      </c>
      <c r="L147" s="208">
        <f t="shared" si="83"/>
        <v>0</v>
      </c>
      <c r="M147" s="5">
        <f t="shared" si="83"/>
        <v>0</v>
      </c>
      <c r="N147" s="208">
        <f t="shared" si="83"/>
        <v>0</v>
      </c>
      <c r="O147" s="5">
        <f t="shared" si="83"/>
        <v>12.869671365695005</v>
      </c>
      <c r="P147" s="208">
        <f t="shared" si="83"/>
        <v>0</v>
      </c>
      <c r="Q147" s="5">
        <f t="shared" si="83"/>
        <v>4.3799386104845635</v>
      </c>
      <c r="R147" s="208">
        <f t="shared" si="83"/>
        <v>0</v>
      </c>
      <c r="S147" s="5">
        <f t="shared" si="83"/>
        <v>1.353425126393244</v>
      </c>
      <c r="T147" s="208">
        <f t="shared" si="83"/>
        <v>0</v>
      </c>
      <c r="U147" s="5">
        <f t="shared" si="83"/>
        <v>0.18578366653806777</v>
      </c>
      <c r="V147" s="208">
        <f t="shared" si="83"/>
        <v>0</v>
      </c>
      <c r="W147" s="209">
        <f t="shared" si="83"/>
        <v>4.6502439508476066</v>
      </c>
      <c r="X147" s="208">
        <f t="shared" si="83"/>
        <v>0</v>
      </c>
      <c r="Y147" s="209">
        <f t="shared" si="83"/>
        <v>4.4318315823029284</v>
      </c>
    </row>
    <row r="148" spans="1:26" x14ac:dyDescent="0.35">
      <c r="A148" s="234" t="s">
        <v>163</v>
      </c>
      <c r="B148" s="208">
        <f t="shared" ref="B148:Y148" si="84">B45-B137</f>
        <v>0</v>
      </c>
      <c r="C148" s="5">
        <f t="shared" si="84"/>
        <v>7.7421715830345459</v>
      </c>
      <c r="D148" s="208">
        <f t="shared" si="84"/>
        <v>0</v>
      </c>
      <c r="E148" s="5">
        <f t="shared" si="84"/>
        <v>2.5096617802380923</v>
      </c>
      <c r="F148" s="208">
        <f t="shared" si="84"/>
        <v>0</v>
      </c>
      <c r="G148" s="5">
        <f t="shared" si="84"/>
        <v>5.1241960722770621</v>
      </c>
      <c r="H148" s="208">
        <f t="shared" si="84"/>
        <v>0</v>
      </c>
      <c r="I148" s="5">
        <f t="shared" si="84"/>
        <v>0</v>
      </c>
      <c r="J148" s="208">
        <f t="shared" si="84"/>
        <v>0</v>
      </c>
      <c r="K148" s="5">
        <f t="shared" si="84"/>
        <v>13.690885859049189</v>
      </c>
      <c r="L148" s="208">
        <f t="shared" si="84"/>
        <v>0</v>
      </c>
      <c r="M148" s="5">
        <f t="shared" si="84"/>
        <v>12.809790025290436</v>
      </c>
      <c r="N148" s="208">
        <f t="shared" si="84"/>
        <v>0</v>
      </c>
      <c r="O148" s="5">
        <f t="shared" si="84"/>
        <v>0</v>
      </c>
      <c r="P148" s="208">
        <f t="shared" si="84"/>
        <v>0</v>
      </c>
      <c r="Q148" s="5">
        <f t="shared" si="84"/>
        <v>0</v>
      </c>
      <c r="R148" s="208">
        <f t="shared" si="84"/>
        <v>0</v>
      </c>
      <c r="S148" s="5">
        <f t="shared" si="84"/>
        <v>0</v>
      </c>
      <c r="T148" s="208">
        <f t="shared" si="84"/>
        <v>0</v>
      </c>
      <c r="U148" s="5">
        <f t="shared" si="84"/>
        <v>2.0100964358993263</v>
      </c>
      <c r="V148" s="208">
        <f t="shared" si="84"/>
        <v>0</v>
      </c>
      <c r="W148" s="209">
        <f t="shared" si="84"/>
        <v>4.0688763388509672</v>
      </c>
      <c r="X148" s="208">
        <f t="shared" si="84"/>
        <v>0</v>
      </c>
      <c r="Y148" s="209">
        <f t="shared" si="84"/>
        <v>0</v>
      </c>
    </row>
    <row r="149" spans="1:26" x14ac:dyDescent="0.35">
      <c r="A149" s="234" t="s">
        <v>285</v>
      </c>
      <c r="B149" s="208">
        <f t="shared" ref="B149:Y149" si="85">B46-B138</f>
        <v>0</v>
      </c>
      <c r="C149" s="5">
        <f t="shared" si="85"/>
        <v>11.172663676554023</v>
      </c>
      <c r="D149" s="208">
        <f t="shared" si="85"/>
        <v>0</v>
      </c>
      <c r="E149" s="5">
        <f t="shared" si="85"/>
        <v>29.893967214389026</v>
      </c>
      <c r="F149" s="208">
        <f t="shared" si="85"/>
        <v>0</v>
      </c>
      <c r="G149" s="5">
        <f t="shared" si="85"/>
        <v>9.4184265781965397</v>
      </c>
      <c r="H149" s="208">
        <f t="shared" si="85"/>
        <v>0</v>
      </c>
      <c r="I149" s="5">
        <f t="shared" si="85"/>
        <v>16.153767824484298</v>
      </c>
      <c r="J149" s="208">
        <f t="shared" si="85"/>
        <v>0</v>
      </c>
      <c r="K149" s="5">
        <f t="shared" si="85"/>
        <v>12.079718356230897</v>
      </c>
      <c r="L149" s="208">
        <f t="shared" si="85"/>
        <v>0</v>
      </c>
      <c r="M149" s="5">
        <f t="shared" si="85"/>
        <v>26.95094419741007</v>
      </c>
      <c r="N149" s="208">
        <f t="shared" si="85"/>
        <v>0</v>
      </c>
      <c r="O149" s="5">
        <f t="shared" si="85"/>
        <v>1.6532910242541496</v>
      </c>
      <c r="P149" s="208">
        <f t="shared" si="85"/>
        <v>0</v>
      </c>
      <c r="Q149" s="5">
        <f t="shared" si="85"/>
        <v>18.548548524065499</v>
      </c>
      <c r="R149" s="208">
        <f t="shared" si="85"/>
        <v>0</v>
      </c>
      <c r="S149" s="5">
        <f t="shared" si="85"/>
        <v>5.6019957244521503</v>
      </c>
      <c r="T149" s="208">
        <f t="shared" si="85"/>
        <v>0</v>
      </c>
      <c r="U149" s="5">
        <f t="shared" si="85"/>
        <v>34.288011506662713</v>
      </c>
      <c r="V149" s="208">
        <f t="shared" si="85"/>
        <v>0</v>
      </c>
      <c r="W149" s="209">
        <f t="shared" si="85"/>
        <v>18.772983792961433</v>
      </c>
      <c r="X149" s="208">
        <f t="shared" si="85"/>
        <v>0</v>
      </c>
      <c r="Y149" s="209">
        <f t="shared" si="85"/>
        <v>25.121459860320005</v>
      </c>
    </row>
    <row r="150" spans="1:26" x14ac:dyDescent="0.35">
      <c r="A150" s="237" t="s">
        <v>211</v>
      </c>
      <c r="B150" s="225"/>
      <c r="C150" s="5">
        <f>SUM(B146:C149)</f>
        <v>25.923432263966735</v>
      </c>
      <c r="D150" s="225"/>
      <c r="E150" s="5">
        <f>SUM(D146:E149)</f>
        <v>42.630076735438209</v>
      </c>
      <c r="F150" s="225"/>
      <c r="G150" s="5">
        <f>SUM(F146:G149)</f>
        <v>25.912565798647876</v>
      </c>
      <c r="H150" s="225"/>
      <c r="I150" s="5">
        <f>SUM(H146:I149)</f>
        <v>32.789649969218445</v>
      </c>
      <c r="J150" s="225"/>
      <c r="K150" s="5">
        <f>SUM(J146:K149)</f>
        <v>30.333310884416683</v>
      </c>
      <c r="L150" s="225"/>
      <c r="M150" s="5">
        <f>SUM(L146:M149)</f>
        <v>39.760734222700506</v>
      </c>
      <c r="N150" s="225"/>
      <c r="O150" s="5">
        <f>SUM(N146:O149)</f>
        <v>26.526778708049214</v>
      </c>
      <c r="P150" s="225"/>
      <c r="Q150" s="5">
        <f>SUM(P146:Q149)</f>
        <v>26.785213582109737</v>
      </c>
      <c r="R150" s="225"/>
      <c r="S150" s="5">
        <f>SUM(R146:S149)</f>
        <v>26.475743492089933</v>
      </c>
      <c r="T150" s="225"/>
      <c r="U150" s="5">
        <f>SUM(T146:U149)</f>
        <v>43.552350212069676</v>
      </c>
      <c r="V150" s="225"/>
      <c r="W150" s="209">
        <f>SUM(V146:W149)</f>
        <v>29.055470523311058</v>
      </c>
      <c r="X150" s="225"/>
      <c r="Y150" s="209">
        <f>SUM(X146:Y149)</f>
        <v>33.474543964770774</v>
      </c>
    </row>
    <row r="151" spans="1:26" x14ac:dyDescent="0.35">
      <c r="A151" s="229"/>
      <c r="B151" s="191"/>
      <c r="D151" s="191"/>
      <c r="F151" s="191"/>
      <c r="H151" s="191"/>
      <c r="J151" s="191"/>
      <c r="L151" s="191"/>
      <c r="N151" s="191"/>
      <c r="P151" s="191"/>
      <c r="R151" s="191"/>
      <c r="T151" s="191"/>
      <c r="V151" s="191"/>
      <c r="W151" s="192"/>
      <c r="X151" s="191"/>
      <c r="Y151" s="192"/>
    </row>
    <row r="152" spans="1:26" x14ac:dyDescent="0.35">
      <c r="A152" s="236" t="s">
        <v>464</v>
      </c>
      <c r="B152" s="191"/>
      <c r="D152" s="191"/>
      <c r="F152" s="191"/>
      <c r="H152" s="191"/>
      <c r="J152" s="191"/>
      <c r="L152" s="191"/>
      <c r="N152" s="191"/>
      <c r="P152" s="191"/>
      <c r="R152" s="191"/>
      <c r="T152" s="191"/>
      <c r="V152" s="191"/>
      <c r="W152" s="192"/>
      <c r="X152" s="191"/>
      <c r="Y152" s="192"/>
    </row>
    <row r="153" spans="1:26" x14ac:dyDescent="0.35">
      <c r="A153" s="234" t="s">
        <v>465</v>
      </c>
      <c r="B153" s="208">
        <f>C150</f>
        <v>25.923432263966735</v>
      </c>
      <c r="C153" s="5"/>
      <c r="D153" s="208">
        <f>E150</f>
        <v>42.630076735438209</v>
      </c>
      <c r="E153" s="5"/>
      <c r="F153" s="208">
        <f>G150</f>
        <v>25.912565798647876</v>
      </c>
      <c r="G153" s="5"/>
      <c r="H153" s="208">
        <f>I150</f>
        <v>32.789649969218445</v>
      </c>
      <c r="I153" s="5"/>
      <c r="J153" s="208">
        <f>K150</f>
        <v>30.333310884416683</v>
      </c>
      <c r="K153" s="5"/>
      <c r="L153" s="208">
        <f>M150</f>
        <v>39.760734222700506</v>
      </c>
      <c r="M153" s="5"/>
      <c r="N153" s="208">
        <f>O150</f>
        <v>26.526778708049214</v>
      </c>
      <c r="O153" s="5"/>
      <c r="P153" s="208">
        <f>Q150</f>
        <v>26.785213582109737</v>
      </c>
      <c r="Q153" s="5"/>
      <c r="R153" s="208">
        <f>S150</f>
        <v>26.475743492089933</v>
      </c>
      <c r="S153" s="5"/>
      <c r="T153" s="208">
        <f>U150</f>
        <v>43.552350212069676</v>
      </c>
      <c r="U153" s="5"/>
      <c r="V153" s="208">
        <f>W150</f>
        <v>29.055470523311058</v>
      </c>
      <c r="W153" s="209"/>
      <c r="X153" s="208">
        <f>Y150</f>
        <v>33.474543964770774</v>
      </c>
      <c r="Y153" s="209"/>
      <c r="Z153" s="6"/>
    </row>
    <row r="154" spans="1:26" x14ac:dyDescent="0.35">
      <c r="A154" s="234" t="s">
        <v>560</v>
      </c>
      <c r="B154" s="208">
        <f>Excreted_N_after_losses_DK/((Production!$B$5*'Parameters, country spec'!$B$51*('EFP per kg feed'!F20)+(Production!$B$6+Production!$B$7)*'Parameters, country spec'!$B$52*('EFP per kg feed'!F21))+(Production!$L$5*'Parameters, country spec'!$B$51*'Parameters, country spec'!B15*'Forage crops, footprints'!F8+(Production!$B$6+Production!$B$7)*'Parameters, country spec'!$B$52*'Parameters, country spec'!B33*'Forage crops, footprints'!F8))*10000</f>
        <v>139.48355832585315</v>
      </c>
      <c r="C154" s="5"/>
      <c r="D154" s="208">
        <f>Excreted_N_after_losses_FR/((Production!$C$5*'Parameters, country spec'!$C$51*('EFP per kg feed'!F36)+(Production!$C$6+Production!$C$7)*'Parameters, country spec'!$C$52*('EFP per kg feed'!F37))+(Production!$C$5*'Parameters, country spec'!$C$51*'Parameters, country spec'!C15*'Forage crops, footprints'!F9+(Production!$C$6+Production!$C$7)*'Parameters, country spec'!$C$52*'Parameters, country spec'!C33*'Forage crops, footprints'!F9))*10000</f>
        <v>165.29063354772023</v>
      </c>
      <c r="E154" s="5"/>
      <c r="F154" s="208">
        <f>Excreted_N_after_losses_DE/((Production!$D$5*'Parameters, country spec'!$D$51*('EFP per kg feed'!F52)+(Production!$D$6+Production!$D$7)*'Parameters, country spec'!$D$52*('EFP per kg feed'!F53))+(Production!$D$5*'Parameters, country spec'!$D$51*'Parameters, country spec'!D15*'Forage crops, footprints'!F10+(Production!$D$6+Production!$D$7)*'Parameters, country spec'!$D$52*'Parameters, country spec'!DD33*'Forage crops, footprints'!F10))*10000</f>
        <v>200.63875136680917</v>
      </c>
      <c r="G154" s="5"/>
      <c r="H154" s="208">
        <f>Excreted_N_after_losses_GR/((Production!$E$5*'Parameters, country spec'!$E$51*('EFP per kg feed'!F68)+(Production!$E$6+Production!$E$7)*'Parameters, country spec'!$E$52*('EFP per kg feed'!F69))+(Production!$E$5*'Parameters, country spec'!$E$51*'Parameters, country spec'!E15*'Forage crops, footprints'!F11+(Production!$E$6+Production!$E$7)*'Parameters, country spec'!$E$52*'Parameters, country spec'!E33*'Forage crops, footprints'!F11))*10000</f>
        <v>48.571325734350701</v>
      </c>
      <c r="I154" s="5"/>
      <c r="J154" s="208">
        <f>Excreted_N_after_losses_HU/((Production!$F$5*'Parameters, country spec'!$F$51*('EFP per kg feed'!F84)+(Production!$F$6+Production!$F$7)*'Parameters, country spec'!$F$52*('EFP per kg feed'!F85))+(Production!$F$5*'Parameters, country spec'!$F$51*'Parameters, country spec'!F15*'Forage crops, footprints'!F12+(Production!$F$6+Production!$F$7)*'Parameters, country spec'!$F$52*'Parameters, country spec'!F33*'Forage crops, footprints'!F12))*10000</f>
        <v>69.08969328330106</v>
      </c>
      <c r="K154" s="5"/>
      <c r="L154" s="208">
        <f>Excreted_N_after_losses_IE/((Production!$G$5*'Parameters, country spec'!$G$51*('EFP per kg feed'!F100)+(Production!$G$6+Production!$G$7)*'Parameters, country spec'!$G$52*('EFP per kg feed'!F101))+(Production!$G$5*'Parameters, country spec'!$G$51*'Parameters, country spec'!G15*'Forage crops, footprints'!F13+(Production!$G$6+Production!$G$7)*'Parameters, country spec'!$G$52*'Parameters, country spec'!G33*'Forage crops, footprints'!F13))*10000</f>
        <v>92.275995502775174</v>
      </c>
      <c r="M154" s="5"/>
      <c r="N154" s="208">
        <f>Excreted_N_after_losses_IT/((Production!$H$5*'Parameters, country spec'!$H$51*('EFP per kg feed'!F116)+(Production!$H$6+Production!$H$7)*'Parameters, country spec'!$H$52*('EFP per kg feed'!F117))+(Production!$H$5*'Parameters, country spec'!$H$51*'Parameters, country spec'!H15*'Forage crops, footprints'!F14+(Production!$H$6+Production!$H$7)*'Parameters, country spec'!$H$52*'Parameters, country spec'!H33*'Forage crops, footprints'!F14))*10000</f>
        <v>81.817739365078225</v>
      </c>
      <c r="O154" s="5"/>
      <c r="P154" s="208">
        <f>Excreted_N_after_losses_NL/((Production!$I$5*'Parameters, country spec'!$I$51*('EFP per kg feed'!F132)+(Production!$I$6+Production!$I$7)*'Parameters, country spec'!$I$52*('EFP per kg feed'!F133))+(Production!$I$5*'Parameters, country spec'!$I$51*'Parameters, country spec'!I15*'Forage crops, footprints'!F15+(Production!$I$6+Production!$I$7)*'Parameters, country spec'!$I$52*'Parameters, country spec'!I33*'Forage crops, footprints'!F15))*10000</f>
        <v>56.333797695617534</v>
      </c>
      <c r="Q154" s="5"/>
      <c r="R154" s="208">
        <f>Excreted_N_after_losses_PL/((Production!$J$5*'Parameters, country spec'!$J$51*('EFP per kg feed'!F148)+(Production!$J$6+Production!$J$7)*'Parameters, country spec'!$J$52*('EFP per kg feed'!F149))+(Production!$J$5*'Parameters, country spec'!$J$51*'Parameters, country spec'!J15*'Forage crops, footprints'!F16+(Production!$J$6+Production!$J$7)*'Parameters, country spec'!$J$52*'Parameters, country spec'!J33*'Forage crops, footprints'!F16))*10000</f>
        <v>77.531657875430568</v>
      </c>
      <c r="S154" s="5"/>
      <c r="T154" s="208">
        <f>Excreted_N_after_losses_ES/((Production!$K$5*'Parameters, country spec'!$K$51*('EFP per kg feed'!F164)+(Production!$K$6+Production!$K$7)*'Parameters, country spec'!$K$52*('EFP per kg feed'!F165))+(Production!$K$5*'Parameters, country spec'!$K$51*'Parameters, country spec'!K15*'Forage crops, footprints'!F17+(Production!$K$6+Production!$K$7)*'Parameters, country spec'!$K$52*'Parameters, country spec'!K33*'Forage crops, footprints'!F17))*10000</f>
        <v>79.099688047412698</v>
      </c>
      <c r="U154" s="5"/>
      <c r="V154" s="201">
        <f>Excreted_N_after_losses_SE/((Production!$L$5*'Parameters, country spec'!$L$51*('EFP per kg feed'!F180)+(Production!$L$6+Production!$L$7)*'Parameters, country spec'!$L$52*('EFP per kg feed'!F181))+(Production!$L$5*'Parameters, country spec'!$L$51*'Parameters, country spec'!L15*'Forage crops, footprints'!F18+(Production!$L$6+Production!$L$7)*'Parameters, country spec'!$L$52*'Parameters, country spec'!L33*'Forage crops, footprints'!F18))*10000</f>
        <v>107.93401562109028</v>
      </c>
      <c r="W154" s="209"/>
      <c r="X154" s="208">
        <f>Excreted_N_after_losses_GB/((Production!$M$5*'Parameters, country spec'!$M$51*('EFP per kg feed'!F196)+(Production!$M$6+Production!$M$7)*'Parameters, country spec'!$M$52*('EFP per kg feed'!F197))+(Production!$M$5*'Parameters, country spec'!$M$51*'Parameters, country spec'!M15*'Forage crops, footprints'!F19+(Production!$M$6+Production!$M$7)*'Parameters, country spec'!$M$52*'Parameters, country spec'!M33*'Forage crops, footprints'!F19))*10000</f>
        <v>54.192458386462299</v>
      </c>
      <c r="Y154" s="209"/>
    </row>
    <row r="155" spans="1:26" x14ac:dyDescent="0.35">
      <c r="A155" s="234"/>
      <c r="B155" s="208"/>
      <c r="C155" s="5"/>
      <c r="D155" s="208"/>
      <c r="E155" s="5"/>
      <c r="F155" s="208"/>
      <c r="G155" s="5"/>
      <c r="H155" s="208"/>
      <c r="I155" s="5"/>
      <c r="J155" s="208"/>
      <c r="K155" s="5"/>
      <c r="L155" s="208"/>
      <c r="M155" s="5"/>
      <c r="N155" s="208"/>
      <c r="O155" s="5"/>
      <c r="P155" s="208"/>
      <c r="Q155" s="5"/>
      <c r="R155" s="208"/>
      <c r="S155" s="5"/>
      <c r="T155" s="208"/>
      <c r="U155" s="5"/>
      <c r="V155" s="216"/>
      <c r="W155" s="209"/>
      <c r="X155" s="208"/>
      <c r="Y155" s="209"/>
    </row>
    <row r="156" spans="1:26" x14ac:dyDescent="0.35">
      <c r="A156" s="236" t="s">
        <v>533</v>
      </c>
      <c r="B156" s="208"/>
      <c r="C156" s="5"/>
      <c r="D156" s="208"/>
      <c r="E156" s="5"/>
      <c r="F156" s="208"/>
      <c r="G156" s="5"/>
      <c r="H156" s="208"/>
      <c r="I156" s="5"/>
      <c r="J156" s="208"/>
      <c r="K156" s="5"/>
      <c r="L156" s="208"/>
      <c r="M156" s="5"/>
      <c r="N156" s="208"/>
      <c r="O156" s="5"/>
      <c r="P156" s="208"/>
      <c r="Q156" s="5"/>
      <c r="R156" s="208"/>
      <c r="S156" s="5"/>
      <c r="T156" s="208"/>
      <c r="U156" s="5"/>
      <c r="V156" s="208"/>
      <c r="W156" s="209"/>
      <c r="X156" s="208"/>
      <c r="Y156" s="209"/>
    </row>
    <row r="157" spans="1:26" x14ac:dyDescent="0.35">
      <c r="A157" s="234" t="s">
        <v>534</v>
      </c>
      <c r="B157" s="208"/>
      <c r="C157" s="5">
        <f>Excreted_N_after_losses_DK*'Parameters, country spec'!B80*44/28</f>
        <v>0.24442093277454349</v>
      </c>
      <c r="D157" s="208"/>
      <c r="E157" s="5">
        <f>Excreted_N_after_losses_FR*'Parameters, country spec'!C80*44/28</f>
        <v>0.4019407235055602</v>
      </c>
      <c r="F157" s="208"/>
      <c r="G157" s="5">
        <f>Excreted_N_after_losses_DE*'Parameters, country spec'!D80*44/28</f>
        <v>0.24431847753010857</v>
      </c>
      <c r="H157" s="208"/>
      <c r="I157" s="5">
        <f>Excreted_N_after_losses_GR*'Parameters, country spec'!E80*44/28</f>
        <v>0.30915955685263102</v>
      </c>
      <c r="J157" s="208"/>
      <c r="K157" s="5">
        <f>Excreted_N_after_losses_HU*'Parameters, country spec'!F80*44/28</f>
        <v>0.28599978833878587</v>
      </c>
      <c r="L157" s="208"/>
      <c r="M157" s="5">
        <f>Excreted_N_after_losses_IE*'Parameters, country spec'!G80*44/28</f>
        <v>0.37488692267117624</v>
      </c>
      <c r="N157" s="208"/>
      <c r="O157" s="5">
        <f>Excreted_N_after_losses_IT*'Parameters, country spec'!H80*44/28</f>
        <v>0.25010962781874974</v>
      </c>
      <c r="P157" s="208"/>
      <c r="Q157" s="5">
        <f>Excreted_N_after_losses_NL*'Parameters, country spec'!I80*44/28</f>
        <v>0.25254629948846324</v>
      </c>
      <c r="R157" s="208"/>
      <c r="S157" s="5">
        <f>Excreted_N_after_losses_PL*'Parameters, country spec'!J80*44/28</f>
        <v>0.2496284386397051</v>
      </c>
      <c r="T157" s="208"/>
      <c r="U157" s="5">
        <f>Excreted_N_after_losses_ES*'Parameters, country spec'!K80*44/28</f>
        <v>0.41063644485665696</v>
      </c>
      <c r="V157" s="208"/>
      <c r="W157" s="209">
        <f>Excreted_N_after_losses_SE*'Parameters, country spec'!J80*44/28</f>
        <v>0.27395157921979002</v>
      </c>
      <c r="X157" s="208"/>
      <c r="Y157" s="209">
        <f>Excreted_N_after_losses_GB*'Parameters, country spec'!L80*44/28</f>
        <v>0.31561712881069587</v>
      </c>
    </row>
    <row r="158" spans="1:26" x14ac:dyDescent="0.35">
      <c r="A158" s="234"/>
      <c r="B158" s="208"/>
      <c r="C158" s="5"/>
      <c r="D158" s="208"/>
      <c r="E158" s="5"/>
      <c r="F158" s="208"/>
      <c r="G158" s="5"/>
      <c r="H158" s="208"/>
      <c r="I158" s="5"/>
      <c r="J158" s="208"/>
      <c r="K158" s="5"/>
      <c r="L158" s="208"/>
      <c r="M158" s="5"/>
      <c r="N158" s="208"/>
      <c r="O158" s="5"/>
      <c r="P158" s="208"/>
      <c r="Q158" s="5"/>
      <c r="R158" s="208"/>
      <c r="S158" s="5"/>
      <c r="T158" s="208"/>
      <c r="U158" s="5"/>
      <c r="V158" s="208"/>
      <c r="W158" s="209"/>
      <c r="X158" s="208"/>
      <c r="Y158" s="209"/>
    </row>
    <row r="159" spans="1:26" x14ac:dyDescent="0.35">
      <c r="A159" s="236" t="s">
        <v>212</v>
      </c>
      <c r="B159" s="208"/>
      <c r="C159" s="5"/>
      <c r="D159" s="208"/>
      <c r="E159" s="5"/>
      <c r="F159" s="208"/>
      <c r="G159" s="5"/>
      <c r="H159" s="208"/>
      <c r="I159" s="5"/>
      <c r="J159" s="208"/>
      <c r="K159" s="5"/>
      <c r="L159" s="208"/>
      <c r="M159" s="5"/>
      <c r="N159" s="208"/>
      <c r="O159" s="5"/>
      <c r="P159" s="208"/>
      <c r="Q159" s="5"/>
      <c r="R159" s="208"/>
      <c r="S159" s="5"/>
      <c r="T159" s="208"/>
      <c r="U159" s="5"/>
      <c r="V159" s="208"/>
      <c r="W159" s="209"/>
      <c r="X159" s="208"/>
      <c r="Y159" s="209"/>
    </row>
    <row r="160" spans="1:26" x14ac:dyDescent="0.35">
      <c r="A160" s="234" t="s">
        <v>466</v>
      </c>
      <c r="B160" s="434"/>
      <c r="C160" s="435">
        <f>(C58+C82+C117+C131)*17/14</f>
        <v>16.093190885129591</v>
      </c>
      <c r="D160" s="434"/>
      <c r="E160" s="435">
        <f>(E58+E82+E117+E131)*17/14</f>
        <v>15.379392191038804</v>
      </c>
      <c r="F160" s="434"/>
      <c r="G160" s="435">
        <f>(G58+G82+G117+G131)*17/14</f>
        <v>17.769009944014208</v>
      </c>
      <c r="H160" s="434"/>
      <c r="I160" s="435">
        <f>(I58+I82+I117+I131)*17/14</f>
        <v>17.497309967562252</v>
      </c>
      <c r="J160" s="434"/>
      <c r="K160" s="435">
        <f>(K58+K82+K117+K131)*17/14</f>
        <v>18.513407881106897</v>
      </c>
      <c r="L160" s="434"/>
      <c r="M160" s="435">
        <f>(M58+M82+M117+M131)*17/14</f>
        <v>14.992101796747818</v>
      </c>
      <c r="N160" s="434"/>
      <c r="O160" s="435">
        <f>(O58+O82+O117+O131)*17/14</f>
        <v>25.395915911308155</v>
      </c>
      <c r="P160" s="434"/>
      <c r="Q160" s="435">
        <f>(Q58+Q82+Q117+Q131)*17/14</f>
        <v>10.431865613777324</v>
      </c>
      <c r="R160" s="434"/>
      <c r="S160" s="435">
        <f>(S58+S82+S117+S131)*17/14</f>
        <v>20.36611914778079</v>
      </c>
      <c r="T160" s="434"/>
      <c r="U160" s="435">
        <f>(U58+U82+U117+U131)*17/14</f>
        <v>12.51811317413566</v>
      </c>
      <c r="V160" s="434"/>
      <c r="W160" s="436">
        <f>(W58+W82+W117+W131)*17/14</f>
        <v>12.911656286363311</v>
      </c>
      <c r="X160" s="434"/>
      <c r="Y160" s="436">
        <f>(Y58+Y82+Y117+Y131)*17/14</f>
        <v>11.280536299579932</v>
      </c>
    </row>
    <row r="161" spans="1:25" x14ac:dyDescent="0.35">
      <c r="A161" s="240"/>
      <c r="B161" s="226"/>
      <c r="C161" s="227"/>
      <c r="D161" s="226"/>
      <c r="E161" s="227"/>
      <c r="F161" s="226"/>
      <c r="G161" s="227"/>
      <c r="H161" s="226"/>
      <c r="I161" s="227"/>
      <c r="J161" s="226"/>
      <c r="K161" s="227"/>
      <c r="L161" s="226"/>
      <c r="M161" s="227"/>
      <c r="N161" s="226"/>
      <c r="O161" s="227"/>
      <c r="P161" s="226"/>
      <c r="Q161" s="227"/>
      <c r="R161" s="226"/>
      <c r="S161" s="227"/>
      <c r="T161" s="226"/>
      <c r="U161" s="227"/>
      <c r="V161" s="226"/>
      <c r="W161" s="228"/>
      <c r="X161" s="226"/>
      <c r="Y161" s="228"/>
    </row>
    <row r="162" spans="1:25" x14ac:dyDescent="0.35">
      <c r="A162" s="178"/>
      <c r="B162" t="s">
        <v>35</v>
      </c>
      <c r="D162" t="s">
        <v>37</v>
      </c>
      <c r="F162" t="s">
        <v>39</v>
      </c>
      <c r="H162" t="s">
        <v>41</v>
      </c>
      <c r="J162" t="s">
        <v>43</v>
      </c>
      <c r="L162" t="s">
        <v>45</v>
      </c>
      <c r="N162" t="s">
        <v>47</v>
      </c>
      <c r="P162" t="s">
        <v>49</v>
      </c>
      <c r="R162" t="s">
        <v>51</v>
      </c>
      <c r="T162" t="s">
        <v>53</v>
      </c>
      <c r="V162" s="16" t="s">
        <v>55</v>
      </c>
      <c r="X162" s="16" t="s">
        <v>495</v>
      </c>
    </row>
    <row r="163" spans="1:25" x14ac:dyDescent="0.35">
      <c r="B163" s="172"/>
      <c r="C163" s="172"/>
      <c r="L163" s="179"/>
      <c r="M163" s="179"/>
    </row>
    <row r="172" spans="1:25" x14ac:dyDescent="0.35">
      <c r="T172" s="167"/>
    </row>
  </sheetData>
  <phoneticPr fontId="78" type="noConversion"/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>
    <tabColor theme="4" tint="0.79998168889431442"/>
  </sheetPr>
  <dimension ref="A1:U197"/>
  <sheetViews>
    <sheetView topLeftCell="A108" zoomScale="66" zoomScaleNormal="90" workbookViewId="0">
      <selection activeCell="T131" sqref="T131"/>
    </sheetView>
  </sheetViews>
  <sheetFormatPr defaultColWidth="8.7265625" defaultRowHeight="14.5" x14ac:dyDescent="0.35"/>
  <cols>
    <col min="1" max="1" width="8.7265625" customWidth="1"/>
    <col min="2" max="2" width="30.453125" customWidth="1"/>
    <col min="3" max="3" width="19" customWidth="1"/>
    <col min="4" max="4" width="12.7265625" customWidth="1"/>
    <col min="5" max="5" width="10.26953125" customWidth="1"/>
    <col min="6" max="6" width="12.7265625" style="15" customWidth="1"/>
    <col min="7" max="11" width="12.7265625" customWidth="1"/>
    <col min="12" max="12" width="14.26953125" customWidth="1"/>
    <col min="13" max="18" width="12.7265625" customWidth="1"/>
    <col min="19" max="19" width="8.7265625" style="3"/>
  </cols>
  <sheetData>
    <row r="1" spans="1:21" x14ac:dyDescent="0.35">
      <c r="F1" s="6"/>
    </row>
    <row r="2" spans="1:21" ht="21" x14ac:dyDescent="0.5">
      <c r="A2" s="2" t="s">
        <v>213</v>
      </c>
      <c r="G2" t="s">
        <v>427</v>
      </c>
      <c r="Q2" t="s">
        <v>214</v>
      </c>
    </row>
    <row r="3" spans="1:21" x14ac:dyDescent="0.35">
      <c r="I3" s="7"/>
      <c r="J3" s="7"/>
      <c r="K3" s="7"/>
      <c r="L3" s="7"/>
      <c r="M3" s="7"/>
      <c r="N3" s="7"/>
      <c r="O3" s="7"/>
      <c r="P3" s="7"/>
    </row>
    <row r="4" spans="1:21" ht="29" x14ac:dyDescent="0.35">
      <c r="A4" s="150" t="s">
        <v>215</v>
      </c>
      <c r="B4" s="142"/>
      <c r="C4" s="142"/>
      <c r="D4" s="142"/>
      <c r="E4" s="142"/>
      <c r="F4" s="290" t="s">
        <v>60</v>
      </c>
      <c r="G4" s="143" t="s">
        <v>61</v>
      </c>
      <c r="H4" s="144"/>
      <c r="I4" s="143" t="s">
        <v>62</v>
      </c>
      <c r="J4" s="95"/>
      <c r="K4" s="143" t="s">
        <v>63</v>
      </c>
      <c r="L4" s="95"/>
      <c r="M4" s="95"/>
      <c r="N4" s="95"/>
      <c r="O4" s="96" t="s">
        <v>64</v>
      </c>
      <c r="P4" s="96" t="s">
        <v>291</v>
      </c>
      <c r="Q4" s="145" t="s">
        <v>65</v>
      </c>
      <c r="R4" s="143" t="s">
        <v>216</v>
      </c>
      <c r="S4" s="347" t="s">
        <v>216</v>
      </c>
    </row>
    <row r="5" spans="1:21" ht="47.25" customHeight="1" x14ac:dyDescent="0.35">
      <c r="A5" s="89" t="s">
        <v>14</v>
      </c>
      <c r="B5" s="89" t="s">
        <v>215</v>
      </c>
      <c r="C5" s="89" t="s">
        <v>217</v>
      </c>
      <c r="D5" s="89" t="s">
        <v>17</v>
      </c>
      <c r="E5" s="146" t="s">
        <v>18</v>
      </c>
      <c r="F5" s="291"/>
      <c r="G5" s="90" t="s">
        <v>218</v>
      </c>
      <c r="H5" s="90" t="s">
        <v>71</v>
      </c>
      <c r="I5" s="90" t="s">
        <v>219</v>
      </c>
      <c r="J5" s="90" t="s">
        <v>220</v>
      </c>
      <c r="K5" s="90" t="s">
        <v>72</v>
      </c>
      <c r="L5" s="90" t="s">
        <v>73</v>
      </c>
      <c r="M5" s="90" t="s">
        <v>74</v>
      </c>
      <c r="N5" s="90" t="s">
        <v>75</v>
      </c>
      <c r="O5" s="90" t="s">
        <v>76</v>
      </c>
      <c r="P5" s="90" t="s">
        <v>291</v>
      </c>
      <c r="Q5" s="146" t="s">
        <v>221</v>
      </c>
      <c r="R5" s="90" t="s">
        <v>542</v>
      </c>
      <c r="S5" s="90" t="s">
        <v>278</v>
      </c>
    </row>
    <row r="6" spans="1:21" x14ac:dyDescent="0.35">
      <c r="B6" s="16" t="s">
        <v>285</v>
      </c>
      <c r="C6" s="15" t="s">
        <v>288</v>
      </c>
      <c r="D6" s="21" t="s">
        <v>85</v>
      </c>
      <c r="E6" s="21" t="s">
        <v>35</v>
      </c>
      <c r="F6" s="108">
        <f>SUM(G6:Q6)</f>
        <v>4.5558412802680318E-2</v>
      </c>
      <c r="G6" s="18">
        <f>'Forage crops, CF'!F8</f>
        <v>8.4353634553484096E-3</v>
      </c>
      <c r="H6" s="18">
        <f>'Forage crops, CF'!G8</f>
        <v>2.7E-2</v>
      </c>
      <c r="I6" s="18">
        <f>'Forage crops, CF'!H8</f>
        <v>0</v>
      </c>
      <c r="J6" s="18">
        <f>'Forage crops, CF'!I8</f>
        <v>0</v>
      </c>
      <c r="K6" s="18">
        <f>'Forage crops, CF'!J8</f>
        <v>1.012304934733191E-2</v>
      </c>
      <c r="L6" s="18">
        <f>'Forage crops, CF'!K8</f>
        <v>0</v>
      </c>
      <c r="M6" s="18">
        <f>'Forage crops, CF'!L8</f>
        <v>0</v>
      </c>
      <c r="N6" s="18">
        <f>'Forage crops, CF'!M8</f>
        <v>0</v>
      </c>
      <c r="O6" s="18">
        <f>'Forage crops, CF'!N8</f>
        <v>0</v>
      </c>
      <c r="P6" s="18">
        <f>'Forage crops, CF'!O8</f>
        <v>0</v>
      </c>
      <c r="Q6" s="18">
        <f>'Forage crops, CF'!P8</f>
        <v>0</v>
      </c>
      <c r="R6" s="148">
        <f>'Parameters, country spec'!B15</f>
        <v>1.3213875800981024E-2</v>
      </c>
      <c r="S6" s="148">
        <f>'Parameters, country spec'!B33</f>
        <v>1.3213875800981E-2</v>
      </c>
      <c r="U6" s="148"/>
    </row>
    <row r="7" spans="1:21" x14ac:dyDescent="0.35">
      <c r="B7" s="16" t="s">
        <v>286</v>
      </c>
      <c r="C7" s="15" t="s">
        <v>288</v>
      </c>
      <c r="D7" s="21" t="s">
        <v>85</v>
      </c>
      <c r="E7" s="21" t="s">
        <v>35</v>
      </c>
      <c r="F7" s="312">
        <f>SUM(G7:Q7)</f>
        <v>0.10194537808820778</v>
      </c>
      <c r="G7" s="18">
        <f>'Forage crops, CF'!F73</f>
        <v>9.4395684303457683E-3</v>
      </c>
      <c r="H7" s="18">
        <f>'Forage crops, CF'!G73</f>
        <v>2.7E-2</v>
      </c>
      <c r="I7" s="18">
        <f>'Forage crops, CF'!H73</f>
        <v>0</v>
      </c>
      <c r="J7" s="18">
        <f>'Forage crops, CF'!I73</f>
        <v>0</v>
      </c>
      <c r="K7" s="18">
        <f>'Forage crops, CF'!J73</f>
        <v>1.5780775925181002E-2</v>
      </c>
      <c r="L7" s="18">
        <f>'Forage crops, CF'!K73</f>
        <v>0</v>
      </c>
      <c r="M7" s="18">
        <f>'Forage crops, CF'!L73</f>
        <v>3.0250337326810095E-3</v>
      </c>
      <c r="N7" s="18">
        <f>'Forage crops, CF'!M73</f>
        <v>0</v>
      </c>
      <c r="O7" s="18">
        <f>'Forage crops, CF'!N73</f>
        <v>0</v>
      </c>
      <c r="P7" s="18">
        <f>'Forage crops, CF'!O73</f>
        <v>4.6700000000000005E-2</v>
      </c>
      <c r="Q7" s="18">
        <f>'Forage crops, CF'!P73</f>
        <v>0</v>
      </c>
      <c r="R7" s="148">
        <f>'Parameters, country spec'!B16</f>
        <v>0.2760369962266197</v>
      </c>
      <c r="S7" s="148">
        <f>'Parameters, country spec'!B34</f>
        <v>0.2760369962266197</v>
      </c>
    </row>
    <row r="8" spans="1:21" x14ac:dyDescent="0.35">
      <c r="B8" s="16" t="s">
        <v>287</v>
      </c>
      <c r="C8" s="15" t="s">
        <v>288</v>
      </c>
      <c r="D8" s="21" t="s">
        <v>85</v>
      </c>
      <c r="E8" s="21" t="s">
        <v>35</v>
      </c>
      <c r="F8" s="312">
        <f>SUM(G8:Q8)</f>
        <v>9.225445350075881E-2</v>
      </c>
      <c r="G8" s="18">
        <f>'Forage crops, CF'!F138*'Forage, input data per ha'!$E$78+'Forage crops, CF'!F203*'Forage, input data per ha'!$G$78</f>
        <v>8.4315109643010137E-3</v>
      </c>
      <c r="H8" s="18">
        <f>'Forage crops, CF'!G138*'Forage, input data per ha'!$E$78+'Forage crops, CF'!G203*'Forage, input data per ha'!$G$78</f>
        <v>2.7E-2</v>
      </c>
      <c r="I8" s="18">
        <f>'Forage crops, CF'!H138*'Forage, input data per ha'!$E$78+'Forage crops, CF'!H203*'Forage, input data per ha'!$G$78</f>
        <v>0</v>
      </c>
      <c r="J8" s="18">
        <f>'Forage crops, CF'!I138*'Forage, input data per ha'!$E$78+'Forage crops, CF'!I203*'Forage, input data per ha'!$G$78</f>
        <v>0</v>
      </c>
      <c r="K8" s="18">
        <f>'Forage crops, CF'!J138*'Forage, input data per ha'!$E$78+'Forage crops, CF'!J203*'Forage, input data per ha'!$G$78</f>
        <v>1.0122942536457786E-2</v>
      </c>
      <c r="L8" s="18">
        <f>'Forage crops, CF'!K138*'Forage, input data per ha'!$E$78+'Forage crops, CF'!K203*'Forage, input data per ha'!$G$78</f>
        <v>0</v>
      </c>
      <c r="M8" s="18">
        <f>'Forage crops, CF'!L138*'Forage, input data per ha'!$E$78+'Forage crops, CF'!L203*'Forage, input data per ha'!$G$78</f>
        <v>0</v>
      </c>
      <c r="N8" s="18">
        <f>'Forage crops, CF'!M138*'Forage, input data per ha'!$E$78+'Forage crops, CF'!M203*'Forage, input data per ha'!$G$78</f>
        <v>0</v>
      </c>
      <c r="O8" s="18">
        <f>'Forage crops, CF'!N138*'Forage, input data per ha'!$E$78+'Forage crops, CF'!N203*'Forage, input data per ha'!$G$78</f>
        <v>0</v>
      </c>
      <c r="P8" s="18">
        <f>'Forage crops, CF'!O138*'Forage, input data per ha'!$E$78+'Forage crops, CF'!O203*'Forage, input data per ha'!$G$78</f>
        <v>4.6700000000000005E-2</v>
      </c>
      <c r="Q8" s="18">
        <f>'Forage crops, CF'!P138*'Forage, input data per ha'!$E$78+'Forage crops, CF'!P203*'Forage, input data per ha'!$G$78</f>
        <v>0</v>
      </c>
      <c r="R8" s="148">
        <f>'Parameters, country spec'!B17</f>
        <v>0.61590538837145792</v>
      </c>
      <c r="S8" s="148">
        <f>'Parameters, country spec'!B35</f>
        <v>0.61590538837145792</v>
      </c>
    </row>
    <row r="9" spans="1:21" x14ac:dyDescent="0.35">
      <c r="A9" s="20" t="s">
        <v>222</v>
      </c>
      <c r="B9" s="15" t="s">
        <v>108</v>
      </c>
      <c r="C9" s="15" t="s">
        <v>223</v>
      </c>
      <c r="D9" s="21" t="s">
        <v>85</v>
      </c>
      <c r="E9" s="21" t="s">
        <v>35</v>
      </c>
      <c r="F9" s="108">
        <f>SUM(G9:Q9)</f>
        <v>0.16400000000000001</v>
      </c>
      <c r="G9" s="249">
        <v>6.4000000000000001E-2</v>
      </c>
      <c r="H9" s="249">
        <v>2.7E-2</v>
      </c>
      <c r="I9" s="249">
        <v>0</v>
      </c>
      <c r="J9" s="249"/>
      <c r="K9" s="249">
        <v>3.3000000000000002E-2</v>
      </c>
      <c r="L9" s="249"/>
      <c r="M9" s="249">
        <v>0</v>
      </c>
      <c r="N9" s="249">
        <v>0.04</v>
      </c>
      <c r="O9" s="249"/>
      <c r="P9" s="249"/>
      <c r="R9" s="148">
        <f>'Parameters, country spec'!B18</f>
        <v>5.1639112390513857E-3</v>
      </c>
      <c r="S9" s="148">
        <f>'Parameters, country spec'!B36</f>
        <v>5.1639112390513857E-3</v>
      </c>
    </row>
    <row r="10" spans="1:21" x14ac:dyDescent="0.35">
      <c r="A10" s="20" t="s">
        <v>224</v>
      </c>
      <c r="B10" s="15" t="s">
        <v>109</v>
      </c>
      <c r="C10" s="15" t="s">
        <v>223</v>
      </c>
      <c r="D10" s="21" t="s">
        <v>85</v>
      </c>
      <c r="E10" s="21" t="s">
        <v>35</v>
      </c>
      <c r="F10" s="108">
        <f>SUM(G10:Q10)</f>
        <v>0.161</v>
      </c>
      <c r="G10" s="249">
        <v>6.3E-2</v>
      </c>
      <c r="H10" s="249">
        <v>2.7E-2</v>
      </c>
      <c r="I10" s="249">
        <v>0</v>
      </c>
      <c r="J10" s="249"/>
      <c r="K10" s="249">
        <v>2.7E-2</v>
      </c>
      <c r="L10" s="249"/>
      <c r="M10" s="249">
        <v>4.0000000000000001E-3</v>
      </c>
      <c r="N10" s="249">
        <v>0.04</v>
      </c>
      <c r="O10" s="249"/>
      <c r="P10" s="249"/>
      <c r="R10" s="148">
        <f>'Parameters, country spec'!B19</f>
        <v>3.1075970320211814E-4</v>
      </c>
      <c r="S10" s="148">
        <f>'Parameters, country spec'!B37</f>
        <v>3.1075970320211814E-4</v>
      </c>
    </row>
    <row r="11" spans="1:21" x14ac:dyDescent="0.35">
      <c r="A11" s="20" t="s">
        <v>225</v>
      </c>
      <c r="B11" s="15" t="s">
        <v>110</v>
      </c>
      <c r="C11" s="15" t="s">
        <v>223</v>
      </c>
      <c r="D11" s="21" t="s">
        <v>85</v>
      </c>
      <c r="E11" s="21" t="s">
        <v>35</v>
      </c>
      <c r="F11" s="108">
        <f t="shared" ref="F11:F19" si="0">SUM(G11:Q11)</f>
        <v>0.16200000000000001</v>
      </c>
      <c r="G11" s="249">
        <v>5.7000000000000002E-2</v>
      </c>
      <c r="H11" s="249">
        <v>2.7E-2</v>
      </c>
      <c r="I11" s="249">
        <v>0</v>
      </c>
      <c r="J11" s="249"/>
      <c r="K11" s="249">
        <v>3.7999999999999999E-2</v>
      </c>
      <c r="L11" s="249"/>
      <c r="M11" s="249">
        <v>0</v>
      </c>
      <c r="N11" s="249">
        <v>0.04</v>
      </c>
      <c r="O11" s="249"/>
      <c r="P11" s="249"/>
      <c r="R11" s="148">
        <f>'Parameters, country spec'!B20</f>
        <v>8.6733359151412953E-5</v>
      </c>
      <c r="S11" s="148">
        <f>'Parameters, country spec'!B38</f>
        <v>8.6733359151412953E-5</v>
      </c>
    </row>
    <row r="12" spans="1:21" x14ac:dyDescent="0.35">
      <c r="A12" s="20" t="s">
        <v>226</v>
      </c>
      <c r="B12" s="15" t="s">
        <v>111</v>
      </c>
      <c r="C12" s="15" t="s">
        <v>223</v>
      </c>
      <c r="D12" s="21" t="s">
        <v>85</v>
      </c>
      <c r="E12" s="21" t="s">
        <v>35</v>
      </c>
      <c r="F12" s="108">
        <f t="shared" si="0"/>
        <v>0.14799999999999999</v>
      </c>
      <c r="G12" s="249">
        <v>0.05</v>
      </c>
      <c r="H12" s="249">
        <v>2.7E-2</v>
      </c>
      <c r="I12" s="249">
        <v>0</v>
      </c>
      <c r="J12" s="249"/>
      <c r="K12" s="249">
        <v>3.1E-2</v>
      </c>
      <c r="L12" s="249"/>
      <c r="M12" s="249">
        <v>0</v>
      </c>
      <c r="N12" s="249">
        <v>0.04</v>
      </c>
      <c r="O12" s="249"/>
      <c r="P12" s="249"/>
      <c r="R12" s="148">
        <f>'Parameters, country spec'!B21</f>
        <v>6.2924072151971947E-5</v>
      </c>
      <c r="S12" s="148">
        <f>'Parameters, country spec'!B39</f>
        <v>6.2924072151971947E-5</v>
      </c>
    </row>
    <row r="13" spans="1:21" x14ac:dyDescent="0.35">
      <c r="A13" s="20" t="s">
        <v>227</v>
      </c>
      <c r="B13" s="15" t="s">
        <v>112</v>
      </c>
      <c r="C13" s="15" t="s">
        <v>223</v>
      </c>
      <c r="D13" s="21" t="s">
        <v>85</v>
      </c>
      <c r="E13" s="21" t="s">
        <v>35</v>
      </c>
      <c r="F13" s="108">
        <f t="shared" si="0"/>
        <v>0.16600000000000001</v>
      </c>
      <c r="G13" s="249">
        <v>7.3999999999999996E-2</v>
      </c>
      <c r="H13" s="249">
        <v>2.7E-2</v>
      </c>
      <c r="I13" s="249">
        <v>0</v>
      </c>
      <c r="J13" s="249"/>
      <c r="K13" s="249">
        <v>2.5000000000000001E-2</v>
      </c>
      <c r="L13" s="249"/>
      <c r="M13" s="249">
        <v>0</v>
      </c>
      <c r="N13" s="249">
        <v>0.04</v>
      </c>
      <c r="O13" s="249"/>
      <c r="P13" s="249"/>
      <c r="R13" s="148">
        <f>'Parameters, country spec'!B22</f>
        <v>5.3306026591199238E-3</v>
      </c>
      <c r="S13" s="148">
        <f>'Parameters, country spec'!B40</f>
        <v>5.3306026591199238E-3</v>
      </c>
    </row>
    <row r="14" spans="1:21" x14ac:dyDescent="0.35">
      <c r="A14" s="20" t="s">
        <v>228</v>
      </c>
      <c r="B14" s="15" t="s">
        <v>113</v>
      </c>
      <c r="C14" s="15" t="s">
        <v>229</v>
      </c>
      <c r="D14" s="21" t="s">
        <v>85</v>
      </c>
      <c r="E14" s="21" t="s">
        <v>35</v>
      </c>
      <c r="F14" s="108">
        <f t="shared" si="0"/>
        <v>0.11199999999999999</v>
      </c>
      <c r="G14" s="249">
        <v>0</v>
      </c>
      <c r="H14" s="249">
        <v>2.7E-2</v>
      </c>
      <c r="I14" s="249">
        <v>0</v>
      </c>
      <c r="J14" s="249"/>
      <c r="K14" s="249">
        <v>4.4999999999999998E-2</v>
      </c>
      <c r="L14" s="249"/>
      <c r="M14" s="249">
        <v>0</v>
      </c>
      <c r="N14" s="249">
        <v>0.04</v>
      </c>
      <c r="O14" s="249"/>
      <c r="P14" s="249"/>
      <c r="R14" s="148">
        <f>'Parameters, country spec'!B23</f>
        <v>2.439015630520557E-4</v>
      </c>
      <c r="S14" s="148">
        <f>'Parameters, country spec'!B41</f>
        <v>2.439015630520557E-4</v>
      </c>
    </row>
    <row r="15" spans="1:21" x14ac:dyDescent="0.35">
      <c r="A15" s="20" t="s">
        <v>230</v>
      </c>
      <c r="B15" s="15" t="s">
        <v>114</v>
      </c>
      <c r="C15" s="15" t="s">
        <v>229</v>
      </c>
      <c r="D15" s="21" t="s">
        <v>85</v>
      </c>
      <c r="E15" s="21" t="s">
        <v>35</v>
      </c>
      <c r="F15" s="108">
        <f t="shared" si="0"/>
        <v>0.126</v>
      </c>
      <c r="G15" s="249">
        <v>3.0000000000000001E-3</v>
      </c>
      <c r="H15" s="249">
        <v>2.7E-2</v>
      </c>
      <c r="I15" s="249">
        <v>0</v>
      </c>
      <c r="J15" s="249"/>
      <c r="K15" s="249">
        <v>4.7E-2</v>
      </c>
      <c r="L15" s="249"/>
      <c r="M15" s="249">
        <v>8.9999999999999993E-3</v>
      </c>
      <c r="N15" s="249">
        <v>0.04</v>
      </c>
      <c r="O15" s="249"/>
      <c r="P15" s="249"/>
      <c r="R15" s="148">
        <f>'Parameters, country spec'!B24</f>
        <v>2.3959170998341588E-4</v>
      </c>
      <c r="S15" s="148">
        <f>'Parameters, country spec'!B42</f>
        <v>2.3959170998341588E-4</v>
      </c>
    </row>
    <row r="16" spans="1:21" x14ac:dyDescent="0.35">
      <c r="B16" s="16" t="s">
        <v>115</v>
      </c>
      <c r="C16" s="15" t="s">
        <v>231</v>
      </c>
      <c r="D16" s="21" t="s">
        <v>85</v>
      </c>
      <c r="E16" s="21" t="s">
        <v>35</v>
      </c>
      <c r="F16" s="108">
        <f>SUM(G16:P16)</f>
        <v>0.26008755742228495</v>
      </c>
      <c r="G16" s="18">
        <f>'Off-farm feed'!$F$74</f>
        <v>0.15910156565543246</v>
      </c>
      <c r="H16" s="18">
        <f>'Off-farm feed'!$G$74</f>
        <v>1.3034482758620692E-2</v>
      </c>
      <c r="I16" s="18">
        <f>'Off-farm feed'!$H$74</f>
        <v>0</v>
      </c>
      <c r="J16" s="18"/>
      <c r="K16" s="18">
        <f>'Off-farm feed'!$J$74</f>
        <v>2.4688740026345454E-2</v>
      </c>
      <c r="L16" s="18"/>
      <c r="M16" s="289">
        <f>'Off-farm feed'!$L$74</f>
        <v>1.931759303794134E-4</v>
      </c>
      <c r="N16" s="18">
        <f>'Off-farm feed'!$M$74</f>
        <v>3.6802128767029069E-2</v>
      </c>
      <c r="O16" s="18">
        <f>'Off-farm feed'!$N$74</f>
        <v>0</v>
      </c>
      <c r="P16" s="18">
        <f>'Off-farm feed'!$O$74</f>
        <v>2.6267464284477883E-2</v>
      </c>
      <c r="Q16" s="18">
        <f>'Off-farm feed'!$P$74</f>
        <v>1.6199999999999999E-2</v>
      </c>
      <c r="R16" s="148">
        <f>'Parameters, country spec'!B25</f>
        <v>1.5312279516773717E-2</v>
      </c>
      <c r="S16" s="148">
        <f>'Parameters, country spec'!B43</f>
        <v>1.5312279516773717E-2</v>
      </c>
    </row>
    <row r="17" spans="1:20" x14ac:dyDescent="0.35">
      <c r="B17" s="16" t="s">
        <v>232</v>
      </c>
      <c r="C17" s="15" t="s">
        <v>231</v>
      </c>
      <c r="D17" s="21" t="s">
        <v>85</v>
      </c>
      <c r="E17" s="21" t="s">
        <v>35</v>
      </c>
      <c r="F17" s="108">
        <f>SUM(G17:P17)</f>
        <v>0.45511717059976015</v>
      </c>
      <c r="G17" s="18">
        <f>'Off-farm feed'!$F$23</f>
        <v>7.2632670993098931E-3</v>
      </c>
      <c r="H17" s="18">
        <f>'Off-farm feed'!$G$23</f>
        <v>2.1402439024390246E-2</v>
      </c>
      <c r="I17" s="18">
        <f>'Off-farm feed'!$H$23</f>
        <v>0</v>
      </c>
      <c r="J17" s="18"/>
      <c r="K17" s="18">
        <f>'Off-farm feed'!$J$23</f>
        <v>4.308361966433235E-2</v>
      </c>
      <c r="L17" s="18"/>
      <c r="M17" s="289">
        <f>'Off-farm feed'!$L$23</f>
        <v>1.7842060425123844E-4</v>
      </c>
      <c r="N17" s="18">
        <f>'Off-farm feed'!$M$23</f>
        <v>3.0432604948959403E-2</v>
      </c>
      <c r="O17" s="18">
        <f>'Off-farm feed'!$N$23</f>
        <v>0.31761120248475611</v>
      </c>
      <c r="P17" s="18">
        <f>'Off-farm feed'!$O$23</f>
        <v>3.5145616773760872E-2</v>
      </c>
      <c r="Q17" s="18">
        <f>'Off-farm feed'!$P$23</f>
        <v>0.251</v>
      </c>
      <c r="R17" s="148">
        <f>'Parameters, country spec'!B26</f>
        <v>3.7726798982461625E-2</v>
      </c>
      <c r="S17" s="148">
        <f>'Parameters, country spec'!B44</f>
        <v>3.7726798982461625E-2</v>
      </c>
    </row>
    <row r="18" spans="1:20" x14ac:dyDescent="0.35">
      <c r="B18" s="15" t="s">
        <v>117</v>
      </c>
      <c r="C18" s="15" t="s">
        <v>233</v>
      </c>
      <c r="D18" s="21" t="s">
        <v>85</v>
      </c>
      <c r="E18" s="21" t="s">
        <v>35</v>
      </c>
      <c r="F18" s="108">
        <f t="shared" ref="F18" si="1">SUM(G18:Q18)</f>
        <v>0.63069821539340787</v>
      </c>
      <c r="G18" s="72">
        <v>4.5323617744314898E-2</v>
      </c>
      <c r="H18" s="14">
        <v>1.3510799999999899E-2</v>
      </c>
      <c r="I18" s="14"/>
      <c r="J18" s="12"/>
      <c r="K18" s="72">
        <v>3.4582976842042798E-2</v>
      </c>
      <c r="L18" s="12"/>
      <c r="M18" s="12"/>
      <c r="N18" s="72"/>
      <c r="O18" s="12"/>
      <c r="P18" s="14">
        <v>0.52550926010708199</v>
      </c>
      <c r="Q18" s="14">
        <v>1.1771560699968301E-2</v>
      </c>
      <c r="R18" s="148">
        <f>'Parameters, country spec'!B27</f>
        <v>1.6611298610472246E-2</v>
      </c>
      <c r="S18" s="148">
        <f>'Parameters, country spec'!B45</f>
        <v>1.6611298610472246E-2</v>
      </c>
      <c r="T18" t="s">
        <v>403</v>
      </c>
    </row>
    <row r="19" spans="1:20" x14ac:dyDescent="0.35">
      <c r="A19" s="75"/>
      <c r="B19" s="15" t="s">
        <v>234</v>
      </c>
      <c r="C19" s="76" t="s">
        <v>235</v>
      </c>
      <c r="D19" s="21" t="s">
        <v>85</v>
      </c>
      <c r="E19" s="21" t="s">
        <v>35</v>
      </c>
      <c r="F19" s="108">
        <f t="shared" si="0"/>
        <v>3.2732795753753041E-2</v>
      </c>
      <c r="G19" s="73">
        <f>SUMPRODUCT(G9:G17,$R9:$R17)</f>
        <v>3.4635690202689745E-3</v>
      </c>
      <c r="H19" s="73">
        <f t="shared" ref="H19:P19" si="2">SUMPRODUCT(H9:H17,$R9:$R17)</f>
        <v>1.3158706144183623E-3</v>
      </c>
      <c r="I19" s="73">
        <f t="shared" si="2"/>
        <v>0</v>
      </c>
      <c r="J19" s="73">
        <f t="shared" si="2"/>
        <v>0</v>
      </c>
      <c r="K19" s="73">
        <f t="shared" si="2"/>
        <v>2.342995490657637E-3</v>
      </c>
      <c r="L19" s="73">
        <f t="shared" si="2"/>
        <v>0</v>
      </c>
      <c r="M19" s="73">
        <f t="shared" si="2"/>
        <v>1.3088566315457423E-5</v>
      </c>
      <c r="N19" s="73">
        <f t="shared" si="2"/>
        <v>2.1691862241435978E-3</v>
      </c>
      <c r="O19" s="73">
        <f t="shared" si="2"/>
        <v>1.198245399072031E-2</v>
      </c>
      <c r="P19" s="73">
        <f t="shared" si="2"/>
        <v>1.7281463744591038E-3</v>
      </c>
      <c r="Q19" s="73">
        <f>SUMPRODUCT(Q9:Q17,$R9:$R17)</f>
        <v>9.7174854727696026E-3</v>
      </c>
      <c r="R19" s="148">
        <f>'Parameters, country spec'!B28</f>
        <v>1.3754938185521381E-2</v>
      </c>
      <c r="S19" s="148">
        <f>'Parameters, country spec'!B46</f>
        <v>1.3754938185521381E-2</v>
      </c>
      <c r="T19" s="16"/>
    </row>
    <row r="20" spans="1:20" x14ac:dyDescent="0.35">
      <c r="A20" s="321"/>
      <c r="B20" s="322" t="s">
        <v>541</v>
      </c>
      <c r="C20" s="323"/>
      <c r="D20" s="324"/>
      <c r="E20" s="324"/>
      <c r="F20" s="325">
        <f>SUMPRODUCT(F6:F8,R6:R8)+SUMPRODUCT(F9:F19,R9:R19)/0.87</f>
        <v>0.1245768110091196</v>
      </c>
      <c r="G20" s="325">
        <f>SUMPRODUCT(G6:G8,R6:R8)+SUMPRODUCT(G9:G19,R9:R19)/0.87</f>
        <v>1.2811404864791672E-2</v>
      </c>
      <c r="H20" s="325">
        <f>SUMPRODUCT(H6:H8,R6:R8)+SUMPRODUCT(H9:H19,R9:R19)/0.87</f>
        <v>2.6230486003931131E-2</v>
      </c>
      <c r="I20" s="325">
        <f>SUMPRODUCT(I6:I8,R6:R8)+SUMPRODUCT(I9:I19,R9:R19)/0.87</f>
        <v>0</v>
      </c>
      <c r="J20" s="325">
        <f>SUMPRODUCT(J6:J8,R6:R8)+SUMPRODUCT(J9:J19,R9:R19)/0.87</f>
        <v>0</v>
      </c>
      <c r="K20" s="325">
        <f>SUMPRODUCT(K6:K8,R6:R8)+SUMPRODUCT(K9:K19,R9:R19)/0.87</f>
        <v>1.4115067445306571E-2</v>
      </c>
      <c r="L20" s="325">
        <f>SUMPRODUCT(L6:L8,R6:R8)+SUMPRODUCT(L9:L19,R9:R19)/0.87</f>
        <v>0</v>
      </c>
      <c r="M20" s="325">
        <f>SUMPRODUCT(M6:M8,R6:R8)+SUMPRODUCT(M9:M19,R9:R19)/0.87</f>
        <v>8.5027248796848084E-4</v>
      </c>
      <c r="N20" s="325">
        <f>SUMPRODUCT(N6:N8,R6:R8)+SUMPRODUCT(N9:N19,R9:R19)/0.87</f>
        <v>2.5276129270914685E-3</v>
      </c>
      <c r="O20" s="325">
        <f>SUMPRODUCT(O6:O8,R6:R8)+SUMPRODUCT(O9:O19,R9:R19)/0.87</f>
        <v>1.3962381499624737E-2</v>
      </c>
      <c r="P20" s="325">
        <f>SUMPRODUCT(P6:P8,R6:R8)+SUMPRODUCT(P9:P19,R9:R19)/0.87</f>
        <v>5.3701190008112284E-2</v>
      </c>
      <c r="Q20" s="325">
        <f>SUMPRODUCT(Q6:Q8,R6:R8)+SUMPRODUCT(Q9:Q19,R9:R19)/0.87</f>
        <v>1.1547919304212326E-2</v>
      </c>
      <c r="R20" s="328"/>
      <c r="S20" s="328"/>
    </row>
    <row r="21" spans="1:20" x14ac:dyDescent="0.35">
      <c r="A21" s="147"/>
      <c r="B21" s="23" t="s">
        <v>428</v>
      </c>
      <c r="C21" s="24"/>
      <c r="D21" s="94"/>
      <c r="E21" s="94"/>
      <c r="F21" s="320">
        <f>SUMPRODUCT(F6:F8,S6:S8)+SUMPRODUCT(F9:F19,S9:S19)/0.87</f>
        <v>0.1245768110091196</v>
      </c>
      <c r="G21" s="320">
        <f>SUMPRODUCT(G6:G8,S6:S8)+SUMPRODUCT(G9:G19,S9:S19)/0.87</f>
        <v>1.2811404864791672E-2</v>
      </c>
      <c r="H21" s="320">
        <f>SUMPRODUCT(H6:H8,S6:S8)+SUMPRODUCT(H9:H19,S9:S19)/0.87</f>
        <v>2.6230486003931131E-2</v>
      </c>
      <c r="I21" s="320">
        <f>SUMPRODUCT(I6:I8,S6:S8)+SUMPRODUCT(I9:I19,S9:S19)/0.87</f>
        <v>0</v>
      </c>
      <c r="J21" s="320">
        <f>SUMPRODUCT(J6:J8,S6:S8)+SUMPRODUCT(J9:J19,S9:S19)/0.87</f>
        <v>0</v>
      </c>
      <c r="K21" s="320">
        <f>SUMPRODUCT(K6:K8,S6:S8)+SUMPRODUCT(K9:K19,S9:S19)/0.87</f>
        <v>1.4115067445306571E-2</v>
      </c>
      <c r="L21" s="320">
        <f>SUMPRODUCT(L6:L8,S6:S8)+SUMPRODUCT(L9:L19,S9:S19)/0.87</f>
        <v>0</v>
      </c>
      <c r="M21" s="320">
        <f>SUMPRODUCT(M6:M8,S6:S8)+SUMPRODUCT(M9:M19,S9:S19)/0.87</f>
        <v>8.5027248796848084E-4</v>
      </c>
      <c r="N21" s="320">
        <f>SUMPRODUCT(N6:N8,S6:S8)+SUMPRODUCT(N9:N19,S9:S19)/0.87</f>
        <v>2.5276129270914685E-3</v>
      </c>
      <c r="O21" s="320">
        <f>SUMPRODUCT(O6:O8,S6:S8)+SUMPRODUCT(O9:O19,S9:S19)/0.87</f>
        <v>1.3962381499624737E-2</v>
      </c>
      <c r="P21" s="320">
        <f>SUMPRODUCT(P6:P8,S6:S8)+SUMPRODUCT(P9:P19,S9:S19)/0.87</f>
        <v>5.3701190008112284E-2</v>
      </c>
      <c r="Q21" s="320">
        <f>SUMPRODUCT(Q6:Q8,S6:S8)+SUMPRODUCT(Q9:Q19,S9:S19)/0.87</f>
        <v>1.1547919304212326E-2</v>
      </c>
      <c r="R21" s="149"/>
      <c r="S21" s="149"/>
    </row>
    <row r="22" spans="1:20" x14ac:dyDescent="0.35">
      <c r="B22" s="16" t="s">
        <v>285</v>
      </c>
      <c r="C22" s="15" t="s">
        <v>288</v>
      </c>
      <c r="D22" s="21" t="s">
        <v>36</v>
      </c>
      <c r="E22" s="21" t="s">
        <v>37</v>
      </c>
      <c r="F22" s="108">
        <f>SUM(G22:Q22)</f>
        <v>5.8137943724220723E-2</v>
      </c>
      <c r="G22" s="18">
        <f>'Forage crops, CF'!F13</f>
        <v>1.8033196435898471E-2</v>
      </c>
      <c r="H22" s="18">
        <f>'Forage crops, CF'!G13</f>
        <v>2.7E-2</v>
      </c>
      <c r="I22" s="18">
        <f>'Forage crops, CF'!H13</f>
        <v>0</v>
      </c>
      <c r="J22" s="18">
        <f>'Forage crops, CF'!I13</f>
        <v>0</v>
      </c>
      <c r="K22" s="18">
        <f>'Forage crops, CF'!J13</f>
        <v>1.3104747288322258E-2</v>
      </c>
      <c r="L22" s="18">
        <f>'Forage crops, CF'!K13</f>
        <v>0</v>
      </c>
      <c r="M22" s="18">
        <f>'Forage crops, CF'!L13</f>
        <v>0</v>
      </c>
      <c r="N22" s="18">
        <f>'Forage crops, CF'!M13</f>
        <v>0</v>
      </c>
      <c r="O22" s="18">
        <f>'Forage crops, CF'!N13</f>
        <v>0</v>
      </c>
      <c r="P22" s="18">
        <f>'Forage crops, CF'!O13</f>
        <v>0</v>
      </c>
      <c r="Q22" s="18">
        <f>'Forage crops, CF'!P13</f>
        <v>0</v>
      </c>
      <c r="R22" s="148">
        <f>'Parameters, country spec'!C15</f>
        <v>0.18889688285610365</v>
      </c>
      <c r="S22" s="148">
        <f>'Parameters, country spec'!C33</f>
        <v>0.18889688285610365</v>
      </c>
    </row>
    <row r="23" spans="1:20" x14ac:dyDescent="0.35">
      <c r="B23" s="16" t="s">
        <v>286</v>
      </c>
      <c r="C23" s="15" t="s">
        <v>288</v>
      </c>
      <c r="D23" s="21" t="s">
        <v>36</v>
      </c>
      <c r="E23" s="21" t="s">
        <v>37</v>
      </c>
      <c r="F23" s="312">
        <f>SUM(G23:Q23)</f>
        <v>0.1152552491010753</v>
      </c>
      <c r="G23" s="18">
        <f>'Forage crops, CF'!F78</f>
        <v>1.8290244595307845E-2</v>
      </c>
      <c r="H23" s="18">
        <f>'Forage crops, CF'!G78</f>
        <v>2.7E-2</v>
      </c>
      <c r="I23" s="18">
        <f>'Forage crops, CF'!H78</f>
        <v>0</v>
      </c>
      <c r="J23" s="18">
        <f>'Forage crops, CF'!I78</f>
        <v>0</v>
      </c>
      <c r="K23" s="18">
        <f>'Forage crops, CF'!J78</f>
        <v>1.6437442716420066E-2</v>
      </c>
      <c r="L23" s="18">
        <f>'Forage crops, CF'!K78</f>
        <v>0</v>
      </c>
      <c r="M23" s="18">
        <f>'Forage crops, CF'!L78</f>
        <v>6.8275617893473915E-3</v>
      </c>
      <c r="N23" s="18">
        <f>'Forage crops, CF'!M78</f>
        <v>0</v>
      </c>
      <c r="O23" s="18">
        <f>'Forage crops, CF'!N78</f>
        <v>0</v>
      </c>
      <c r="P23" s="18">
        <f>'Forage crops, CF'!O78</f>
        <v>4.6700000000000005E-2</v>
      </c>
      <c r="Q23" s="18">
        <f>'Forage crops, CF'!P78</f>
        <v>0</v>
      </c>
      <c r="R23" s="148">
        <f>'Parameters, country spec'!C16</f>
        <v>0.36965765773619236</v>
      </c>
      <c r="S23" s="148">
        <f>'Parameters, country spec'!C34</f>
        <v>0.36965765773619236</v>
      </c>
    </row>
    <row r="24" spans="1:20" x14ac:dyDescent="0.35">
      <c r="B24" s="16" t="s">
        <v>287</v>
      </c>
      <c r="C24" s="15" t="s">
        <v>288</v>
      </c>
      <c r="D24" s="21" t="s">
        <v>36</v>
      </c>
      <c r="E24" s="21" t="s">
        <v>37</v>
      </c>
      <c r="F24" s="312">
        <f>SUM(G24:Q24)</f>
        <v>0.10311928856970713</v>
      </c>
      <c r="G24" s="18">
        <f>'Forage crops, CF'!F143*'Forage, input data per ha'!$E$79+'Forage crops, CF'!F208*'Forage, input data per ha'!$G$79</f>
        <v>1.6340525210420186E-2</v>
      </c>
      <c r="H24" s="18">
        <f>'Forage crops, CF'!G143*'Forage, input data per ha'!$E$79+'Forage crops, CF'!G208*'Forage, input data per ha'!$G$79</f>
        <v>2.7E-2</v>
      </c>
      <c r="I24" s="18">
        <f>'Forage crops, CF'!H143*'Forage, input data per ha'!$E$79+'Forage crops, CF'!H208*'Forage, input data per ha'!$G$79</f>
        <v>0</v>
      </c>
      <c r="J24" s="18">
        <f>'Forage crops, CF'!I143*'Forage, input data per ha'!$E$79+'Forage crops, CF'!I208*'Forage, input data per ha'!$G$79</f>
        <v>0</v>
      </c>
      <c r="K24" s="18">
        <f>'Forage crops, CF'!J143*'Forage, input data per ha'!$E$79+'Forage crops, CF'!J208*'Forage, input data per ha'!$G$79</f>
        <v>1.3078763359286942E-2</v>
      </c>
      <c r="L24" s="18">
        <f>'Forage crops, CF'!K143*'Forage, input data per ha'!$E$79+'Forage crops, CF'!K208*'Forage, input data per ha'!$G$79</f>
        <v>0</v>
      </c>
      <c r="M24" s="18">
        <f>'Forage crops, CF'!L143*'Forage, input data per ha'!$E$79+'Forage crops, CF'!L208*'Forage, input data per ha'!$G$79</f>
        <v>0</v>
      </c>
      <c r="N24" s="18">
        <f>'Forage crops, CF'!M143*'Forage, input data per ha'!$E$79+'Forage crops, CF'!M208*'Forage, input data per ha'!$G$79</f>
        <v>0</v>
      </c>
      <c r="O24" s="18">
        <f>'Forage crops, CF'!N143*'Forage, input data per ha'!$E$79+'Forage crops, CF'!N208*'Forage, input data per ha'!$G$79</f>
        <v>0</v>
      </c>
      <c r="P24" s="18">
        <f>'Forage crops, CF'!O143*'Forage, input data per ha'!$E$79+'Forage crops, CF'!O208*'Forage, input data per ha'!$G$79</f>
        <v>4.6700000000000005E-2</v>
      </c>
      <c r="Q24" s="18">
        <f>'Forage crops, CF'!P143*'Forage, input data per ha'!$E$79+'Forage crops, CF'!P208*'Forage, input data per ha'!$G$79</f>
        <v>0</v>
      </c>
      <c r="R24" s="148">
        <f>'Parameters, country spec'!C17</f>
        <v>0.23243726980023638</v>
      </c>
      <c r="S24" s="148">
        <f>'Parameters, country spec'!C35</f>
        <v>0.23243726980023638</v>
      </c>
    </row>
    <row r="25" spans="1:20" x14ac:dyDescent="0.35">
      <c r="A25" s="20" t="s">
        <v>222</v>
      </c>
      <c r="B25" s="15" t="s">
        <v>108</v>
      </c>
      <c r="C25" s="15" t="s">
        <v>223</v>
      </c>
      <c r="D25" s="21" t="s">
        <v>36</v>
      </c>
      <c r="E25" s="21" t="s">
        <v>37</v>
      </c>
      <c r="F25" s="108">
        <f>SUM(G25:Q25)</f>
        <v>0.17100000000000001</v>
      </c>
      <c r="G25" s="72">
        <v>7.9000000000000001E-2</v>
      </c>
      <c r="H25" s="12">
        <v>2.7E-2</v>
      </c>
      <c r="I25" s="14">
        <v>0</v>
      </c>
      <c r="J25" s="12"/>
      <c r="K25" s="72">
        <v>0.03</v>
      </c>
      <c r="L25" s="12"/>
      <c r="M25" s="12">
        <v>0</v>
      </c>
      <c r="N25" s="72">
        <v>3.5000000000000003E-2</v>
      </c>
      <c r="O25" s="12"/>
      <c r="P25" s="12"/>
      <c r="R25" s="148">
        <f>'Parameters, country spec'!C18</f>
        <v>9.8050025013408561E-3</v>
      </c>
      <c r="S25" s="148">
        <f>'Parameters, country spec'!C36</f>
        <v>9.8050025013408561E-3</v>
      </c>
    </row>
    <row r="26" spans="1:20" x14ac:dyDescent="0.35">
      <c r="A26" s="20" t="s">
        <v>224</v>
      </c>
      <c r="B26" s="15" t="s">
        <v>109</v>
      </c>
      <c r="C26" s="15" t="s">
        <v>223</v>
      </c>
      <c r="D26" s="21" t="s">
        <v>36</v>
      </c>
      <c r="E26" s="21" t="s">
        <v>37</v>
      </c>
      <c r="F26" s="108">
        <f t="shared" ref="F26:F35" si="3">SUM(G26:Q26)</f>
        <v>0.16600000000000001</v>
      </c>
      <c r="G26" s="72">
        <v>7.6999999999999999E-2</v>
      </c>
      <c r="H26" s="12">
        <v>2.7E-2</v>
      </c>
      <c r="I26" s="14">
        <v>0</v>
      </c>
      <c r="J26" s="12"/>
      <c r="K26" s="72">
        <v>0.02</v>
      </c>
      <c r="L26" s="12"/>
      <c r="M26" s="12">
        <v>7.0000000000000001E-3</v>
      </c>
      <c r="N26" s="72">
        <v>3.5000000000000003E-2</v>
      </c>
      <c r="O26" s="12"/>
      <c r="P26" s="12"/>
      <c r="R26" s="148">
        <f>'Parameters, country spec'!C19</f>
        <v>1.6126916347682995E-2</v>
      </c>
      <c r="S26" s="148">
        <f>'Parameters, country spec'!C37</f>
        <v>1.6126916347682995E-2</v>
      </c>
    </row>
    <row r="27" spans="1:20" x14ac:dyDescent="0.35">
      <c r="A27" s="20" t="s">
        <v>225</v>
      </c>
      <c r="B27" s="15" t="s">
        <v>110</v>
      </c>
      <c r="C27" s="15" t="s">
        <v>223</v>
      </c>
      <c r="D27" s="21" t="s">
        <v>36</v>
      </c>
      <c r="E27" s="21" t="s">
        <v>37</v>
      </c>
      <c r="F27" s="108">
        <f t="shared" si="3"/>
        <v>0.17700000000000002</v>
      </c>
      <c r="G27" s="72">
        <v>7.0000000000000007E-2</v>
      </c>
      <c r="H27" s="12">
        <v>2.7E-2</v>
      </c>
      <c r="I27" s="14">
        <v>0</v>
      </c>
      <c r="J27" s="12"/>
      <c r="K27" s="72">
        <v>4.1000000000000002E-2</v>
      </c>
      <c r="L27" s="12"/>
      <c r="M27" s="12">
        <v>4.0000000000000001E-3</v>
      </c>
      <c r="N27" s="72">
        <v>3.5000000000000003E-2</v>
      </c>
      <c r="O27" s="12"/>
      <c r="P27" s="12"/>
      <c r="R27" s="148">
        <f>'Parameters, country spec'!C20</f>
        <v>1.1110741938309403E-3</v>
      </c>
      <c r="S27" s="148">
        <f>'Parameters, country spec'!C38</f>
        <v>1.1110741938309403E-3</v>
      </c>
    </row>
    <row r="28" spans="1:20" x14ac:dyDescent="0.35">
      <c r="A28" s="20" t="s">
        <v>226</v>
      </c>
      <c r="B28" s="15" t="s">
        <v>111</v>
      </c>
      <c r="C28" s="15" t="s">
        <v>223</v>
      </c>
      <c r="D28" s="21" t="s">
        <v>36</v>
      </c>
      <c r="E28" s="21" t="s">
        <v>37</v>
      </c>
      <c r="F28" s="108">
        <f t="shared" si="3"/>
        <v>0.16500000000000001</v>
      </c>
      <c r="G28" s="72">
        <v>6.2E-2</v>
      </c>
      <c r="H28" s="12">
        <v>2.7E-2</v>
      </c>
      <c r="I28" s="12">
        <v>0</v>
      </c>
      <c r="J28" s="12"/>
      <c r="K28" s="72">
        <v>4.1000000000000002E-2</v>
      </c>
      <c r="L28" s="12"/>
      <c r="M28" s="12">
        <v>0</v>
      </c>
      <c r="N28" s="72">
        <v>3.5000000000000003E-2</v>
      </c>
      <c r="O28" s="12"/>
      <c r="P28" s="12"/>
      <c r="R28" s="148">
        <f>'Parameters, country spec'!C21</f>
        <v>1.7062794715375247E-4</v>
      </c>
      <c r="S28" s="148">
        <f>'Parameters, country spec'!C39</f>
        <v>1.7062794715375247E-4</v>
      </c>
    </row>
    <row r="29" spans="1:20" x14ac:dyDescent="0.35">
      <c r="A29" s="20" t="s">
        <v>227</v>
      </c>
      <c r="B29" s="15" t="s">
        <v>112</v>
      </c>
      <c r="C29" s="15" t="s">
        <v>223</v>
      </c>
      <c r="D29" s="21" t="s">
        <v>36</v>
      </c>
      <c r="E29" s="21" t="s">
        <v>37</v>
      </c>
      <c r="F29" s="108">
        <f t="shared" si="3"/>
        <v>0.18</v>
      </c>
      <c r="G29" s="72">
        <v>9.0999999999999998E-2</v>
      </c>
      <c r="H29" s="12">
        <v>2.7E-2</v>
      </c>
      <c r="I29" s="12">
        <v>0</v>
      </c>
      <c r="J29" s="12"/>
      <c r="K29" s="72">
        <v>2.7E-2</v>
      </c>
      <c r="L29" s="12"/>
      <c r="M29" s="12">
        <v>0</v>
      </c>
      <c r="N29" s="72">
        <v>3.5000000000000003E-2</v>
      </c>
      <c r="O29" s="12"/>
      <c r="P29" s="12"/>
      <c r="R29" s="148">
        <f>'Parameters, country spec'!C22</f>
        <v>2.3886940717374589E-2</v>
      </c>
      <c r="S29" s="148">
        <f>'Parameters, country spec'!C40</f>
        <v>2.3886940717374589E-2</v>
      </c>
    </row>
    <row r="30" spans="1:20" x14ac:dyDescent="0.35">
      <c r="A30" s="20" t="s">
        <v>228</v>
      </c>
      <c r="B30" s="15" t="s">
        <v>113</v>
      </c>
      <c r="C30" s="15" t="s">
        <v>229</v>
      </c>
      <c r="D30" s="21" t="s">
        <v>36</v>
      </c>
      <c r="E30" s="21" t="s">
        <v>37</v>
      </c>
      <c r="F30" s="108">
        <f t="shared" si="3"/>
        <v>0.115</v>
      </c>
      <c r="G30" s="72">
        <v>0</v>
      </c>
      <c r="H30" s="12">
        <v>2.7E-2</v>
      </c>
      <c r="I30" s="14">
        <v>0</v>
      </c>
      <c r="J30" s="12"/>
      <c r="K30" s="72">
        <v>5.0999999999999997E-2</v>
      </c>
      <c r="L30" s="14"/>
      <c r="M30" s="12">
        <v>2E-3</v>
      </c>
      <c r="N30" s="72">
        <v>3.5000000000000003E-2</v>
      </c>
      <c r="O30" s="12"/>
      <c r="P30" s="12"/>
      <c r="R30" s="148">
        <f>'Parameters, country spec'!C23</f>
        <v>0</v>
      </c>
      <c r="S30" s="148">
        <f>'Parameters, country spec'!C41</f>
        <v>0</v>
      </c>
    </row>
    <row r="31" spans="1:20" x14ac:dyDescent="0.35">
      <c r="A31" s="20" t="s">
        <v>230</v>
      </c>
      <c r="B31" s="15" t="s">
        <v>114</v>
      </c>
      <c r="C31" s="15" t="s">
        <v>229</v>
      </c>
      <c r="D31" s="21" t="s">
        <v>36</v>
      </c>
      <c r="E31" s="21" t="s">
        <v>37</v>
      </c>
      <c r="F31" s="108">
        <f t="shared" si="3"/>
        <v>0.13800000000000001</v>
      </c>
      <c r="G31" s="72">
        <v>4.0000000000000001E-3</v>
      </c>
      <c r="H31" s="12">
        <v>2.7E-2</v>
      </c>
      <c r="I31" s="14">
        <v>0</v>
      </c>
      <c r="J31" s="12"/>
      <c r="K31" s="72">
        <v>6.9000000000000006E-2</v>
      </c>
      <c r="L31" s="12"/>
      <c r="M31" s="12">
        <v>3.0000000000000001E-3</v>
      </c>
      <c r="N31" s="72">
        <v>3.5000000000000003E-2</v>
      </c>
      <c r="O31" s="12"/>
      <c r="P31" s="12"/>
      <c r="R31" s="148">
        <f>'Parameters, country spec'!C24</f>
        <v>0</v>
      </c>
      <c r="S31" s="148">
        <f>'Parameters, country spec'!C42</f>
        <v>0</v>
      </c>
    </row>
    <row r="32" spans="1:20" x14ac:dyDescent="0.35">
      <c r="B32" s="16" t="s">
        <v>115</v>
      </c>
      <c r="C32" s="15" t="s">
        <v>231</v>
      </c>
      <c r="D32" s="21" t="s">
        <v>36</v>
      </c>
      <c r="E32" s="21" t="s">
        <v>37</v>
      </c>
      <c r="F32" s="108">
        <f t="shared" si="3"/>
        <v>0.27628755742228495</v>
      </c>
      <c r="G32" s="18">
        <f>'Off-farm feed'!$F$74</f>
        <v>0.15910156565543246</v>
      </c>
      <c r="H32" s="18">
        <f>'Off-farm feed'!$G$74</f>
        <v>1.3034482758620692E-2</v>
      </c>
      <c r="I32" s="18">
        <f>'Off-farm feed'!$H$74</f>
        <v>0</v>
      </c>
      <c r="J32" s="18"/>
      <c r="K32" s="18">
        <f>'Off-farm feed'!$J$74</f>
        <v>2.4688740026345454E-2</v>
      </c>
      <c r="L32" s="18"/>
      <c r="M32" s="289">
        <f>'Off-farm feed'!$L$74</f>
        <v>1.931759303794134E-4</v>
      </c>
      <c r="N32" s="18">
        <f>'Off-farm feed'!$M$74</f>
        <v>3.6802128767029069E-2</v>
      </c>
      <c r="O32" s="18">
        <f>'Off-farm feed'!$N$74</f>
        <v>0</v>
      </c>
      <c r="P32" s="18">
        <f>'Off-farm feed'!$O$74</f>
        <v>2.6267464284477883E-2</v>
      </c>
      <c r="Q32" s="18">
        <f>'Off-farm feed'!$P$74</f>
        <v>1.6199999999999999E-2</v>
      </c>
      <c r="R32" s="148">
        <f>'Parameters, country spec'!C25</f>
        <v>3.0917251771110446E-2</v>
      </c>
      <c r="S32" s="148">
        <f>'Parameters, country spec'!C43</f>
        <v>3.0917251771110446E-2</v>
      </c>
    </row>
    <row r="33" spans="1:19" x14ac:dyDescent="0.35">
      <c r="B33" s="16" t="s">
        <v>232</v>
      </c>
      <c r="C33" s="15" t="s">
        <v>231</v>
      </c>
      <c r="D33" s="21" t="s">
        <v>36</v>
      </c>
      <c r="E33" s="21" t="s">
        <v>37</v>
      </c>
      <c r="F33" s="108">
        <f t="shared" si="3"/>
        <v>0.7061171705997602</v>
      </c>
      <c r="G33" s="18">
        <f>'Off-farm feed'!$F$23</f>
        <v>7.2632670993098931E-3</v>
      </c>
      <c r="H33" s="18">
        <f>'Off-farm feed'!$G$23</f>
        <v>2.1402439024390246E-2</v>
      </c>
      <c r="I33" s="18">
        <f>'Off-farm feed'!$H$23</f>
        <v>0</v>
      </c>
      <c r="J33" s="18"/>
      <c r="K33" s="18">
        <f>'Off-farm feed'!$J$23</f>
        <v>4.308361966433235E-2</v>
      </c>
      <c r="L33" s="18"/>
      <c r="M33" s="289">
        <f>'Off-farm feed'!$L$23</f>
        <v>1.7842060425123844E-4</v>
      </c>
      <c r="N33" s="18">
        <f>'Off-farm feed'!$M$23</f>
        <v>3.0432604948959403E-2</v>
      </c>
      <c r="O33" s="18">
        <f>'Off-farm feed'!$N$23</f>
        <v>0.31761120248475611</v>
      </c>
      <c r="P33" s="18">
        <f>'Off-farm feed'!$O$23</f>
        <v>3.5145616773760872E-2</v>
      </c>
      <c r="Q33" s="18">
        <f>'Off-farm feed'!$P$23</f>
        <v>0.251</v>
      </c>
      <c r="R33" s="148">
        <f>'Parameters, country spec'!C26</f>
        <v>2.7855163642864746E-2</v>
      </c>
      <c r="S33" s="148">
        <f>'Parameters, country spec'!C44</f>
        <v>2.7855163642864746E-2</v>
      </c>
    </row>
    <row r="34" spans="1:19" x14ac:dyDescent="0.35">
      <c r="B34" s="15" t="s">
        <v>117</v>
      </c>
      <c r="C34" s="15" t="s">
        <v>233</v>
      </c>
      <c r="D34" s="21" t="s">
        <v>36</v>
      </c>
      <c r="E34" s="21" t="s">
        <v>37</v>
      </c>
      <c r="F34" s="108">
        <f t="shared" si="3"/>
        <v>0.19784350000160197</v>
      </c>
      <c r="G34" s="72">
        <v>4.5495933369189799E-2</v>
      </c>
      <c r="H34" s="12">
        <v>1.3510799999999899E-2</v>
      </c>
      <c r="I34" s="14"/>
      <c r="J34" s="12"/>
      <c r="K34" s="72">
        <v>3.1270772847070999E-2</v>
      </c>
      <c r="L34" s="12"/>
      <c r="M34" s="12"/>
      <c r="N34" s="72"/>
      <c r="O34" s="12"/>
      <c r="P34" s="14">
        <v>0.102505251885267</v>
      </c>
      <c r="Q34" s="14">
        <v>5.06074190007427E-3</v>
      </c>
      <c r="R34" s="148">
        <f>'Parameters, country spec'!C27</f>
        <v>5.6499694118849607E-2</v>
      </c>
      <c r="S34" s="148">
        <f>'Parameters, country spec'!C45</f>
        <v>5.6499694118849607E-2</v>
      </c>
    </row>
    <row r="35" spans="1:19" x14ac:dyDescent="0.35">
      <c r="A35" s="75"/>
      <c r="B35" s="15" t="s">
        <v>234</v>
      </c>
      <c r="C35" s="76" t="s">
        <v>235</v>
      </c>
      <c r="D35" s="21" t="s">
        <v>36</v>
      </c>
      <c r="E35" s="21" t="s">
        <v>37</v>
      </c>
      <c r="F35" s="108">
        <f t="shared" si="3"/>
        <v>3.7089247926303415E-2</v>
      </c>
      <c r="G35" s="73">
        <f>SUMPRODUCT(G25:G33,$R25:$R33)</f>
        <v>9.3997361441302812E-3</v>
      </c>
      <c r="H35" s="73">
        <f t="shared" ref="H35:P35" si="4">SUMPRODUCT(H25:H33,$R25:$R33)</f>
        <v>2.3788739926346434E-3</v>
      </c>
      <c r="I35" s="73">
        <f t="shared" si="4"/>
        <v>0</v>
      </c>
      <c r="J35" s="73">
        <f t="shared" si="4"/>
        <v>0</v>
      </c>
      <c r="K35" s="73">
        <f>SUMPRODUCT(K25:K33,$R25:$R33)</f>
        <v>3.2775948565263091E-3</v>
      </c>
      <c r="L35" s="73">
        <f t="shared" si="4"/>
        <v>0</v>
      </c>
      <c r="M35" s="73">
        <f t="shared" si="4"/>
        <v>1.2827511521344061E-4</v>
      </c>
      <c r="N35" s="73">
        <f t="shared" si="4"/>
        <v>3.7740455314933942E-3</v>
      </c>
      <c r="O35" s="73">
        <f t="shared" si="4"/>
        <v>8.8471120200199309E-3</v>
      </c>
      <c r="P35" s="73">
        <f t="shared" si="4"/>
        <v>1.7911047132343756E-3</v>
      </c>
      <c r="Q35" s="73">
        <f>SUMPRODUCT(Q25:Q33,$R25:$R33)</f>
        <v>7.4925055530510407E-3</v>
      </c>
      <c r="R35" s="148">
        <f>'Parameters, country spec'!C28</f>
        <v>4.2635518367259616E-2</v>
      </c>
      <c r="S35" s="148">
        <f>'Parameters, country spec'!C46</f>
        <v>4.2635518367259616E-2</v>
      </c>
    </row>
    <row r="36" spans="1:19" x14ac:dyDescent="0.35">
      <c r="A36" s="321"/>
      <c r="B36" s="322" t="s">
        <v>541</v>
      </c>
      <c r="C36" s="323"/>
      <c r="D36" s="324"/>
      <c r="E36" s="324"/>
      <c r="F36" s="325">
        <f>SUMPRODUCT(F22:F24,R22:R24)+SUMPRODUCT(F25:F35,R25:R35)/0.87</f>
        <v>0.1348531431524515</v>
      </c>
      <c r="G36" s="325">
        <f>SUMPRODUCT(G22:G24,R22:R24)+SUMPRODUCT(G25:G35,R25:R35)/0.87</f>
        <v>2.8185236714256302E-2</v>
      </c>
      <c r="H36" s="325">
        <f>SUMPRODUCT(H22:H24,R22:R24)+SUMPRODUCT(H25:H35,R25:R35)/0.87</f>
        <v>2.5085117484899479E-2</v>
      </c>
      <c r="I36" s="325">
        <f>SUMPRODUCT(I22:I24,R22:R24)+SUMPRODUCT(I25:I35,R25:R35)/0.87</f>
        <v>0</v>
      </c>
      <c r="J36" s="325">
        <f>SUMPRODUCT(J22:J24,R22:R24)+SUMPRODUCT(J25:J35,R25:R35)/0.87</f>
        <v>0</v>
      </c>
      <c r="K36" s="325">
        <f>SUMPRODUCT(K22:K24,R22:R24)+SUMPRODUCT(K25:K35,R25:R35)/0.87</f>
        <v>1.7550429951887627E-2</v>
      </c>
      <c r="L36" s="325">
        <f>SUMPRODUCT(L22:L24,R22:R24)+SUMPRODUCT(L25:L35,R25:R35)/0.87</f>
        <v>0</v>
      </c>
      <c r="M36" s="325">
        <f>SUMPRODUCT(M22:M24,R22:R24)+SUMPRODUCT(M25:M35,R25:R35)/0.87</f>
        <v>2.6775894545523699E-3</v>
      </c>
      <c r="N36" s="325">
        <f>SUMPRODUCT(N22:N24,R22:R24)+SUMPRODUCT(N25:N35,R25:R35)/0.87</f>
        <v>4.5229355391612118E-3</v>
      </c>
      <c r="O36" s="325">
        <f>SUMPRODUCT(O22:O24,R22:R24)+SUMPRODUCT(O25:O35,R25:R35)/0.87</f>
        <v>1.0602658881662867E-2</v>
      </c>
      <c r="P36" s="325">
        <f>SUMPRODUCT(P22:P24,R22:R24)+SUMPRODUCT(P25:P35,R25:R35)/0.87</f>
        <v>3.6921263884027528E-2</v>
      </c>
      <c r="Q36" s="325">
        <f>SUMPRODUCT(Q22:Q24,R22:R24)+SUMPRODUCT(Q25:Q35,R25:R35)/0.87</f>
        <v>9.3079112420041219E-3</v>
      </c>
      <c r="R36" s="328"/>
      <c r="S36" s="329"/>
    </row>
    <row r="37" spans="1:19" x14ac:dyDescent="0.35">
      <c r="A37" s="147"/>
      <c r="B37" s="23" t="s">
        <v>428</v>
      </c>
      <c r="C37" s="24"/>
      <c r="D37" s="94"/>
      <c r="E37" s="94"/>
      <c r="F37" s="320">
        <f>SUMPRODUCT(F22:F24,S22:S24)+SUMPRODUCT(F25:F35,S25:S35)/0.87</f>
        <v>0.1348531431524515</v>
      </c>
      <c r="G37" s="320">
        <f>SUMPRODUCT(G22:G24,S22:S24)+SUMPRODUCT(G25:G35,S25:S35)/0.87</f>
        <v>2.8185236714256302E-2</v>
      </c>
      <c r="H37" s="320">
        <f>SUMPRODUCT(H22:H24,S22:S24)+SUMPRODUCT(H25:H35,S25:S35)/0.87</f>
        <v>2.5085117484899479E-2</v>
      </c>
      <c r="I37" s="320">
        <f>SUMPRODUCT(I22:I24,S22:S24)+SUMPRODUCT(I25:I35,S25:S35)/0.87</f>
        <v>0</v>
      </c>
      <c r="J37" s="320">
        <f>SUMPRODUCT(J22:J24,S22:S24)+SUMPRODUCT(J25:J35,S25:S35)/0.87</f>
        <v>0</v>
      </c>
      <c r="K37" s="320">
        <f>SUMPRODUCT(K22:K24,S22:S24)+SUMPRODUCT(K25:K35,S25:S35)/0.87</f>
        <v>1.7550429951887627E-2</v>
      </c>
      <c r="L37" s="320">
        <f>SUMPRODUCT(L22:L24,S22:S24)+SUMPRODUCT(L25:L35,S25:S35)/0.87</f>
        <v>0</v>
      </c>
      <c r="M37" s="320">
        <f>SUMPRODUCT(M22:M24,S22:S24)+SUMPRODUCT(M25:M35,S25:S35)/0.87</f>
        <v>2.6775894545523699E-3</v>
      </c>
      <c r="N37" s="320">
        <f>SUMPRODUCT(N22:N24,S22:S24)+SUMPRODUCT(N25:N35,S25:S35)/0.87</f>
        <v>4.5229355391612118E-3</v>
      </c>
      <c r="O37" s="320">
        <f>SUMPRODUCT(O22:O24,S22:S24)+SUMPRODUCT(O25:O35,S25:S35)/0.87</f>
        <v>1.0602658881662867E-2</v>
      </c>
      <c r="P37" s="320">
        <f>SUMPRODUCT(P22:P24,S22:S24)+SUMPRODUCT(P25:P35,S25:S35)/0.87</f>
        <v>3.6921263884027528E-2</v>
      </c>
      <c r="Q37" s="320">
        <f>SUMPRODUCT(Q22:Q24,S22:S24)+SUMPRODUCT(Q25:Q35,S25:S35)/0.87</f>
        <v>9.3079112420041219E-3</v>
      </c>
      <c r="R37" s="149"/>
      <c r="S37" s="149"/>
    </row>
    <row r="38" spans="1:19" x14ac:dyDescent="0.35">
      <c r="B38" s="16" t="s">
        <v>285</v>
      </c>
      <c r="C38" s="15" t="s">
        <v>288</v>
      </c>
      <c r="D38" s="21" t="s">
        <v>38</v>
      </c>
      <c r="E38" s="21" t="s">
        <v>39</v>
      </c>
      <c r="F38" s="108">
        <f>SUM(G38:Q38)</f>
        <v>6.1295513674652385E-2</v>
      </c>
      <c r="G38" s="18">
        <f>'Forage crops, CF'!F18</f>
        <v>2.1132412362766816E-2</v>
      </c>
      <c r="H38" s="18">
        <f>'Forage crops, CF'!G18</f>
        <v>2.7E-2</v>
      </c>
      <c r="I38" s="18">
        <f>'Forage crops, CF'!H18</f>
        <v>0</v>
      </c>
      <c r="J38" s="18">
        <f>'Forage crops, CF'!I18</f>
        <v>0</v>
      </c>
      <c r="K38" s="18">
        <f>'Forage crops, CF'!J18</f>
        <v>1.3163101311885569E-2</v>
      </c>
      <c r="L38" s="18">
        <f>'Forage crops, CF'!K18</f>
        <v>0</v>
      </c>
      <c r="M38" s="18">
        <f>'Forage crops, CF'!L18</f>
        <v>0</v>
      </c>
      <c r="N38" s="18">
        <f>'Forage crops, CF'!M18</f>
        <v>0</v>
      </c>
      <c r="O38" s="18">
        <f>'Forage crops, CF'!N18</f>
        <v>0</v>
      </c>
      <c r="P38" s="18">
        <f>'Forage crops, CF'!O18</f>
        <v>0</v>
      </c>
      <c r="Q38" s="18">
        <f>'Forage crops, CF'!P18</f>
        <v>0</v>
      </c>
      <c r="R38" s="148">
        <f>'Parameters, country spec'!D15</f>
        <v>0.26457370102986028</v>
      </c>
      <c r="S38" s="148">
        <f>'Parameters, country spec'!D33</f>
        <v>0.26457370102986028</v>
      </c>
    </row>
    <row r="39" spans="1:19" x14ac:dyDescent="0.35">
      <c r="B39" s="16" t="s">
        <v>286</v>
      </c>
      <c r="C39" s="15" t="s">
        <v>288</v>
      </c>
      <c r="D39" s="21" t="s">
        <v>38</v>
      </c>
      <c r="E39" s="21" t="s">
        <v>39</v>
      </c>
      <c r="F39" s="108">
        <f>SUM(G39:Q39)</f>
        <v>0.10091146196851433</v>
      </c>
      <c r="G39" s="18">
        <f>'Forage crops, CF'!F83</f>
        <v>1.2251094124540752E-2</v>
      </c>
      <c r="H39" s="18">
        <f>'Forage crops, CF'!G83</f>
        <v>2.7E-2</v>
      </c>
      <c r="I39" s="18">
        <f>'Forage crops, CF'!H83</f>
        <v>0</v>
      </c>
      <c r="J39" s="18">
        <f>'Forage crops, CF'!I83</f>
        <v>0</v>
      </c>
      <c r="K39" s="18">
        <f>'Forage crops, CF'!J83</f>
        <v>1.3384776661816474E-2</v>
      </c>
      <c r="L39" s="18">
        <f>'Forage crops, CF'!K83</f>
        <v>0</v>
      </c>
      <c r="M39" s="18">
        <f>'Forage crops, CF'!L83</f>
        <v>1.5755911821570903E-3</v>
      </c>
      <c r="N39" s="18">
        <f>'Forage crops, CF'!M83</f>
        <v>0</v>
      </c>
      <c r="O39" s="18">
        <f>'Forage crops, CF'!N83</f>
        <v>0</v>
      </c>
      <c r="P39" s="18">
        <f>'Forage crops, CF'!O83</f>
        <v>4.6700000000000005E-2</v>
      </c>
      <c r="Q39" s="18">
        <f>'Forage crops, CF'!P83</f>
        <v>0</v>
      </c>
      <c r="R39" s="148">
        <f>'Parameters, country spec'!D16</f>
        <v>0.47771254487501524</v>
      </c>
      <c r="S39" s="148">
        <f>'Parameters, country spec'!D34</f>
        <v>0.47771254487501524</v>
      </c>
    </row>
    <row r="40" spans="1:19" x14ac:dyDescent="0.35">
      <c r="B40" s="16" t="s">
        <v>287</v>
      </c>
      <c r="C40" s="15" t="s">
        <v>288</v>
      </c>
      <c r="D40" s="21" t="s">
        <v>38</v>
      </c>
      <c r="E40" s="21" t="s">
        <v>39</v>
      </c>
      <c r="F40" s="108">
        <f>SUM(G40:Q40)</f>
        <v>0.10563616893582056</v>
      </c>
      <c r="G40" s="18">
        <f>'Forage crops, CF'!F148*'Forage, input data per ha'!$E$80+'Forage crops, CF'!F213*'Forage, input data per ha'!$G$80</f>
        <v>1.8266539081179652E-2</v>
      </c>
      <c r="H40" s="18">
        <f>'Forage crops, CF'!G148*'Forage, input data per ha'!$E$80+'Forage crops, CF'!G213*'Forage, input data per ha'!$G$80</f>
        <v>2.7E-2</v>
      </c>
      <c r="I40" s="18">
        <f>'Forage crops, CF'!H148*'Forage, input data per ha'!$E$80+'Forage crops, CF'!H213*'Forage, input data per ha'!$G$80</f>
        <v>0</v>
      </c>
      <c r="J40" s="18">
        <f>'Forage crops, CF'!I148*'Forage, input data per ha'!$E$80+'Forage crops, CF'!I213*'Forage, input data per ha'!$G$80</f>
        <v>0</v>
      </c>
      <c r="K40" s="18">
        <f>'Forage crops, CF'!J148*'Forage, input data per ha'!$E$80+'Forage crops, CF'!J213*'Forage, input data per ha'!$G$80</f>
        <v>1.3669629854640911E-2</v>
      </c>
      <c r="L40" s="18">
        <f>'Forage crops, CF'!K148*'Forage, input data per ha'!$E$80+'Forage crops, CF'!K213*'Forage, input data per ha'!$G$80</f>
        <v>0</v>
      </c>
      <c r="M40" s="18">
        <f>'Forage crops, CF'!L148*'Forage, input data per ha'!$E$80+'Forage crops, CF'!L213*'Forage, input data per ha'!$G$80</f>
        <v>0</v>
      </c>
      <c r="N40" s="18">
        <f>'Forage crops, CF'!M148*'Forage, input data per ha'!$E$80+'Forage crops, CF'!M213*'Forage, input data per ha'!$G$80</f>
        <v>0</v>
      </c>
      <c r="O40" s="18">
        <f>'Forage crops, CF'!N148*'Forage, input data per ha'!$E$80+'Forage crops, CF'!N213*'Forage, input data per ha'!$G$80</f>
        <v>0</v>
      </c>
      <c r="P40" s="18">
        <f>'Forage crops, CF'!O148*'Forage, input data per ha'!$E$80+'Forage crops, CF'!O213*'Forage, input data per ha'!$G$80</f>
        <v>4.6699999999999998E-2</v>
      </c>
      <c r="Q40" s="18">
        <f>'Forage crops, CF'!P148*'Forage, input data per ha'!$E$80+'Forage crops, CF'!P213*'Forage, input data per ha'!$G$80</f>
        <v>0</v>
      </c>
      <c r="R40" s="148">
        <f>'Parameters, country spec'!D17</f>
        <v>0.13883749692306407</v>
      </c>
      <c r="S40" s="148">
        <f>'Parameters, country spec'!D35</f>
        <v>0.13883749692306407</v>
      </c>
    </row>
    <row r="41" spans="1:19" x14ac:dyDescent="0.35">
      <c r="A41" s="20" t="s">
        <v>222</v>
      </c>
      <c r="B41" s="15" t="s">
        <v>108</v>
      </c>
      <c r="C41" s="15" t="s">
        <v>223</v>
      </c>
      <c r="D41" s="21" t="s">
        <v>38</v>
      </c>
      <c r="E41" s="21" t="s">
        <v>39</v>
      </c>
      <c r="F41" s="108">
        <f>SUM(G41:Q41)</f>
        <v>0.17700000000000002</v>
      </c>
      <c r="G41" s="72">
        <v>7.9000000000000001E-2</v>
      </c>
      <c r="H41" s="12">
        <v>2.7E-2</v>
      </c>
      <c r="I41" s="14">
        <v>0</v>
      </c>
      <c r="J41" s="12"/>
      <c r="K41" s="72">
        <v>2.9000000000000001E-2</v>
      </c>
      <c r="L41" s="12"/>
      <c r="M41" s="12">
        <v>0</v>
      </c>
      <c r="N41" s="72">
        <v>4.2000000000000003E-2</v>
      </c>
      <c r="O41" s="12"/>
      <c r="P41" s="12"/>
      <c r="R41" s="148">
        <f>'Parameters, country spec'!D18</f>
        <v>1.298916356294802E-3</v>
      </c>
      <c r="S41" s="148">
        <f>'Parameters, country spec'!D36</f>
        <v>1.298916356294802E-3</v>
      </c>
    </row>
    <row r="42" spans="1:19" x14ac:dyDescent="0.35">
      <c r="A42" s="20" t="s">
        <v>224</v>
      </c>
      <c r="B42" s="15" t="s">
        <v>109</v>
      </c>
      <c r="C42" s="15" t="s">
        <v>223</v>
      </c>
      <c r="D42" s="21" t="s">
        <v>38</v>
      </c>
      <c r="E42" s="21" t="s">
        <v>39</v>
      </c>
      <c r="F42" s="108">
        <f t="shared" ref="F42:F51" si="5">SUM(G42:Q42)</f>
        <v>0.16700000000000001</v>
      </c>
      <c r="G42" s="72">
        <v>7.6999999999999999E-2</v>
      </c>
      <c r="H42" s="12">
        <v>2.7E-2</v>
      </c>
      <c r="I42" s="14">
        <v>0</v>
      </c>
      <c r="J42" s="12"/>
      <c r="K42" s="72">
        <v>1.9E-2</v>
      </c>
      <c r="L42" s="12"/>
      <c r="M42" s="12">
        <v>2E-3</v>
      </c>
      <c r="N42" s="72">
        <v>4.2000000000000003E-2</v>
      </c>
      <c r="O42" s="12"/>
      <c r="P42" s="12"/>
      <c r="R42" s="148">
        <f>'Parameters, country spec'!D19</f>
        <v>1.9338522642940996E-3</v>
      </c>
      <c r="S42" s="148">
        <f>'Parameters, country spec'!D37</f>
        <v>1.9338522642940996E-3</v>
      </c>
    </row>
    <row r="43" spans="1:19" x14ac:dyDescent="0.35">
      <c r="A43" s="20" t="s">
        <v>225</v>
      </c>
      <c r="B43" s="15" t="s">
        <v>110</v>
      </c>
      <c r="C43" s="15" t="s">
        <v>223</v>
      </c>
      <c r="D43" s="21" t="s">
        <v>38</v>
      </c>
      <c r="E43" s="21" t="s">
        <v>39</v>
      </c>
      <c r="F43" s="108">
        <f t="shared" si="5"/>
        <v>0.18100000000000002</v>
      </c>
      <c r="G43" s="72">
        <v>7.0000000000000007E-2</v>
      </c>
      <c r="H43" s="12">
        <v>2.7E-2</v>
      </c>
      <c r="I43" s="14">
        <v>0</v>
      </c>
      <c r="J43" s="12"/>
      <c r="K43" s="72">
        <v>4.2000000000000003E-2</v>
      </c>
      <c r="L43" s="12"/>
      <c r="M43" s="12">
        <v>0</v>
      </c>
      <c r="N43" s="72">
        <v>4.2000000000000003E-2</v>
      </c>
      <c r="O43" s="12"/>
      <c r="P43" s="12"/>
      <c r="R43" s="148">
        <f>'Parameters, country spec'!D20</f>
        <v>2.5855421185781316E-7</v>
      </c>
      <c r="S43" s="148">
        <f>'Parameters, country spec'!D38</f>
        <v>2.5855421185781316E-7</v>
      </c>
    </row>
    <row r="44" spans="1:19" x14ac:dyDescent="0.35">
      <c r="A44" s="20" t="s">
        <v>226</v>
      </c>
      <c r="B44" s="15" t="s">
        <v>111</v>
      </c>
      <c r="C44" s="15" t="s">
        <v>223</v>
      </c>
      <c r="D44" s="21" t="s">
        <v>38</v>
      </c>
      <c r="E44" s="21" t="s">
        <v>39</v>
      </c>
      <c r="F44" s="108">
        <f t="shared" si="5"/>
        <v>0.16700000000000001</v>
      </c>
      <c r="G44" s="72">
        <v>6.2E-2</v>
      </c>
      <c r="H44" s="12">
        <v>2.7E-2</v>
      </c>
      <c r="I44" s="12">
        <v>0</v>
      </c>
      <c r="J44" s="12"/>
      <c r="K44" s="72">
        <v>3.5999999999999997E-2</v>
      </c>
      <c r="L44" s="12"/>
      <c r="M44" s="12">
        <v>0</v>
      </c>
      <c r="N44" s="72">
        <v>4.2000000000000003E-2</v>
      </c>
      <c r="O44" s="12"/>
      <c r="P44" s="12"/>
      <c r="R44" s="148">
        <f>'Parameters, country spec'!D21</f>
        <v>2.1217635552166355E-4</v>
      </c>
      <c r="S44" s="148">
        <f>'Parameters, country spec'!D39</f>
        <v>2.1217635552166355E-4</v>
      </c>
    </row>
    <row r="45" spans="1:19" x14ac:dyDescent="0.35">
      <c r="A45" s="20" t="s">
        <v>227</v>
      </c>
      <c r="B45" s="15" t="s">
        <v>112</v>
      </c>
      <c r="C45" s="15" t="s">
        <v>223</v>
      </c>
      <c r="D45" s="21" t="s">
        <v>38</v>
      </c>
      <c r="E45" s="21" t="s">
        <v>39</v>
      </c>
      <c r="F45" s="108">
        <f t="shared" si="5"/>
        <v>0.186</v>
      </c>
      <c r="G45" s="72">
        <v>9.0999999999999998E-2</v>
      </c>
      <c r="H45" s="12">
        <v>2.7E-2</v>
      </c>
      <c r="I45" s="12">
        <v>0</v>
      </c>
      <c r="J45" s="12"/>
      <c r="K45" s="72">
        <v>2.5999999999999999E-2</v>
      </c>
      <c r="L45" s="12"/>
      <c r="M45" s="12">
        <v>0</v>
      </c>
      <c r="N45" s="72">
        <v>4.2000000000000003E-2</v>
      </c>
      <c r="O45" s="12"/>
      <c r="P45" s="12"/>
      <c r="R45" s="148">
        <f>'Parameters, country spec'!D22</f>
        <v>4.3386015699034622E-3</v>
      </c>
      <c r="S45" s="148">
        <f>'Parameters, country spec'!D40</f>
        <v>4.3386015699034622E-3</v>
      </c>
    </row>
    <row r="46" spans="1:19" x14ac:dyDescent="0.35">
      <c r="A46" s="20" t="s">
        <v>228</v>
      </c>
      <c r="B46" s="15" t="s">
        <v>113</v>
      </c>
      <c r="C46" s="15" t="s">
        <v>229</v>
      </c>
      <c r="D46" s="21" t="s">
        <v>38</v>
      </c>
      <c r="E46" s="21" t="s">
        <v>39</v>
      </c>
      <c r="F46" s="108">
        <f t="shared" si="5"/>
        <v>0.122</v>
      </c>
      <c r="G46" s="72">
        <v>0</v>
      </c>
      <c r="H46" s="12">
        <v>2.7E-2</v>
      </c>
      <c r="I46" s="14">
        <v>0</v>
      </c>
      <c r="J46" s="12"/>
      <c r="K46" s="72">
        <v>5.2999999999999999E-2</v>
      </c>
      <c r="L46" s="14"/>
      <c r="M46" s="12">
        <v>0</v>
      </c>
      <c r="N46" s="72">
        <v>4.2000000000000003E-2</v>
      </c>
      <c r="O46" s="12"/>
      <c r="P46" s="12"/>
      <c r="R46" s="148">
        <f>'Parameters, country spec'!D23</f>
        <v>2.7051994141606358E-4</v>
      </c>
      <c r="S46" s="148">
        <f>'Parameters, country spec'!D41</f>
        <v>2.7051994141606358E-4</v>
      </c>
    </row>
    <row r="47" spans="1:19" x14ac:dyDescent="0.35">
      <c r="A47" s="20" t="s">
        <v>230</v>
      </c>
      <c r="B47" s="15" t="s">
        <v>114</v>
      </c>
      <c r="C47" s="15" t="s">
        <v>229</v>
      </c>
      <c r="D47" s="21" t="s">
        <v>38</v>
      </c>
      <c r="E47" s="21" t="s">
        <v>39</v>
      </c>
      <c r="F47" s="108">
        <f t="shared" si="5"/>
        <v>0.125</v>
      </c>
      <c r="G47" s="72">
        <v>4.0000000000000001E-3</v>
      </c>
      <c r="H47" s="12">
        <v>2.7E-2</v>
      </c>
      <c r="I47" s="14">
        <v>0</v>
      </c>
      <c r="J47" s="12"/>
      <c r="K47" s="72">
        <v>4.5999999999999999E-2</v>
      </c>
      <c r="L47" s="12"/>
      <c r="M47" s="12">
        <v>6.0000000000000001E-3</v>
      </c>
      <c r="N47" s="72">
        <v>4.2000000000000003E-2</v>
      </c>
      <c r="O47" s="12"/>
      <c r="P47" s="12"/>
      <c r="R47" s="148">
        <f>'Parameters, country spec'!D24</f>
        <v>2.6573972962751311E-4</v>
      </c>
      <c r="S47" s="148">
        <f>'Parameters, country spec'!D42</f>
        <v>2.6573972962751311E-4</v>
      </c>
    </row>
    <row r="48" spans="1:19" x14ac:dyDescent="0.35">
      <c r="B48" s="16" t="s">
        <v>115</v>
      </c>
      <c r="C48" s="15" t="s">
        <v>231</v>
      </c>
      <c r="D48" s="21" t="s">
        <v>38</v>
      </c>
      <c r="E48" s="21" t="s">
        <v>39</v>
      </c>
      <c r="F48" s="108">
        <f t="shared" si="5"/>
        <v>0.27628755742228495</v>
      </c>
      <c r="G48" s="18">
        <f>'Off-farm feed'!$F$74</f>
        <v>0.15910156565543246</v>
      </c>
      <c r="H48" s="18">
        <f>'Off-farm feed'!$G$74</f>
        <v>1.3034482758620692E-2</v>
      </c>
      <c r="I48" s="18">
        <f>'Off-farm feed'!$H$74</f>
        <v>0</v>
      </c>
      <c r="J48" s="18"/>
      <c r="K48" s="18">
        <f>'Off-farm feed'!$J$74</f>
        <v>2.4688740026345454E-2</v>
      </c>
      <c r="L48" s="18"/>
      <c r="M48" s="289">
        <f>'Off-farm feed'!$L$74</f>
        <v>1.931759303794134E-4</v>
      </c>
      <c r="N48" s="18">
        <f>'Off-farm feed'!$M$74</f>
        <v>3.6802128767029069E-2</v>
      </c>
      <c r="O48" s="18">
        <f>'Off-farm feed'!$N$74</f>
        <v>0</v>
      </c>
      <c r="P48" s="18">
        <f>'Off-farm feed'!$O$74</f>
        <v>2.6267464284477883E-2</v>
      </c>
      <c r="Q48" s="18">
        <f>'Off-farm feed'!$P$74</f>
        <v>1.6199999999999999E-2</v>
      </c>
      <c r="R48" s="148">
        <f>'Parameters, country spec'!D25</f>
        <v>2.7355781220453596E-2</v>
      </c>
      <c r="S48" s="148">
        <f>'Parameters, country spec'!D43</f>
        <v>2.7355781220453596E-2</v>
      </c>
    </row>
    <row r="49" spans="1:20" x14ac:dyDescent="0.35">
      <c r="B49" s="16" t="s">
        <v>232</v>
      </c>
      <c r="C49" s="15" t="s">
        <v>231</v>
      </c>
      <c r="D49" s="21" t="s">
        <v>38</v>
      </c>
      <c r="E49" s="21" t="s">
        <v>39</v>
      </c>
      <c r="F49" s="108">
        <f t="shared" si="5"/>
        <v>0.7061171705997602</v>
      </c>
      <c r="G49" s="18">
        <f>'Off-farm feed'!$F$23</f>
        <v>7.2632670993098931E-3</v>
      </c>
      <c r="H49" s="18">
        <f>'Off-farm feed'!$G$23</f>
        <v>2.1402439024390246E-2</v>
      </c>
      <c r="I49" s="18">
        <f>'Off-farm feed'!$H$23</f>
        <v>0</v>
      </c>
      <c r="J49" s="18"/>
      <c r="K49" s="18">
        <f>'Off-farm feed'!$J$23</f>
        <v>4.308361966433235E-2</v>
      </c>
      <c r="L49" s="18"/>
      <c r="M49" s="289">
        <f>'Off-farm feed'!$L$23</f>
        <v>1.7842060425123844E-4</v>
      </c>
      <c r="N49" s="18">
        <f>'Off-farm feed'!$M$23</f>
        <v>3.0432604948959403E-2</v>
      </c>
      <c r="O49" s="18">
        <f>'Off-farm feed'!$N$23</f>
        <v>0.31761120248475611</v>
      </c>
      <c r="P49" s="18">
        <f>'Off-farm feed'!$O$23</f>
        <v>3.5145616773760872E-2</v>
      </c>
      <c r="Q49" s="18">
        <f>'Off-farm feed'!$P$23</f>
        <v>0.251</v>
      </c>
      <c r="R49" s="148">
        <f>'Parameters, country spec'!D26</f>
        <v>2.6285117627784533E-2</v>
      </c>
      <c r="S49" s="148">
        <f>'Parameters, country spec'!D44</f>
        <v>2.6285117627784533E-2</v>
      </c>
    </row>
    <row r="50" spans="1:20" x14ac:dyDescent="0.35">
      <c r="B50" s="15" t="s">
        <v>117</v>
      </c>
      <c r="C50" s="15" t="s">
        <v>233</v>
      </c>
      <c r="D50" s="21" t="s">
        <v>38</v>
      </c>
      <c r="E50" s="21" t="s">
        <v>39</v>
      </c>
      <c r="F50" s="108">
        <f t="shared" si="5"/>
        <v>0.63069821539340787</v>
      </c>
      <c r="G50" s="72">
        <v>4.5323617744314898E-2</v>
      </c>
      <c r="H50" s="12">
        <v>1.3510799999999899E-2</v>
      </c>
      <c r="I50" s="14"/>
      <c r="J50" s="12"/>
      <c r="K50" s="72">
        <v>3.4582976842042798E-2</v>
      </c>
      <c r="L50" s="12"/>
      <c r="M50" s="12"/>
      <c r="N50" s="72"/>
      <c r="O50" s="12"/>
      <c r="P50" s="14">
        <v>0.52550926010708199</v>
      </c>
      <c r="Q50" s="14">
        <v>1.1771560699968301E-2</v>
      </c>
      <c r="R50" s="148">
        <f>'Parameters, country spec'!D27</f>
        <v>4.2051693837096289E-2</v>
      </c>
      <c r="S50" s="148">
        <f>'Parameters, country spec'!D45</f>
        <v>4.2051693837096289E-2</v>
      </c>
      <c r="T50" t="s">
        <v>403</v>
      </c>
    </row>
    <row r="51" spans="1:20" x14ac:dyDescent="0.35">
      <c r="A51" s="75"/>
      <c r="B51" s="15" t="s">
        <v>234</v>
      </c>
      <c r="C51" s="76" t="s">
        <v>235</v>
      </c>
      <c r="D51" s="21" t="s">
        <v>38</v>
      </c>
      <c r="E51" s="21" t="s">
        <v>39</v>
      </c>
      <c r="F51" s="108">
        <f t="shared" si="5"/>
        <v>2.7579977426934632E-2</v>
      </c>
      <c r="G51" s="73">
        <f>SUMPRODUCT(G41:G49,$R41:$R49)</f>
        <v>5.203833203083855E-3</v>
      </c>
      <c r="H51" s="73">
        <f t="shared" ref="H51:P51" si="6">SUMPRODUCT(H41:H49,$R41:$R49)</f>
        <v>1.143775834768461E-3</v>
      </c>
      <c r="I51" s="73">
        <f t="shared" si="6"/>
        <v>0</v>
      </c>
      <c r="J51" s="73">
        <f t="shared" si="6"/>
        <v>0</v>
      </c>
      <c r="K51" s="73">
        <f>SUMPRODUCT(K41:K49,$R41:$R49)</f>
        <v>2.0292639821822907E-3</v>
      </c>
      <c r="L51" s="73">
        <f t="shared" si="6"/>
        <v>0</v>
      </c>
      <c r="M51" s="73">
        <f t="shared" si="6"/>
        <v>1.5436427964834282E-5</v>
      </c>
      <c r="N51" s="73">
        <f t="shared" si="6"/>
        <v>2.1561183041944217E-3</v>
      </c>
      <c r="O51" s="73">
        <f t="shared" si="6"/>
        <v>8.3484478172139061E-3</v>
      </c>
      <c r="P51" s="73">
        <f t="shared" si="6"/>
        <v>1.6423736771815972E-3</v>
      </c>
      <c r="Q51" s="73">
        <f>SUMPRODUCT(Q41:Q49,$R41:$R49)</f>
        <v>7.0407281803452661E-3</v>
      </c>
      <c r="R51" s="148">
        <f>'Parameters, country spec'!D28</f>
        <v>1.4863599715456545E-2</v>
      </c>
      <c r="S51" s="148">
        <f>'Parameters, country spec'!D46</f>
        <v>1.4863599715456545E-2</v>
      </c>
    </row>
    <row r="52" spans="1:20" x14ac:dyDescent="0.35">
      <c r="A52" s="321"/>
      <c r="B52" s="322" t="s">
        <v>541</v>
      </c>
      <c r="C52" s="323"/>
      <c r="D52" s="324"/>
      <c r="E52" s="324"/>
      <c r="F52" s="325">
        <f>SUMPRODUCT(F38:F40,R38:R40)+SUMPRODUCT(F41:F51,R41:R51)/0.87</f>
        <v>0.14174740479063996</v>
      </c>
      <c r="G52" s="325">
        <f>SUMPRODUCT(G38:G40,R38:R40)+SUMPRODUCT(G41:G51,R41:R51)/0.87</f>
        <v>2.2240715102244259E-2</v>
      </c>
      <c r="H52" s="325">
        <f>SUMPRODUCT(H38:H40,R38:R40)+SUMPRODUCT(H41:H51,R41:R51)/0.87</f>
        <v>2.5777615178233574E-2</v>
      </c>
      <c r="I52" s="325">
        <f>SUMPRODUCT(I38:I40,R38:R40)+SUMPRODUCT(I41:I51,R41:R51)/0.87</f>
        <v>0</v>
      </c>
      <c r="J52" s="325">
        <f>SUMPRODUCT(J38:J40,R38:R40)+SUMPRODUCT(J41:J51,R41:R51)/0.87</f>
        <v>0</v>
      </c>
      <c r="K52" s="325">
        <f>SUMPRODUCT(K38:K40,R38:R40)+SUMPRODUCT(K41:K51,R41:R51)/0.87</f>
        <v>1.5813277717961163E-2</v>
      </c>
      <c r="L52" s="325">
        <f>SUMPRODUCT(L38:L40,R38:R40)+SUMPRODUCT(L41:L51,R41:R51)/0.87</f>
        <v>0</v>
      </c>
      <c r="M52" s="325">
        <f>SUMPRODUCT(M38:M40,R38:R40)+SUMPRODUCT(M41:M51,R41:R51)/0.87</f>
        <v>7.7068641911680542E-4</v>
      </c>
      <c r="N52" s="325">
        <f>SUMPRODUCT(N38:N40,R38:R40)+SUMPRODUCT(N41:N51,R41:R51)/0.87</f>
        <v>2.5151333144909616E-3</v>
      </c>
      <c r="O52" s="325">
        <f>SUMPRODUCT(O38:O40,R38:R40)+SUMPRODUCT(O41:O51,R41:R51)/0.87</f>
        <v>9.7385469009360348E-3</v>
      </c>
      <c r="P52" s="325">
        <f>SUMPRODUCT(P38:P40,R38:R40)+SUMPRODUCT(P41:P51,R41:R51)/0.87</f>
        <v>5.6109369453906446E-2</v>
      </c>
      <c r="Q52" s="325">
        <f>SUMPRODUCT(Q38:Q40,R38:R40)+SUMPRODUCT(Q41:Q51,R41:R51)/0.87</f>
        <v>8.7820607037507065E-3</v>
      </c>
      <c r="R52" s="328"/>
      <c r="S52" s="329"/>
    </row>
    <row r="53" spans="1:20" x14ac:dyDescent="0.35">
      <c r="A53" s="147"/>
      <c r="B53" s="23" t="s">
        <v>428</v>
      </c>
      <c r="C53" s="24"/>
      <c r="D53" s="94"/>
      <c r="E53" s="94"/>
      <c r="F53" s="320">
        <f>SUMPRODUCT(F38:F40,S38:S40)+SUMPRODUCT(F41:F51,S41:S51)/0.87</f>
        <v>0.14174740479063996</v>
      </c>
      <c r="G53" s="320">
        <f>SUMPRODUCT(G38:G40,S38:S40)+SUMPRODUCT(G41:G51,S41:S51)/0.87</f>
        <v>2.2240715102244259E-2</v>
      </c>
      <c r="H53" s="320">
        <f>SUMPRODUCT(H38:H40,S38:S40)+SUMPRODUCT(H41:H51,S41:S51)/0.87</f>
        <v>2.5777615178233574E-2</v>
      </c>
      <c r="I53" s="320">
        <f>SUMPRODUCT(I38:I40,S38:S40)+SUMPRODUCT(I41:I51,S41:S51)/0.87</f>
        <v>0</v>
      </c>
      <c r="J53" s="320">
        <f>SUMPRODUCT(J38:J40,S38:S40)+SUMPRODUCT(J41:J51,S41:S51)/0.87</f>
        <v>0</v>
      </c>
      <c r="K53" s="320">
        <f>SUMPRODUCT(K38:K40,S38:S40)+SUMPRODUCT(K41:K51,S41:S51)/0.87</f>
        <v>1.5813277717961163E-2</v>
      </c>
      <c r="L53" s="320">
        <f>SUMPRODUCT(L38:L40,S38:S40)+SUMPRODUCT(L41:L51,S41:S51)/0.87</f>
        <v>0</v>
      </c>
      <c r="M53" s="320">
        <f>SUMPRODUCT(M38:M40,S38:S40)+SUMPRODUCT(M41:M51,S41:S51)/0.87</f>
        <v>7.7068641911680542E-4</v>
      </c>
      <c r="N53" s="320">
        <f>SUMPRODUCT(N38:N40,S38:S40)+SUMPRODUCT(N41:N51,S41:S51)/0.87</f>
        <v>2.5151333144909616E-3</v>
      </c>
      <c r="O53" s="320">
        <f>SUMPRODUCT(O38:O40,S38:S40)+SUMPRODUCT(O41:O51,S41:S51)/0.87</f>
        <v>9.7385469009360348E-3</v>
      </c>
      <c r="P53" s="320">
        <f>SUMPRODUCT(P38:P40,S38:S40)+SUMPRODUCT(P41:P51,S41:S51)/0.87</f>
        <v>5.6109369453906446E-2</v>
      </c>
      <c r="Q53" s="320">
        <f>SUMPRODUCT(Q38:Q40,S38:S40)+SUMPRODUCT(Q41:Q51,S41:S51)/0.87</f>
        <v>8.7820607037507065E-3</v>
      </c>
      <c r="R53" s="149"/>
      <c r="S53" s="149"/>
    </row>
    <row r="54" spans="1:20" x14ac:dyDescent="0.35">
      <c r="B54" s="16" t="s">
        <v>285</v>
      </c>
      <c r="C54" s="15" t="s">
        <v>288</v>
      </c>
      <c r="D54" s="21" t="s">
        <v>40</v>
      </c>
      <c r="E54" s="21" t="s">
        <v>41</v>
      </c>
      <c r="F54" s="108">
        <f>SUM(G54:Q54)</f>
        <v>8.1168082825064047E-2</v>
      </c>
      <c r="G54" s="18">
        <f>'Forage crops, CF'!F23</f>
        <v>2.175109426324023E-2</v>
      </c>
      <c r="H54" s="18">
        <f>'Forage crops, CF'!G23</f>
        <v>2.7E-2</v>
      </c>
      <c r="I54" s="18">
        <f>'Forage crops, CF'!H23</f>
        <v>0</v>
      </c>
      <c r="J54" s="18">
        <f>'Forage crops, CF'!I23</f>
        <v>0</v>
      </c>
      <c r="K54" s="18">
        <f>'Forage crops, CF'!J23</f>
        <v>3.241698856182381E-2</v>
      </c>
      <c r="L54" s="18">
        <f>'Forage crops, CF'!K23</f>
        <v>0</v>
      </c>
      <c r="M54" s="18">
        <f>'Forage crops, CF'!L23</f>
        <v>0</v>
      </c>
      <c r="N54" s="18">
        <f>'Forage crops, CF'!M23</f>
        <v>0</v>
      </c>
      <c r="O54" s="18">
        <f>'Forage crops, CF'!N23</f>
        <v>0</v>
      </c>
      <c r="P54" s="18">
        <f>'Forage crops, CF'!O23</f>
        <v>0</v>
      </c>
      <c r="Q54" s="18">
        <f>'Forage crops, CF'!P23</f>
        <v>0</v>
      </c>
      <c r="R54" s="148">
        <f>'Parameters, country spec'!E15</f>
        <v>0.3707697249953647</v>
      </c>
      <c r="S54" s="148">
        <f>'Parameters, country spec'!E33</f>
        <v>0.3707697249953647</v>
      </c>
    </row>
    <row r="55" spans="1:20" x14ac:dyDescent="0.35">
      <c r="B55" s="16" t="s">
        <v>286</v>
      </c>
      <c r="C55" s="15" t="s">
        <v>288</v>
      </c>
      <c r="D55" s="21" t="s">
        <v>40</v>
      </c>
      <c r="E55" s="21" t="s">
        <v>41</v>
      </c>
      <c r="F55" s="108">
        <f>SUM(G55:Q55)</f>
        <v>0.22000118826753179</v>
      </c>
      <c r="G55" s="18">
        <f>'Forage crops, CF'!F88</f>
        <v>9.9916129362765033E-2</v>
      </c>
      <c r="H55" s="18">
        <f>'Forage crops, CF'!G88</f>
        <v>2.7E-2</v>
      </c>
      <c r="I55" s="18">
        <f>'Forage crops, CF'!H88</f>
        <v>0</v>
      </c>
      <c r="J55" s="18">
        <f>'Forage crops, CF'!I88</f>
        <v>0</v>
      </c>
      <c r="K55" s="18">
        <f>'Forage crops, CF'!J88</f>
        <v>3.0929259689321011E-2</v>
      </c>
      <c r="L55" s="18">
        <f>'Forage crops, CF'!K88</f>
        <v>0</v>
      </c>
      <c r="M55" s="18">
        <f>'Forage crops, CF'!L88</f>
        <v>1.5455799215445744E-2</v>
      </c>
      <c r="N55" s="18">
        <f>'Forage crops, CF'!M88</f>
        <v>0</v>
      </c>
      <c r="O55" s="18">
        <f>'Forage crops, CF'!N88</f>
        <v>0</v>
      </c>
      <c r="P55" s="18">
        <f>'Forage crops, CF'!O88</f>
        <v>4.6700000000000005E-2</v>
      </c>
      <c r="Q55" s="18">
        <f>'Forage crops, CF'!P88</f>
        <v>0</v>
      </c>
      <c r="R55" s="148">
        <f>'Parameters, country spec'!E16</f>
        <v>0.13544388222799708</v>
      </c>
      <c r="S55" s="148">
        <f>'Parameters, country spec'!E34</f>
        <v>0.13544388222799708</v>
      </c>
    </row>
    <row r="56" spans="1:20" x14ac:dyDescent="0.35">
      <c r="B56" s="16" t="s">
        <v>287</v>
      </c>
      <c r="C56" s="15" t="s">
        <v>288</v>
      </c>
      <c r="D56" s="21" t="s">
        <v>40</v>
      </c>
      <c r="E56" s="21" t="s">
        <v>41</v>
      </c>
      <c r="F56" s="108">
        <f>SUM(G56:Q56)</f>
        <v>0.1117512847727884</v>
      </c>
      <c r="G56" s="18">
        <f>'Forage crops, CF'!F153*'Forage, input data per ha'!$E$81+'Forage crops, CF'!F218*'Forage, input data per ha'!$G$81</f>
        <v>9.1432299454412506E-3</v>
      </c>
      <c r="H56" s="18">
        <f>'Forage crops, CF'!G153*'Forage, input data per ha'!$E$81+'Forage crops, CF'!G218*'Forage, input data per ha'!$G$81</f>
        <v>2.7E-2</v>
      </c>
      <c r="I56" s="18">
        <f>'Forage crops, CF'!H153*'Forage, input data per ha'!$E$81+'Forage crops, CF'!H218*'Forage, input data per ha'!$G$81</f>
        <v>0</v>
      </c>
      <c r="J56" s="18">
        <f>'Forage crops, CF'!I153*'Forage, input data per ha'!$E$81+'Forage crops, CF'!I218*'Forage, input data per ha'!$G$81</f>
        <v>0</v>
      </c>
      <c r="K56" s="18">
        <f>'Forage crops, CF'!J153*'Forage, input data per ha'!$E$81+'Forage crops, CF'!J218*'Forage, input data per ha'!$G$81</f>
        <v>2.8908054827347138E-2</v>
      </c>
      <c r="L56" s="18">
        <f>'Forage crops, CF'!K153*'Forage, input data per ha'!$E$81+'Forage crops, CF'!K218*'Forage, input data per ha'!$G$81</f>
        <v>0</v>
      </c>
      <c r="M56" s="18">
        <f>'Forage crops, CF'!L153*'Forage, input data per ha'!$E$81+'Forage crops, CF'!L218*'Forage, input data per ha'!$G$81</f>
        <v>0</v>
      </c>
      <c r="N56" s="18">
        <f>'Forage crops, CF'!M153*'Forage, input data per ha'!$E$81+'Forage crops, CF'!M218*'Forage, input data per ha'!$G$81</f>
        <v>0</v>
      </c>
      <c r="O56" s="18">
        <f>'Forage crops, CF'!N153*'Forage, input data per ha'!$E$81+'Forage crops, CF'!N218*'Forage, input data per ha'!$G$81</f>
        <v>0</v>
      </c>
      <c r="P56" s="18">
        <f>'Forage crops, CF'!O153*'Forage, input data per ha'!$E$81+'Forage crops, CF'!O218*'Forage, input data per ha'!$G$81</f>
        <v>4.6700000000000005E-2</v>
      </c>
      <c r="Q56" s="18">
        <f>'Forage crops, CF'!P153*'Forage, input data per ha'!$E$81+'Forage crops, CF'!P218*'Forage, input data per ha'!$G$81</f>
        <v>0</v>
      </c>
      <c r="R56" s="148">
        <f>'Parameters, country spec'!E17</f>
        <v>3.5518223853143398E-2</v>
      </c>
      <c r="S56" s="148">
        <f>'Parameters, country spec'!E35</f>
        <v>3.5518223853143398E-2</v>
      </c>
    </row>
    <row r="57" spans="1:20" x14ac:dyDescent="0.35">
      <c r="A57" s="20" t="s">
        <v>222</v>
      </c>
      <c r="B57" s="15" t="s">
        <v>108</v>
      </c>
      <c r="C57" s="15" t="s">
        <v>223</v>
      </c>
      <c r="D57" s="21" t="s">
        <v>40</v>
      </c>
      <c r="E57" s="21" t="s">
        <v>41</v>
      </c>
      <c r="F57" s="108">
        <f>SUM(G57:Q57)</f>
        <v>0.21899999999999997</v>
      </c>
      <c r="G57" s="72">
        <v>7.9000000000000001E-2</v>
      </c>
      <c r="H57" s="12">
        <v>2.7E-2</v>
      </c>
      <c r="I57" s="14">
        <v>0</v>
      </c>
      <c r="J57" s="12"/>
      <c r="K57" s="72">
        <v>6.6000000000000003E-2</v>
      </c>
      <c r="L57" s="12"/>
      <c r="M57" s="12">
        <v>1E-3</v>
      </c>
      <c r="N57" s="72">
        <v>4.5999999999999999E-2</v>
      </c>
      <c r="O57" s="12"/>
      <c r="P57" s="12"/>
      <c r="R57" s="148">
        <f>'Parameters, country spec'!E18</f>
        <v>6.7240073264057107E-2</v>
      </c>
      <c r="S57" s="148">
        <f>'Parameters, country spec'!E36</f>
        <v>6.7240073264057107E-2</v>
      </c>
    </row>
    <row r="58" spans="1:20" x14ac:dyDescent="0.35">
      <c r="A58" s="20" t="s">
        <v>224</v>
      </c>
      <c r="B58" s="15" t="s">
        <v>109</v>
      </c>
      <c r="C58" s="15" t="s">
        <v>223</v>
      </c>
      <c r="D58" s="21" t="s">
        <v>40</v>
      </c>
      <c r="E58" s="21" t="s">
        <v>41</v>
      </c>
      <c r="F58" s="108">
        <f t="shared" ref="F58:F67" si="7">SUM(G58:Q58)</f>
        <v>0.182</v>
      </c>
      <c r="G58" s="72">
        <v>7.6999999999999999E-2</v>
      </c>
      <c r="H58" s="12">
        <v>2.7E-2</v>
      </c>
      <c r="I58" s="14">
        <v>0</v>
      </c>
      <c r="J58" s="12"/>
      <c r="K58" s="72">
        <v>1.7000000000000001E-2</v>
      </c>
      <c r="L58" s="12"/>
      <c r="M58" s="12">
        <v>1.4999999999999999E-2</v>
      </c>
      <c r="N58" s="72">
        <v>4.5999999999999999E-2</v>
      </c>
      <c r="O58" s="12"/>
      <c r="P58" s="12"/>
      <c r="R58" s="148">
        <f>'Parameters, country spec'!E19</f>
        <v>0.20110909949687941</v>
      </c>
      <c r="S58" s="148">
        <f>'Parameters, country spec'!E37</f>
        <v>0.20110909949687941</v>
      </c>
    </row>
    <row r="59" spans="1:20" x14ac:dyDescent="0.35">
      <c r="A59" s="20" t="s">
        <v>225</v>
      </c>
      <c r="B59" s="15" t="s">
        <v>110</v>
      </c>
      <c r="C59" s="15" t="s">
        <v>223</v>
      </c>
      <c r="D59" s="21" t="s">
        <v>40</v>
      </c>
      <c r="E59" s="21" t="s">
        <v>41</v>
      </c>
      <c r="F59" s="108">
        <f t="shared" si="7"/>
        <v>0.29500000000000004</v>
      </c>
      <c r="G59" s="72">
        <v>7.0000000000000007E-2</v>
      </c>
      <c r="H59" s="12">
        <v>2.7E-2</v>
      </c>
      <c r="I59" s="14">
        <v>0</v>
      </c>
      <c r="J59" s="12"/>
      <c r="K59" s="72">
        <v>0.13900000000000001</v>
      </c>
      <c r="L59" s="12"/>
      <c r="M59" s="12">
        <v>1.2999999999999999E-2</v>
      </c>
      <c r="N59" s="72">
        <v>4.5999999999999999E-2</v>
      </c>
      <c r="O59" s="12"/>
      <c r="P59" s="12"/>
      <c r="R59" s="148">
        <f>'Parameters, country spec'!E20</f>
        <v>1.8273719871874414E-2</v>
      </c>
      <c r="S59" s="148">
        <f>'Parameters, country spec'!E38</f>
        <v>1.8273719871874414E-2</v>
      </c>
    </row>
    <row r="60" spans="1:20" x14ac:dyDescent="0.35">
      <c r="A60" s="20" t="s">
        <v>226</v>
      </c>
      <c r="B60" s="15" t="s">
        <v>111</v>
      </c>
      <c r="C60" s="15" t="s">
        <v>223</v>
      </c>
      <c r="D60" s="21" t="s">
        <v>40</v>
      </c>
      <c r="E60" s="21" t="s">
        <v>41</v>
      </c>
      <c r="F60" s="108">
        <f t="shared" si="7"/>
        <v>0.22499999999999998</v>
      </c>
      <c r="G60" s="72">
        <v>6.2E-2</v>
      </c>
      <c r="H60" s="12">
        <v>2.7E-2</v>
      </c>
      <c r="I60" s="12">
        <v>0</v>
      </c>
      <c r="J60" s="12"/>
      <c r="K60" s="72">
        <v>0.09</v>
      </c>
      <c r="L60" s="12"/>
      <c r="M60" s="12">
        <v>0</v>
      </c>
      <c r="N60" s="72">
        <v>4.5999999999999999E-2</v>
      </c>
      <c r="O60" s="12"/>
      <c r="P60" s="12"/>
      <c r="R60" s="148">
        <f>'Parameters, country spec'!E21</f>
        <v>4.0305382311056149E-3</v>
      </c>
      <c r="S60" s="148">
        <f>'Parameters, country spec'!E39</f>
        <v>4.0305382311056149E-3</v>
      </c>
    </row>
    <row r="61" spans="1:20" x14ac:dyDescent="0.35">
      <c r="A61" s="20" t="s">
        <v>227</v>
      </c>
      <c r="B61" s="15" t="s">
        <v>112</v>
      </c>
      <c r="C61" s="15" t="s">
        <v>223</v>
      </c>
      <c r="D61" s="21" t="s">
        <v>40</v>
      </c>
      <c r="E61" s="21" t="s">
        <v>41</v>
      </c>
      <c r="F61" s="108">
        <f t="shared" si="7"/>
        <v>0.23199999999999998</v>
      </c>
      <c r="G61" s="72">
        <v>9.0999999999999998E-2</v>
      </c>
      <c r="H61" s="12">
        <v>2.7E-2</v>
      </c>
      <c r="I61" s="12">
        <v>0</v>
      </c>
      <c r="J61" s="12"/>
      <c r="K61" s="72">
        <v>6.6000000000000003E-2</v>
      </c>
      <c r="L61" s="12"/>
      <c r="M61" s="12">
        <v>2E-3</v>
      </c>
      <c r="N61" s="72">
        <v>4.5999999999999999E-2</v>
      </c>
      <c r="O61" s="12"/>
      <c r="P61" s="12"/>
      <c r="R61" s="148">
        <f>'Parameters, country spec'!E22</f>
        <v>2.8904067051552513E-3</v>
      </c>
      <c r="S61" s="148">
        <f>'Parameters, country spec'!E40</f>
        <v>2.8904067051552513E-3</v>
      </c>
    </row>
    <row r="62" spans="1:20" x14ac:dyDescent="0.35">
      <c r="A62" s="20" t="s">
        <v>228</v>
      </c>
      <c r="B62" s="15" t="s">
        <v>113</v>
      </c>
      <c r="C62" s="15" t="s">
        <v>229</v>
      </c>
      <c r="D62" s="21" t="s">
        <v>40</v>
      </c>
      <c r="E62" s="21" t="s">
        <v>41</v>
      </c>
      <c r="F62" s="108">
        <f t="shared" si="7"/>
        <v>0.18</v>
      </c>
      <c r="G62" s="72">
        <v>0</v>
      </c>
      <c r="H62" s="12">
        <v>2.7E-2</v>
      </c>
      <c r="I62" s="14">
        <v>0</v>
      </c>
      <c r="J62" s="12"/>
      <c r="K62" s="72">
        <v>0.104</v>
      </c>
      <c r="L62" s="14"/>
      <c r="M62" s="12">
        <v>3.0000000000000001E-3</v>
      </c>
      <c r="N62" s="72">
        <v>4.5999999999999999E-2</v>
      </c>
      <c r="O62" s="12"/>
      <c r="P62" s="12"/>
      <c r="R62" s="148">
        <f>'Parameters, country spec'!E23</f>
        <v>2.7727022810161413E-4</v>
      </c>
      <c r="S62" s="148">
        <f>'Parameters, country spec'!E41</f>
        <v>2.7727022810161413E-4</v>
      </c>
    </row>
    <row r="63" spans="1:20" x14ac:dyDescent="0.35">
      <c r="A63" s="20" t="s">
        <v>230</v>
      </c>
      <c r="B63" s="15" t="s">
        <v>114</v>
      </c>
      <c r="C63" s="15" t="s">
        <v>229</v>
      </c>
      <c r="D63" s="21" t="s">
        <v>40</v>
      </c>
      <c r="E63" s="21" t="s">
        <v>41</v>
      </c>
      <c r="F63" s="108">
        <f t="shared" si="7"/>
        <v>0.16499999999999998</v>
      </c>
      <c r="G63" s="72">
        <v>4.0000000000000001E-3</v>
      </c>
      <c r="H63" s="12">
        <v>2.7E-2</v>
      </c>
      <c r="I63" s="14">
        <v>0</v>
      </c>
      <c r="J63" s="12"/>
      <c r="K63" s="72">
        <v>6.5000000000000002E-2</v>
      </c>
      <c r="L63" s="12"/>
      <c r="M63" s="12">
        <v>2.3E-2</v>
      </c>
      <c r="N63" s="72">
        <v>4.5999999999999999E-2</v>
      </c>
      <c r="O63" s="12"/>
      <c r="P63" s="12"/>
      <c r="R63" s="148">
        <f>'Parameters, country spec'!E24</f>
        <v>2.7237073543292042E-4</v>
      </c>
      <c r="S63" s="148">
        <f>'Parameters, country spec'!E42</f>
        <v>2.7237073543292042E-4</v>
      </c>
    </row>
    <row r="64" spans="1:20" x14ac:dyDescent="0.35">
      <c r="B64" s="16" t="s">
        <v>115</v>
      </c>
      <c r="C64" s="15" t="s">
        <v>231</v>
      </c>
      <c r="D64" s="21" t="s">
        <v>40</v>
      </c>
      <c r="E64" s="21" t="s">
        <v>41</v>
      </c>
      <c r="F64" s="108">
        <f t="shared" si="7"/>
        <v>0.27628755742228495</v>
      </c>
      <c r="G64" s="18">
        <f>'Off-farm feed'!$F$74</f>
        <v>0.15910156565543246</v>
      </c>
      <c r="H64" s="18">
        <f>'Off-farm feed'!$G$74</f>
        <v>1.3034482758620692E-2</v>
      </c>
      <c r="I64" s="18">
        <f>'Off-farm feed'!$H$74</f>
        <v>0</v>
      </c>
      <c r="J64" s="18"/>
      <c r="K64" s="18">
        <f>'Off-farm feed'!$J$74</f>
        <v>2.4688740026345454E-2</v>
      </c>
      <c r="L64" s="18"/>
      <c r="M64" s="289">
        <f>'Off-farm feed'!$L$74</f>
        <v>1.931759303794134E-4</v>
      </c>
      <c r="N64" s="18">
        <f>'Off-farm feed'!$M$74</f>
        <v>3.6802128767029069E-2</v>
      </c>
      <c r="O64" s="18">
        <f>'Off-farm feed'!$N$74</f>
        <v>0</v>
      </c>
      <c r="P64" s="18">
        <f>'Off-farm feed'!$O$74</f>
        <v>2.6267464284477883E-2</v>
      </c>
      <c r="Q64" s="18">
        <f>'Off-farm feed'!$P$74</f>
        <v>1.6199999999999999E-2</v>
      </c>
      <c r="R64" s="148">
        <f>'Parameters, country spec'!E25</f>
        <v>3.0258775338687637E-4</v>
      </c>
      <c r="S64" s="148">
        <f>'Parameters, country spec'!E43</f>
        <v>3.0258775338687637E-4</v>
      </c>
    </row>
    <row r="65" spans="1:19" x14ac:dyDescent="0.35">
      <c r="B65" s="16" t="s">
        <v>232</v>
      </c>
      <c r="C65" s="15" t="s">
        <v>231</v>
      </c>
      <c r="D65" s="21" t="s">
        <v>40</v>
      </c>
      <c r="E65" s="21" t="s">
        <v>41</v>
      </c>
      <c r="F65" s="108">
        <f t="shared" si="7"/>
        <v>0.7061171705997602</v>
      </c>
      <c r="G65" s="18">
        <f>'Off-farm feed'!$F$23</f>
        <v>7.2632670993098931E-3</v>
      </c>
      <c r="H65" s="18">
        <f>'Off-farm feed'!$G$23</f>
        <v>2.1402439024390246E-2</v>
      </c>
      <c r="I65" s="18">
        <f>'Off-farm feed'!$H$23</f>
        <v>0</v>
      </c>
      <c r="J65" s="18"/>
      <c r="K65" s="18">
        <f>'Off-farm feed'!$J$23</f>
        <v>4.308361966433235E-2</v>
      </c>
      <c r="L65" s="18"/>
      <c r="M65" s="289">
        <f>'Off-farm feed'!$L$23</f>
        <v>1.7842060425123844E-4</v>
      </c>
      <c r="N65" s="18">
        <f>'Off-farm feed'!$M$23</f>
        <v>3.0432604948959403E-2</v>
      </c>
      <c r="O65" s="18">
        <f>'Off-farm feed'!$N$23</f>
        <v>0.31761120248475611</v>
      </c>
      <c r="P65" s="18">
        <f>'Off-farm feed'!$O$23</f>
        <v>3.5145616773760872E-2</v>
      </c>
      <c r="Q65" s="18">
        <f>'Off-farm feed'!$P$23</f>
        <v>0.251</v>
      </c>
      <c r="R65" s="148">
        <f>'Parameters, country spec'!E26</f>
        <v>5.3317910590755316E-2</v>
      </c>
      <c r="S65" s="148">
        <f>'Parameters, country spec'!E44</f>
        <v>5.3317910590755316E-2</v>
      </c>
    </row>
    <row r="66" spans="1:19" x14ac:dyDescent="0.35">
      <c r="B66" s="15" t="s">
        <v>117</v>
      </c>
      <c r="C66" s="15" t="s">
        <v>233</v>
      </c>
      <c r="D66" s="21" t="s">
        <v>40</v>
      </c>
      <c r="E66" s="21" t="s">
        <v>41</v>
      </c>
      <c r="F66" s="108">
        <f t="shared" si="7"/>
        <v>0.86739429191291217</v>
      </c>
      <c r="G66" s="72">
        <v>4.5330908020751903E-2</v>
      </c>
      <c r="H66" s="12">
        <v>1.3510799999999899E-2</v>
      </c>
      <c r="K66" s="14">
        <v>5.0130956245903698E-2</v>
      </c>
      <c r="N66" s="97"/>
      <c r="O66" s="6"/>
      <c r="P66" s="14">
        <v>0.72382210600774899</v>
      </c>
      <c r="Q66" s="14">
        <v>3.4599521638507699E-2</v>
      </c>
      <c r="R66" s="148">
        <f>'Parameters, country spec'!E27</f>
        <v>4.6947510766466367E-2</v>
      </c>
      <c r="S66" s="148">
        <f>'Parameters, country spec'!E45</f>
        <v>4.6947510766466367E-2</v>
      </c>
    </row>
    <row r="67" spans="1:19" x14ac:dyDescent="0.35">
      <c r="A67" s="75"/>
      <c r="B67" s="15" t="s">
        <v>234</v>
      </c>
      <c r="C67" s="76" t="s">
        <v>235</v>
      </c>
      <c r="D67" s="21" t="s">
        <v>40</v>
      </c>
      <c r="E67" s="21" t="s">
        <v>41</v>
      </c>
      <c r="F67" s="108">
        <f t="shared" si="7"/>
        <v>9.6122768185387314E-2</v>
      </c>
      <c r="G67" s="73">
        <f>SUMPRODUCT(G57:G65,$R57:$R65)</f>
        <v>2.3025941114700632E-2</v>
      </c>
      <c r="H67" s="73">
        <f t="shared" ref="H67:P67" si="8">SUMPRODUCT(H57:H65,$R57:$R65)</f>
        <v>9.0856013255613943E-3</v>
      </c>
      <c r="I67" s="73">
        <f t="shared" si="8"/>
        <v>0</v>
      </c>
      <c r="J67" s="73">
        <f t="shared" si="8"/>
        <v>0</v>
      </c>
      <c r="K67" s="73">
        <f>SUMPRODUCT(K57:K65,$R57:$R65)</f>
        <v>1.3301401165498227E-2</v>
      </c>
      <c r="L67" s="73">
        <f t="shared" si="8"/>
        <v>0</v>
      </c>
      <c r="M67" s="73">
        <f t="shared" si="8"/>
        <v>3.3438835415569865E-3</v>
      </c>
      <c r="N67" s="73">
        <f t="shared" si="8"/>
        <v>1.5162038795675757E-2</v>
      </c>
      <c r="O67" s="73">
        <f t="shared" si="8"/>
        <v>1.693436569670451E-2</v>
      </c>
      <c r="P67" s="73">
        <f t="shared" si="8"/>
        <v>1.8818390658053427E-3</v>
      </c>
      <c r="Q67" s="73">
        <f>SUMPRODUCT(Q57:Q65,$R57:$R65)</f>
        <v>1.3387697479884452E-2</v>
      </c>
      <c r="R67" s="148">
        <f>'Parameters, country spec'!E28</f>
        <v>6.3606681280279728E-2</v>
      </c>
      <c r="S67" s="148">
        <f>'Parameters, country spec'!E46</f>
        <v>6.3606681280279728E-2</v>
      </c>
    </row>
    <row r="68" spans="1:19" x14ac:dyDescent="0.35">
      <c r="A68" s="321"/>
      <c r="B68" s="322" t="s">
        <v>541</v>
      </c>
      <c r="C68" s="323"/>
      <c r="D68" s="324"/>
      <c r="E68" s="324"/>
      <c r="F68" s="325">
        <f>SUMPRODUCT(F54:F56,R54:R56)+SUMPRODUCT(F57:F67,R57:R67)/0.87</f>
        <v>0.22818217420948264</v>
      </c>
      <c r="G68" s="325">
        <f>SUMPRODUCT(G54:G56,R54:R56)+SUMPRODUCT(G57:G67,R57:R67)/0.87</f>
        <v>5.2518654690934974E-2</v>
      </c>
      <c r="H68" s="325">
        <f>SUMPRODUCT(H54:H56,R54:R56)+SUMPRODUCT(H57:H67,R57:R67)/0.87</f>
        <v>2.6463316567547975E-2</v>
      </c>
      <c r="I68" s="325">
        <f>SUMPRODUCT(I54:I56,R54:R56)+SUMPRODUCT(I57:I67,R57:R67)/0.87</f>
        <v>0</v>
      </c>
      <c r="J68" s="325">
        <f>SUMPRODUCT(J54:J56,R54:R56)+SUMPRODUCT(J57:J67,R57:R67)/0.87</f>
        <v>0</v>
      </c>
      <c r="K68" s="325">
        <f>SUMPRODUCT(K54:K56,R54:R56)+SUMPRODUCT(K57:K67,R57:R67)/0.87</f>
        <v>3.620182655191348E-2</v>
      </c>
      <c r="L68" s="325">
        <f>SUMPRODUCT(L54:L56,R54:R56)+SUMPRODUCT(L57:L67,R57:R67)/0.87</f>
        <v>0</v>
      </c>
      <c r="M68" s="325">
        <f>SUMPRODUCT(M54:M56,R54:R56)+SUMPRODUCT(M57:M67,R57:R67)/0.87</f>
        <v>6.1814128466340752E-3</v>
      </c>
      <c r="N68" s="325">
        <f>SUMPRODUCT(N54:N56,R54:R56)+SUMPRODUCT(N57:N67,R57:R67)/0.87</f>
        <v>1.8536144557369585E-2</v>
      </c>
      <c r="O68" s="325">
        <f>SUMPRODUCT(O54:O56,R54:R56)+SUMPRODUCT(O57:O67,R57:R67)/0.87</f>
        <v>2.0702878733630452E-2</v>
      </c>
      <c r="P68" s="325">
        <f>SUMPRODUCT(P54:P56,R54:R56)+SUMPRODUCT(P57:P67,R57:R67)/0.87</f>
        <v>4.9343910489954727E-2</v>
      </c>
      <c r="Q68" s="325">
        <f>SUMPRODUCT(Q54:Q56,R54:R56)+SUMPRODUCT(Q57:Q67,R57:R67)/0.87</f>
        <v>1.8234029771497347E-2</v>
      </c>
      <c r="R68" s="328"/>
      <c r="S68" s="329"/>
    </row>
    <row r="69" spans="1:19" x14ac:dyDescent="0.35">
      <c r="A69" s="147"/>
      <c r="B69" s="23" t="s">
        <v>428</v>
      </c>
      <c r="C69" s="24"/>
      <c r="D69" s="94"/>
      <c r="E69" s="94"/>
      <c r="F69" s="320">
        <f>SUMPRODUCT(F54:F56,S54:S56)+SUMPRODUCT(F57:F67,S57:S67)/0.87</f>
        <v>0.22818217420948264</v>
      </c>
      <c r="G69" s="320">
        <f>SUMPRODUCT(G54:G56,S54:S56)+SUMPRODUCT(G57:G67,S57:S67)/0.87</f>
        <v>5.2518654690934974E-2</v>
      </c>
      <c r="H69" s="320">
        <f>SUMPRODUCT(H54:H56,S54:S56)+SUMPRODUCT(H57:H67,S57:S67)/0.87</f>
        <v>2.6463316567547975E-2</v>
      </c>
      <c r="I69" s="320">
        <f>SUMPRODUCT(I54:I56,S54:S56)+SUMPRODUCT(I57:I67,S57:S67)/0.87</f>
        <v>0</v>
      </c>
      <c r="J69" s="320">
        <f>SUMPRODUCT(J54:J56,S54:S56)+SUMPRODUCT(J57:J67,S57:S67)/0.87</f>
        <v>0</v>
      </c>
      <c r="K69" s="320">
        <f>SUMPRODUCT(K54:K56,S54:S56)+SUMPRODUCT(K57:K67,S57:S67)/0.87</f>
        <v>3.620182655191348E-2</v>
      </c>
      <c r="L69" s="320">
        <f>SUMPRODUCT(L54:L56,S54:S56)+SUMPRODUCT(L57:L67,S57:S67)/0.87</f>
        <v>0</v>
      </c>
      <c r="M69" s="320">
        <f>SUMPRODUCT(M54:M56,S54:S56)+SUMPRODUCT(M57:M67,S57:S67)/0.87</f>
        <v>6.1814128466340752E-3</v>
      </c>
      <c r="N69" s="320">
        <f>SUMPRODUCT(N54:N56,S54:S56)+SUMPRODUCT(N57:N67,S57:S67)/0.87</f>
        <v>1.8536144557369585E-2</v>
      </c>
      <c r="O69" s="320">
        <f>SUMPRODUCT(O54:O56,S54:S56)+SUMPRODUCT(O57:O67,S57:S67)/0.87</f>
        <v>2.0702878733630452E-2</v>
      </c>
      <c r="P69" s="320">
        <f>SUMPRODUCT(P54:P56,S54:S56)+SUMPRODUCT(P57:P67,S57:S67)/0.87</f>
        <v>4.9343910489954727E-2</v>
      </c>
      <c r="Q69" s="320">
        <f>SUMPRODUCT(Q54:Q56,S54:S56)+SUMPRODUCT(Q57:Q67,S57:S67)/0.87</f>
        <v>1.8234029771497347E-2</v>
      </c>
      <c r="R69" s="149"/>
      <c r="S69" s="149"/>
    </row>
    <row r="70" spans="1:19" x14ac:dyDescent="0.35">
      <c r="B70" s="16" t="s">
        <v>285</v>
      </c>
      <c r="C70" s="15" t="s">
        <v>288</v>
      </c>
      <c r="D70" s="21" t="s">
        <v>91</v>
      </c>
      <c r="E70" s="21" t="s">
        <v>43</v>
      </c>
      <c r="F70" s="108">
        <f>SUM(G70:Q70)</f>
        <v>9.744927680671181E-2</v>
      </c>
      <c r="G70" s="18">
        <f>'Forage crops, CF'!F28</f>
        <v>2.1751094263240234E-2</v>
      </c>
      <c r="H70" s="18">
        <f>'Forage crops, CF'!G28</f>
        <v>2.7E-2</v>
      </c>
      <c r="I70" s="18">
        <f>'Forage crops, CF'!H28</f>
        <v>0</v>
      </c>
      <c r="J70" s="18">
        <f>'Forage crops, CF'!I28</f>
        <v>0</v>
      </c>
      <c r="K70" s="18">
        <f>'Forage crops, CF'!J28</f>
        <v>4.869818254347158E-2</v>
      </c>
      <c r="L70" s="18">
        <f>'Forage crops, CF'!K28</f>
        <v>0</v>
      </c>
      <c r="M70" s="18">
        <f>'Forage crops, CF'!L28</f>
        <v>0</v>
      </c>
      <c r="N70" s="18">
        <f>'Forage crops, CF'!M28</f>
        <v>0</v>
      </c>
      <c r="O70" s="18">
        <f>'Forage crops, CF'!N28</f>
        <v>0</v>
      </c>
      <c r="P70" s="18">
        <f>'Forage crops, CF'!O28</f>
        <v>0</v>
      </c>
      <c r="Q70" s="18">
        <f>'Forage crops, CF'!P28</f>
        <v>0</v>
      </c>
      <c r="R70" s="148">
        <f>'Parameters, country spec'!F15</f>
        <v>7.7439143939213403E-2</v>
      </c>
      <c r="S70" s="148">
        <f>'Parameters, country spec'!F33</f>
        <v>7.7439143939213403E-2</v>
      </c>
    </row>
    <row r="71" spans="1:19" x14ac:dyDescent="0.35">
      <c r="B71" s="16" t="s">
        <v>286</v>
      </c>
      <c r="C71" s="15" t="s">
        <v>288</v>
      </c>
      <c r="D71" s="21" t="s">
        <v>91</v>
      </c>
      <c r="E71" s="21" t="s">
        <v>43</v>
      </c>
      <c r="F71" s="108">
        <f>SUM(G71:Q71)</f>
        <v>0.1415611128946816</v>
      </c>
      <c r="G71" s="18">
        <f>'Forage crops, CF'!F93</f>
        <v>4.6200863620897606E-2</v>
      </c>
      <c r="H71" s="18">
        <f>'Forage crops, CF'!G93</f>
        <v>2.7E-2</v>
      </c>
      <c r="I71" s="18">
        <f>'Forage crops, CF'!H93</f>
        <v>0</v>
      </c>
      <c r="J71" s="18">
        <f>'Forage crops, CF'!I93</f>
        <v>0</v>
      </c>
      <c r="K71" s="18">
        <f>'Forage crops, CF'!J93</f>
        <v>2.151019297072139E-2</v>
      </c>
      <c r="L71" s="18">
        <f>'Forage crops, CF'!K93</f>
        <v>0</v>
      </c>
      <c r="M71" s="18">
        <f>'Forage crops, CF'!L93</f>
        <v>1.5005630306258E-4</v>
      </c>
      <c r="N71" s="18">
        <f>'Forage crops, CF'!M93</f>
        <v>0</v>
      </c>
      <c r="O71" s="18">
        <f>'Forage crops, CF'!N93</f>
        <v>0</v>
      </c>
      <c r="P71" s="18">
        <f>'Forage crops, CF'!O93</f>
        <v>4.6700000000000005E-2</v>
      </c>
      <c r="Q71" s="18">
        <f>'Forage crops, CF'!P93</f>
        <v>0</v>
      </c>
      <c r="R71" s="148">
        <f>'Parameters, country spec'!F16</f>
        <v>0.38082943222890436</v>
      </c>
      <c r="S71" s="148">
        <f>'Parameters, country spec'!F34</f>
        <v>0.38082943222890436</v>
      </c>
    </row>
    <row r="72" spans="1:19" x14ac:dyDescent="0.35">
      <c r="B72" s="16" t="s">
        <v>287</v>
      </c>
      <c r="C72" s="15" t="s">
        <v>288</v>
      </c>
      <c r="D72" s="21" t="s">
        <v>91</v>
      </c>
      <c r="E72" s="21" t="s">
        <v>43</v>
      </c>
      <c r="F72" s="108">
        <f>SUM(G72:Q72)</f>
        <v>0.10831145121937313</v>
      </c>
      <c r="G72" s="18">
        <f>'Forage crops, CF'!F158*'Forage, input data per ha'!$E$82+'Forage crops, CF'!F223*'Forage, input data per ha'!$G$82</f>
        <v>3.55176519563914E-3</v>
      </c>
      <c r="H72" s="18">
        <f>'Forage crops, CF'!G158*'Forage, input data per ha'!$E$82+'Forage crops, CF'!G223*'Forage, input data per ha'!$G$82</f>
        <v>2.7E-2</v>
      </c>
      <c r="I72" s="18">
        <f>'Forage crops, CF'!H158*'Forage, input data per ha'!$E$82+'Forage crops, CF'!H223*'Forage, input data per ha'!$G$82</f>
        <v>0</v>
      </c>
      <c r="J72" s="18">
        <f>'Forage crops, CF'!I158*'Forage, input data per ha'!$E$82+'Forage crops, CF'!I223*'Forage, input data per ha'!$G$82</f>
        <v>0</v>
      </c>
      <c r="K72" s="18">
        <f>'Forage crops, CF'!J158*'Forage, input data per ha'!$E$82+'Forage crops, CF'!J223*'Forage, input data per ha'!$G$82</f>
        <v>3.105968602373399E-2</v>
      </c>
      <c r="L72" s="18">
        <f>'Forage crops, CF'!K158*'Forage, input data per ha'!$E$82+'Forage crops, CF'!K223*'Forage, input data per ha'!$G$82</f>
        <v>0</v>
      </c>
      <c r="M72" s="18">
        <f>'Forage crops, CF'!L158*'Forage, input data per ha'!$E$82+'Forage crops, CF'!L223*'Forage, input data per ha'!$G$82</f>
        <v>0</v>
      </c>
      <c r="N72" s="18">
        <f>'Forage crops, CF'!M158*'Forage, input data per ha'!$E$82+'Forage crops, CF'!M223*'Forage, input data per ha'!$G$82</f>
        <v>0</v>
      </c>
      <c r="O72" s="18">
        <f>'Forage crops, CF'!N158*'Forage, input data per ha'!$E$82+'Forage crops, CF'!N223*'Forage, input data per ha'!$G$82</f>
        <v>0</v>
      </c>
      <c r="P72" s="18">
        <f>'Forage crops, CF'!O158*'Forage, input data per ha'!$E$82+'Forage crops, CF'!O223*'Forage, input data per ha'!$G$82</f>
        <v>4.6700000000000005E-2</v>
      </c>
      <c r="Q72" s="18">
        <f>'Forage crops, CF'!P158*'Forage, input data per ha'!$E$82+'Forage crops, CF'!P223*'Forage, input data per ha'!$G$82</f>
        <v>0</v>
      </c>
      <c r="R72" s="148">
        <f>'Parameters, country spec'!F17</f>
        <v>0.18201404564523588</v>
      </c>
      <c r="S72" s="148">
        <f>'Parameters, country spec'!F35</f>
        <v>0.18201404564523588</v>
      </c>
    </row>
    <row r="73" spans="1:19" x14ac:dyDescent="0.35">
      <c r="A73" s="20" t="s">
        <v>222</v>
      </c>
      <c r="B73" s="15" t="s">
        <v>108</v>
      </c>
      <c r="C73" s="15" t="s">
        <v>223</v>
      </c>
      <c r="D73" s="21" t="s">
        <v>91</v>
      </c>
      <c r="E73" s="21" t="s">
        <v>43</v>
      </c>
      <c r="F73" s="108">
        <f>SUM(G73:Q73)</f>
        <v>0.18200000000000002</v>
      </c>
      <c r="G73" s="72">
        <v>7.9000000000000001E-2</v>
      </c>
      <c r="H73" s="12">
        <v>2.7E-2</v>
      </c>
      <c r="I73" s="14">
        <v>0</v>
      </c>
      <c r="J73" s="12"/>
      <c r="K73" s="72">
        <v>3.4000000000000002E-2</v>
      </c>
      <c r="L73" s="12"/>
      <c r="M73" s="12">
        <v>0</v>
      </c>
      <c r="N73" s="72">
        <v>4.2000000000000003E-2</v>
      </c>
      <c r="O73" s="12"/>
      <c r="P73" s="12"/>
      <c r="R73" s="148">
        <f>'Parameters, country spec'!F18</f>
        <v>1.3777713958130216E-2</v>
      </c>
      <c r="S73" s="148">
        <f>'Parameters, country spec'!F36</f>
        <v>1.3777713958130216E-2</v>
      </c>
    </row>
    <row r="74" spans="1:19" x14ac:dyDescent="0.35">
      <c r="A74" s="20" t="s">
        <v>224</v>
      </c>
      <c r="B74" s="15" t="s">
        <v>109</v>
      </c>
      <c r="C74" s="15" t="s">
        <v>223</v>
      </c>
      <c r="D74" s="21" t="s">
        <v>91</v>
      </c>
      <c r="E74" s="21" t="s">
        <v>43</v>
      </c>
      <c r="F74" s="108">
        <f t="shared" ref="F74:F83" si="9">SUM(G74:Q74)</f>
        <v>0.17</v>
      </c>
      <c r="G74" s="72">
        <v>7.6999999999999999E-2</v>
      </c>
      <c r="H74" s="12">
        <v>2.7E-2</v>
      </c>
      <c r="I74" s="14">
        <v>0</v>
      </c>
      <c r="J74" s="12"/>
      <c r="K74" s="72">
        <v>2.4E-2</v>
      </c>
      <c r="L74" s="12"/>
      <c r="M74" s="12">
        <v>0</v>
      </c>
      <c r="N74" s="72">
        <v>4.2000000000000003E-2</v>
      </c>
      <c r="O74" s="12"/>
      <c r="P74" s="12"/>
      <c r="R74" s="148">
        <f>'Parameters, country spec'!F19</f>
        <v>8.1721304315358359E-2</v>
      </c>
      <c r="S74" s="148">
        <f>'Parameters, country spec'!F37</f>
        <v>8.1721304315358359E-2</v>
      </c>
    </row>
    <row r="75" spans="1:19" x14ac:dyDescent="0.35">
      <c r="A75" s="20" t="s">
        <v>225</v>
      </c>
      <c r="B75" s="15" t="s">
        <v>110</v>
      </c>
      <c r="C75" s="15" t="s">
        <v>223</v>
      </c>
      <c r="D75" s="21" t="s">
        <v>91</v>
      </c>
      <c r="E75" s="21" t="s">
        <v>43</v>
      </c>
      <c r="F75" s="108">
        <f t="shared" si="9"/>
        <v>0.20300000000000001</v>
      </c>
      <c r="G75" s="72">
        <v>7.0000000000000007E-2</v>
      </c>
      <c r="H75" s="12">
        <v>2.7E-2</v>
      </c>
      <c r="I75" s="14">
        <v>0</v>
      </c>
      <c r="J75" s="12"/>
      <c r="K75" s="72">
        <v>6.3E-2</v>
      </c>
      <c r="L75" s="12"/>
      <c r="M75" s="12">
        <v>1E-3</v>
      </c>
      <c r="N75" s="72">
        <v>4.2000000000000003E-2</v>
      </c>
      <c r="O75" s="12"/>
      <c r="P75" s="12"/>
      <c r="R75" s="148">
        <f>'Parameters, country spec'!F20</f>
        <v>7.3794391499110061E-3</v>
      </c>
      <c r="S75" s="148">
        <f>'Parameters, country spec'!F38</f>
        <v>7.3794391499110061E-3</v>
      </c>
    </row>
    <row r="76" spans="1:19" x14ac:dyDescent="0.35">
      <c r="A76" s="20" t="s">
        <v>226</v>
      </c>
      <c r="B76" s="15" t="s">
        <v>111</v>
      </c>
      <c r="C76" s="15" t="s">
        <v>223</v>
      </c>
      <c r="D76" s="21" t="s">
        <v>91</v>
      </c>
      <c r="E76" s="21" t="s">
        <v>43</v>
      </c>
      <c r="F76" s="108">
        <f t="shared" si="9"/>
        <v>0.186</v>
      </c>
      <c r="G76" s="72">
        <v>6.2E-2</v>
      </c>
      <c r="H76" s="12">
        <v>2.7E-2</v>
      </c>
      <c r="I76" s="12">
        <v>0</v>
      </c>
      <c r="J76" s="12"/>
      <c r="K76" s="72">
        <v>5.5E-2</v>
      </c>
      <c r="L76" s="12"/>
      <c r="M76" s="12">
        <v>0</v>
      </c>
      <c r="N76" s="72">
        <v>4.2000000000000003E-2</v>
      </c>
      <c r="O76" s="12"/>
      <c r="P76" s="12"/>
      <c r="R76" s="148">
        <f>'Parameters, country spec'!F21</f>
        <v>2.8681330795635538E-3</v>
      </c>
      <c r="S76" s="148">
        <f>'Parameters, country spec'!F39</f>
        <v>2.8681330795635538E-3</v>
      </c>
    </row>
    <row r="77" spans="1:19" x14ac:dyDescent="0.35">
      <c r="A77" s="20" t="s">
        <v>227</v>
      </c>
      <c r="B77" s="15" t="s">
        <v>112</v>
      </c>
      <c r="C77" s="15" t="s">
        <v>223</v>
      </c>
      <c r="D77" s="21" t="s">
        <v>91</v>
      </c>
      <c r="E77" s="21" t="s">
        <v>43</v>
      </c>
      <c r="F77" s="108">
        <f t="shared" si="9"/>
        <v>0.19500000000000001</v>
      </c>
      <c r="G77" s="72">
        <v>9.0999999999999998E-2</v>
      </c>
      <c r="H77" s="12">
        <v>2.7E-2</v>
      </c>
      <c r="I77" s="12">
        <v>0</v>
      </c>
      <c r="J77" s="12"/>
      <c r="K77" s="72">
        <v>3.5000000000000003E-2</v>
      </c>
      <c r="L77" s="12"/>
      <c r="M77" s="12">
        <v>0</v>
      </c>
      <c r="N77" s="72">
        <v>4.2000000000000003E-2</v>
      </c>
      <c r="O77" s="12"/>
      <c r="P77" s="12"/>
      <c r="R77" s="148">
        <f>'Parameters, country spec'!F22</f>
        <v>1.2902756316192223E-2</v>
      </c>
      <c r="S77" s="148">
        <f>'Parameters, country spec'!F40</f>
        <v>1.2902756316192223E-2</v>
      </c>
    </row>
    <row r="78" spans="1:19" x14ac:dyDescent="0.35">
      <c r="A78" s="20" t="s">
        <v>228</v>
      </c>
      <c r="B78" s="15" t="s">
        <v>113</v>
      </c>
      <c r="C78" s="15" t="s">
        <v>229</v>
      </c>
      <c r="D78" s="21" t="s">
        <v>91</v>
      </c>
      <c r="E78" s="21" t="s">
        <v>43</v>
      </c>
      <c r="F78" s="108">
        <f t="shared" si="9"/>
        <v>0.14599999999999999</v>
      </c>
      <c r="G78" s="72">
        <v>0</v>
      </c>
      <c r="H78" s="12">
        <v>2.7E-2</v>
      </c>
      <c r="I78" s="14">
        <v>0</v>
      </c>
      <c r="J78" s="12"/>
      <c r="K78" s="72">
        <v>7.0999999999999994E-2</v>
      </c>
      <c r="L78" s="14"/>
      <c r="M78" s="12">
        <v>6.0000000000000001E-3</v>
      </c>
      <c r="N78" s="72">
        <v>4.2000000000000003E-2</v>
      </c>
      <c r="O78" s="12"/>
      <c r="P78" s="12"/>
      <c r="R78" s="148">
        <f>'Parameters, country spec'!F23</f>
        <v>9.2331122908701521E-4</v>
      </c>
      <c r="S78" s="148">
        <f>'Parameters, country spec'!F41</f>
        <v>9.2331122908701521E-4</v>
      </c>
    </row>
    <row r="79" spans="1:19" x14ac:dyDescent="0.35">
      <c r="A79" s="20" t="s">
        <v>230</v>
      </c>
      <c r="B79" s="15" t="s">
        <v>114</v>
      </c>
      <c r="C79" s="15" t="s">
        <v>229</v>
      </c>
      <c r="D79" s="21" t="s">
        <v>91</v>
      </c>
      <c r="E79" s="21" t="s">
        <v>43</v>
      </c>
      <c r="F79" s="108">
        <f t="shared" si="9"/>
        <v>0.17</v>
      </c>
      <c r="G79" s="72">
        <v>4.0000000000000001E-3</v>
      </c>
      <c r="H79" s="12">
        <v>2.7E-2</v>
      </c>
      <c r="I79" s="14">
        <v>0</v>
      </c>
      <c r="J79" s="12"/>
      <c r="K79" s="72">
        <v>8.8999999999999996E-2</v>
      </c>
      <c r="L79" s="12"/>
      <c r="M79" s="12">
        <v>8.0000000000000002E-3</v>
      </c>
      <c r="N79" s="72">
        <v>4.2000000000000003E-2</v>
      </c>
      <c r="O79" s="12"/>
      <c r="P79" s="12"/>
      <c r="R79" s="148">
        <f>'Parameters, country spec'!F24</f>
        <v>9.0699589423403552E-4</v>
      </c>
      <c r="S79" s="148">
        <f>'Parameters, country spec'!F42</f>
        <v>9.0699589423403552E-4</v>
      </c>
    </row>
    <row r="80" spans="1:19" x14ac:dyDescent="0.35">
      <c r="B80" s="16" t="s">
        <v>115</v>
      </c>
      <c r="C80" s="15" t="s">
        <v>231</v>
      </c>
      <c r="D80" s="21" t="s">
        <v>91</v>
      </c>
      <c r="E80" s="21" t="s">
        <v>43</v>
      </c>
      <c r="F80" s="108">
        <f t="shared" si="9"/>
        <v>0.27628755742228495</v>
      </c>
      <c r="G80" s="18">
        <f>'Off-farm feed'!$F$74</f>
        <v>0.15910156565543246</v>
      </c>
      <c r="H80" s="18">
        <f>'Off-farm feed'!$G$74</f>
        <v>1.3034482758620692E-2</v>
      </c>
      <c r="I80" s="18">
        <f>'Off-farm feed'!$H$74</f>
        <v>0</v>
      </c>
      <c r="J80" s="18"/>
      <c r="K80" s="18">
        <f>'Off-farm feed'!$J$74</f>
        <v>2.4688740026345454E-2</v>
      </c>
      <c r="L80" s="18"/>
      <c r="M80" s="289">
        <f>'Off-farm feed'!$L$74</f>
        <v>1.931759303794134E-4</v>
      </c>
      <c r="N80" s="18">
        <f>'Off-farm feed'!$M$74</f>
        <v>3.6802128767029069E-2</v>
      </c>
      <c r="O80" s="18">
        <f>'Off-farm feed'!$N$74</f>
        <v>0</v>
      </c>
      <c r="P80" s="18">
        <f>'Off-farm feed'!$O$74</f>
        <v>2.6267464284477883E-2</v>
      </c>
      <c r="Q80" s="18">
        <f>'Off-farm feed'!$P$74</f>
        <v>1.6199999999999999E-2</v>
      </c>
      <c r="R80" s="148">
        <f>'Parameters, country spec'!F25</f>
        <v>3.9849321881062677E-4</v>
      </c>
      <c r="S80" s="148">
        <f>'Parameters, country spec'!F43</f>
        <v>3.9849321881062677E-4</v>
      </c>
    </row>
    <row r="81" spans="1:19" x14ac:dyDescent="0.35">
      <c r="B81" s="16" t="s">
        <v>232</v>
      </c>
      <c r="C81" s="15" t="s">
        <v>231</v>
      </c>
      <c r="D81" s="21" t="s">
        <v>91</v>
      </c>
      <c r="E81" s="21" t="s">
        <v>43</v>
      </c>
      <c r="F81" s="108">
        <f t="shared" si="9"/>
        <v>0.7061171705997602</v>
      </c>
      <c r="G81" s="18">
        <f>'Off-farm feed'!$F$23</f>
        <v>7.2632670993098931E-3</v>
      </c>
      <c r="H81" s="18">
        <f>'Off-farm feed'!$G$23</f>
        <v>2.1402439024390246E-2</v>
      </c>
      <c r="I81" s="18">
        <f>'Off-farm feed'!$H$23</f>
        <v>0</v>
      </c>
      <c r="J81" s="18"/>
      <c r="K81" s="18">
        <f>'Off-farm feed'!$J$23</f>
        <v>4.308361966433235E-2</v>
      </c>
      <c r="L81" s="18"/>
      <c r="M81" s="289">
        <f>'Off-farm feed'!$L$23</f>
        <v>1.7842060425123844E-4</v>
      </c>
      <c r="N81" s="18">
        <f>'Off-farm feed'!$M$23</f>
        <v>3.0432604948959403E-2</v>
      </c>
      <c r="O81" s="18">
        <f>'Off-farm feed'!$N$23</f>
        <v>0.31761120248475611</v>
      </c>
      <c r="P81" s="18">
        <f>'Off-farm feed'!$O$23</f>
        <v>3.5145616773760872E-2</v>
      </c>
      <c r="Q81" s="18">
        <f>'Off-farm feed'!$P$23</f>
        <v>0.251</v>
      </c>
      <c r="R81" s="148">
        <f>'Parameters, country spec'!F26</f>
        <v>7.5984876674379837E-2</v>
      </c>
      <c r="S81" s="148">
        <f>'Parameters, country spec'!F44</f>
        <v>7.5984876674379837E-2</v>
      </c>
    </row>
    <row r="82" spans="1:19" x14ac:dyDescent="0.35">
      <c r="B82" s="15" t="s">
        <v>117</v>
      </c>
      <c r="C82" s="15" t="s">
        <v>233</v>
      </c>
      <c r="D82" s="21" t="s">
        <v>91</v>
      </c>
      <c r="E82" s="21" t="s">
        <v>43</v>
      </c>
      <c r="F82" s="108">
        <f t="shared" si="9"/>
        <v>0.59673569830802164</v>
      </c>
      <c r="G82" s="72">
        <v>4.5472074282668702E-2</v>
      </c>
      <c r="H82" s="12">
        <v>1.3510799999999899E-2</v>
      </c>
      <c r="K82" s="14">
        <v>3.8378539553255903E-2</v>
      </c>
      <c r="N82" s="97"/>
      <c r="O82" s="6"/>
      <c r="P82" s="14">
        <v>0.49589425967864798</v>
      </c>
      <c r="Q82" s="14">
        <v>3.4800247934492399E-3</v>
      </c>
      <c r="R82" s="148">
        <f>'Parameters, country spec'!F27</f>
        <v>9.4871367549450719E-2</v>
      </c>
      <c r="S82" s="148">
        <f>'Parameters, country spec'!F45</f>
        <v>9.4871367549450719E-2</v>
      </c>
    </row>
    <row r="83" spans="1:19" x14ac:dyDescent="0.35">
      <c r="A83" s="75"/>
      <c r="B83" s="15" t="s">
        <v>234</v>
      </c>
      <c r="C83" s="76" t="s">
        <v>235</v>
      </c>
      <c r="D83" s="21" t="s">
        <v>91</v>
      </c>
      <c r="E83" s="21" t="s">
        <v>43</v>
      </c>
      <c r="F83" s="108">
        <f t="shared" si="9"/>
        <v>7.5001019641104685E-2</v>
      </c>
      <c r="G83" s="73">
        <f>SUMPRODUCT(G73:G81,$R73:$R81)</f>
        <v>9.8684429845620064E-3</v>
      </c>
      <c r="H83" s="73">
        <f t="shared" ref="H83:P83" si="10">SUMPRODUCT(H73:H81,$R73:$R81)</f>
        <v>4.8844064992361047E-3</v>
      </c>
      <c r="I83" s="73">
        <f t="shared" si="10"/>
        <v>0</v>
      </c>
      <c r="J83" s="73">
        <f t="shared" si="10"/>
        <v>0</v>
      </c>
      <c r="K83" s="73">
        <f>SUMPRODUCT(K73:K81,$R73:$R81)</f>
        <v>6.9338215892458099E-3</v>
      </c>
      <c r="L83" s="73">
        <f t="shared" si="10"/>
        <v>0</v>
      </c>
      <c r="M83" s="73">
        <f t="shared" si="10"/>
        <v>3.3809520586797697E-5</v>
      </c>
      <c r="N83" s="73">
        <f t="shared" si="10"/>
        <v>7.387228598262267E-3</v>
      </c>
      <c r="O83" s="73">
        <f t="shared" si="10"/>
        <v>2.4133648051205676E-2</v>
      </c>
      <c r="P83" s="73">
        <f t="shared" si="10"/>
        <v>2.6810027625919501E-3</v>
      </c>
      <c r="Q83" s="73">
        <f>SUMPRODUCT(Q73:Q81,$R73:$R81)</f>
        <v>1.907865963541407E-2</v>
      </c>
      <c r="R83" s="148">
        <f>'Parameters, country spec'!F28</f>
        <v>6.7982986801529061E-2</v>
      </c>
      <c r="S83" s="148">
        <f>'Parameters, country spec'!F46</f>
        <v>6.7982986801529061E-2</v>
      </c>
    </row>
    <row r="84" spans="1:19" x14ac:dyDescent="0.35">
      <c r="A84" s="321"/>
      <c r="B84" s="322" t="s">
        <v>541</v>
      </c>
      <c r="C84" s="323"/>
      <c r="D84" s="324"/>
      <c r="E84" s="324"/>
      <c r="F84" s="325">
        <f>SUMPRODUCT(F70:F72,R70:R72)+SUMPRODUCT(F73:F83,R73:R83)/0.87</f>
        <v>0.23831254803458696</v>
      </c>
      <c r="G84" s="325">
        <f>SUMPRODUCT(G70:G72,R70:R72)+SUMPRODUCT(G73:G83,R73:R83)/0.87</f>
        <v>3.699829568745714E-2</v>
      </c>
      <c r="H84" s="325">
        <f>SUMPRODUCT(H70:H72,R70:R72)+SUMPRODUCT(H73:H83,R73:R83)/0.87</f>
        <v>2.4756884943551449E-2</v>
      </c>
      <c r="I84" s="325">
        <f>SUMPRODUCT(I70:I72,R70:R72)+SUMPRODUCT(I73:I83,R73:R83)/0.87</f>
        <v>0</v>
      </c>
      <c r="J84" s="325">
        <f>SUMPRODUCT(J70:J72,R70:R72)+SUMPRODUCT(J73:J83,R73:R83)/0.87</f>
        <v>0</v>
      </c>
      <c r="K84" s="325">
        <f>SUMPRODUCT(K70:K72,R70:R72)+SUMPRODUCT(K73:K83,R73:R83)/0.87</f>
        <v>3.031297307269664E-2</v>
      </c>
      <c r="L84" s="325">
        <f>SUMPRODUCT(L70:L72,R70:R72)+SUMPRODUCT(L73:L83,R73:R83)/0.87</f>
        <v>0</v>
      </c>
      <c r="M84" s="325">
        <f>SUMPRODUCT(M70:M72,R70:R72)+SUMPRODUCT(M73:M83,R73:R83)/0.87</f>
        <v>9.8649296673111421E-5</v>
      </c>
      <c r="N84" s="325">
        <f>SUMPRODUCT(N70:N72,R70:R72)+SUMPRODUCT(N73:N83,R73:R83)/0.87</f>
        <v>9.0683154742043776E-3</v>
      </c>
      <c r="O84" s="325">
        <f>SUMPRODUCT(O70:O72,R70:R72)+SUMPRODUCT(O73:O83,R73:R83)/0.87</f>
        <v>2.962566152660177E-2</v>
      </c>
      <c r="P84" s="325">
        <f>SUMPRODUCT(P70:P72,R70:R72)+SUMPRODUCT(P73:P83,R73:R83)/0.87</f>
        <v>8.3651953535862439E-2</v>
      </c>
      <c r="Q84" s="325">
        <f>SUMPRODUCT(Q70:Q72,R70:R72)+SUMPRODUCT(Q73:Q83,R73:R83)/0.87</f>
        <v>2.3799814497540019E-2</v>
      </c>
      <c r="R84" s="328"/>
      <c r="S84" s="329"/>
    </row>
    <row r="85" spans="1:19" x14ac:dyDescent="0.35">
      <c r="A85" s="147"/>
      <c r="B85" s="23" t="s">
        <v>428</v>
      </c>
      <c r="C85" s="24"/>
      <c r="D85" s="94"/>
      <c r="E85" s="94"/>
      <c r="F85" s="320">
        <f>SUMPRODUCT(F70:F72,S70:S72)+SUMPRODUCT(F73:F83,S73:S83)/0.87</f>
        <v>0.23831254803458696</v>
      </c>
      <c r="G85" s="320">
        <f>SUMPRODUCT(G70:G72,S70:S72)+SUMPRODUCT(G73:G83,S73:S83)/0.87</f>
        <v>3.699829568745714E-2</v>
      </c>
      <c r="H85" s="320">
        <f>SUMPRODUCT(H70:H72,S70:S72)+SUMPRODUCT(H73:H83,S73:S83)/0.87</f>
        <v>2.4756884943551449E-2</v>
      </c>
      <c r="I85" s="320">
        <f>SUMPRODUCT(I70:I72,S70:S72)+SUMPRODUCT(I73:I83,S73:S83)/0.87</f>
        <v>0</v>
      </c>
      <c r="J85" s="320">
        <f>SUMPRODUCT(J70:J72,S70:S72)+SUMPRODUCT(J73:J83,S73:S83)/0.87</f>
        <v>0</v>
      </c>
      <c r="K85" s="320">
        <f>SUMPRODUCT(K70:K72,S70:S72)+SUMPRODUCT(K73:K83,S73:S83)/0.87</f>
        <v>3.031297307269664E-2</v>
      </c>
      <c r="L85" s="320">
        <f>SUMPRODUCT(L70:L72,S70:S72)+SUMPRODUCT(L73:L83,S73:S83)/0.87</f>
        <v>0</v>
      </c>
      <c r="M85" s="320">
        <f>SUMPRODUCT(M70:M72,S70:S72)+SUMPRODUCT(M73:M83,S73:S83)/0.87</f>
        <v>9.8649296673111421E-5</v>
      </c>
      <c r="N85" s="320">
        <f>SUMPRODUCT(N70:N72,S70:S72)+SUMPRODUCT(N73:N83,S73:S83)/0.87</f>
        <v>9.0683154742043776E-3</v>
      </c>
      <c r="O85" s="320">
        <f>SUMPRODUCT(O70:O72,S70:S72)+SUMPRODUCT(O73:O83,S73:S83)/0.87</f>
        <v>2.962566152660177E-2</v>
      </c>
      <c r="P85" s="320">
        <f>SUMPRODUCT(P70:P72,S70:S72)+SUMPRODUCT(P73:P83,S73:S83)/0.87</f>
        <v>8.3651953535862439E-2</v>
      </c>
      <c r="Q85" s="320">
        <f>SUMPRODUCT(Q70:Q72,S70:S72)+SUMPRODUCT(Q73:Q83,S73:S83)/0.87</f>
        <v>2.3799814497540019E-2</v>
      </c>
      <c r="R85" s="149"/>
      <c r="S85" s="149"/>
    </row>
    <row r="86" spans="1:19" x14ac:dyDescent="0.35">
      <c r="B86" s="16" t="s">
        <v>285</v>
      </c>
      <c r="C86" s="15" t="s">
        <v>288</v>
      </c>
      <c r="D86" s="21" t="s">
        <v>44</v>
      </c>
      <c r="E86" s="21" t="s">
        <v>45</v>
      </c>
      <c r="F86" s="108">
        <f>SUM(G86:Q86)</f>
        <v>6.3462604134633421E-2</v>
      </c>
      <c r="G86" s="18">
        <f>'Forage crops, CF'!F33</f>
        <v>2.1751094263240234E-2</v>
      </c>
      <c r="H86" s="18">
        <f>'Forage crops, CF'!G33</f>
        <v>2.7E-2</v>
      </c>
      <c r="I86" s="18">
        <f>'Forage crops, CF'!H33</f>
        <v>0</v>
      </c>
      <c r="J86" s="18">
        <f>'Forage crops, CF'!I33</f>
        <v>0</v>
      </c>
      <c r="K86" s="18">
        <f>'Forage crops, CF'!J33</f>
        <v>1.4711509871393188E-2</v>
      </c>
      <c r="L86" s="18">
        <f>'Forage crops, CF'!K33</f>
        <v>0</v>
      </c>
      <c r="M86" s="18">
        <f>'Forage crops, CF'!L33</f>
        <v>0</v>
      </c>
      <c r="N86" s="18">
        <f>'Forage crops, CF'!M33</f>
        <v>0</v>
      </c>
      <c r="O86" s="18">
        <f>'Forage crops, CF'!N33</f>
        <v>0</v>
      </c>
      <c r="P86" s="18">
        <f>'Forage crops, CF'!O33</f>
        <v>0</v>
      </c>
      <c r="Q86" s="18">
        <f>'Forage crops, CF'!P33</f>
        <v>0</v>
      </c>
      <c r="R86" s="148">
        <f>'Parameters, country spec'!G15</f>
        <v>0.75114991922794239</v>
      </c>
      <c r="S86" s="148">
        <f>'Parameters, country spec'!G33</f>
        <v>0.75114991922794239</v>
      </c>
    </row>
    <row r="87" spans="1:19" x14ac:dyDescent="0.35">
      <c r="B87" s="16" t="s">
        <v>286</v>
      </c>
      <c r="C87" s="15" t="s">
        <v>288</v>
      </c>
      <c r="D87" s="21" t="s">
        <v>44</v>
      </c>
      <c r="E87" s="21" t="s">
        <v>45</v>
      </c>
      <c r="F87" s="108">
        <f>SUM(G87:Q87)</f>
        <v>0.12587247674228075</v>
      </c>
      <c r="G87" s="18">
        <f>'Forage crops, CF'!F98</f>
        <v>3.2650334455802711E-2</v>
      </c>
      <c r="H87" s="18">
        <f>'Forage crops, CF'!G98</f>
        <v>2.7E-2</v>
      </c>
      <c r="I87" s="18">
        <f>'Forage crops, CF'!H98</f>
        <v>0</v>
      </c>
      <c r="J87" s="18">
        <f>'Forage crops, CF'!I98</f>
        <v>0</v>
      </c>
      <c r="K87" s="18">
        <f>'Forage crops, CF'!J98</f>
        <v>1.2994693103255812E-2</v>
      </c>
      <c r="L87" s="18">
        <f>'Forage crops, CF'!K98</f>
        <v>0</v>
      </c>
      <c r="M87" s="18">
        <f>'Forage crops, CF'!L98</f>
        <v>6.5274491832222319E-3</v>
      </c>
      <c r="N87" s="18">
        <f>'Forage crops, CF'!M98</f>
        <v>0</v>
      </c>
      <c r="O87" s="18">
        <f>'Forage crops, CF'!N98</f>
        <v>0</v>
      </c>
      <c r="P87" s="18">
        <f>'Forage crops, CF'!O98</f>
        <v>4.6700000000000005E-2</v>
      </c>
      <c r="Q87" s="18">
        <f>'Forage crops, CF'!P98</f>
        <v>0</v>
      </c>
      <c r="R87" s="148">
        <f>'Parameters, country spec'!G16</f>
        <v>1.9608947623101922E-2</v>
      </c>
      <c r="S87" s="148">
        <f>'Parameters, country spec'!G34</f>
        <v>1.9608947623101922E-2</v>
      </c>
    </row>
    <row r="88" spans="1:19" x14ac:dyDescent="0.35">
      <c r="B88" s="16" t="s">
        <v>287</v>
      </c>
      <c r="C88" s="15" t="s">
        <v>288</v>
      </c>
      <c r="D88" s="21" t="s">
        <v>44</v>
      </c>
      <c r="E88" s="21" t="s">
        <v>45</v>
      </c>
      <c r="F88" s="108">
        <f>SUM(G88:Q88)</f>
        <v>0.11016077368953583</v>
      </c>
      <c r="G88" s="18">
        <f>'Forage crops, CF'!F163*'Forage, input data per ha'!$E$83+'Forage crops, CF'!F228*'Forage, input data per ha'!$G$83</f>
        <v>2.1749244169101699E-2</v>
      </c>
      <c r="H88" s="18">
        <f>'Forage crops, CF'!G163*'Forage, input data per ha'!$E$83+'Forage crops, CF'!G228*'Forage, input data per ha'!$G$83</f>
        <v>2.7E-2</v>
      </c>
      <c r="I88" s="18">
        <f>'Forage crops, CF'!H163*'Forage, input data per ha'!$E$83+'Forage crops, CF'!H228*'Forage, input data per ha'!$G$83</f>
        <v>0</v>
      </c>
      <c r="J88" s="18">
        <f>'Forage crops, CF'!I163*'Forage, input data per ha'!$E$83+'Forage crops, CF'!I228*'Forage, input data per ha'!$G$83</f>
        <v>0</v>
      </c>
      <c r="K88" s="18">
        <f>'Forage crops, CF'!J163*'Forage, input data per ha'!$E$83+'Forage crops, CF'!J228*'Forage, input data per ha'!$G$83</f>
        <v>1.4711529520434108E-2</v>
      </c>
      <c r="L88" s="18">
        <f>'Forage crops, CF'!K163*'Forage, input data per ha'!$E$83+'Forage crops, CF'!K228*'Forage, input data per ha'!$G$83</f>
        <v>0</v>
      </c>
      <c r="M88" s="18">
        <f>'Forage crops, CF'!L163*'Forage, input data per ha'!$E$83+'Forage crops, CF'!L228*'Forage, input data per ha'!$G$83</f>
        <v>0</v>
      </c>
      <c r="N88" s="18">
        <f>'Forage crops, CF'!M163*'Forage, input data per ha'!$E$83+'Forage crops, CF'!M228*'Forage, input data per ha'!$G$83</f>
        <v>0</v>
      </c>
      <c r="O88" s="18">
        <f>'Forage crops, CF'!N163*'Forage, input data per ha'!$E$83+'Forage crops, CF'!N228*'Forage, input data per ha'!$G$83</f>
        <v>0</v>
      </c>
      <c r="P88" s="18">
        <f>'Forage crops, CF'!O163*'Forage, input data per ha'!$E$83+'Forage crops, CF'!O228*'Forage, input data per ha'!$G$83</f>
        <v>4.6700000000000012E-2</v>
      </c>
      <c r="Q88" s="18">
        <f>'Forage crops, CF'!P163*'Forage, input data per ha'!$E$83+'Forage crops, CF'!P228*'Forage, input data per ha'!$G$83</f>
        <v>0</v>
      </c>
      <c r="R88" s="148">
        <f>'Parameters, country spec'!G17</f>
        <v>4.011237421254237E-4</v>
      </c>
      <c r="S88" s="148">
        <f>'Parameters, country spec'!G35</f>
        <v>4.011237421254237E-4</v>
      </c>
    </row>
    <row r="89" spans="1:19" x14ac:dyDescent="0.35">
      <c r="A89" s="20" t="s">
        <v>222</v>
      </c>
      <c r="B89" s="15" t="s">
        <v>108</v>
      </c>
      <c r="C89" s="15" t="s">
        <v>223</v>
      </c>
      <c r="D89" s="21" t="s">
        <v>44</v>
      </c>
      <c r="E89" s="21" t="s">
        <v>45</v>
      </c>
      <c r="F89" s="108">
        <f>SUM(G89:Q89)</f>
        <v>0.17200000000000001</v>
      </c>
      <c r="G89" s="72">
        <v>7.9000000000000001E-2</v>
      </c>
      <c r="H89" s="12">
        <v>2.7E-2</v>
      </c>
      <c r="I89" s="14">
        <v>0</v>
      </c>
      <c r="J89" s="12"/>
      <c r="K89" s="72">
        <v>2.5000000000000001E-2</v>
      </c>
      <c r="L89" s="12"/>
      <c r="M89" s="12">
        <v>0</v>
      </c>
      <c r="N89" s="72">
        <v>4.1000000000000002E-2</v>
      </c>
      <c r="O89" s="12"/>
      <c r="P89" s="12"/>
      <c r="R89" s="148">
        <f>'Parameters, country spec'!G18</f>
        <v>9.7140944486754449E-2</v>
      </c>
      <c r="S89" s="148">
        <f>'Parameters, country spec'!G36</f>
        <v>9.7140944486754449E-2</v>
      </c>
    </row>
    <row r="90" spans="1:19" x14ac:dyDescent="0.35">
      <c r="A90" s="20" t="s">
        <v>224</v>
      </c>
      <c r="B90" s="15" t="s">
        <v>109</v>
      </c>
      <c r="C90" s="15" t="s">
        <v>223</v>
      </c>
      <c r="D90" s="21" t="s">
        <v>44</v>
      </c>
      <c r="E90" s="21" t="s">
        <v>45</v>
      </c>
      <c r="F90" s="108"/>
      <c r="G90" s="72"/>
      <c r="H90" s="12"/>
      <c r="I90" s="14"/>
      <c r="J90" s="12"/>
      <c r="K90" s="72"/>
      <c r="L90" s="12"/>
      <c r="M90" s="12"/>
      <c r="N90" s="72"/>
      <c r="O90" s="12"/>
      <c r="P90" s="12"/>
      <c r="R90" s="148">
        <f>'Parameters, country spec'!G19</f>
        <v>2.6773939262145888E-2</v>
      </c>
      <c r="S90" s="148">
        <f>'Parameters, country spec'!G37</f>
        <v>2.6773939262145888E-2</v>
      </c>
    </row>
    <row r="91" spans="1:19" x14ac:dyDescent="0.35">
      <c r="A91" s="20" t="s">
        <v>225</v>
      </c>
      <c r="B91" s="15" t="s">
        <v>110</v>
      </c>
      <c r="C91" s="15" t="s">
        <v>223</v>
      </c>
      <c r="D91" s="21" t="s">
        <v>44</v>
      </c>
      <c r="E91" s="21" t="s">
        <v>45</v>
      </c>
      <c r="F91" s="108">
        <f t="shared" ref="F91:F99" si="11">SUM(G91:Q91)</f>
        <v>0.16200000000000001</v>
      </c>
      <c r="G91" s="72">
        <v>7.0000000000000007E-2</v>
      </c>
      <c r="H91" s="12">
        <v>2.7E-2</v>
      </c>
      <c r="I91" s="14">
        <v>0</v>
      </c>
      <c r="J91" s="12"/>
      <c r="K91" s="72">
        <v>2.4E-2</v>
      </c>
      <c r="L91" s="12"/>
      <c r="M91" s="12">
        <v>0</v>
      </c>
      <c r="N91" s="72">
        <v>4.1000000000000002E-2</v>
      </c>
      <c r="O91" s="12"/>
      <c r="P91" s="12"/>
      <c r="R91" s="148">
        <f>'Parameters, country spec'!G20</f>
        <v>5.5992035288690246E-3</v>
      </c>
      <c r="S91" s="148">
        <f>'Parameters, country spec'!G38</f>
        <v>5.5992035288690246E-3</v>
      </c>
    </row>
    <row r="92" spans="1:19" x14ac:dyDescent="0.35">
      <c r="A92" s="20" t="s">
        <v>226</v>
      </c>
      <c r="B92" s="15" t="s">
        <v>111</v>
      </c>
      <c r="C92" s="15" t="s">
        <v>223</v>
      </c>
      <c r="D92" s="21" t="s">
        <v>44</v>
      </c>
      <c r="E92" s="21" t="s">
        <v>45</v>
      </c>
      <c r="F92" s="108">
        <f t="shared" si="11"/>
        <v>0.185</v>
      </c>
      <c r="G92" s="72">
        <v>6.2E-2</v>
      </c>
      <c r="H92" s="12">
        <v>2.7E-2</v>
      </c>
      <c r="I92" s="12">
        <v>0</v>
      </c>
      <c r="J92" s="12"/>
      <c r="K92" s="72">
        <v>5.5E-2</v>
      </c>
      <c r="L92" s="12"/>
      <c r="M92" s="12">
        <v>0</v>
      </c>
      <c r="N92" s="72">
        <v>4.1000000000000002E-2</v>
      </c>
      <c r="O92" s="12"/>
      <c r="P92" s="12"/>
      <c r="R92" s="148">
        <f>'Parameters, country spec'!G21</f>
        <v>0</v>
      </c>
      <c r="S92" s="148">
        <f>'Parameters, country spec'!G39</f>
        <v>0</v>
      </c>
    </row>
    <row r="93" spans="1:19" x14ac:dyDescent="0.35">
      <c r="A93" s="20" t="s">
        <v>227</v>
      </c>
      <c r="B93" s="15" t="s">
        <v>112</v>
      </c>
      <c r="C93" s="15" t="s">
        <v>223</v>
      </c>
      <c r="D93" s="21" t="s">
        <v>44</v>
      </c>
      <c r="E93" s="21" t="s">
        <v>45</v>
      </c>
      <c r="F93" s="108">
        <f t="shared" si="11"/>
        <v>0.18</v>
      </c>
      <c r="G93" s="72">
        <v>9.0999999999999998E-2</v>
      </c>
      <c r="H93" s="12">
        <v>2.7E-2</v>
      </c>
      <c r="I93" s="12">
        <v>0</v>
      </c>
      <c r="J93" s="12"/>
      <c r="K93" s="72">
        <v>2.1000000000000001E-2</v>
      </c>
      <c r="L93" s="12"/>
      <c r="M93" s="12">
        <v>0</v>
      </c>
      <c r="N93" s="72">
        <v>4.1000000000000002E-2</v>
      </c>
      <c r="O93" s="12"/>
      <c r="P93" s="12"/>
      <c r="R93" s="148">
        <f>'Parameters, country spec'!G22</f>
        <v>4.1722075562431273E-2</v>
      </c>
      <c r="S93" s="148">
        <f>'Parameters, country spec'!G40</f>
        <v>4.1722075562431273E-2</v>
      </c>
    </row>
    <row r="94" spans="1:19" x14ac:dyDescent="0.35">
      <c r="A94" s="20" t="s">
        <v>228</v>
      </c>
      <c r="B94" s="15" t="s">
        <v>113</v>
      </c>
      <c r="C94" s="15" t="s">
        <v>229</v>
      </c>
      <c r="D94" s="21" t="s">
        <v>44</v>
      </c>
      <c r="E94" s="21" t="s">
        <v>45</v>
      </c>
      <c r="F94" s="108">
        <f t="shared" si="11"/>
        <v>0.11399999999999999</v>
      </c>
      <c r="G94" s="72">
        <v>0</v>
      </c>
      <c r="H94" s="12">
        <v>2.7E-2</v>
      </c>
      <c r="I94" s="14">
        <v>0</v>
      </c>
      <c r="J94" s="12"/>
      <c r="K94" s="72">
        <v>4.4999999999999998E-2</v>
      </c>
      <c r="L94" s="14"/>
      <c r="M94" s="12">
        <v>1E-3</v>
      </c>
      <c r="N94" s="72">
        <v>4.1000000000000002E-2</v>
      </c>
      <c r="O94" s="12"/>
      <c r="P94" s="12"/>
      <c r="R94" s="148">
        <f>'Parameters, country spec'!G23</f>
        <v>8.7938670638632881E-5</v>
      </c>
      <c r="S94" s="148">
        <f>'Parameters, country spec'!G41</f>
        <v>8.7938670638632881E-5</v>
      </c>
    </row>
    <row r="95" spans="1:19" x14ac:dyDescent="0.35">
      <c r="A95" s="20" t="s">
        <v>230</v>
      </c>
      <c r="B95" s="15" t="s">
        <v>114</v>
      </c>
      <c r="C95" s="15" t="s">
        <v>229</v>
      </c>
      <c r="D95" s="21" t="s">
        <v>44</v>
      </c>
      <c r="E95" s="21" t="s">
        <v>45</v>
      </c>
      <c r="F95" s="108">
        <f t="shared" si="11"/>
        <v>0.10700000000000001</v>
      </c>
      <c r="G95" s="72">
        <v>4.0000000000000001E-3</v>
      </c>
      <c r="H95" s="12">
        <v>2.7E-2</v>
      </c>
      <c r="I95" s="14">
        <v>0</v>
      </c>
      <c r="J95" s="12"/>
      <c r="K95" s="72">
        <v>3.5000000000000003E-2</v>
      </c>
      <c r="L95" s="12"/>
      <c r="M95" s="12">
        <v>0</v>
      </c>
      <c r="N95" s="72">
        <v>4.1000000000000002E-2</v>
      </c>
      <c r="O95" s="12"/>
      <c r="P95" s="12"/>
      <c r="R95" s="148">
        <f>'Parameters, country spec'!G24</f>
        <v>8.6384753409677397E-5</v>
      </c>
      <c r="S95" s="148">
        <f>'Parameters, country spec'!G42</f>
        <v>8.6384753409677397E-5</v>
      </c>
    </row>
    <row r="96" spans="1:19" x14ac:dyDescent="0.35">
      <c r="B96" s="16" t="s">
        <v>115</v>
      </c>
      <c r="C96" s="15" t="s">
        <v>231</v>
      </c>
      <c r="D96" s="21" t="s">
        <v>44</v>
      </c>
      <c r="E96" s="21" t="s">
        <v>45</v>
      </c>
      <c r="F96" s="108">
        <f t="shared" si="11"/>
        <v>0.27628755742228495</v>
      </c>
      <c r="G96" s="18">
        <f>'Off-farm feed'!$F$74</f>
        <v>0.15910156565543246</v>
      </c>
      <c r="H96" s="18">
        <f>'Off-farm feed'!$G$74</f>
        <v>1.3034482758620692E-2</v>
      </c>
      <c r="I96" s="18">
        <f>'Off-farm feed'!$H$74</f>
        <v>0</v>
      </c>
      <c r="J96" s="18"/>
      <c r="K96" s="18">
        <f>'Off-farm feed'!$J$74</f>
        <v>2.4688740026345454E-2</v>
      </c>
      <c r="L96" s="18"/>
      <c r="M96" s="289">
        <f>'Off-farm feed'!$L$74</f>
        <v>1.931759303794134E-4</v>
      </c>
      <c r="N96" s="18">
        <f>'Off-farm feed'!$M$74</f>
        <v>3.6802128767029069E-2</v>
      </c>
      <c r="O96" s="18">
        <f>'Off-farm feed'!$N$74</f>
        <v>0</v>
      </c>
      <c r="P96" s="18">
        <f>'Off-farm feed'!$O$74</f>
        <v>2.6267464284477883E-2</v>
      </c>
      <c r="Q96" s="18">
        <f>'Off-farm feed'!$P$74</f>
        <v>1.6199999999999999E-2</v>
      </c>
      <c r="R96" s="148">
        <f>'Parameters, country spec'!G25</f>
        <v>4.7080431031984718E-3</v>
      </c>
      <c r="S96" s="148">
        <f>'Parameters, country spec'!G43</f>
        <v>4.7080431031984718E-3</v>
      </c>
    </row>
    <row r="97" spans="1:19" x14ac:dyDescent="0.35">
      <c r="B97" s="16" t="s">
        <v>232</v>
      </c>
      <c r="C97" s="15" t="s">
        <v>231</v>
      </c>
      <c r="D97" s="21" t="s">
        <v>44</v>
      </c>
      <c r="E97" s="21" t="s">
        <v>45</v>
      </c>
      <c r="F97" s="108">
        <f t="shared" si="11"/>
        <v>0.7061171705997602</v>
      </c>
      <c r="G97" s="18">
        <f>'Off-farm feed'!$F$23</f>
        <v>7.2632670993098931E-3</v>
      </c>
      <c r="H97" s="18">
        <f>'Off-farm feed'!$G$23</f>
        <v>2.1402439024390246E-2</v>
      </c>
      <c r="I97" s="18">
        <f>'Off-farm feed'!$H$23</f>
        <v>0</v>
      </c>
      <c r="J97" s="18"/>
      <c r="K97" s="18">
        <f>'Off-farm feed'!$J$23</f>
        <v>4.308361966433235E-2</v>
      </c>
      <c r="L97" s="18"/>
      <c r="M97" s="289">
        <f>'Off-farm feed'!$L$23</f>
        <v>1.7842060425123844E-4</v>
      </c>
      <c r="N97" s="18">
        <f>'Off-farm feed'!$M$23</f>
        <v>3.0432604948959403E-2</v>
      </c>
      <c r="O97" s="18">
        <f>'Off-farm feed'!$N$23</f>
        <v>0.31761120248475611</v>
      </c>
      <c r="P97" s="18">
        <f>'Off-farm feed'!$O$23</f>
        <v>3.5145616773760872E-2</v>
      </c>
      <c r="Q97" s="18">
        <f>'Off-farm feed'!$P$23</f>
        <v>0.251</v>
      </c>
      <c r="R97" s="148">
        <f>'Parameters, country spec'!G26</f>
        <v>8.9589881795904755E-3</v>
      </c>
      <c r="S97" s="148">
        <f>'Parameters, country spec'!G44</f>
        <v>8.9589881795904755E-3</v>
      </c>
    </row>
    <row r="98" spans="1:19" x14ac:dyDescent="0.35">
      <c r="B98" s="15" t="s">
        <v>117</v>
      </c>
      <c r="C98" s="15" t="s">
        <v>233</v>
      </c>
      <c r="D98" s="21" t="s">
        <v>44</v>
      </c>
      <c r="E98" s="21" t="s">
        <v>45</v>
      </c>
      <c r="F98" s="108">
        <f t="shared" si="11"/>
        <v>0.56605495885048829</v>
      </c>
      <c r="G98" s="72">
        <v>4.4988265028212203E-2</v>
      </c>
      <c r="H98" s="14">
        <v>1.35108E-2</v>
      </c>
      <c r="K98" s="14">
        <v>3.2995894066916297E-2</v>
      </c>
      <c r="N98" s="97"/>
      <c r="O98" s="6"/>
      <c r="P98" s="14">
        <v>0.44500683667895402</v>
      </c>
      <c r="Q98" s="14">
        <v>2.9553163076405799E-2</v>
      </c>
      <c r="R98" s="148">
        <f>'Parameters, country spec'!G27</f>
        <v>1.7413738591251369E-2</v>
      </c>
      <c r="S98" s="148">
        <f>'Parameters, country spec'!G45</f>
        <v>1.7413738591251369E-2</v>
      </c>
    </row>
    <row r="99" spans="1:19" x14ac:dyDescent="0.35">
      <c r="A99" s="75"/>
      <c r="B99" s="15" t="s">
        <v>234</v>
      </c>
      <c r="C99" s="76" t="s">
        <v>235</v>
      </c>
      <c r="D99" s="21" t="s">
        <v>44</v>
      </c>
      <c r="E99" s="21" t="s">
        <v>45</v>
      </c>
      <c r="F99" s="108">
        <f t="shared" si="11"/>
        <v>3.2771424315734481E-2</v>
      </c>
      <c r="G99" s="73">
        <f>SUMPRODUCT(G89:G97,$R89:$R97)</f>
        <v>1.2677261829649381E-2</v>
      </c>
      <c r="H99" s="73">
        <f t="shared" ref="H99:P99" si="12">SUMPRODUCT(H89:H97,$R89:$R97)</f>
        <v>4.1582978739461837E-3</v>
      </c>
      <c r="I99" s="73">
        <f t="shared" si="12"/>
        <v>0</v>
      </c>
      <c r="J99" s="73">
        <f t="shared" si="12"/>
        <v>0</v>
      </c>
      <c r="K99" s="73">
        <f>SUMPRODUCT(K89:K97,$R89:$R97)</f>
        <v>3.9482700817352733E-3</v>
      </c>
      <c r="L99" s="73">
        <f t="shared" si="12"/>
        <v>0</v>
      </c>
      <c r="M99" s="73">
        <f t="shared" si="12"/>
        <v>2.5958873618476134E-6</v>
      </c>
      <c r="N99" s="73">
        <f t="shared" si="12"/>
        <v>6.3760097836227329E-3</v>
      </c>
      <c r="O99" s="73">
        <f t="shared" si="12"/>
        <v>2.8454750087664469E-3</v>
      </c>
      <c r="P99" s="73">
        <f t="shared" si="12"/>
        <v>4.3853751930358865E-4</v>
      </c>
      <c r="Q99" s="73">
        <f>SUMPRODUCT(Q89:Q97,$R89:$R97)</f>
        <v>2.3249763313490245E-3</v>
      </c>
      <c r="R99" s="148">
        <f>'Parameters, country spec'!G28</f>
        <v>2.6348753268541039E-2</v>
      </c>
      <c r="S99" s="148">
        <f>'Parameters, country spec'!G46</f>
        <v>2.6348753268541039E-2</v>
      </c>
    </row>
    <row r="100" spans="1:19" x14ac:dyDescent="0.35">
      <c r="A100" s="321"/>
      <c r="B100" s="322" t="s">
        <v>541</v>
      </c>
      <c r="C100" s="323"/>
      <c r="D100" s="324"/>
      <c r="E100" s="324"/>
      <c r="F100" s="325">
        <f>SUMPRODUCT(F86:F88,R86:R88)+SUMPRODUCT(F89:F99,R89:R99)/0.87</f>
        <v>0.10017319955443366</v>
      </c>
      <c r="G100" s="325">
        <f>SUMPRODUCT(G86:G88,R86:R88)+SUMPRODUCT(G89:G99,R89:R99)/0.87</f>
        <v>3.2843279168249868E-2</v>
      </c>
      <c r="H100" s="325">
        <f>SUMPRODUCT(H86:H88,R86:R88)+SUMPRODUCT(H89:H99,R89:R99)/0.87</f>
        <v>2.5997339720731181E-2</v>
      </c>
      <c r="I100" s="325">
        <f>SUMPRODUCT(I86:I88,R86:R88)+SUMPRODUCT(I89:I99,R89:R99)/0.87</f>
        <v>0</v>
      </c>
      <c r="J100" s="325">
        <f>SUMPRODUCT(J86:J88,R86:R88)+SUMPRODUCT(J89:J99,R89:R99)/0.87</f>
        <v>0</v>
      </c>
      <c r="K100" s="325">
        <f>SUMPRODUCT(K86:K88,R86:R88)+SUMPRODUCT(K89:K99,R89:R99)/0.87</f>
        <v>1.6629520265420666E-2</v>
      </c>
      <c r="L100" s="325">
        <f>SUMPRODUCT(L86:L88,R86:R88)+SUMPRODUCT(L89:L99,R89:R99)/0.87</f>
        <v>0</v>
      </c>
      <c r="M100" s="325">
        <f>SUMPRODUCT(M86:M88,R86:R88)+SUMPRODUCT(M89:M99,R89:R99)/0.87</f>
        <v>1.3105880656862952E-4</v>
      </c>
      <c r="N100" s="325">
        <f>SUMPRODUCT(N86:N88,R86:R88)+SUMPRODUCT(N89:N99,R89:R99)/0.87</f>
        <v>7.5218502209761055E-3</v>
      </c>
      <c r="O100" s="325">
        <f>SUMPRODUCT(O86:O88,R86:R88)+SUMPRODUCT(O89:O99,R89:R99)/0.87</f>
        <v>3.3568387674761304E-3</v>
      </c>
      <c r="P100" s="325">
        <f>SUMPRODUCT(P86:P88,R86:R88)+SUMPRODUCT(P89:P99,R89:R99)/0.87</f>
        <v>1.0358982012578776E-2</v>
      </c>
      <c r="Q100" s="325">
        <f>SUMPRODUCT(Q86:Q88,R86:R88)+SUMPRODUCT(Q89:Q99,R89:R99)/0.87</f>
        <v>3.3343305924322876E-3</v>
      </c>
      <c r="R100" s="328"/>
      <c r="S100" s="329"/>
    </row>
    <row r="101" spans="1:19" x14ac:dyDescent="0.35">
      <c r="A101" s="147"/>
      <c r="B101" s="23" t="s">
        <v>428</v>
      </c>
      <c r="C101" s="24"/>
      <c r="D101" s="94"/>
      <c r="E101" s="94"/>
      <c r="F101" s="320">
        <f>SUMPRODUCT(F86:F88,S86:S88)+SUMPRODUCT(F89:F99,S89:S99)/0.87</f>
        <v>0.10017319955443366</v>
      </c>
      <c r="G101" s="320">
        <f>SUMPRODUCT(G86:G88,S86:S88)+SUMPRODUCT(G89:G99,S89:S99)/0.87</f>
        <v>3.2843279168249868E-2</v>
      </c>
      <c r="H101" s="320">
        <f>SUMPRODUCT(H86:H88,S86:S88)+SUMPRODUCT(H89:H99,S89:S99)/0.87</f>
        <v>2.5997339720731181E-2</v>
      </c>
      <c r="I101" s="320">
        <f>SUMPRODUCT(I86:I88,S86:S88)+SUMPRODUCT(I89:I99,S89:S99)/0.87</f>
        <v>0</v>
      </c>
      <c r="J101" s="320">
        <f>SUMPRODUCT(J86:J88,S86:S88)+SUMPRODUCT(J89:J99,S89:S99)/0.87</f>
        <v>0</v>
      </c>
      <c r="K101" s="320">
        <f>SUMPRODUCT(K86:K88,S86:S88)+SUMPRODUCT(K89:K99,S89:S99)/0.87</f>
        <v>1.6629520265420666E-2</v>
      </c>
      <c r="L101" s="320">
        <f>SUMPRODUCT(L86:L88,S86:S88)+SUMPRODUCT(L89:L99,S89:S99)/0.87</f>
        <v>0</v>
      </c>
      <c r="M101" s="320">
        <f>SUMPRODUCT(M86:M88,S86:S88)+SUMPRODUCT(M89:M99,S89:S99)/0.87</f>
        <v>1.3105880656862952E-4</v>
      </c>
      <c r="N101" s="320">
        <f>SUMPRODUCT(N86:N88,S86:S88)+SUMPRODUCT(N89:N99,S89:S99)/0.87</f>
        <v>7.5218502209761055E-3</v>
      </c>
      <c r="O101" s="320">
        <f>SUMPRODUCT(O86:O88,S86:S88)+SUMPRODUCT(O89:O99,S89:S99)/0.87</f>
        <v>3.3568387674761304E-3</v>
      </c>
      <c r="P101" s="320">
        <f>SUMPRODUCT(P86:P88,S86:S88)+SUMPRODUCT(P89:P99,S89:S99)/0.87</f>
        <v>1.0358982012578776E-2</v>
      </c>
      <c r="Q101" s="320">
        <f>SUMPRODUCT(Q86:Q88,S86:S88)+SUMPRODUCT(Q89:Q99,S89:S99)/0.87</f>
        <v>3.3343305924322876E-3</v>
      </c>
      <c r="R101" s="149"/>
      <c r="S101" s="149"/>
    </row>
    <row r="102" spans="1:19" x14ac:dyDescent="0.35">
      <c r="B102" s="16" t="s">
        <v>285</v>
      </c>
      <c r="C102" s="15" t="s">
        <v>288</v>
      </c>
      <c r="D102" s="21" t="s">
        <v>46</v>
      </c>
      <c r="E102" s="21" t="s">
        <v>47</v>
      </c>
      <c r="F102" s="108">
        <f>SUM(G102:Q102)</f>
        <v>6.5758588190639095E-2</v>
      </c>
      <c r="G102" s="18">
        <f>'Forage crops, CF'!F38</f>
        <v>2.6632985559113014E-2</v>
      </c>
      <c r="H102" s="18">
        <f>'Forage crops, CF'!G38</f>
        <v>2.7E-2</v>
      </c>
      <c r="I102" s="18">
        <f>'Forage crops, CF'!H38</f>
        <v>0</v>
      </c>
      <c r="J102" s="18">
        <f>'Forage crops, CF'!I38</f>
        <v>0</v>
      </c>
      <c r="K102" s="18">
        <f>'Forage crops, CF'!J38</f>
        <v>1.2125602631526086E-2</v>
      </c>
      <c r="L102" s="18">
        <f>'Forage crops, CF'!K38</f>
        <v>0</v>
      </c>
      <c r="M102" s="18">
        <f>'Forage crops, CF'!L38</f>
        <v>0</v>
      </c>
      <c r="N102" s="18">
        <f>'Forage crops, CF'!M38</f>
        <v>0</v>
      </c>
      <c r="O102" s="18">
        <f>'Forage crops, CF'!N38</f>
        <v>0</v>
      </c>
      <c r="P102" s="18">
        <f>'Forage crops, CF'!O38</f>
        <v>0</v>
      </c>
      <c r="Q102" s="18">
        <f>'Forage crops, CF'!P38</f>
        <v>0</v>
      </c>
      <c r="R102" s="148">
        <f>'Parameters, country spec'!H15</f>
        <v>0.40067105954621879</v>
      </c>
      <c r="S102" s="148">
        <f>'Parameters, country spec'!H33</f>
        <v>0.40067105954621879</v>
      </c>
    </row>
    <row r="103" spans="1:19" x14ac:dyDescent="0.35">
      <c r="B103" s="16" t="s">
        <v>286</v>
      </c>
      <c r="C103" s="15" t="s">
        <v>288</v>
      </c>
      <c r="D103" s="21" t="s">
        <v>46</v>
      </c>
      <c r="E103" s="21" t="s">
        <v>47</v>
      </c>
      <c r="F103" s="108">
        <f>SUM(G103:Q103)</f>
        <v>0.1271940167309322</v>
      </c>
      <c r="G103" s="18">
        <f>'Forage crops, CF'!F103</f>
        <v>3.5198917995755127E-2</v>
      </c>
      <c r="H103" s="18">
        <f>'Forage crops, CF'!G103</f>
        <v>2.7E-2</v>
      </c>
      <c r="I103" s="18">
        <f>'Forage crops, CF'!H103</f>
        <v>0</v>
      </c>
      <c r="J103" s="18">
        <f>'Forage crops, CF'!I103</f>
        <v>0</v>
      </c>
      <c r="K103" s="18">
        <f>'Forage crops, CF'!J103</f>
        <v>1.0792283582048061E-2</v>
      </c>
      <c r="L103" s="18">
        <f>'Forage crops, CF'!K103</f>
        <v>0</v>
      </c>
      <c r="M103" s="18">
        <f>'Forage crops, CF'!L103</f>
        <v>7.5028151531290012E-3</v>
      </c>
      <c r="N103" s="18">
        <f>'Forage crops, CF'!M103</f>
        <v>0</v>
      </c>
      <c r="O103" s="18">
        <f>'Forage crops, CF'!N103</f>
        <v>0</v>
      </c>
      <c r="P103" s="18">
        <f>'Forage crops, CF'!O103</f>
        <v>4.6700000000000005E-2</v>
      </c>
      <c r="Q103" s="18">
        <f>'Forage crops, CF'!P103</f>
        <v>0</v>
      </c>
      <c r="R103" s="148">
        <f>'Parameters, country spec'!H16</f>
        <v>0.27744597499526535</v>
      </c>
      <c r="S103" s="148">
        <f>'Parameters, country spec'!H34</f>
        <v>0.27744597499526535</v>
      </c>
    </row>
    <row r="104" spans="1:19" x14ac:dyDescent="0.35">
      <c r="B104" s="16" t="s">
        <v>287</v>
      </c>
      <c r="C104" s="15" t="s">
        <v>288</v>
      </c>
      <c r="D104" s="21" t="s">
        <v>46</v>
      </c>
      <c r="E104" s="21" t="s">
        <v>47</v>
      </c>
      <c r="F104" s="108">
        <f>SUM(G104:Q104)</f>
        <v>0.10195682358884681</v>
      </c>
      <c r="G104" s="18">
        <f>'Forage crops, CF'!F168*'Forage, input data per ha'!$E$84+'Forage crops, CF'!F233*'Forage, input data per ha'!$G$84</f>
        <v>1.4442747868956104E-2</v>
      </c>
      <c r="H104" s="18">
        <f>'Forage crops, CF'!G168*'Forage, input data per ha'!$E$84+'Forage crops, CF'!G233*'Forage, input data per ha'!$G$84</f>
        <v>2.7E-2</v>
      </c>
      <c r="I104" s="18">
        <f>'Forage crops, CF'!H168*'Forage, input data per ha'!$E$84+'Forage crops, CF'!H233*'Forage, input data per ha'!$G$84</f>
        <v>0</v>
      </c>
      <c r="J104" s="18">
        <f>'Forage crops, CF'!I168*'Forage, input data per ha'!$E$84+'Forage crops, CF'!I233*'Forage, input data per ha'!$G$84</f>
        <v>0</v>
      </c>
      <c r="K104" s="18">
        <f>'Forage crops, CF'!J168*'Forage, input data per ha'!$E$84+'Forage crops, CF'!J233*'Forage, input data per ha'!$G$84</f>
        <v>1.3814075719890705E-2</v>
      </c>
      <c r="L104" s="18">
        <f>'Forage crops, CF'!K168*'Forage, input data per ha'!$E$84+'Forage crops, CF'!K233*'Forage, input data per ha'!$G$84</f>
        <v>0</v>
      </c>
      <c r="M104" s="18">
        <f>'Forage crops, CF'!L168*'Forage, input data per ha'!$E$84+'Forage crops, CF'!L233*'Forage, input data per ha'!$G$84</f>
        <v>0</v>
      </c>
      <c r="N104" s="18">
        <f>'Forage crops, CF'!M168*'Forage, input data per ha'!$E$84+'Forage crops, CF'!M233*'Forage, input data per ha'!$G$84</f>
        <v>0</v>
      </c>
      <c r="O104" s="18">
        <f>'Forage crops, CF'!N168*'Forage, input data per ha'!$E$84+'Forage crops, CF'!N233*'Forage, input data per ha'!$G$84</f>
        <v>0</v>
      </c>
      <c r="P104" s="18">
        <f>'Forage crops, CF'!O168*'Forage, input data per ha'!$E$84+'Forage crops, CF'!O233*'Forage, input data per ha'!$G$84</f>
        <v>4.6700000000000005E-2</v>
      </c>
      <c r="Q104" s="18">
        <f>'Forage crops, CF'!P168*'Forage, input data per ha'!$E$84+'Forage crops, CF'!P233*'Forage, input data per ha'!$G$84</f>
        <v>0</v>
      </c>
      <c r="R104" s="148">
        <f>'Parameters, country spec'!H17</f>
        <v>7.1895313213819118E-2</v>
      </c>
      <c r="S104" s="148">
        <f>'Parameters, country spec'!H35</f>
        <v>7.1895313213819118E-2</v>
      </c>
    </row>
    <row r="105" spans="1:19" x14ac:dyDescent="0.35">
      <c r="A105" s="20" t="s">
        <v>222</v>
      </c>
      <c r="B105" s="15" t="s">
        <v>108</v>
      </c>
      <c r="C105" s="15" t="s">
        <v>223</v>
      </c>
      <c r="D105" s="21" t="s">
        <v>46</v>
      </c>
      <c r="E105" s="21" t="s">
        <v>47</v>
      </c>
      <c r="F105" s="108">
        <f>SUM(G105:Q105)</f>
        <v>0.192</v>
      </c>
      <c r="G105" s="72">
        <v>7.9000000000000001E-2</v>
      </c>
      <c r="H105" s="12">
        <v>2.7E-2</v>
      </c>
      <c r="I105" s="14">
        <v>0</v>
      </c>
      <c r="J105" s="12"/>
      <c r="K105" s="72">
        <v>4.4999999999999998E-2</v>
      </c>
      <c r="L105" s="12"/>
      <c r="M105" s="12">
        <v>0</v>
      </c>
      <c r="N105" s="72">
        <v>4.1000000000000002E-2</v>
      </c>
      <c r="O105" s="12"/>
      <c r="P105" s="12"/>
      <c r="R105" s="148">
        <f>'Parameters, country spec'!H18</f>
        <v>3.0038264722936558E-3</v>
      </c>
      <c r="S105" s="148">
        <f>'Parameters, country spec'!H36</f>
        <v>3.0038264722936558E-3</v>
      </c>
    </row>
    <row r="106" spans="1:19" x14ac:dyDescent="0.35">
      <c r="A106" s="20" t="s">
        <v>224</v>
      </c>
      <c r="B106" s="15" t="s">
        <v>109</v>
      </c>
      <c r="C106" s="15" t="s">
        <v>223</v>
      </c>
      <c r="D106" s="21" t="s">
        <v>46</v>
      </c>
      <c r="E106" s="21" t="s">
        <v>47</v>
      </c>
      <c r="F106" s="108">
        <f t="shared" ref="F106:F115" si="13">SUM(G106:Q106)</f>
        <v>0.17100000000000001</v>
      </c>
      <c r="G106" s="72">
        <v>7.6999999999999999E-2</v>
      </c>
      <c r="H106" s="12">
        <v>2.7E-2</v>
      </c>
      <c r="I106" s="14">
        <v>0</v>
      </c>
      <c r="J106" s="12"/>
      <c r="K106" s="72">
        <v>1.7999999999999999E-2</v>
      </c>
      <c r="L106" s="12"/>
      <c r="M106" s="12">
        <v>8.0000000000000002E-3</v>
      </c>
      <c r="N106" s="72">
        <v>4.1000000000000002E-2</v>
      </c>
      <c r="O106" s="12"/>
      <c r="P106" s="12"/>
      <c r="R106" s="148">
        <f>'Parameters, country spec'!H19</f>
        <v>1.964163410545296E-2</v>
      </c>
      <c r="S106" s="148">
        <f>'Parameters, country spec'!H37</f>
        <v>1.964163410545296E-2</v>
      </c>
    </row>
    <row r="107" spans="1:19" x14ac:dyDescent="0.35">
      <c r="A107" s="20" t="s">
        <v>225</v>
      </c>
      <c r="B107" s="15" t="s">
        <v>110</v>
      </c>
      <c r="C107" s="15" t="s">
        <v>223</v>
      </c>
      <c r="D107" s="21" t="s">
        <v>46</v>
      </c>
      <c r="E107" s="21" t="s">
        <v>47</v>
      </c>
      <c r="F107" s="108">
        <f t="shared" si="13"/>
        <v>0.22500000000000001</v>
      </c>
      <c r="G107" s="72">
        <v>7.0000000000000007E-2</v>
      </c>
      <c r="H107" s="12">
        <v>2.7E-2</v>
      </c>
      <c r="I107" s="14">
        <v>0</v>
      </c>
      <c r="J107" s="12"/>
      <c r="K107" s="72">
        <v>7.9000000000000001E-2</v>
      </c>
      <c r="L107" s="12"/>
      <c r="M107" s="12">
        <v>8.0000000000000002E-3</v>
      </c>
      <c r="N107" s="72">
        <v>4.1000000000000002E-2</v>
      </c>
      <c r="O107" s="12"/>
      <c r="P107" s="12"/>
      <c r="R107" s="148">
        <f>'Parameters, country spec'!H20</f>
        <v>6.238152652520509E-4</v>
      </c>
      <c r="S107" s="148">
        <f>'Parameters, country spec'!H38</f>
        <v>6.238152652520509E-4</v>
      </c>
    </row>
    <row r="108" spans="1:19" x14ac:dyDescent="0.35">
      <c r="A108" s="20" t="s">
        <v>226</v>
      </c>
      <c r="B108" s="15" t="s">
        <v>111</v>
      </c>
      <c r="C108" s="15" t="s">
        <v>223</v>
      </c>
      <c r="D108" s="21" t="s">
        <v>46</v>
      </c>
      <c r="E108" s="21" t="s">
        <v>47</v>
      </c>
      <c r="F108" s="108">
        <f t="shared" si="13"/>
        <v>0.187</v>
      </c>
      <c r="G108" s="72">
        <v>6.2E-2</v>
      </c>
      <c r="H108" s="12">
        <v>2.7E-2</v>
      </c>
      <c r="I108" s="12">
        <v>0</v>
      </c>
      <c r="J108" s="12"/>
      <c r="K108" s="72">
        <v>5.7000000000000002E-2</v>
      </c>
      <c r="L108" s="12"/>
      <c r="M108" s="12">
        <v>0</v>
      </c>
      <c r="N108" s="72">
        <v>4.1000000000000002E-2</v>
      </c>
      <c r="O108" s="12"/>
      <c r="P108" s="12"/>
      <c r="R108" s="148">
        <f>'Parameters, country spec'!H21</f>
        <v>4.9703321891174883E-5</v>
      </c>
      <c r="S108" s="148">
        <f>'Parameters, country spec'!H39</f>
        <v>4.9703321891174883E-5</v>
      </c>
    </row>
    <row r="109" spans="1:19" x14ac:dyDescent="0.35">
      <c r="A109" s="20" t="s">
        <v>227</v>
      </c>
      <c r="B109" s="15" t="s">
        <v>112</v>
      </c>
      <c r="C109" s="15" t="s">
        <v>223</v>
      </c>
      <c r="D109" s="21" t="s">
        <v>46</v>
      </c>
      <c r="E109" s="21" t="s">
        <v>47</v>
      </c>
      <c r="F109" s="108">
        <f t="shared" si="13"/>
        <v>0.20899999999999999</v>
      </c>
      <c r="G109" s="72">
        <v>9.0999999999999998E-2</v>
      </c>
      <c r="H109" s="12">
        <v>2.7E-2</v>
      </c>
      <c r="I109" s="12">
        <v>0</v>
      </c>
      <c r="J109" s="12"/>
      <c r="K109" s="72">
        <v>4.8000000000000001E-2</v>
      </c>
      <c r="L109" s="12"/>
      <c r="M109" s="12">
        <v>2E-3</v>
      </c>
      <c r="N109" s="72">
        <v>4.1000000000000002E-2</v>
      </c>
      <c r="O109" s="12"/>
      <c r="P109" s="12"/>
      <c r="R109" s="148">
        <f>'Parameters, country spec'!H22</f>
        <v>2.8451429826063719E-3</v>
      </c>
      <c r="S109" s="148">
        <f>'Parameters, country spec'!H40</f>
        <v>2.8451429826063719E-3</v>
      </c>
    </row>
    <row r="110" spans="1:19" x14ac:dyDescent="0.35">
      <c r="A110" s="20" t="s">
        <v>228</v>
      </c>
      <c r="B110" s="15" t="s">
        <v>113</v>
      </c>
      <c r="C110" s="15" t="s">
        <v>229</v>
      </c>
      <c r="D110" s="21" t="s">
        <v>46</v>
      </c>
      <c r="E110" s="21" t="s">
        <v>47</v>
      </c>
      <c r="F110" s="108">
        <f t="shared" si="13"/>
        <v>0.127</v>
      </c>
      <c r="G110" s="72">
        <v>0</v>
      </c>
      <c r="H110" s="12">
        <v>2.7E-2</v>
      </c>
      <c r="I110" s="14">
        <v>0</v>
      </c>
      <c r="J110" s="12"/>
      <c r="K110" s="72">
        <v>5.8000000000000003E-2</v>
      </c>
      <c r="L110" s="14"/>
      <c r="M110" s="12">
        <v>1E-3</v>
      </c>
      <c r="N110" s="72">
        <v>4.1000000000000002E-2</v>
      </c>
      <c r="O110" s="12"/>
      <c r="P110" s="12"/>
      <c r="R110" s="148">
        <f>'Parameters, country spec'!H23</f>
        <v>7.8267619629308958E-4</v>
      </c>
      <c r="S110" s="148">
        <f>'Parameters, country spec'!H41</f>
        <v>7.8267619629308958E-4</v>
      </c>
    </row>
    <row r="111" spans="1:19" x14ac:dyDescent="0.35">
      <c r="A111" s="20" t="s">
        <v>230</v>
      </c>
      <c r="B111" s="15" t="s">
        <v>114</v>
      </c>
      <c r="C111" s="15" t="s">
        <v>229</v>
      </c>
      <c r="D111" s="21" t="s">
        <v>46</v>
      </c>
      <c r="E111" s="21" t="s">
        <v>47</v>
      </c>
      <c r="F111" s="108">
        <f t="shared" si="13"/>
        <v>0.159</v>
      </c>
      <c r="G111" s="72">
        <v>4.0000000000000001E-3</v>
      </c>
      <c r="H111" s="12">
        <v>2.7E-2</v>
      </c>
      <c r="I111" s="14">
        <v>0</v>
      </c>
      <c r="J111" s="12"/>
      <c r="K111" s="72">
        <v>8.6999999999999994E-2</v>
      </c>
      <c r="L111" s="12"/>
      <c r="M111" s="12">
        <v>0</v>
      </c>
      <c r="N111" s="72">
        <v>4.1000000000000002E-2</v>
      </c>
      <c r="O111" s="12"/>
      <c r="P111" s="12"/>
      <c r="R111" s="148">
        <f>'Parameters, country spec'!H24</f>
        <v>7.6884594730627475E-4</v>
      </c>
      <c r="S111" s="148">
        <f>'Parameters, country spec'!H42</f>
        <v>7.6884594730627475E-4</v>
      </c>
    </row>
    <row r="112" spans="1:19" x14ac:dyDescent="0.35">
      <c r="B112" s="16" t="s">
        <v>115</v>
      </c>
      <c r="C112" s="15" t="s">
        <v>231</v>
      </c>
      <c r="D112" s="21" t="s">
        <v>46</v>
      </c>
      <c r="E112" s="21" t="s">
        <v>47</v>
      </c>
      <c r="F112" s="108">
        <f t="shared" si="13"/>
        <v>0.27628755742228495</v>
      </c>
      <c r="G112" s="18">
        <f>'Off-farm feed'!$F$74</f>
        <v>0.15910156565543246</v>
      </c>
      <c r="H112" s="18">
        <f>'Off-farm feed'!$G$74</f>
        <v>1.3034482758620692E-2</v>
      </c>
      <c r="I112" s="18">
        <f>'Off-farm feed'!$H$74</f>
        <v>0</v>
      </c>
      <c r="J112" s="18"/>
      <c r="K112" s="18">
        <f>'Off-farm feed'!$J$74</f>
        <v>2.4688740026345454E-2</v>
      </c>
      <c r="L112" s="18"/>
      <c r="M112" s="289">
        <f>'Off-farm feed'!$L$74</f>
        <v>1.931759303794134E-4</v>
      </c>
      <c r="N112" s="18">
        <f>'Off-farm feed'!$M$74</f>
        <v>3.6802128767029069E-2</v>
      </c>
      <c r="O112" s="18">
        <f>'Off-farm feed'!$N$74</f>
        <v>0</v>
      </c>
      <c r="P112" s="18">
        <f>'Off-farm feed'!$O$74</f>
        <v>2.6267464284477883E-2</v>
      </c>
      <c r="Q112" s="18">
        <f>'Off-farm feed'!$P$74</f>
        <v>1.6199999999999999E-2</v>
      </c>
      <c r="R112" s="148">
        <f>'Parameters, country spec'!H25</f>
        <v>1.3183641649379223E-3</v>
      </c>
      <c r="S112" s="148">
        <f>'Parameters, country spec'!H43</f>
        <v>1.3183641649379223E-3</v>
      </c>
    </row>
    <row r="113" spans="1:19" x14ac:dyDescent="0.35">
      <c r="B113" s="16" t="s">
        <v>232</v>
      </c>
      <c r="C113" s="15" t="s">
        <v>231</v>
      </c>
      <c r="D113" s="21" t="s">
        <v>46</v>
      </c>
      <c r="E113" s="21" t="s">
        <v>47</v>
      </c>
      <c r="F113" s="108">
        <f t="shared" si="13"/>
        <v>0.7061171705997602</v>
      </c>
      <c r="G113" s="18">
        <f>'Off-farm feed'!$F$23</f>
        <v>7.2632670993098931E-3</v>
      </c>
      <c r="H113" s="18">
        <f>'Off-farm feed'!$G$23</f>
        <v>2.1402439024390246E-2</v>
      </c>
      <c r="I113" s="18">
        <f>'Off-farm feed'!$H$23</f>
        <v>0</v>
      </c>
      <c r="J113" s="18"/>
      <c r="K113" s="18">
        <f>'Off-farm feed'!$J$23</f>
        <v>4.308361966433235E-2</v>
      </c>
      <c r="L113" s="18"/>
      <c r="M113" s="289">
        <f>'Off-farm feed'!$L$23</f>
        <v>1.7842060425123844E-4</v>
      </c>
      <c r="N113" s="18">
        <f>'Off-farm feed'!$M$23</f>
        <v>3.0432604948959403E-2</v>
      </c>
      <c r="O113" s="18">
        <f>'Off-farm feed'!$N$23</f>
        <v>0.31761120248475611</v>
      </c>
      <c r="P113" s="18">
        <f>'Off-farm feed'!$O$23</f>
        <v>3.5145616773760872E-2</v>
      </c>
      <c r="Q113" s="18">
        <f>'Off-farm feed'!$P$23</f>
        <v>0.251</v>
      </c>
      <c r="R113" s="148">
        <f>'Parameters, country spec'!H26</f>
        <v>3.2548889626891842E-2</v>
      </c>
      <c r="S113" s="148">
        <f>'Parameters, country spec'!H44</f>
        <v>3.2548889626891842E-2</v>
      </c>
    </row>
    <row r="114" spans="1:19" x14ac:dyDescent="0.35">
      <c r="B114" s="15" t="s">
        <v>117</v>
      </c>
      <c r="C114" s="15" t="s">
        <v>233</v>
      </c>
      <c r="D114" s="21" t="s">
        <v>46</v>
      </c>
      <c r="E114" s="21" t="s">
        <v>47</v>
      </c>
      <c r="F114" s="108">
        <f>SUM(G114:Q114)</f>
        <v>0.56869851281508266</v>
      </c>
      <c r="G114" s="72">
        <v>4.7383641604553002E-2</v>
      </c>
      <c r="H114" s="14">
        <v>1.41474345549738E-2</v>
      </c>
      <c r="K114" s="14">
        <v>4.30498153449922E-2</v>
      </c>
      <c r="P114" s="14">
        <v>0.429390280461106</v>
      </c>
      <c r="Q114" s="14">
        <v>3.4727340849457597E-2</v>
      </c>
      <c r="R114" s="148">
        <f>'Parameters, country spec'!H27</f>
        <v>7.1183592363716075E-2</v>
      </c>
      <c r="S114" s="148">
        <f>'Parameters, country spec'!H45</f>
        <v>7.1183592363716075E-2</v>
      </c>
    </row>
    <row r="115" spans="1:19" x14ac:dyDescent="0.35">
      <c r="A115" s="75"/>
      <c r="B115" s="15" t="s">
        <v>234</v>
      </c>
      <c r="C115" s="76" t="s">
        <v>235</v>
      </c>
      <c r="D115" s="21" t="s">
        <v>46</v>
      </c>
      <c r="E115" s="21" t="s">
        <v>47</v>
      </c>
      <c r="F115" s="108">
        <f t="shared" si="13"/>
        <v>2.824896580093237E-2</v>
      </c>
      <c r="G115" s="73">
        <f>SUMPRODUCT(G105:G113,$R105:$R113)</f>
        <v>2.5046052690540911E-3</v>
      </c>
      <c r="H115" s="73">
        <f t="shared" ref="H115:P115" si="14">SUMPRODUCT(H105:H113,$R105:$R113)</f>
        <v>1.4621322163882082E-3</v>
      </c>
      <c r="I115" s="73">
        <f t="shared" si="14"/>
        <v>0</v>
      </c>
      <c r="J115" s="73">
        <f t="shared" si="14"/>
        <v>0</v>
      </c>
      <c r="K115" s="73">
        <f>SUMPRODUCT(K105:K113,$R105:$R113)</f>
        <v>2.2245605117293707E-3</v>
      </c>
      <c r="L115" s="73">
        <f t="shared" si="14"/>
        <v>0</v>
      </c>
      <c r="M115" s="73">
        <f t="shared" si="14"/>
        <v>1.7465862590622361E-4</v>
      </c>
      <c r="N115" s="73">
        <f t="shared" si="14"/>
        <v>2.1754075232372832E-3</v>
      </c>
      <c r="O115" s="73">
        <f t="shared" si="14"/>
        <v>1.0337891973940722E-2</v>
      </c>
      <c r="P115" s="73">
        <f t="shared" si="14"/>
        <v>1.1785808848546236E-3</v>
      </c>
      <c r="Q115" s="73">
        <f>SUMPRODUCT(Q105:Q113,$R105:$R113)</f>
        <v>8.1911287958218466E-3</v>
      </c>
      <c r="R115" s="148">
        <f>'Parameters, country spec'!H28</f>
        <v>0.11722116179805527</v>
      </c>
      <c r="S115" s="148">
        <f>'Parameters, country spec'!H46</f>
        <v>0.11722116179805527</v>
      </c>
    </row>
    <row r="116" spans="1:19" x14ac:dyDescent="0.35">
      <c r="A116" s="321"/>
      <c r="B116" s="322" t="s">
        <v>541</v>
      </c>
      <c r="C116" s="323"/>
      <c r="D116" s="324"/>
      <c r="E116" s="324"/>
      <c r="F116" s="325">
        <f>SUMPRODUCT(F102:F104,R102:R104)+SUMPRODUCT(F105:F115,R105:R115)/0.87</f>
        <v>0.15177454264110857</v>
      </c>
      <c r="G116" s="325">
        <f>SUMPRODUCT(G102:G104,R102:R104)+SUMPRODUCT(G105:G115,R105:R115)/0.87</f>
        <v>2.8568490129683759E-2</v>
      </c>
      <c r="H116" s="325">
        <f>SUMPRODUCT(H102:H104,R102:R104)+SUMPRODUCT(H105:H115,R105:R115)/0.87</f>
        <v>2.3285494616806068E-2</v>
      </c>
      <c r="I116" s="325">
        <f>SUMPRODUCT(I102:I104,R102:R104)+SUMPRODUCT(I105:I115,R105:R115)/0.87</f>
        <v>0</v>
      </c>
      <c r="J116" s="325">
        <f>SUMPRODUCT(J102:J104,R102:R104)+SUMPRODUCT(J105:J115,R105:R115)/0.87</f>
        <v>0</v>
      </c>
      <c r="K116" s="325">
        <f>SUMPRODUCT(K102:K104,R102:R104)+SUMPRODUCT(K105:K115,R105:R115)/0.87</f>
        <v>1.5224863048664935E-2</v>
      </c>
      <c r="L116" s="325">
        <f>SUMPRODUCT(L102:L104,R102:R104)+SUMPRODUCT(L105:L115,R105:R115)/0.87</f>
        <v>0</v>
      </c>
      <c r="M116" s="325">
        <f>SUMPRODUCT(M102:M104,R102:R104)+SUMPRODUCT(M105:M115,R105:R115)/0.87</f>
        <v>2.3059158802576358E-3</v>
      </c>
      <c r="N116" s="325">
        <f>SUMPRODUCT(N102:N104,R102:R104)+SUMPRODUCT(N105:N115,R105:R115)/0.87</f>
        <v>2.7935762304544683E-3</v>
      </c>
      <c r="O116" s="325">
        <f>SUMPRODUCT(O102:O104,R102:R104)+SUMPRODUCT(O105:O115,R105:R115)/0.87</f>
        <v>1.3275530668584877E-2</v>
      </c>
      <c r="P116" s="325">
        <f>SUMPRODUCT(P102:P104,R102:R104)+SUMPRODUCT(P105:P115,R105:R115)/0.87</f>
        <v>5.2960534934922122E-2</v>
      </c>
      <c r="Q116" s="325">
        <f>SUMPRODUCT(Q102:Q104,R102:R104)+SUMPRODUCT(Q105:Q115,R105:R115)/0.87</f>
        <v>1.3360137131734718E-2</v>
      </c>
      <c r="R116" s="328"/>
      <c r="S116" s="329"/>
    </row>
    <row r="117" spans="1:19" x14ac:dyDescent="0.35">
      <c r="A117" s="147"/>
      <c r="B117" s="23" t="s">
        <v>428</v>
      </c>
      <c r="C117" s="24"/>
      <c r="D117" s="94"/>
      <c r="E117" s="94"/>
      <c r="F117" s="320">
        <f>SUMPRODUCT(F102:F104,S102:S104)+SUMPRODUCT(F105:F115,S105:S115)/0.87</f>
        <v>0.15177454264110857</v>
      </c>
      <c r="G117" s="320">
        <f>SUMPRODUCT(G102:G104,S102:S104)+SUMPRODUCT(G105:G115,S105:S115)/0.87</f>
        <v>2.8568490129683759E-2</v>
      </c>
      <c r="H117" s="320">
        <f>SUMPRODUCT(H102:H104,S102:S104)+SUMPRODUCT(H105:H115,S105:S115)/0.87</f>
        <v>2.3285494616806068E-2</v>
      </c>
      <c r="I117" s="320">
        <f>SUMPRODUCT(I102:I104,S102:S104)+SUMPRODUCT(I105:I115,S105:S115)/0.87</f>
        <v>0</v>
      </c>
      <c r="J117" s="320">
        <f>SUMPRODUCT(J102:J104,S102:S104)+SUMPRODUCT(J105:J115,S105:S115)/0.87</f>
        <v>0</v>
      </c>
      <c r="K117" s="320">
        <f>SUMPRODUCT(K102:K104,S102:S104)+SUMPRODUCT(K105:K115,S105:S115)/0.87</f>
        <v>1.5224863048664935E-2</v>
      </c>
      <c r="L117" s="320">
        <f>SUMPRODUCT(L102:L104,S102:S104)+SUMPRODUCT(L105:L115,S105:S115)/0.87</f>
        <v>0</v>
      </c>
      <c r="M117" s="320">
        <f>SUMPRODUCT(M102:M104,S102:S104)+SUMPRODUCT(M105:M115,S105:S115)/0.87</f>
        <v>2.3059158802576358E-3</v>
      </c>
      <c r="N117" s="320">
        <f>SUMPRODUCT(N102:N104,S102:S104)+SUMPRODUCT(N105:N115,S105:S115)/0.87</f>
        <v>2.7935762304544683E-3</v>
      </c>
      <c r="O117" s="320">
        <f>SUMPRODUCT(O102:O104,S102:S104)+SUMPRODUCT(O105:O115,S105:S115)/0.87</f>
        <v>1.3275530668584877E-2</v>
      </c>
      <c r="P117" s="320">
        <f>SUMPRODUCT(P102:P104,S102:S104)+SUMPRODUCT(P105:P115,S105:S115)/0.87</f>
        <v>5.2960534934922122E-2</v>
      </c>
      <c r="Q117" s="320">
        <f>SUMPRODUCT(Q102:Q104,S102:S104)+SUMPRODUCT(Q105:Q115,S105:S115)/0.87</f>
        <v>1.3360137131734718E-2</v>
      </c>
      <c r="R117" s="149"/>
      <c r="S117" s="149"/>
    </row>
    <row r="118" spans="1:19" x14ac:dyDescent="0.35">
      <c r="B118" s="16" t="s">
        <v>285</v>
      </c>
      <c r="C118" s="15" t="s">
        <v>288</v>
      </c>
      <c r="D118" s="21" t="s">
        <v>48</v>
      </c>
      <c r="E118" s="21" t="s">
        <v>49</v>
      </c>
      <c r="F118" s="108">
        <f>SUM(G118:Q118)</f>
        <v>0.14480219901619124</v>
      </c>
      <c r="G118" s="18">
        <f>'Forage crops, CF'!F43</f>
        <v>9.7200179188847394E-2</v>
      </c>
      <c r="H118" s="18">
        <f>'Forage crops, CF'!G43</f>
        <v>2.7E-2</v>
      </c>
      <c r="I118" s="18">
        <f>'Forage crops, CF'!H43</f>
        <v>0</v>
      </c>
      <c r="J118" s="18">
        <f>'Forage crops, CF'!I43</f>
        <v>0</v>
      </c>
      <c r="K118" s="18">
        <f>'Forage crops, CF'!J43</f>
        <v>2.0602019827343845E-2</v>
      </c>
      <c r="L118" s="18">
        <f>'Forage crops, CF'!K43</f>
        <v>0</v>
      </c>
      <c r="M118" s="18">
        <f>'Forage crops, CF'!L43</f>
        <v>0</v>
      </c>
      <c r="N118" s="18">
        <f>'Forage crops, CF'!M43</f>
        <v>0</v>
      </c>
      <c r="O118" s="18">
        <f>'Forage crops, CF'!N43</f>
        <v>0</v>
      </c>
      <c r="P118" s="18">
        <f>'Forage crops, CF'!O43</f>
        <v>0</v>
      </c>
      <c r="Q118" s="18">
        <f>'Forage crops, CF'!P43</f>
        <v>0</v>
      </c>
      <c r="R118" s="148">
        <f>'Parameters, country spec'!I15</f>
        <v>0.47949543012015922</v>
      </c>
      <c r="S118" s="148">
        <f>'Parameters, country spec'!I33</f>
        <v>0.47949543012015922</v>
      </c>
    </row>
    <row r="119" spans="1:19" x14ac:dyDescent="0.35">
      <c r="B119" s="16" t="s">
        <v>286</v>
      </c>
      <c r="C119" s="15" t="s">
        <v>288</v>
      </c>
      <c r="D119" s="21" t="s">
        <v>48</v>
      </c>
      <c r="E119" s="21" t="s">
        <v>49</v>
      </c>
      <c r="F119" s="108">
        <f>SUM(G119:Q119)</f>
        <v>0.12979309771217384</v>
      </c>
      <c r="G119" s="18">
        <f>'Forage crops, CF'!F108</f>
        <v>3.8562751771624527E-2</v>
      </c>
      <c r="H119" s="18">
        <f>'Forage crops, CF'!G108</f>
        <v>2.7E-2</v>
      </c>
      <c r="I119" s="18">
        <f>'Forage crops, CF'!H108</f>
        <v>0</v>
      </c>
      <c r="J119" s="18">
        <f>'Forage crops, CF'!I108</f>
        <v>0</v>
      </c>
      <c r="K119" s="18">
        <f>'Forage crops, CF'!J108</f>
        <v>1.2901809267049416E-2</v>
      </c>
      <c r="L119" s="18">
        <f>'Forage crops, CF'!K108</f>
        <v>0</v>
      </c>
      <c r="M119" s="18">
        <f>'Forage crops, CF'!L108</f>
        <v>4.6285366734998955E-3</v>
      </c>
      <c r="N119" s="18">
        <f>'Forage crops, CF'!M108</f>
        <v>0</v>
      </c>
      <c r="O119" s="18">
        <f>'Forage crops, CF'!N108</f>
        <v>0</v>
      </c>
      <c r="P119" s="18">
        <f>'Forage crops, CF'!O108</f>
        <v>4.6700000000000005E-2</v>
      </c>
      <c r="Q119" s="18">
        <f>'Forage crops, CF'!P108</f>
        <v>0</v>
      </c>
      <c r="R119" s="148">
        <f>'Parameters, country spec'!I16</f>
        <v>0.16379583021525312</v>
      </c>
      <c r="S119" s="148">
        <f>'Parameters, country spec'!I34</f>
        <v>0.16379583021525312</v>
      </c>
    </row>
    <row r="120" spans="1:19" x14ac:dyDescent="0.35">
      <c r="B120" s="16" t="s">
        <v>287</v>
      </c>
      <c r="C120" s="15" t="s">
        <v>288</v>
      </c>
      <c r="D120" s="21" t="s">
        <v>48</v>
      </c>
      <c r="E120" s="21" t="s">
        <v>49</v>
      </c>
      <c r="F120" s="108">
        <f>SUM(G120:Q120)</f>
        <v>0.17774269453256958</v>
      </c>
      <c r="G120" s="18">
        <f>'Forage crops, CF'!F173*'Forage, input data per ha'!$E$85+'Forage crops, CF'!F238*'Forage, input data per ha'!$G$85</f>
        <v>8.4018371465200886E-2</v>
      </c>
      <c r="H120" s="18">
        <f>'Forage crops, CF'!G173*'Forage, input data per ha'!$E$85+'Forage crops, CF'!G238*'Forage, input data per ha'!$G$85</f>
        <v>2.7E-2</v>
      </c>
      <c r="I120" s="18">
        <f>'Forage crops, CF'!H173*'Forage, input data per ha'!$E$85+'Forage crops, CF'!H238*'Forage, input data per ha'!$G$85</f>
        <v>0</v>
      </c>
      <c r="J120" s="18">
        <f>'Forage crops, CF'!I173*'Forage, input data per ha'!$E$85+'Forage crops, CF'!I238*'Forage, input data per ha'!$G$85</f>
        <v>0</v>
      </c>
      <c r="K120" s="18">
        <f>'Forage crops, CF'!J173*'Forage, input data per ha'!$E$85+'Forage crops, CF'!J238*'Forage, input data per ha'!$G$85</f>
        <v>2.0024323067368698E-2</v>
      </c>
      <c r="L120" s="18">
        <f>'Forage crops, CF'!K173*'Forage, input data per ha'!$E$85+'Forage crops, CF'!K238*'Forage, input data per ha'!$G$85</f>
        <v>0</v>
      </c>
      <c r="M120" s="18">
        <f>'Forage crops, CF'!L173*'Forage, input data per ha'!$E$85+'Forage crops, CF'!L238*'Forage, input data per ha'!$G$85</f>
        <v>0</v>
      </c>
      <c r="N120" s="18">
        <f>'Forage crops, CF'!M173*'Forage, input data per ha'!$E$85+'Forage crops, CF'!M238*'Forage, input data per ha'!$G$85</f>
        <v>0</v>
      </c>
      <c r="O120" s="18">
        <f>'Forage crops, CF'!N173*'Forage, input data per ha'!$E$85+'Forage crops, CF'!N238*'Forage, input data per ha'!$G$85</f>
        <v>0</v>
      </c>
      <c r="P120" s="18">
        <f>'Forage crops, CF'!O173*'Forage, input data per ha'!$E$85+'Forage crops, CF'!O238*'Forage, input data per ha'!$G$85</f>
        <v>4.6699999999999998E-2</v>
      </c>
      <c r="Q120" s="18">
        <f>'Forage crops, CF'!P173*'Forage, input data per ha'!$E$85+'Forage crops, CF'!P238*'Forage, input data per ha'!$G$85</f>
        <v>0</v>
      </c>
      <c r="R120" s="148">
        <f>'Parameters, country spec'!I17</f>
        <v>0.1711074910334601</v>
      </c>
      <c r="S120" s="148">
        <f>'Parameters, country spec'!I35</f>
        <v>0.1711074910334601</v>
      </c>
    </row>
    <row r="121" spans="1:19" x14ac:dyDescent="0.35">
      <c r="A121" s="20" t="s">
        <v>222</v>
      </c>
      <c r="B121" s="15" t="s">
        <v>108</v>
      </c>
      <c r="C121" s="15" t="s">
        <v>223</v>
      </c>
      <c r="D121" s="21" t="s">
        <v>48</v>
      </c>
      <c r="E121" s="21" t="s">
        <v>49</v>
      </c>
      <c r="F121" s="108">
        <f>SUM(G121:Q121)</f>
        <v>0.17699999999999999</v>
      </c>
      <c r="G121" s="72">
        <v>7.9000000000000001E-2</v>
      </c>
      <c r="H121" s="12">
        <v>2.7E-2</v>
      </c>
      <c r="I121" s="14">
        <v>0</v>
      </c>
      <c r="J121" s="12"/>
      <c r="K121" s="72">
        <v>2.7E-2</v>
      </c>
      <c r="L121" s="12"/>
      <c r="M121" s="12">
        <v>1E-3</v>
      </c>
      <c r="N121" s="72">
        <v>4.2999999999999997E-2</v>
      </c>
      <c r="O121" s="12"/>
      <c r="P121" s="12"/>
      <c r="R121" s="148">
        <f>'Parameters, country spec'!I18</f>
        <v>3.7649623151768418E-3</v>
      </c>
      <c r="S121" s="148">
        <f>'Parameters, country spec'!I36</f>
        <v>3.7649623151768418E-3</v>
      </c>
    </row>
    <row r="122" spans="1:19" x14ac:dyDescent="0.35">
      <c r="A122" s="20" t="s">
        <v>224</v>
      </c>
      <c r="B122" s="15" t="s">
        <v>109</v>
      </c>
      <c r="C122" s="15" t="s">
        <v>223</v>
      </c>
      <c r="D122" s="21" t="s">
        <v>48</v>
      </c>
      <c r="E122" s="21" t="s">
        <v>49</v>
      </c>
      <c r="F122" s="108">
        <f t="shared" ref="F122:F131" si="15">SUM(G122:Q122)</f>
        <v>0.17199999999999999</v>
      </c>
      <c r="G122" s="72">
        <v>7.6999999999999999E-2</v>
      </c>
      <c r="H122" s="12">
        <v>2.7E-2</v>
      </c>
      <c r="I122" s="14">
        <v>0</v>
      </c>
      <c r="J122" s="12"/>
      <c r="K122" s="72">
        <v>0.02</v>
      </c>
      <c r="L122" s="12"/>
      <c r="M122" s="12">
        <v>5.0000000000000001E-3</v>
      </c>
      <c r="N122" s="72">
        <v>4.2999999999999997E-2</v>
      </c>
      <c r="O122" s="12"/>
      <c r="P122" s="12"/>
      <c r="R122" s="148">
        <f>'Parameters, country spec'!I19</f>
        <v>1.1306927408010266E-2</v>
      </c>
      <c r="S122" s="148">
        <f>'Parameters, country spec'!I37</f>
        <v>1.1306927408010266E-2</v>
      </c>
    </row>
    <row r="123" spans="1:19" x14ac:dyDescent="0.35">
      <c r="A123" s="20" t="s">
        <v>225</v>
      </c>
      <c r="B123" s="15" t="s">
        <v>110</v>
      </c>
      <c r="C123" s="15" t="s">
        <v>223</v>
      </c>
      <c r="D123" s="21" t="s">
        <v>48</v>
      </c>
      <c r="E123" s="21" t="s">
        <v>49</v>
      </c>
      <c r="F123" s="108">
        <f t="shared" si="15"/>
        <v>0.17899999999999999</v>
      </c>
      <c r="G123" s="72">
        <v>7.0000000000000007E-2</v>
      </c>
      <c r="H123" s="12">
        <v>2.7E-2</v>
      </c>
      <c r="I123" s="14">
        <v>0</v>
      </c>
      <c r="J123" s="12"/>
      <c r="K123" s="72">
        <v>3.5999999999999997E-2</v>
      </c>
      <c r="L123" s="12"/>
      <c r="M123" s="12">
        <v>3.0000000000000001E-3</v>
      </c>
      <c r="N123" s="72">
        <v>4.2999999999999997E-2</v>
      </c>
      <c r="O123" s="12"/>
      <c r="P123" s="12"/>
      <c r="R123" s="148">
        <f>'Parameters, country spec'!I20</f>
        <v>1.2367044164683077E-4</v>
      </c>
      <c r="S123" s="148">
        <f>'Parameters, country spec'!I38</f>
        <v>1.2367044164683077E-4</v>
      </c>
    </row>
    <row r="124" spans="1:19" x14ac:dyDescent="0.35">
      <c r="A124" s="20" t="s">
        <v>226</v>
      </c>
      <c r="B124" s="15" t="s">
        <v>111</v>
      </c>
      <c r="C124" s="15" t="s">
        <v>223</v>
      </c>
      <c r="D124" s="21" t="s">
        <v>48</v>
      </c>
      <c r="E124" s="21" t="s">
        <v>49</v>
      </c>
      <c r="F124" s="108">
        <f t="shared" si="15"/>
        <v>0.184</v>
      </c>
      <c r="G124" s="72">
        <v>6.2E-2</v>
      </c>
      <c r="H124" s="12">
        <v>2.7E-2</v>
      </c>
      <c r="I124" s="12">
        <v>0</v>
      </c>
      <c r="J124" s="12"/>
      <c r="K124" s="72">
        <v>5.1999999999999998E-2</v>
      </c>
      <c r="L124" s="12"/>
      <c r="M124" s="12">
        <v>0</v>
      </c>
      <c r="N124" s="72">
        <v>4.2999999999999997E-2</v>
      </c>
      <c r="O124" s="12"/>
      <c r="P124" s="12"/>
      <c r="R124" s="148">
        <f>'Parameters, country spec'!I21</f>
        <v>4.6537012747958835E-4</v>
      </c>
      <c r="S124" s="148">
        <f>'Parameters, country spec'!I39</f>
        <v>4.6537012747958835E-4</v>
      </c>
    </row>
    <row r="125" spans="1:19" x14ac:dyDescent="0.35">
      <c r="A125" s="20" t="s">
        <v>227</v>
      </c>
      <c r="B125" s="15" t="s">
        <v>112</v>
      </c>
      <c r="C125" s="15" t="s">
        <v>223</v>
      </c>
      <c r="D125" s="21" t="s">
        <v>48</v>
      </c>
      <c r="E125" s="21" t="s">
        <v>49</v>
      </c>
      <c r="F125" s="108">
        <f t="shared" si="15"/>
        <v>0.184</v>
      </c>
      <c r="G125" s="72">
        <v>9.0999999999999998E-2</v>
      </c>
      <c r="H125" s="12">
        <v>2.7E-2</v>
      </c>
      <c r="I125" s="12">
        <v>0</v>
      </c>
      <c r="J125" s="12"/>
      <c r="K125" s="72">
        <v>2.1999999999999999E-2</v>
      </c>
      <c r="L125" s="12"/>
      <c r="M125" s="12">
        <v>1E-3</v>
      </c>
      <c r="N125" s="72">
        <v>4.2999999999999997E-2</v>
      </c>
      <c r="O125" s="12"/>
      <c r="P125" s="12"/>
      <c r="R125" s="148">
        <f>'Parameters, country spec'!I22</f>
        <v>1.2739490248206042E-2</v>
      </c>
      <c r="S125" s="148">
        <f>'Parameters, country spec'!I40</f>
        <v>1.2739490248206042E-2</v>
      </c>
    </row>
    <row r="126" spans="1:19" x14ac:dyDescent="0.35">
      <c r="A126" s="20" t="s">
        <v>228</v>
      </c>
      <c r="B126" s="15" t="s">
        <v>113</v>
      </c>
      <c r="C126" s="15" t="s">
        <v>229</v>
      </c>
      <c r="D126" s="21" t="s">
        <v>48</v>
      </c>
      <c r="E126" s="21" t="s">
        <v>49</v>
      </c>
      <c r="F126" s="108">
        <f t="shared" si="15"/>
        <v>0.105</v>
      </c>
      <c r="G126" s="72">
        <v>0</v>
      </c>
      <c r="H126" s="12">
        <v>2.7E-2</v>
      </c>
      <c r="I126" s="14">
        <v>0</v>
      </c>
      <c r="J126" s="12"/>
      <c r="K126" s="72">
        <v>3.4000000000000002E-2</v>
      </c>
      <c r="L126" s="14"/>
      <c r="M126" s="12">
        <v>1E-3</v>
      </c>
      <c r="N126" s="72">
        <v>4.2999999999999997E-2</v>
      </c>
      <c r="O126" s="12"/>
      <c r="P126" s="12"/>
      <c r="R126" s="148">
        <f>'Parameters, country spec'!I23</f>
        <v>0</v>
      </c>
      <c r="S126" s="148">
        <f>'Parameters, country spec'!I41</f>
        <v>0</v>
      </c>
    </row>
    <row r="127" spans="1:19" x14ac:dyDescent="0.35">
      <c r="A127" s="20" t="s">
        <v>230</v>
      </c>
      <c r="B127" s="15" t="s">
        <v>114</v>
      </c>
      <c r="C127" s="15" t="s">
        <v>229</v>
      </c>
      <c r="D127" s="21" t="s">
        <v>48</v>
      </c>
      <c r="E127" s="21" t="s">
        <v>49</v>
      </c>
      <c r="F127" s="108">
        <f t="shared" si="15"/>
        <v>0.109</v>
      </c>
      <c r="G127" s="72">
        <v>4.0000000000000001E-3</v>
      </c>
      <c r="H127" s="12">
        <v>2.7E-2</v>
      </c>
      <c r="I127" s="14">
        <v>0</v>
      </c>
      <c r="J127" s="12"/>
      <c r="K127" s="72">
        <v>3.4000000000000002E-2</v>
      </c>
      <c r="L127" s="12"/>
      <c r="M127" s="12">
        <v>1E-3</v>
      </c>
      <c r="N127" s="72">
        <v>4.2999999999999997E-2</v>
      </c>
      <c r="O127" s="12"/>
      <c r="P127" s="12"/>
      <c r="R127" s="148">
        <f>'Parameters, country spec'!I24</f>
        <v>0</v>
      </c>
      <c r="S127" s="148">
        <f>'Parameters, country spec'!I42</f>
        <v>0</v>
      </c>
    </row>
    <row r="128" spans="1:19" x14ac:dyDescent="0.35">
      <c r="B128" s="16" t="s">
        <v>115</v>
      </c>
      <c r="C128" s="15" t="s">
        <v>231</v>
      </c>
      <c r="D128" s="21" t="s">
        <v>48</v>
      </c>
      <c r="E128" s="21" t="s">
        <v>49</v>
      </c>
      <c r="F128" s="108">
        <f t="shared" si="15"/>
        <v>0.27628755742228495</v>
      </c>
      <c r="G128" s="18">
        <f>'Off-farm feed'!$F$74</f>
        <v>0.15910156565543246</v>
      </c>
      <c r="H128" s="18">
        <f>'Off-farm feed'!$G$74</f>
        <v>1.3034482758620692E-2</v>
      </c>
      <c r="I128" s="18">
        <f>'Off-farm feed'!$H$74</f>
        <v>0</v>
      </c>
      <c r="J128" s="18"/>
      <c r="K128" s="18">
        <f>'Off-farm feed'!$J$74</f>
        <v>2.4688740026345454E-2</v>
      </c>
      <c r="L128" s="18"/>
      <c r="M128" s="289">
        <f>'Off-farm feed'!$L$74</f>
        <v>1.931759303794134E-4</v>
      </c>
      <c r="N128" s="18">
        <f>'Off-farm feed'!$M$74</f>
        <v>3.6802128767029069E-2</v>
      </c>
      <c r="O128" s="18">
        <f>'Off-farm feed'!$N$74</f>
        <v>0</v>
      </c>
      <c r="P128" s="18">
        <f>'Off-farm feed'!$O$74</f>
        <v>2.6267464284477883E-2</v>
      </c>
      <c r="Q128" s="18">
        <f>'Off-farm feed'!$P$74</f>
        <v>1.6199999999999999E-2</v>
      </c>
      <c r="R128" s="148">
        <f>'Parameters, country spec'!I25</f>
        <v>4.3197597637154396E-2</v>
      </c>
      <c r="S128" s="148">
        <f>'Parameters, country spec'!I43</f>
        <v>4.3197597637154396E-2</v>
      </c>
    </row>
    <row r="129" spans="1:20" x14ac:dyDescent="0.35">
      <c r="B129" s="16" t="s">
        <v>232</v>
      </c>
      <c r="C129" s="15" t="s">
        <v>231</v>
      </c>
      <c r="D129" s="21" t="s">
        <v>48</v>
      </c>
      <c r="E129" s="21" t="s">
        <v>49</v>
      </c>
      <c r="F129" s="108">
        <f t="shared" si="15"/>
        <v>0.7061171705997602</v>
      </c>
      <c r="G129" s="18">
        <f>'Off-farm feed'!$F$23</f>
        <v>7.2632670993098931E-3</v>
      </c>
      <c r="H129" s="18">
        <f>'Off-farm feed'!$G$23</f>
        <v>2.1402439024390246E-2</v>
      </c>
      <c r="I129" s="18">
        <f>'Off-farm feed'!$H$23</f>
        <v>0</v>
      </c>
      <c r="J129" s="18"/>
      <c r="K129" s="18">
        <f>'Off-farm feed'!$J$23</f>
        <v>4.308361966433235E-2</v>
      </c>
      <c r="L129" s="18"/>
      <c r="M129" s="289">
        <f>'Off-farm feed'!$L$23</f>
        <v>1.7842060425123844E-4</v>
      </c>
      <c r="N129" s="18">
        <f>'Off-farm feed'!$M$23</f>
        <v>3.0432604948959403E-2</v>
      </c>
      <c r="O129" s="18">
        <f>'Off-farm feed'!$N$23</f>
        <v>0.31761120248475611</v>
      </c>
      <c r="P129" s="18">
        <f>'Off-farm feed'!$O$23</f>
        <v>3.5145616773760872E-2</v>
      </c>
      <c r="Q129" s="18">
        <f>'Off-farm feed'!$P$23</f>
        <v>0.251</v>
      </c>
      <c r="R129" s="148">
        <f>'Parameters, country spec'!I26</f>
        <v>5.5787586237705654E-2</v>
      </c>
      <c r="S129" s="148">
        <f>'Parameters, country spec'!I44</f>
        <v>5.5787586237705654E-2</v>
      </c>
    </row>
    <row r="130" spans="1:20" x14ac:dyDescent="0.35">
      <c r="B130" s="15" t="s">
        <v>117</v>
      </c>
      <c r="C130" s="15" t="s">
        <v>233</v>
      </c>
      <c r="D130" s="21" t="s">
        <v>48</v>
      </c>
      <c r="E130" s="21" t="s">
        <v>49</v>
      </c>
      <c r="F130" s="108">
        <f>SUM(G130:Q130)</f>
        <v>0.63069821539340787</v>
      </c>
      <c r="G130" s="72">
        <v>4.5323617744314898E-2</v>
      </c>
      <c r="H130" s="14">
        <v>1.3510799999999899E-2</v>
      </c>
      <c r="I130" s="14"/>
      <c r="J130" s="12"/>
      <c r="K130" s="72">
        <v>3.4582976842042798E-2</v>
      </c>
      <c r="L130" s="12"/>
      <c r="M130" s="12"/>
      <c r="N130" s="72"/>
      <c r="O130" s="12"/>
      <c r="P130" s="14">
        <v>0.52550926010708199</v>
      </c>
      <c r="Q130" s="14">
        <v>1.1771560699968301E-2</v>
      </c>
      <c r="R130" s="148">
        <f>'Parameters, country spec'!I27</f>
        <v>3.963187482955613E-2</v>
      </c>
      <c r="S130" s="148">
        <f>'Parameters, country spec'!I45</f>
        <v>3.963187482955613E-2</v>
      </c>
      <c r="T130" t="s">
        <v>403</v>
      </c>
    </row>
    <row r="131" spans="1:20" x14ac:dyDescent="0.35">
      <c r="A131" s="75"/>
      <c r="B131" s="15" t="s">
        <v>234</v>
      </c>
      <c r="C131" s="76" t="s">
        <v>235</v>
      </c>
      <c r="D131" s="21" t="s">
        <v>48</v>
      </c>
      <c r="E131" s="21" t="s">
        <v>49</v>
      </c>
      <c r="F131" s="108">
        <f t="shared" si="15"/>
        <v>5.6390552448583896E-2</v>
      </c>
      <c r="G131" s="73">
        <f>SUMPRODUCT(G121:G129,$R121:$R129)</f>
        <v>9.6428744810164377E-3</v>
      </c>
      <c r="H131" s="73">
        <f t="shared" ref="H131:P131" si="16">SUMPRODUCT(H121:H129,$R121:$R129)</f>
        <v>2.523860108979759E-3</v>
      </c>
      <c r="I131" s="73">
        <f t="shared" si="16"/>
        <v>0</v>
      </c>
      <c r="J131" s="73">
        <f t="shared" si="16"/>
        <v>0</v>
      </c>
      <c r="K131" s="73">
        <f>SUMPRODUCT(K121:K129,$R121:$R129)</f>
        <v>4.1067381039415693E-3</v>
      </c>
      <c r="L131" s="73">
        <f t="shared" si="16"/>
        <v>0</v>
      </c>
      <c r="M131" s="73">
        <f t="shared" si="16"/>
        <v>9.1708491888337079E-5</v>
      </c>
      <c r="N131" s="73">
        <f t="shared" si="16"/>
        <v>4.5087432069393085E-3</v>
      </c>
      <c r="O131" s="73">
        <f t="shared" si="16"/>
        <v>1.7718762348679723E-2</v>
      </c>
      <c r="P131" s="73">
        <f t="shared" si="16"/>
        <v>3.0953804797527384E-3</v>
      </c>
      <c r="Q131" s="73">
        <f>SUMPRODUCT(Q121:Q129,$R121:$R129)</f>
        <v>1.4702485227386021E-2</v>
      </c>
      <c r="R131" s="148">
        <f>'Parameters, country spec'!I28</f>
        <v>1.8583769386191842E-2</v>
      </c>
      <c r="S131" s="148">
        <f>'Parameters, country spec'!I46</f>
        <v>1.8583769386191842E-2</v>
      </c>
    </row>
    <row r="132" spans="1:20" x14ac:dyDescent="0.35">
      <c r="A132" s="321"/>
      <c r="B132" s="322" t="s">
        <v>541</v>
      </c>
      <c r="C132" s="323"/>
      <c r="D132" s="324"/>
      <c r="E132" s="324"/>
      <c r="F132" s="325">
        <f>SUMPRODUCT(F118:F120,R118:R120)+SUMPRODUCT(F121:F131,R121:R131)/0.87</f>
        <v>0.21585668372674904</v>
      </c>
      <c r="G132" s="325">
        <f>SUMPRODUCT(G118:G120,R118:R120)+SUMPRODUCT(G121:G131,R121:R131)/0.87</f>
        <v>8.0654040896751752E-2</v>
      </c>
      <c r="H132" s="325">
        <f>SUMPRODUCT(H118:H120,R118:R120)+SUMPRODUCT(H121:H131,R121:R131)/0.87</f>
        <v>2.555913557162072E-2</v>
      </c>
      <c r="I132" s="325">
        <f>SUMPRODUCT(I118:I120,R118:R120)+SUMPRODUCT(I121:I131,R121:R131)/0.87</f>
        <v>0</v>
      </c>
      <c r="J132" s="325">
        <f>SUMPRODUCT(J118:J120,R118:R120)+SUMPRODUCT(J121:J131,R121:R131)/0.87</f>
        <v>0</v>
      </c>
      <c r="K132" s="325">
        <f>SUMPRODUCT(K118:K120,R118:R120)+SUMPRODUCT(K121:K131,R121:R131)/0.87</f>
        <v>2.1801648583656508E-2</v>
      </c>
      <c r="L132" s="325">
        <f>SUMPRODUCT(L118:L120,R118:R120)+SUMPRODUCT(L121:L131,R121:R131)/0.87</f>
        <v>0</v>
      </c>
      <c r="M132" s="325">
        <f>SUMPRODUCT(M118:M120,R118:R120)+SUMPRODUCT(M121:M131,R121:R131)/0.87</f>
        <v>8.6550602016633414E-4</v>
      </c>
      <c r="N132" s="325">
        <f>SUMPRODUCT(N118:N120,R118:R120)+SUMPRODUCT(N121:N131,R121:R131)/0.87</f>
        <v>5.2787731619754344E-3</v>
      </c>
      <c r="O132" s="325">
        <f>SUMPRODUCT(O118:O120,R118:R120)+SUMPRODUCT(O121:O131,R121:R131)/0.87</f>
        <v>2.0744877864340608E-2</v>
      </c>
      <c r="P132" s="325">
        <f>SUMPRODUCT(P118:P120,R118:R120)+SUMPRODUCT(P121:P131,R121:R131)/0.87</f>
        <v>4.3202998361036186E-2</v>
      </c>
      <c r="Q132" s="325">
        <f>SUMPRODUCT(Q118:Q120,R118:R120)+SUMPRODUCT(Q121:Q131,R121:R131)/0.87</f>
        <v>1.7749703267201516E-2</v>
      </c>
      <c r="R132" s="328"/>
      <c r="S132" s="329"/>
    </row>
    <row r="133" spans="1:20" x14ac:dyDescent="0.35">
      <c r="A133" s="147"/>
      <c r="B133" s="23" t="s">
        <v>428</v>
      </c>
      <c r="C133" s="24"/>
      <c r="D133" s="94"/>
      <c r="E133" s="94"/>
      <c r="F133" s="320">
        <f>SUMPRODUCT(F118:F120,S118:S120)+SUMPRODUCT(F121:F131,S121:S131)/0.87</f>
        <v>0.21585668372674904</v>
      </c>
      <c r="G133" s="320">
        <f>SUMPRODUCT(G118:G120,S118:S120)+SUMPRODUCT(G121:G131,S121:S131)/0.87</f>
        <v>8.0654040896751752E-2</v>
      </c>
      <c r="H133" s="320">
        <f>SUMPRODUCT(H118:H120,S118:S120)+SUMPRODUCT(H121:H131,S121:S131)/0.87</f>
        <v>2.555913557162072E-2</v>
      </c>
      <c r="I133" s="320">
        <f>SUMPRODUCT(I118:I120,S118:S120)+SUMPRODUCT(I121:I131,S121:S131)/0.87</f>
        <v>0</v>
      </c>
      <c r="J133" s="320">
        <f>SUMPRODUCT(J118:J120,S118:S120)+SUMPRODUCT(J121:J131,S121:S131)/0.87</f>
        <v>0</v>
      </c>
      <c r="K133" s="320">
        <f>SUMPRODUCT(K118:K120,S118:S120)+SUMPRODUCT(K121:K131,S121:S131)/0.87</f>
        <v>2.1801648583656508E-2</v>
      </c>
      <c r="L133" s="320">
        <f>SUMPRODUCT(L118:L120,S118:S120)+SUMPRODUCT(L121:L131,S121:S131)/0.87</f>
        <v>0</v>
      </c>
      <c r="M133" s="320">
        <f>SUMPRODUCT(M118:M120,S118:S120)+SUMPRODUCT(M121:M131,S121:S131)/0.87</f>
        <v>8.6550602016633414E-4</v>
      </c>
      <c r="N133" s="320">
        <f>SUMPRODUCT(N118:N120,S118:S120)+SUMPRODUCT(N121:N131,S121:S131)/0.87</f>
        <v>5.2787731619754344E-3</v>
      </c>
      <c r="O133" s="320">
        <f>SUMPRODUCT(O118:O120,S118:S120)+SUMPRODUCT(O121:O131,S121:S131)/0.87</f>
        <v>2.0744877864340608E-2</v>
      </c>
      <c r="P133" s="320">
        <f>SUMPRODUCT(P118:P120,S118:S120)+SUMPRODUCT(P121:P131,S121:S131)/0.87</f>
        <v>4.3202998361036186E-2</v>
      </c>
      <c r="Q133" s="320">
        <f>SUMPRODUCT(Q118:Q120,S118:S120)+SUMPRODUCT(Q121:Q131,S121:S131)/0.87</f>
        <v>1.7749703267201516E-2</v>
      </c>
      <c r="R133" s="149"/>
      <c r="S133" s="149"/>
    </row>
    <row r="134" spans="1:20" x14ac:dyDescent="0.35">
      <c r="B134" s="16" t="s">
        <v>285</v>
      </c>
      <c r="C134" s="15" t="s">
        <v>288</v>
      </c>
      <c r="D134" s="21" t="s">
        <v>50</v>
      </c>
      <c r="E134" s="21" t="s">
        <v>51</v>
      </c>
      <c r="F134" s="108">
        <f>SUM(G134:Q134)</f>
        <v>6.3973911802340508E-2</v>
      </c>
      <c r="G134" s="18">
        <f>'Forage crops, CF'!F48</f>
        <v>2.1751094263240234E-2</v>
      </c>
      <c r="H134" s="18">
        <f>'Forage crops, CF'!G48</f>
        <v>2.7E-2</v>
      </c>
      <c r="I134" s="18">
        <f>'Forage crops, CF'!H48</f>
        <v>0</v>
      </c>
      <c r="J134" s="18">
        <f>'Forage crops, CF'!I48</f>
        <v>0</v>
      </c>
      <c r="K134" s="18">
        <f>'Forage crops, CF'!J48</f>
        <v>1.5222817539100278E-2</v>
      </c>
      <c r="L134" s="18">
        <f>'Forage crops, CF'!K48</f>
        <v>0</v>
      </c>
      <c r="M134" s="18">
        <f>'Forage crops, CF'!L48</f>
        <v>0</v>
      </c>
      <c r="N134" s="18">
        <f>'Forage crops, CF'!M48</f>
        <v>0</v>
      </c>
      <c r="O134" s="18">
        <f>'Forage crops, CF'!N48</f>
        <v>0</v>
      </c>
      <c r="P134" s="18">
        <f>'Forage crops, CF'!O48</f>
        <v>0</v>
      </c>
      <c r="Q134" s="18">
        <f>'Forage crops, CF'!P48</f>
        <v>0</v>
      </c>
      <c r="R134" s="148">
        <f>'Parameters, country spec'!J15</f>
        <v>0.26557017524746096</v>
      </c>
      <c r="S134" s="148">
        <f>'Parameters, country spec'!J33</f>
        <v>0.26557017524746096</v>
      </c>
    </row>
    <row r="135" spans="1:20" x14ac:dyDescent="0.35">
      <c r="B135" s="16" t="s">
        <v>286</v>
      </c>
      <c r="C135" s="15" t="s">
        <v>288</v>
      </c>
      <c r="D135" s="21" t="s">
        <v>50</v>
      </c>
      <c r="E135" s="21" t="s">
        <v>51</v>
      </c>
      <c r="F135" s="108">
        <f>SUM(G135:Q135)</f>
        <v>0.11991341539820453</v>
      </c>
      <c r="G135" s="18">
        <f>'Forage crops, CF'!F113</f>
        <v>3.2020898078759276E-2</v>
      </c>
      <c r="H135" s="18">
        <f>'Forage crops, CF'!G113</f>
        <v>2.7E-2</v>
      </c>
      <c r="I135" s="18">
        <f>'Forage crops, CF'!H113</f>
        <v>0</v>
      </c>
      <c r="J135" s="18">
        <f>'Forage crops, CF'!I113</f>
        <v>0</v>
      </c>
      <c r="K135" s="18">
        <f>'Forage crops, CF'!J113</f>
        <v>1.329217950106977E-2</v>
      </c>
      <c r="L135" s="18">
        <f>'Forage crops, CF'!K113</f>
        <v>0</v>
      </c>
      <c r="M135" s="18">
        <f>'Forage crops, CF'!L113</f>
        <v>9.003378183754802E-4</v>
      </c>
      <c r="N135" s="18">
        <f>'Forage crops, CF'!M113</f>
        <v>0</v>
      </c>
      <c r="O135" s="18">
        <f>'Forage crops, CF'!N113</f>
        <v>0</v>
      </c>
      <c r="P135" s="18">
        <f>'Forage crops, CF'!O113</f>
        <v>4.6700000000000005E-2</v>
      </c>
      <c r="Q135" s="18">
        <f>'Forage crops, CF'!P113</f>
        <v>0</v>
      </c>
      <c r="R135" s="148">
        <f>'Parameters, country spec'!J16</f>
        <v>0.3089723847114122</v>
      </c>
      <c r="S135" s="148">
        <f>'Parameters, country spec'!J34</f>
        <v>0.3089723847114122</v>
      </c>
    </row>
    <row r="136" spans="1:20" x14ac:dyDescent="0.35">
      <c r="B136" s="16" t="s">
        <v>287</v>
      </c>
      <c r="C136" s="15" t="s">
        <v>288</v>
      </c>
      <c r="D136" s="21" t="s">
        <v>50</v>
      </c>
      <c r="E136" s="21" t="s">
        <v>51</v>
      </c>
      <c r="F136" s="108">
        <f>SUM(G136:Q136)</f>
        <v>0.10595254176532203</v>
      </c>
      <c r="G136" s="18">
        <f>'Forage crops, CF'!F178*'Forage, input data per ha'!$E$86+'Forage crops, CF'!F243*'Forage, input data per ha'!$G$86</f>
        <v>1.7135505480033748E-2</v>
      </c>
      <c r="H136" s="18">
        <f>'Forage crops, CF'!G178*'Forage, input data per ha'!$E$86+'Forage crops, CF'!G243*'Forage, input data per ha'!$G$86</f>
        <v>2.7E-2</v>
      </c>
      <c r="I136" s="18">
        <f>'Forage crops, CF'!H178*'Forage, input data per ha'!$E$86+'Forage crops, CF'!H243*'Forage, input data per ha'!$G$86</f>
        <v>0</v>
      </c>
      <c r="J136" s="18">
        <f>'Forage crops, CF'!I178*'Forage, input data per ha'!$E$86+'Forage crops, CF'!I243*'Forage, input data per ha'!$G$86</f>
        <v>0</v>
      </c>
      <c r="K136" s="18">
        <f>'Forage crops, CF'!J178*'Forage, input data per ha'!$E$86+'Forage crops, CF'!J243*'Forage, input data per ha'!$G$86</f>
        <v>1.5117036285288273E-2</v>
      </c>
      <c r="L136" s="18">
        <f>'Forage crops, CF'!K178*'Forage, input data per ha'!$E$86+'Forage crops, CF'!K243*'Forage, input data per ha'!$G$86</f>
        <v>0</v>
      </c>
      <c r="M136" s="18">
        <f>'Forage crops, CF'!L178*'Forage, input data per ha'!$E$86+'Forage crops, CF'!L243*'Forage, input data per ha'!$G$86</f>
        <v>0</v>
      </c>
      <c r="N136" s="18">
        <f>'Forage crops, CF'!M178*'Forage, input data per ha'!$E$86+'Forage crops, CF'!M243*'Forage, input data per ha'!$G$86</f>
        <v>0</v>
      </c>
      <c r="O136" s="18">
        <f>'Forage crops, CF'!N178*'Forage, input data per ha'!$E$86+'Forage crops, CF'!N243*'Forage, input data per ha'!$G$86</f>
        <v>0</v>
      </c>
      <c r="P136" s="18">
        <f>'Forage crops, CF'!O178*'Forage, input data per ha'!$E$86+'Forage crops, CF'!O243*'Forage, input data per ha'!$G$86</f>
        <v>4.6700000000000005E-2</v>
      </c>
      <c r="Q136" s="18">
        <f>'Forage crops, CF'!P178*'Forage, input data per ha'!$E$86+'Forage crops, CF'!P243*'Forage, input data per ha'!$G$86</f>
        <v>0</v>
      </c>
      <c r="R136" s="148">
        <f>'Parameters, country spec'!J17</f>
        <v>0.15280804679497859</v>
      </c>
      <c r="S136" s="148">
        <f>'Parameters, country spec'!J35</f>
        <v>0.15280804679497859</v>
      </c>
    </row>
    <row r="137" spans="1:20" x14ac:dyDescent="0.35">
      <c r="A137" s="20" t="s">
        <v>222</v>
      </c>
      <c r="B137" s="15" t="s">
        <v>108</v>
      </c>
      <c r="C137" s="15" t="s">
        <v>223</v>
      </c>
      <c r="D137" s="21" t="s">
        <v>50</v>
      </c>
      <c r="E137" s="21" t="s">
        <v>51</v>
      </c>
      <c r="F137" s="108">
        <f>SUM(G137:Q137)</f>
        <v>0.20799999999999999</v>
      </c>
      <c r="G137" s="72">
        <v>7.9000000000000001E-2</v>
      </c>
      <c r="H137" s="12">
        <v>2.7E-2</v>
      </c>
      <c r="I137" s="14">
        <v>0</v>
      </c>
      <c r="J137" s="12"/>
      <c r="K137" s="72">
        <v>4.9000000000000002E-2</v>
      </c>
      <c r="L137" s="12"/>
      <c r="M137" s="12">
        <v>0</v>
      </c>
      <c r="N137" s="72">
        <v>5.2999999999999999E-2</v>
      </c>
      <c r="O137" s="12"/>
      <c r="P137" s="12"/>
      <c r="R137" s="148">
        <f>'Parameters, country spec'!J18</f>
        <v>1.4852072857038275E-2</v>
      </c>
      <c r="S137" s="148">
        <f>'Parameters, country spec'!J36</f>
        <v>1.4852072857038275E-2</v>
      </c>
    </row>
    <row r="138" spans="1:20" x14ac:dyDescent="0.35">
      <c r="A138" s="20" t="s">
        <v>224</v>
      </c>
      <c r="B138" s="15" t="s">
        <v>109</v>
      </c>
      <c r="C138" s="15" t="s">
        <v>223</v>
      </c>
      <c r="D138" s="21" t="s">
        <v>50</v>
      </c>
      <c r="E138" s="21" t="s">
        <v>51</v>
      </c>
      <c r="F138" s="108">
        <f t="shared" ref="F138:F147" si="17">SUM(G138:Q138)</f>
        <v>0.186</v>
      </c>
      <c r="G138" s="72">
        <v>7.6999999999999999E-2</v>
      </c>
      <c r="H138" s="12">
        <v>2.7E-2</v>
      </c>
      <c r="I138" s="14">
        <v>0</v>
      </c>
      <c r="J138" s="12"/>
      <c r="K138" s="72">
        <v>2.8000000000000001E-2</v>
      </c>
      <c r="L138" s="12"/>
      <c r="M138" s="12">
        <v>1E-3</v>
      </c>
      <c r="N138" s="72">
        <v>5.2999999999999999E-2</v>
      </c>
      <c r="O138" s="12"/>
      <c r="P138" s="12"/>
      <c r="R138" s="148">
        <f>'Parameters, country spec'!J19</f>
        <v>2.0345709016517825E-2</v>
      </c>
      <c r="S138" s="148">
        <f>'Parameters, country spec'!J37</f>
        <v>2.0345709016517825E-2</v>
      </c>
    </row>
    <row r="139" spans="1:20" x14ac:dyDescent="0.35">
      <c r="A139" s="20" t="s">
        <v>225</v>
      </c>
      <c r="B139" s="15" t="s">
        <v>110</v>
      </c>
      <c r="C139" s="15" t="s">
        <v>223</v>
      </c>
      <c r="D139" s="21" t="s">
        <v>50</v>
      </c>
      <c r="E139" s="21" t="s">
        <v>51</v>
      </c>
      <c r="F139" s="108">
        <f t="shared" si="17"/>
        <v>0.215</v>
      </c>
      <c r="G139" s="72">
        <v>7.0000000000000007E-2</v>
      </c>
      <c r="H139" s="12">
        <v>2.7E-2</v>
      </c>
      <c r="I139" s="14">
        <v>0</v>
      </c>
      <c r="J139" s="12"/>
      <c r="K139" s="72">
        <v>6.5000000000000002E-2</v>
      </c>
      <c r="L139" s="12"/>
      <c r="M139" s="12">
        <v>0</v>
      </c>
      <c r="N139" s="72">
        <v>5.2999999999999999E-2</v>
      </c>
      <c r="O139" s="12"/>
      <c r="P139" s="12"/>
      <c r="R139" s="148">
        <f>'Parameters, country spec'!J20</f>
        <v>4.4481071240192398E-4</v>
      </c>
      <c r="S139" s="148">
        <f>'Parameters, country spec'!J38</f>
        <v>4.4481071240192398E-4</v>
      </c>
    </row>
    <row r="140" spans="1:20" x14ac:dyDescent="0.35">
      <c r="A140" s="20" t="s">
        <v>226</v>
      </c>
      <c r="B140" s="15" t="s">
        <v>111</v>
      </c>
      <c r="C140" s="15" t="s">
        <v>223</v>
      </c>
      <c r="D140" s="21" t="s">
        <v>50</v>
      </c>
      <c r="E140" s="21" t="s">
        <v>51</v>
      </c>
      <c r="F140" s="108">
        <f t="shared" si="17"/>
        <v>0.20399999999999999</v>
      </c>
      <c r="G140" s="72">
        <v>6.2E-2</v>
      </c>
      <c r="H140" s="12">
        <v>2.7E-2</v>
      </c>
      <c r="I140" s="12">
        <v>0</v>
      </c>
      <c r="J140" s="12"/>
      <c r="K140" s="72">
        <v>6.2E-2</v>
      </c>
      <c r="L140" s="12"/>
      <c r="M140" s="12">
        <v>0</v>
      </c>
      <c r="N140" s="72">
        <v>5.2999999999999999E-2</v>
      </c>
      <c r="O140" s="12"/>
      <c r="P140" s="12"/>
      <c r="R140" s="148">
        <f>'Parameters, country spec'!J21</f>
        <v>5.8075964903519491E-3</v>
      </c>
      <c r="S140" s="148">
        <f>'Parameters, country spec'!J39</f>
        <v>5.8075964903519491E-3</v>
      </c>
    </row>
    <row r="141" spans="1:20" x14ac:dyDescent="0.35">
      <c r="A141" s="20" t="s">
        <v>227</v>
      </c>
      <c r="B141" s="15" t="s">
        <v>112</v>
      </c>
      <c r="C141" s="15" t="s">
        <v>223</v>
      </c>
      <c r="D141" s="21" t="s">
        <v>50</v>
      </c>
      <c r="E141" s="21" t="s">
        <v>51</v>
      </c>
      <c r="F141" s="108">
        <f t="shared" si="17"/>
        <v>0.21199999999999999</v>
      </c>
      <c r="G141" s="72">
        <v>9.0999999999999998E-2</v>
      </c>
      <c r="H141" s="12">
        <v>2.7E-2</v>
      </c>
      <c r="I141" s="12">
        <v>0</v>
      </c>
      <c r="J141" s="12"/>
      <c r="K141" s="72">
        <v>4.1000000000000002E-2</v>
      </c>
      <c r="L141" s="12"/>
      <c r="M141" s="12">
        <v>0</v>
      </c>
      <c r="N141" s="72">
        <v>5.2999999999999999E-2</v>
      </c>
      <c r="O141" s="12"/>
      <c r="P141" s="12"/>
      <c r="R141" s="148">
        <f>'Parameters, country spec'!J22</f>
        <v>2.3351211772125756E-2</v>
      </c>
      <c r="S141" s="148">
        <f>'Parameters, country spec'!J40</f>
        <v>2.3351211772125756E-2</v>
      </c>
    </row>
    <row r="142" spans="1:20" x14ac:dyDescent="0.35">
      <c r="A142" s="20" t="s">
        <v>228</v>
      </c>
      <c r="B142" s="15" t="s">
        <v>113</v>
      </c>
      <c r="C142" s="15" t="s">
        <v>229</v>
      </c>
      <c r="D142" s="21" t="s">
        <v>50</v>
      </c>
      <c r="E142" s="21" t="s">
        <v>51</v>
      </c>
      <c r="F142" s="108">
        <f t="shared" si="17"/>
        <v>0.16200000000000001</v>
      </c>
      <c r="G142" s="72">
        <v>0</v>
      </c>
      <c r="H142" s="12">
        <v>2.7E-2</v>
      </c>
      <c r="I142" s="14">
        <v>0</v>
      </c>
      <c r="J142" s="12"/>
      <c r="K142" s="72">
        <v>8.2000000000000003E-2</v>
      </c>
      <c r="L142" s="14"/>
      <c r="M142" s="12">
        <v>0</v>
      </c>
      <c r="N142" s="72">
        <v>5.2999999999999999E-2</v>
      </c>
      <c r="O142" s="12"/>
      <c r="P142" s="12"/>
      <c r="R142" s="148">
        <f>'Parameters, country spec'!J23</f>
        <v>2.6962503550840627E-3</v>
      </c>
      <c r="S142" s="148">
        <f>'Parameters, country spec'!J41</f>
        <v>2.6962503550840627E-3</v>
      </c>
    </row>
    <row r="143" spans="1:20" x14ac:dyDescent="0.35">
      <c r="A143" s="20" t="s">
        <v>230</v>
      </c>
      <c r="B143" s="15" t="s">
        <v>114</v>
      </c>
      <c r="C143" s="15" t="s">
        <v>229</v>
      </c>
      <c r="D143" s="21" t="s">
        <v>50</v>
      </c>
      <c r="E143" s="21" t="s">
        <v>51</v>
      </c>
      <c r="F143" s="108">
        <f t="shared" si="17"/>
        <v>0.15</v>
      </c>
      <c r="G143" s="72">
        <v>4.0000000000000001E-3</v>
      </c>
      <c r="H143" s="12">
        <v>2.7E-2</v>
      </c>
      <c r="I143" s="14">
        <v>0</v>
      </c>
      <c r="J143" s="12"/>
      <c r="K143" s="72">
        <v>6.6000000000000003E-2</v>
      </c>
      <c r="L143" s="12"/>
      <c r="M143" s="12">
        <v>0</v>
      </c>
      <c r="N143" s="72">
        <v>5.2999999999999999E-2</v>
      </c>
      <c r="O143" s="12"/>
      <c r="P143" s="12"/>
      <c r="R143" s="148">
        <f>'Parameters, country spec'!J24</f>
        <v>2.6486063692714159E-3</v>
      </c>
      <c r="S143" s="148">
        <f>'Parameters, country spec'!J42</f>
        <v>2.6486063692714159E-3</v>
      </c>
    </row>
    <row r="144" spans="1:20" x14ac:dyDescent="0.35">
      <c r="B144" s="16" t="s">
        <v>115</v>
      </c>
      <c r="C144" s="15" t="s">
        <v>231</v>
      </c>
      <c r="D144" s="21" t="s">
        <v>50</v>
      </c>
      <c r="E144" s="21" t="s">
        <v>51</v>
      </c>
      <c r="F144" s="108">
        <f t="shared" si="17"/>
        <v>0.27628755742228495</v>
      </c>
      <c r="G144" s="18">
        <f>'Off-farm feed'!$F$74</f>
        <v>0.15910156565543246</v>
      </c>
      <c r="H144" s="18">
        <f>'Off-farm feed'!$G$74</f>
        <v>1.3034482758620692E-2</v>
      </c>
      <c r="I144" s="18">
        <f>'Off-farm feed'!$H$74</f>
        <v>0</v>
      </c>
      <c r="J144" s="18"/>
      <c r="K144" s="18">
        <f>'Off-farm feed'!$J$74</f>
        <v>2.4688740026345454E-2</v>
      </c>
      <c r="L144" s="18"/>
      <c r="M144" s="289">
        <f>'Off-farm feed'!$L$74</f>
        <v>1.931759303794134E-4</v>
      </c>
      <c r="N144" s="18">
        <f>'Off-farm feed'!$M$74</f>
        <v>3.6802128767029069E-2</v>
      </c>
      <c r="O144" s="18">
        <f>'Off-farm feed'!$N$74</f>
        <v>0</v>
      </c>
      <c r="P144" s="18">
        <f>'Off-farm feed'!$O$74</f>
        <v>2.6267464284477883E-2</v>
      </c>
      <c r="Q144" s="18">
        <f>'Off-farm feed'!$P$74</f>
        <v>1.6199999999999999E-2</v>
      </c>
      <c r="R144" s="148">
        <f>'Parameters, country spec'!J25</f>
        <v>1.9433337380001321E-2</v>
      </c>
      <c r="S144" s="148">
        <f>'Parameters, country spec'!J43</f>
        <v>1.9433337380001321E-2</v>
      </c>
    </row>
    <row r="145" spans="1:19" x14ac:dyDescent="0.35">
      <c r="B145" s="16" t="s">
        <v>232</v>
      </c>
      <c r="C145" s="15" t="s">
        <v>231</v>
      </c>
      <c r="D145" s="21" t="s">
        <v>50</v>
      </c>
      <c r="E145" s="21" t="s">
        <v>51</v>
      </c>
      <c r="F145" s="108">
        <f t="shared" si="17"/>
        <v>0.7061171705997602</v>
      </c>
      <c r="G145" s="18">
        <f>'Off-farm feed'!$F$23</f>
        <v>7.2632670993098931E-3</v>
      </c>
      <c r="H145" s="18">
        <f>'Off-farm feed'!$G$23</f>
        <v>2.1402439024390246E-2</v>
      </c>
      <c r="I145" s="18">
        <f>'Off-farm feed'!$H$23</f>
        <v>0</v>
      </c>
      <c r="J145" s="18"/>
      <c r="K145" s="18">
        <f>'Off-farm feed'!$J$23</f>
        <v>4.308361966433235E-2</v>
      </c>
      <c r="L145" s="18"/>
      <c r="M145" s="289">
        <f>'Off-farm feed'!$L$23</f>
        <v>1.7842060425123844E-4</v>
      </c>
      <c r="N145" s="18">
        <f>'Off-farm feed'!$M$23</f>
        <v>3.0432604948959403E-2</v>
      </c>
      <c r="O145" s="18">
        <f>'Off-farm feed'!$N$23</f>
        <v>0.31761120248475611</v>
      </c>
      <c r="P145" s="18">
        <f>'Off-farm feed'!$O$23</f>
        <v>3.5145616773760872E-2</v>
      </c>
      <c r="Q145" s="18">
        <f>'Off-farm feed'!$P$23</f>
        <v>0.251</v>
      </c>
      <c r="R145" s="148">
        <f>'Parameters, country spec'!J26</f>
        <v>6.7782810502236002E-2</v>
      </c>
      <c r="S145" s="148">
        <f>'Parameters, country spec'!J44</f>
        <v>6.7782810502236002E-2</v>
      </c>
    </row>
    <row r="146" spans="1:19" x14ac:dyDescent="0.35">
      <c r="B146" s="15" t="s">
        <v>117</v>
      </c>
      <c r="C146" s="15" t="s">
        <v>233</v>
      </c>
      <c r="D146" s="21" t="s">
        <v>50</v>
      </c>
      <c r="E146" s="21" t="s">
        <v>51</v>
      </c>
      <c r="F146" s="108">
        <f t="shared" si="17"/>
        <v>1.2012178309838466</v>
      </c>
      <c r="G146" s="72">
        <v>4.4255923622493899E-2</v>
      </c>
      <c r="H146" s="14">
        <v>1.35108E-2</v>
      </c>
      <c r="K146" s="14">
        <v>3.84123307299589E-2</v>
      </c>
      <c r="N146" s="97"/>
      <c r="O146" s="6"/>
      <c r="P146" s="14">
        <v>1.10085799516881</v>
      </c>
      <c r="Q146" s="14">
        <v>4.1807814625837696E-3</v>
      </c>
      <c r="R146" s="148">
        <f>'Parameters, country spec'!J27</f>
        <v>4.7732591070968847E-2</v>
      </c>
      <c r="S146" s="148">
        <f>'Parameters, country spec'!J45</f>
        <v>4.7732591070968847E-2</v>
      </c>
    </row>
    <row r="147" spans="1:19" x14ac:dyDescent="0.35">
      <c r="A147" s="75"/>
      <c r="B147" s="15" t="s">
        <v>234</v>
      </c>
      <c r="C147" s="76" t="s">
        <v>235</v>
      </c>
      <c r="D147" s="21" t="s">
        <v>50</v>
      </c>
      <c r="E147" s="21" t="s">
        <v>51</v>
      </c>
      <c r="F147" s="108">
        <f t="shared" si="17"/>
        <v>6.7170253111561828E-2</v>
      </c>
      <c r="G147" s="73">
        <f>SUMPRODUCT(G137:G145,$R137:$R145)</f>
        <v>8.8508948394764777E-3</v>
      </c>
      <c r="H147" s="73">
        <f t="shared" ref="H147:P147" si="18">SUMPRODUCT(H137:H145,$R137:$R145)</f>
        <v>3.5979699241633534E-3</v>
      </c>
      <c r="I147" s="73">
        <f t="shared" si="18"/>
        <v>0</v>
      </c>
      <c r="J147" s="73">
        <f t="shared" si="18"/>
        <v>0</v>
      </c>
      <c r="K147" s="73">
        <f>SUMPRODUCT(K137:K145,$R137:$R145)</f>
        <v>6.4398287751882451E-3</v>
      </c>
      <c r="L147" s="73">
        <f t="shared" si="18"/>
        <v>0</v>
      </c>
      <c r="M147" s="73">
        <f t="shared" si="18"/>
        <v>3.6193612052932754E-5</v>
      </c>
      <c r="N147" s="73">
        <f t="shared" si="18"/>
        <v>6.4957473303345866E-3</v>
      </c>
      <c r="O147" s="73">
        <f t="shared" si="18"/>
        <v>2.1528579951411532E-2</v>
      </c>
      <c r="P147" s="73">
        <f t="shared" si="18"/>
        <v>2.8927331773174339E-3</v>
      </c>
      <c r="Q147" s="73">
        <f>SUMPRODUCT(Q137:Q145,$R137:$R145)</f>
        <v>1.732830550161726E-2</v>
      </c>
      <c r="R147" s="148">
        <f>'Parameters, country spec'!J28</f>
        <v>6.7554396720150997E-2</v>
      </c>
      <c r="S147" s="148">
        <f>'Parameters, country spec'!J46</f>
        <v>6.7554396720150997E-2</v>
      </c>
    </row>
    <row r="148" spans="1:19" x14ac:dyDescent="0.35">
      <c r="A148" s="321"/>
      <c r="B148" s="322" t="s">
        <v>541</v>
      </c>
      <c r="C148" s="323"/>
      <c r="D148" s="324"/>
      <c r="E148" s="324"/>
      <c r="F148" s="325">
        <f>SUMPRODUCT(F134:F136,R134:R136)+SUMPRODUCT(F137:F147,R137:R147)/0.87</f>
        <v>0.21855764330477362</v>
      </c>
      <c r="G148" s="325">
        <f>SUMPRODUCT(G134:G136,R134:R136)+SUMPRODUCT(G137:G147,R137:R147)/0.87</f>
        <v>3.1577264721696162E-2</v>
      </c>
      <c r="H148" s="325">
        <f>SUMPRODUCT(H134:H136,R134:R136)+SUMPRODUCT(H137:H147,R137:R147)/0.87</f>
        <v>2.4794712478042619E-2</v>
      </c>
      <c r="I148" s="325">
        <f>SUMPRODUCT(I134:I136,R134:R136)+SUMPRODUCT(I137:I147,R137:R147)/0.87</f>
        <v>0</v>
      </c>
      <c r="J148" s="325">
        <f>SUMPRODUCT(J134:J136,R134:R136)+SUMPRODUCT(J137:J147,R137:R147)/0.87</f>
        <v>0</v>
      </c>
      <c r="K148" s="325">
        <f>SUMPRODUCT(K134:K136,R134:R136)+SUMPRODUCT(K137:K147,R137:R147)/0.87</f>
        <v>2.0469288425278877E-2</v>
      </c>
      <c r="L148" s="325">
        <f>SUMPRODUCT(L134:L136,R134:R136)+SUMPRODUCT(L137:L147,R137:R147)/0.87</f>
        <v>0</v>
      </c>
      <c r="M148" s="325">
        <f>SUMPRODUCT(M134:M136,R134:R136)+SUMPRODUCT(M137:M147,R137:R147)/0.87</f>
        <v>3.2259176380117211E-4</v>
      </c>
      <c r="N148" s="325">
        <f>SUMPRODUCT(N134:N136,R134:R136)+SUMPRODUCT(N137:N147,R137:R147)/0.87</f>
        <v>7.9707627844619201E-3</v>
      </c>
      <c r="O148" s="325">
        <f>SUMPRODUCT(O134:O136,R134:R136)+SUMPRODUCT(O137:O147,R137:R147)/0.87</f>
        <v>2.6417161129046754E-2</v>
      </c>
      <c r="P148" s="325">
        <f>SUMPRODUCT(P134:P136,R134:R136)+SUMPRODUCT(P137:P147,R137:R147)/0.87</f>
        <v>8.5513369752018439E-2</v>
      </c>
      <c r="Q148" s="325">
        <f>SUMPRODUCT(Q134:Q136,R134:R136)+SUMPRODUCT(Q137:Q147,R137:R147)/0.87</f>
        <v>2.1492492250427684E-2</v>
      </c>
      <c r="R148" s="328"/>
      <c r="S148" s="329"/>
    </row>
    <row r="149" spans="1:19" x14ac:dyDescent="0.35">
      <c r="A149" s="147"/>
      <c r="B149" s="23" t="s">
        <v>428</v>
      </c>
      <c r="C149" s="24"/>
      <c r="D149" s="94"/>
      <c r="E149" s="94"/>
      <c r="F149" s="320">
        <f>SUMPRODUCT(F134:F136,S134:S136)+SUMPRODUCT(F137:F147,S137:S147)/0.87</f>
        <v>0.21855764330477362</v>
      </c>
      <c r="G149" s="320">
        <f>SUMPRODUCT(G134:G136,S134:S136)+SUMPRODUCT(G137:G147,S137:S147)/0.87</f>
        <v>3.1577264721696162E-2</v>
      </c>
      <c r="H149" s="320">
        <f>SUMPRODUCT(H134:H136,S134:S136)+SUMPRODUCT(H137:H147,S137:S147)/0.87</f>
        <v>2.4794712478042619E-2</v>
      </c>
      <c r="I149" s="320">
        <f>SUMPRODUCT(I134:I136,S134:S136)+SUMPRODUCT(I137:I147,S137:S147)/0.87</f>
        <v>0</v>
      </c>
      <c r="J149" s="320">
        <f>SUMPRODUCT(J134:J136,S134:S136)+SUMPRODUCT(J137:J147,S137:S147)/0.87</f>
        <v>0</v>
      </c>
      <c r="K149" s="320">
        <f>SUMPRODUCT(K134:K136,S134:S136)+SUMPRODUCT(K137:K147,S137:S147)/0.87</f>
        <v>2.0469288425278877E-2</v>
      </c>
      <c r="L149" s="320">
        <f>SUMPRODUCT(L134:L136,S134:S136)+SUMPRODUCT(L137:L147,S137:S147)/0.87</f>
        <v>0</v>
      </c>
      <c r="M149" s="320">
        <f>SUMPRODUCT(M134:M136,S134:S136)+SUMPRODUCT(M137:M147,S137:S147)/0.87</f>
        <v>3.2259176380117211E-4</v>
      </c>
      <c r="N149" s="320">
        <f>SUMPRODUCT(N134:N136,S134:S136)+SUMPRODUCT(N137:N147,S137:S147)/0.87</f>
        <v>7.9707627844619201E-3</v>
      </c>
      <c r="O149" s="320">
        <f>SUMPRODUCT(O134:O136,S134:S136)+SUMPRODUCT(O137:O147,S137:S147)/0.87</f>
        <v>2.6417161129046754E-2</v>
      </c>
      <c r="P149" s="320">
        <f>SUMPRODUCT(P134:P136,S134:S136)+SUMPRODUCT(P137:P147,S137:S147)/0.87</f>
        <v>8.5513369752018439E-2</v>
      </c>
      <c r="Q149" s="320">
        <f>SUMPRODUCT(Q134:Q136,S134:S136)+SUMPRODUCT(Q137:Q147,S137:S147)/0.87</f>
        <v>2.1492492250427684E-2</v>
      </c>
      <c r="R149" s="149"/>
      <c r="S149" s="149"/>
    </row>
    <row r="150" spans="1:19" x14ac:dyDescent="0.35">
      <c r="B150" s="16" t="s">
        <v>285</v>
      </c>
      <c r="C150" s="15" t="s">
        <v>288</v>
      </c>
      <c r="D150" s="21" t="s">
        <v>52</v>
      </c>
      <c r="E150" s="21" t="s">
        <v>53</v>
      </c>
      <c r="F150" s="108">
        <f>SUM(G150:Q150)</f>
        <v>7.0670207474978319E-2</v>
      </c>
      <c r="G150" s="18">
        <f>'Forage crops, CF'!F53</f>
        <v>2.1751094263240234E-2</v>
      </c>
      <c r="H150" s="18">
        <f>'Forage crops, CF'!G53</f>
        <v>2.7E-2</v>
      </c>
      <c r="I150" s="18">
        <f>'Forage crops, CF'!H53</f>
        <v>0</v>
      </c>
      <c r="J150" s="18">
        <f>'Forage crops, CF'!I53</f>
        <v>0</v>
      </c>
      <c r="K150" s="18">
        <f>'Forage crops, CF'!J53</f>
        <v>2.1919113211738082E-2</v>
      </c>
      <c r="L150" s="18">
        <f>'Forage crops, CF'!K53</f>
        <v>0</v>
      </c>
      <c r="M150" s="18">
        <f>'Forage crops, CF'!L53</f>
        <v>0</v>
      </c>
      <c r="N150" s="18">
        <f>'Forage crops, CF'!M53</f>
        <v>0</v>
      </c>
      <c r="O150" s="18">
        <f>'Forage crops, CF'!N53</f>
        <v>0</v>
      </c>
      <c r="P150" s="18">
        <f>'Forage crops, CF'!O53</f>
        <v>0</v>
      </c>
      <c r="Q150" s="18">
        <f>'Forage crops, CF'!P53</f>
        <v>0</v>
      </c>
      <c r="R150" s="148">
        <f>'Parameters, country spec'!K15</f>
        <v>0.42695226222969923</v>
      </c>
      <c r="S150" s="148">
        <f>'Parameters, country spec'!K33</f>
        <v>0.42695226222969923</v>
      </c>
    </row>
    <row r="151" spans="1:19" x14ac:dyDescent="0.35">
      <c r="B151" s="16" t="s">
        <v>286</v>
      </c>
      <c r="C151" s="15" t="s">
        <v>288</v>
      </c>
      <c r="D151" s="21" t="s">
        <v>52</v>
      </c>
      <c r="E151" s="21" t="s">
        <v>53</v>
      </c>
      <c r="F151" s="108">
        <f>SUM(G151:Q151)</f>
        <v>0.14348138326468057</v>
      </c>
      <c r="G151" s="18">
        <f>'Forage crops, CF'!F118</f>
        <v>2.1225258539773455E-2</v>
      </c>
      <c r="H151" s="18">
        <f>'Forage crops, CF'!G118</f>
        <v>2.7E-2</v>
      </c>
      <c r="I151" s="18">
        <f>'Forage crops, CF'!H118</f>
        <v>0</v>
      </c>
      <c r="J151" s="18">
        <f>'Forage crops, CF'!I118</f>
        <v>0</v>
      </c>
      <c r="K151" s="18">
        <f>'Forage crops, CF'!J118</f>
        <v>2.150288478884789E-2</v>
      </c>
      <c r="L151" s="18">
        <f>'Forage crops, CF'!K118</f>
        <v>0</v>
      </c>
      <c r="M151" s="18">
        <f>'Forage crops, CF'!L118</f>
        <v>2.7053239936059206E-2</v>
      </c>
      <c r="N151" s="18">
        <f>'Forage crops, CF'!M118</f>
        <v>0</v>
      </c>
      <c r="O151" s="18">
        <f>'Forage crops, CF'!N118</f>
        <v>0</v>
      </c>
      <c r="P151" s="18">
        <f>'Forage crops, CF'!O118</f>
        <v>4.6700000000000005E-2</v>
      </c>
      <c r="Q151" s="18">
        <f>'Forage crops, CF'!P118</f>
        <v>0</v>
      </c>
      <c r="R151" s="148">
        <f>'Parameters, country spec'!K16</f>
        <v>8.4238508213965613E-2</v>
      </c>
      <c r="S151" s="148">
        <f>'Parameters, country spec'!K34</f>
        <v>8.4238508213965613E-2</v>
      </c>
    </row>
    <row r="152" spans="1:19" x14ac:dyDescent="0.35">
      <c r="B152" s="16" t="s">
        <v>287</v>
      </c>
      <c r="C152" s="15" t="s">
        <v>288</v>
      </c>
      <c r="D152" s="21" t="s">
        <v>52</v>
      </c>
      <c r="E152" s="21" t="s">
        <v>53</v>
      </c>
      <c r="F152" s="108">
        <f>SUM(G152:Q152)</f>
        <v>0.10290901023347378</v>
      </c>
      <c r="G152" s="18">
        <f>'Forage crops, CF'!F183*'Forage, input data per ha'!$E$87+'Forage crops, CF'!F248*'Forage, input data per ha'!$G$87</f>
        <v>1.134336712888854E-2</v>
      </c>
      <c r="H152" s="18">
        <f>'Forage crops, CF'!G183*'Forage, input data per ha'!$E$87+'Forage crops, CF'!G248*'Forage, input data per ha'!$G$87</f>
        <v>2.7E-2</v>
      </c>
      <c r="I152" s="18">
        <f>'Forage crops, CF'!H183*'Forage, input data per ha'!$E$87+'Forage crops, CF'!H248*'Forage, input data per ha'!$G$87</f>
        <v>0</v>
      </c>
      <c r="J152" s="18">
        <f>'Forage crops, CF'!I183*'Forage, input data per ha'!$E$87+'Forage crops, CF'!I248*'Forage, input data per ha'!$G$87</f>
        <v>0</v>
      </c>
      <c r="K152" s="18">
        <f>'Forage crops, CF'!J183*'Forage, input data per ha'!$E$87+'Forage crops, CF'!J248*'Forage, input data per ha'!$G$87</f>
        <v>1.7865643104585233E-2</v>
      </c>
      <c r="L152" s="18">
        <f>'Forage crops, CF'!K183*'Forage, input data per ha'!$E$87+'Forage crops, CF'!K248*'Forage, input data per ha'!$G$87</f>
        <v>0</v>
      </c>
      <c r="M152" s="18">
        <f>'Forage crops, CF'!L183*'Forage, input data per ha'!$E$87+'Forage crops, CF'!L248*'Forage, input data per ha'!$G$87</f>
        <v>0</v>
      </c>
      <c r="N152" s="18">
        <f>'Forage crops, CF'!M183*'Forage, input data per ha'!$E$87+'Forage crops, CF'!M248*'Forage, input data per ha'!$G$87</f>
        <v>0</v>
      </c>
      <c r="O152" s="18">
        <f>'Forage crops, CF'!N183*'Forage, input data per ha'!$E$87+'Forage crops, CF'!N248*'Forage, input data per ha'!$G$87</f>
        <v>0</v>
      </c>
      <c r="P152" s="18">
        <f>'Forage crops, CF'!O183*'Forage, input data per ha'!$E$87+'Forage crops, CF'!O248*'Forage, input data per ha'!$G$87</f>
        <v>4.6700000000000005E-2</v>
      </c>
      <c r="Q152" s="18">
        <f>'Forage crops, CF'!P183*'Forage, input data per ha'!$E$87+'Forage crops, CF'!P248*'Forage, input data per ha'!$G$87</f>
        <v>0</v>
      </c>
      <c r="R152" s="148">
        <f>'Parameters, country spec'!K17</f>
        <v>6.2955748563960065E-2</v>
      </c>
      <c r="S152" s="148">
        <f>'Parameters, country spec'!K35</f>
        <v>6.2955748563960065E-2</v>
      </c>
    </row>
    <row r="153" spans="1:19" x14ac:dyDescent="0.35">
      <c r="A153" s="20" t="s">
        <v>222</v>
      </c>
      <c r="B153" s="15" t="s">
        <v>108</v>
      </c>
      <c r="C153" s="15" t="s">
        <v>223</v>
      </c>
      <c r="D153" s="21" t="s">
        <v>52</v>
      </c>
      <c r="E153" s="21" t="s">
        <v>53</v>
      </c>
      <c r="F153" s="108">
        <f>SUM(G153:Q153)</f>
        <v>0.127</v>
      </c>
      <c r="G153" s="72">
        <v>0</v>
      </c>
      <c r="H153" s="12">
        <v>2.7E-2</v>
      </c>
      <c r="I153" s="14">
        <v>0</v>
      </c>
      <c r="J153" s="12"/>
      <c r="K153" s="72">
        <v>5.6000000000000001E-2</v>
      </c>
      <c r="L153" s="12"/>
      <c r="M153" s="12">
        <v>6.0000000000000001E-3</v>
      </c>
      <c r="N153" s="72">
        <v>3.7999999999999999E-2</v>
      </c>
      <c r="O153" s="12"/>
      <c r="P153" s="12"/>
      <c r="R153" s="148">
        <f>'Parameters, country spec'!K18</f>
        <v>7.4482644340220033E-2</v>
      </c>
      <c r="S153" s="148">
        <f>'Parameters, country spec'!K36</f>
        <v>7.4482644340220033E-2</v>
      </c>
    </row>
    <row r="154" spans="1:19" x14ac:dyDescent="0.35">
      <c r="A154" s="20" t="s">
        <v>224</v>
      </c>
      <c r="B154" s="15" t="s">
        <v>109</v>
      </c>
      <c r="C154" s="15" t="s">
        <v>223</v>
      </c>
      <c r="D154" s="21" t="s">
        <v>52</v>
      </c>
      <c r="E154" s="21" t="s">
        <v>53</v>
      </c>
      <c r="F154" s="108">
        <f t="shared" ref="F154:F163" si="19">SUM(G154:Q154)</f>
        <v>9.8000000000000004E-2</v>
      </c>
      <c r="G154" s="72">
        <v>0</v>
      </c>
      <c r="H154" s="12">
        <v>2.7E-2</v>
      </c>
      <c r="I154" s="14">
        <v>0</v>
      </c>
      <c r="J154" s="12"/>
      <c r="K154" s="72">
        <v>1.4999999999999999E-2</v>
      </c>
      <c r="L154" s="12"/>
      <c r="M154" s="12">
        <v>1.7999999999999999E-2</v>
      </c>
      <c r="N154" s="72">
        <v>3.7999999999999999E-2</v>
      </c>
      <c r="O154" s="12"/>
      <c r="P154" s="12"/>
      <c r="R154" s="148">
        <f>'Parameters, country spec'!K19</f>
        <v>9.8235935846622865E-2</v>
      </c>
      <c r="S154" s="148">
        <f>'Parameters, country spec'!K37</f>
        <v>9.8235935846622865E-2</v>
      </c>
    </row>
    <row r="155" spans="1:19" x14ac:dyDescent="0.35">
      <c r="A155" s="20" t="s">
        <v>225</v>
      </c>
      <c r="B155" s="15" t="s">
        <v>110</v>
      </c>
      <c r="C155" s="15" t="s">
        <v>223</v>
      </c>
      <c r="D155" s="21" t="s">
        <v>52</v>
      </c>
      <c r="E155" s="21" t="s">
        <v>53</v>
      </c>
      <c r="F155" s="108">
        <f t="shared" si="19"/>
        <v>0.23300000000000001</v>
      </c>
      <c r="G155" s="72">
        <v>0</v>
      </c>
      <c r="H155" s="12">
        <v>2.7E-2</v>
      </c>
      <c r="I155" s="14">
        <v>0</v>
      </c>
      <c r="J155" s="12"/>
      <c r="K155" s="72">
        <v>8.2000000000000003E-2</v>
      </c>
      <c r="L155" s="12"/>
      <c r="M155" s="12">
        <v>8.5999999999999993E-2</v>
      </c>
      <c r="N155" s="72">
        <v>3.7999999999999999E-2</v>
      </c>
      <c r="O155" s="12"/>
      <c r="P155" s="12"/>
      <c r="R155" s="148">
        <f>'Parameters, country spec'!K20</f>
        <v>1.1613149284971752E-2</v>
      </c>
      <c r="S155" s="148">
        <f>'Parameters, country spec'!K38</f>
        <v>1.1613149284971752E-2</v>
      </c>
    </row>
    <row r="156" spans="1:19" x14ac:dyDescent="0.35">
      <c r="A156" s="20" t="s">
        <v>226</v>
      </c>
      <c r="B156" s="15" t="s">
        <v>111</v>
      </c>
      <c r="C156" s="15" t="s">
        <v>223</v>
      </c>
      <c r="D156" s="21" t="s">
        <v>52</v>
      </c>
      <c r="E156" s="21" t="s">
        <v>53</v>
      </c>
      <c r="F156" s="108">
        <f t="shared" si="19"/>
        <v>0.14299999999999999</v>
      </c>
      <c r="G156" s="72">
        <v>0</v>
      </c>
      <c r="H156" s="12">
        <v>2.7E-2</v>
      </c>
      <c r="I156" s="12">
        <v>0</v>
      </c>
      <c r="J156" s="12"/>
      <c r="K156" s="72">
        <v>7.8E-2</v>
      </c>
      <c r="L156" s="12"/>
      <c r="M156" s="12">
        <v>0</v>
      </c>
      <c r="N156" s="72">
        <v>3.7999999999999999E-2</v>
      </c>
      <c r="O156" s="12"/>
      <c r="P156" s="12"/>
      <c r="R156" s="148">
        <f>'Parameters, country spec'!K21</f>
        <v>3.0653721191027461E-3</v>
      </c>
      <c r="S156" s="148">
        <f>'Parameters, country spec'!K39</f>
        <v>3.0653721191027461E-3</v>
      </c>
    </row>
    <row r="157" spans="1:19" x14ac:dyDescent="0.35">
      <c r="A157" s="20" t="s">
        <v>227</v>
      </c>
      <c r="B157" s="15" t="s">
        <v>112</v>
      </c>
      <c r="C157" s="15" t="s">
        <v>223</v>
      </c>
      <c r="D157" s="21" t="s">
        <v>52</v>
      </c>
      <c r="E157" s="21" t="s">
        <v>53</v>
      </c>
      <c r="F157" s="108">
        <f t="shared" si="19"/>
        <v>0.121</v>
      </c>
      <c r="G157" s="72">
        <v>0</v>
      </c>
      <c r="H157" s="12">
        <v>2.7E-2</v>
      </c>
      <c r="I157" s="12">
        <v>0</v>
      </c>
      <c r="J157" s="12"/>
      <c r="K157" s="72">
        <v>5.2999999999999999E-2</v>
      </c>
      <c r="L157" s="12"/>
      <c r="M157" s="12">
        <v>3.0000000000000001E-3</v>
      </c>
      <c r="N157" s="72">
        <v>3.7999999999999999E-2</v>
      </c>
      <c r="O157" s="12"/>
      <c r="P157" s="12"/>
      <c r="R157" s="148">
        <f>'Parameters, country spec'!K22</f>
        <v>6.309442770624088E-2</v>
      </c>
      <c r="S157" s="148">
        <f>'Parameters, country spec'!K40</f>
        <v>6.309442770624088E-2</v>
      </c>
    </row>
    <row r="158" spans="1:19" x14ac:dyDescent="0.35">
      <c r="A158" s="20" t="s">
        <v>228</v>
      </c>
      <c r="B158" s="15" t="s">
        <v>113</v>
      </c>
      <c r="C158" s="15" t="s">
        <v>229</v>
      </c>
      <c r="D158" s="21" t="s">
        <v>52</v>
      </c>
      <c r="E158" s="21" t="s">
        <v>53</v>
      </c>
      <c r="F158" s="108">
        <f t="shared" si="19"/>
        <v>0.17900000000000002</v>
      </c>
      <c r="G158" s="72">
        <v>0</v>
      </c>
      <c r="H158" s="12">
        <v>2.7E-2</v>
      </c>
      <c r="I158" s="14">
        <v>0</v>
      </c>
      <c r="J158" s="12"/>
      <c r="K158" s="72">
        <v>0.113</v>
      </c>
      <c r="L158" s="14"/>
      <c r="M158" s="12">
        <v>1E-3</v>
      </c>
      <c r="N158" s="72">
        <v>3.7999999999999999E-2</v>
      </c>
      <c r="O158" s="12"/>
      <c r="P158" s="12"/>
      <c r="R158" s="148">
        <f>'Parameters, country spec'!K23</f>
        <v>2.7198099192756071E-3</v>
      </c>
      <c r="S158" s="148">
        <f>'Parameters, country spec'!K41</f>
        <v>2.7198099192756071E-3</v>
      </c>
    </row>
    <row r="159" spans="1:19" x14ac:dyDescent="0.35">
      <c r="A159" s="20" t="s">
        <v>230</v>
      </c>
      <c r="B159" s="15" t="s">
        <v>114</v>
      </c>
      <c r="C159" s="15" t="s">
        <v>229</v>
      </c>
      <c r="D159" s="21" t="s">
        <v>52</v>
      </c>
      <c r="E159" s="21" t="s">
        <v>53</v>
      </c>
      <c r="F159" s="108">
        <f t="shared" si="19"/>
        <v>0.21199999999999999</v>
      </c>
      <c r="G159" s="72">
        <v>0</v>
      </c>
      <c r="H159" s="12">
        <v>2.7E-2</v>
      </c>
      <c r="I159" s="14">
        <v>0</v>
      </c>
      <c r="J159" s="12"/>
      <c r="K159" s="72">
        <v>0.13100000000000001</v>
      </c>
      <c r="L159" s="12"/>
      <c r="M159" s="12">
        <v>1.6E-2</v>
      </c>
      <c r="N159" s="72">
        <v>3.7999999999999999E-2</v>
      </c>
      <c r="O159" s="12"/>
      <c r="P159" s="12"/>
      <c r="R159" s="148">
        <f>'Parameters, country spec'!K24</f>
        <v>2.67174962512282E-3</v>
      </c>
      <c r="S159" s="148">
        <f>'Parameters, country spec'!K42</f>
        <v>2.67174962512282E-3</v>
      </c>
    </row>
    <row r="160" spans="1:19" x14ac:dyDescent="0.35">
      <c r="B160" s="16" t="s">
        <v>115</v>
      </c>
      <c r="C160" s="15" t="s">
        <v>231</v>
      </c>
      <c r="D160" s="21" t="s">
        <v>52</v>
      </c>
      <c r="E160" s="21" t="s">
        <v>53</v>
      </c>
      <c r="F160" s="108">
        <f t="shared" si="19"/>
        <v>0.27628755742228495</v>
      </c>
      <c r="G160" s="18">
        <f>'Off-farm feed'!$F$74</f>
        <v>0.15910156565543246</v>
      </c>
      <c r="H160" s="18">
        <f>'Off-farm feed'!$G$74</f>
        <v>1.3034482758620692E-2</v>
      </c>
      <c r="I160" s="18">
        <f>'Off-farm feed'!$H$74</f>
        <v>0</v>
      </c>
      <c r="J160" s="18"/>
      <c r="K160" s="18">
        <f>'Off-farm feed'!$J$74</f>
        <v>2.4688740026345454E-2</v>
      </c>
      <c r="L160" s="18"/>
      <c r="M160" s="289">
        <f>'Off-farm feed'!$L$74</f>
        <v>1.931759303794134E-4</v>
      </c>
      <c r="N160" s="18">
        <f>'Off-farm feed'!$M$74</f>
        <v>3.6802128767029069E-2</v>
      </c>
      <c r="O160" s="18">
        <f>'Off-farm feed'!$N$74</f>
        <v>0</v>
      </c>
      <c r="P160" s="18">
        <f>'Off-farm feed'!$O$74</f>
        <v>2.6267464284477883E-2</v>
      </c>
      <c r="Q160" s="18">
        <f>'Off-farm feed'!$P$74</f>
        <v>1.6199999999999999E-2</v>
      </c>
      <c r="R160" s="148">
        <f>'Parameters, country spec'!K25</f>
        <v>7.8768273776592904E-3</v>
      </c>
      <c r="S160" s="148">
        <f>'Parameters, country spec'!K43</f>
        <v>7.8768273776592904E-3</v>
      </c>
    </row>
    <row r="161" spans="1:19" x14ac:dyDescent="0.35">
      <c r="B161" s="16" t="s">
        <v>232</v>
      </c>
      <c r="C161" s="15" t="s">
        <v>231</v>
      </c>
      <c r="D161" s="21" t="s">
        <v>52</v>
      </c>
      <c r="E161" s="21" t="s">
        <v>53</v>
      </c>
      <c r="F161" s="108">
        <f t="shared" si="19"/>
        <v>0.7061171705997602</v>
      </c>
      <c r="G161" s="18">
        <f>'Off-farm feed'!$F$23</f>
        <v>7.2632670993098931E-3</v>
      </c>
      <c r="H161" s="18">
        <f>'Off-farm feed'!$G$23</f>
        <v>2.1402439024390246E-2</v>
      </c>
      <c r="I161" s="18">
        <f>'Off-farm feed'!$H$23</f>
        <v>0</v>
      </c>
      <c r="J161" s="18"/>
      <c r="K161" s="18">
        <f>'Off-farm feed'!$J$23</f>
        <v>4.308361966433235E-2</v>
      </c>
      <c r="L161" s="18"/>
      <c r="M161" s="289">
        <f>'Off-farm feed'!$L$23</f>
        <v>1.7842060425123844E-4</v>
      </c>
      <c r="N161" s="18">
        <f>'Off-farm feed'!$M$23</f>
        <v>3.0432604948959403E-2</v>
      </c>
      <c r="O161" s="18">
        <f>'Off-farm feed'!$N$23</f>
        <v>0.31761120248475611</v>
      </c>
      <c r="P161" s="18">
        <f>'Off-farm feed'!$O$23</f>
        <v>3.5145616773760872E-2</v>
      </c>
      <c r="Q161" s="18">
        <f>'Off-farm feed'!$P$23</f>
        <v>0.251</v>
      </c>
      <c r="R161" s="148">
        <f>'Parameters, country spec'!K26</f>
        <v>6.7333865050956468E-2</v>
      </c>
      <c r="S161" s="148">
        <f>'Parameters, country spec'!K44</f>
        <v>6.7333865050956468E-2</v>
      </c>
    </row>
    <row r="162" spans="1:19" x14ac:dyDescent="0.35">
      <c r="B162" s="15" t="s">
        <v>117</v>
      </c>
      <c r="C162" s="15" t="s">
        <v>233</v>
      </c>
      <c r="D162" s="21" t="s">
        <v>52</v>
      </c>
      <c r="E162" s="21" t="s">
        <v>53</v>
      </c>
      <c r="F162" s="108">
        <f>SUM(G162:Q162)</f>
        <v>0.50525475451354629</v>
      </c>
      <c r="G162" s="72">
        <v>4.5328919763541801E-2</v>
      </c>
      <c r="H162" s="14">
        <v>1.35108E-2</v>
      </c>
      <c r="K162" s="14">
        <v>4.3295223107013898E-2</v>
      </c>
      <c r="N162" s="97"/>
      <c r="O162" s="6"/>
      <c r="P162" s="14">
        <v>0.30592349396770402</v>
      </c>
      <c r="Q162" s="14">
        <v>9.7196317675286595E-2</v>
      </c>
      <c r="R162" s="148">
        <f>'Parameters, country spec'!K27</f>
        <v>6.255642502619195E-2</v>
      </c>
      <c r="S162" s="148">
        <f>'Parameters, country spec'!K45</f>
        <v>6.255642502619195E-2</v>
      </c>
    </row>
    <row r="163" spans="1:19" x14ac:dyDescent="0.35">
      <c r="A163" s="75"/>
      <c r="B163" s="15" t="s">
        <v>234</v>
      </c>
      <c r="C163" s="76" t="s">
        <v>235</v>
      </c>
      <c r="D163" s="21" t="s">
        <v>52</v>
      </c>
      <c r="E163" s="21" t="s">
        <v>53</v>
      </c>
      <c r="F163" s="108">
        <f t="shared" si="19"/>
        <v>8.0640179860876529E-2</v>
      </c>
      <c r="G163" s="73">
        <f>SUMPRODUCT(G153:G161,$R153:$R161)</f>
        <v>1.7422794148771517E-3</v>
      </c>
      <c r="H163" s="73">
        <f t="shared" ref="H163:P163" si="20">SUMPRODUCT(H153:H161,$R153:$R161)</f>
        <v>8.4526227103983789E-3</v>
      </c>
      <c r="I163" s="73">
        <f t="shared" si="20"/>
        <v>0</v>
      </c>
      <c r="J163" s="73">
        <f t="shared" si="20"/>
        <v>0</v>
      </c>
      <c r="K163" s="73">
        <f>SUMPRODUCT(K153:K161,$R153:$R161)</f>
        <v>1.3932742353353681E-2</v>
      </c>
      <c r="L163" s="73">
        <f t="shared" si="20"/>
        <v>0</v>
      </c>
      <c r="M163" s="73">
        <f t="shared" si="20"/>
        <v>3.462159999174146E-3</v>
      </c>
      <c r="N163" s="73">
        <f t="shared" si="20"/>
        <v>1.2062586306189733E-2</v>
      </c>
      <c r="O163" s="73">
        <f t="shared" si="20"/>
        <v>2.1385989846780577E-2</v>
      </c>
      <c r="P163" s="73">
        <f t="shared" si="20"/>
        <v>2.5733944987947096E-3</v>
      </c>
      <c r="Q163" s="73">
        <f>SUMPRODUCT(Q153:Q161,$R153:$R161)</f>
        <v>1.7028404731308153E-2</v>
      </c>
      <c r="R163" s="148">
        <f>'Parameters, country spec'!K28</f>
        <v>3.220327469601051E-2</v>
      </c>
      <c r="S163" s="148">
        <f>'Parameters, country spec'!K46</f>
        <v>3.220327469601051E-2</v>
      </c>
    </row>
    <row r="164" spans="1:19" x14ac:dyDescent="0.35">
      <c r="A164" s="321"/>
      <c r="B164" s="322" t="s">
        <v>541</v>
      </c>
      <c r="C164" s="323"/>
      <c r="D164" s="324"/>
      <c r="E164" s="324"/>
      <c r="F164" s="325">
        <f>SUMPRODUCT(F150:F152,R150:R152)+SUMPRODUCT(F153:F163,R153:R163)/0.87</f>
        <v>0.18074276134560829</v>
      </c>
      <c r="G164" s="325">
        <f>SUMPRODUCT(G150:G152,R150:R152)+SUMPRODUCT(G153:G163,R153:R163)/0.87</f>
        <v>1.7115231908386683E-2</v>
      </c>
      <c r="H164" s="325">
        <f>SUMPRODUCT(H150:H152,R150:R152)+SUMPRODUCT(H153:H163,R153:R163)/0.87</f>
        <v>2.6501970023190873E-2</v>
      </c>
      <c r="I164" s="325">
        <f>SUMPRODUCT(I150:I152,R150:R152)+SUMPRODUCT(I153:I163,R153:R163)/0.87</f>
        <v>0</v>
      </c>
      <c r="J164" s="325">
        <f>SUMPRODUCT(J150:J152,R150:R152)+SUMPRODUCT(J153:J163,R153:R163)/0.87</f>
        <v>0</v>
      </c>
      <c r="K164" s="325">
        <f>SUMPRODUCT(K150:K152,R150:R152)+SUMPRODUCT(K153:K163,R153:R163)/0.87</f>
        <v>3.1937998270293012E-2</v>
      </c>
      <c r="L164" s="325">
        <f>SUMPRODUCT(L150:L152,R150:R152)+SUMPRODUCT(L153:L163,R153:R163)/0.87</f>
        <v>0</v>
      </c>
      <c r="M164" s="325">
        <f>SUMPRODUCT(M150:M152,R150:R152)+SUMPRODUCT(M153:M163,R153:R163)/0.87</f>
        <v>6.3865715730383257E-3</v>
      </c>
      <c r="N164" s="325">
        <f>SUMPRODUCT(N150:N152,R150:R152)+SUMPRODUCT(N153:N163,R153:R163)/0.87</f>
        <v>1.4311541478795743E-2</v>
      </c>
      <c r="O164" s="325">
        <f>SUMPRODUCT(O150:O152,R150:R152)+SUMPRODUCT(O153:O163,R153:R163)/0.87</f>
        <v>2.5373205462600627E-2</v>
      </c>
      <c r="P164" s="325">
        <f>SUMPRODUCT(P150:P152,R150:R152)+SUMPRODUCT(P153:P163,R153:R163)/0.87</f>
        <v>3.1924254944267011E-2</v>
      </c>
      <c r="Q164" s="325">
        <f>SUMPRODUCT(Q150:Q152,R150:R152)+SUMPRODUCT(Q153:Q163,R153:R163)/0.87</f>
        <v>2.7191987685035997E-2</v>
      </c>
      <c r="R164" s="328"/>
      <c r="S164" s="329"/>
    </row>
    <row r="165" spans="1:19" x14ac:dyDescent="0.35">
      <c r="A165" s="147"/>
      <c r="B165" s="23" t="s">
        <v>428</v>
      </c>
      <c r="C165" s="24"/>
      <c r="D165" s="94"/>
      <c r="E165" s="94"/>
      <c r="F165" s="320">
        <f>SUMPRODUCT(F150:F152,S150:S152)+SUMPRODUCT(F153:F163,S153:S163)/0.87</f>
        <v>0.18074276134560829</v>
      </c>
      <c r="G165" s="320">
        <f>SUMPRODUCT(G150:G152,S150:S152)+SUMPRODUCT(G153:G163,S153:S163)/0.87</f>
        <v>1.7115231908386683E-2</v>
      </c>
      <c r="H165" s="320">
        <f>SUMPRODUCT(H150:H152,S150:S152)+SUMPRODUCT(H153:H163,S153:S163)/0.87</f>
        <v>2.6501970023190873E-2</v>
      </c>
      <c r="I165" s="320">
        <f>SUMPRODUCT(I150:I152,S150:S152)+SUMPRODUCT(I153:I163,S153:S163)/0.87</f>
        <v>0</v>
      </c>
      <c r="J165" s="320">
        <f>SUMPRODUCT(J150:J152,S150:S152)+SUMPRODUCT(J153:J163,S153:S163)/0.87</f>
        <v>0</v>
      </c>
      <c r="K165" s="320">
        <f>SUMPRODUCT(K150:K152,S150:S152)+SUMPRODUCT(K153:K163,S153:S163)/0.87</f>
        <v>3.1937998270293012E-2</v>
      </c>
      <c r="L165" s="320">
        <f>SUMPRODUCT(L150:L152,S150:S152)+SUMPRODUCT(L153:L163,S153:S163)/0.87</f>
        <v>0</v>
      </c>
      <c r="M165" s="320">
        <f>SUMPRODUCT(M150:M152,S150:S152)+SUMPRODUCT(M153:M163,S153:S163)/0.87</f>
        <v>6.3865715730383257E-3</v>
      </c>
      <c r="N165" s="320">
        <f>SUMPRODUCT(N150:N152,S150:S152)+SUMPRODUCT(N153:N163,S153:S163)/0.87</f>
        <v>1.4311541478795743E-2</v>
      </c>
      <c r="O165" s="320">
        <f>SUMPRODUCT(O150:O152,S150:S152)+SUMPRODUCT(O153:O163,S153:S163)/0.87</f>
        <v>2.5373205462600627E-2</v>
      </c>
      <c r="P165" s="320">
        <f>SUMPRODUCT(P150:P152,S150:S152)+SUMPRODUCT(P153:P163,S153:S163)/0.87</f>
        <v>3.1924254944267011E-2</v>
      </c>
      <c r="Q165" s="320">
        <f>SUMPRODUCT(Q150:Q152,S150:S152)+SUMPRODUCT(Q153:Q163,S153:S163)/0.87</f>
        <v>2.7191987685035997E-2</v>
      </c>
      <c r="R165" s="149"/>
      <c r="S165" s="149"/>
    </row>
    <row r="166" spans="1:19" x14ac:dyDescent="0.35">
      <c r="B166" s="16" t="s">
        <v>285</v>
      </c>
      <c r="C166" s="15" t="s">
        <v>288</v>
      </c>
      <c r="D166" s="21" t="s">
        <v>54</v>
      </c>
      <c r="E166" s="21" t="s">
        <v>55</v>
      </c>
      <c r="F166" s="108">
        <f>SUM(G166:Q166)</f>
        <v>6.0039825186889023E-2</v>
      </c>
      <c r="G166" s="18">
        <f>'Forage crops, CF'!F58</f>
        <v>0</v>
      </c>
      <c r="H166" s="18">
        <f>'Forage crops, CF'!G58</f>
        <v>2.7E-2</v>
      </c>
      <c r="I166" s="18">
        <f>'Forage crops, CF'!H58</f>
        <v>0</v>
      </c>
      <c r="J166" s="18">
        <f>'Forage crops, CF'!I58</f>
        <v>0</v>
      </c>
      <c r="K166" s="18">
        <f>'Forage crops, CF'!J58</f>
        <v>3.303982518688902E-2</v>
      </c>
      <c r="L166" s="18">
        <f>'Forage crops, CF'!K58</f>
        <v>0</v>
      </c>
      <c r="M166" s="18">
        <f>'Forage crops, CF'!L58</f>
        <v>0</v>
      </c>
      <c r="N166" s="18">
        <f>'Forage crops, CF'!M58</f>
        <v>0</v>
      </c>
      <c r="O166" s="18">
        <f>'Forage crops, CF'!N58</f>
        <v>0</v>
      </c>
      <c r="P166" s="18">
        <f>'Forage crops, CF'!O58</f>
        <v>0</v>
      </c>
      <c r="Q166" s="18">
        <f>'Forage crops, CF'!P58</f>
        <v>0</v>
      </c>
      <c r="R166" s="148">
        <f>'Parameters, country spec'!L15</f>
        <v>0.51738911290322576</v>
      </c>
      <c r="S166" s="148">
        <f>'Parameters, country spec'!L33</f>
        <v>0</v>
      </c>
    </row>
    <row r="167" spans="1:19" x14ac:dyDescent="0.35">
      <c r="B167" s="16" t="s">
        <v>286</v>
      </c>
      <c r="C167" s="15" t="s">
        <v>288</v>
      </c>
      <c r="D167" s="21" t="s">
        <v>54</v>
      </c>
      <c r="E167" s="21" t="s">
        <v>55</v>
      </c>
      <c r="F167" s="312">
        <f>SUM(G167:Q167)</f>
        <v>0.11670621990044418</v>
      </c>
      <c r="G167" s="18">
        <f>'Forage crops, CF'!F123</f>
        <v>2.0076143571985575E-2</v>
      </c>
      <c r="H167" s="18">
        <f>'Forage crops, CF'!G123</f>
        <v>2.7E-2</v>
      </c>
      <c r="I167" s="18">
        <f>'Forage crops, CF'!H123</f>
        <v>0</v>
      </c>
      <c r="J167" s="18">
        <f>'Forage crops, CF'!I123</f>
        <v>0</v>
      </c>
      <c r="K167" s="18">
        <f>'Forage crops, CF'!J123</f>
        <v>1.9178668751894105E-2</v>
      </c>
      <c r="L167" s="18">
        <f>'Forage crops, CF'!K123</f>
        <v>0</v>
      </c>
      <c r="M167" s="18">
        <f>'Forage crops, CF'!L123</f>
        <v>3.7514075765645014E-3</v>
      </c>
      <c r="N167" s="18">
        <f>'Forage crops, CF'!M123</f>
        <v>0</v>
      </c>
      <c r="O167" s="18">
        <f>'Forage crops, CF'!N123</f>
        <v>0</v>
      </c>
      <c r="P167" s="18">
        <f>'Forage crops, CF'!O123</f>
        <v>4.6700000000000005E-2</v>
      </c>
      <c r="Q167" s="18">
        <f>'Forage crops, CF'!P123</f>
        <v>0</v>
      </c>
      <c r="R167" s="148">
        <f>'Parameters, country spec'!L16</f>
        <v>0</v>
      </c>
      <c r="S167" s="148">
        <f>'Parameters, country spec'!L34</f>
        <v>0.12715077282006415</v>
      </c>
    </row>
    <row r="168" spans="1:19" x14ac:dyDescent="0.35">
      <c r="B168" s="16" t="s">
        <v>287</v>
      </c>
      <c r="C168" s="15" t="s">
        <v>288</v>
      </c>
      <c r="D168" s="21" t="s">
        <v>54</v>
      </c>
      <c r="E168" s="21" t="s">
        <v>55</v>
      </c>
      <c r="F168" s="312">
        <f>SUM(G168:Q168)</f>
        <v>0.10245411852461064</v>
      </c>
      <c r="G168" s="18">
        <f>'Forage crops, CF'!F188*'Forage, input data per ha'!$E$88+'Forage crops, CF'!F253*'Forage, input data per ha'!$G$88</f>
        <v>1.4442466006163024E-2</v>
      </c>
      <c r="H168" s="18">
        <f>'Forage crops, CF'!G188*'Forage, input data per ha'!$E$88+'Forage crops, CF'!G253*'Forage, input data per ha'!$G$88</f>
        <v>2.7E-2</v>
      </c>
      <c r="I168" s="18">
        <f>'Forage crops, CF'!H188*'Forage, input data per ha'!$E$88+'Forage crops, CF'!H253*'Forage, input data per ha'!$G$88</f>
        <v>0</v>
      </c>
      <c r="J168" s="18">
        <f>'Forage crops, CF'!I188*'Forage, input data per ha'!$E$88+'Forage crops, CF'!I253*'Forage, input data per ha'!$G$88</f>
        <v>0</v>
      </c>
      <c r="K168" s="18">
        <f>'Forage crops, CF'!J188*'Forage, input data per ha'!$E$88+'Forage crops, CF'!J253*'Forage, input data per ha'!$G$88</f>
        <v>1.4311652518447607E-2</v>
      </c>
      <c r="L168" s="18">
        <f>'Forage crops, CF'!K188*'Forage, input data per ha'!$E$88+'Forage crops, CF'!K253*'Forage, input data per ha'!$G$88</f>
        <v>0</v>
      </c>
      <c r="M168" s="18">
        <f>'Forage crops, CF'!L188*'Forage, input data per ha'!$E$88+'Forage crops, CF'!L253*'Forage, input data per ha'!$G$88</f>
        <v>0</v>
      </c>
      <c r="N168" s="18">
        <f>'Forage crops, CF'!M188*'Forage, input data per ha'!$E$88+'Forage crops, CF'!M253*'Forage, input data per ha'!$G$88</f>
        <v>0</v>
      </c>
      <c r="O168" s="18">
        <f>'Forage crops, CF'!N188*'Forage, input data per ha'!$E$88+'Forage crops, CF'!N253*'Forage, input data per ha'!$G$88</f>
        <v>0</v>
      </c>
      <c r="P168" s="18">
        <f>'Forage crops, CF'!O188*'Forage, input data per ha'!$E$88+'Forage crops, CF'!O253*'Forage, input data per ha'!$G$88</f>
        <v>4.6700000000000005E-2</v>
      </c>
      <c r="Q168" s="18">
        <f>'Forage crops, CF'!P188*'Forage, input data per ha'!$E$88+'Forage crops, CF'!P253*'Forage, input data per ha'!$G$88</f>
        <v>0</v>
      </c>
      <c r="R168" s="148">
        <f>'Parameters, country spec'!L17</f>
        <v>0.48261088709677419</v>
      </c>
      <c r="S168" s="148">
        <f>'Parameters, country spec'!L35</f>
        <v>0.5447652376786235</v>
      </c>
    </row>
    <row r="169" spans="1:19" x14ac:dyDescent="0.35">
      <c r="A169" s="20" t="s">
        <v>222</v>
      </c>
      <c r="B169" s="15" t="s">
        <v>108</v>
      </c>
      <c r="C169" s="15" t="s">
        <v>223</v>
      </c>
      <c r="D169" s="21" t="s">
        <v>54</v>
      </c>
      <c r="E169" s="21" t="s">
        <v>55</v>
      </c>
      <c r="F169" s="312">
        <f>SUM(G169:Q169)</f>
        <v>0.16700000000000001</v>
      </c>
      <c r="G169" s="72">
        <v>6.4000000000000001E-2</v>
      </c>
      <c r="H169" s="12">
        <v>2.7E-2</v>
      </c>
      <c r="I169" s="14">
        <v>0</v>
      </c>
      <c r="J169" s="12"/>
      <c r="K169" s="72">
        <v>4.1000000000000002E-2</v>
      </c>
      <c r="L169" s="12"/>
      <c r="M169" s="12">
        <v>0</v>
      </c>
      <c r="N169" s="72">
        <v>3.5000000000000003E-2</v>
      </c>
      <c r="O169" s="12"/>
      <c r="P169" s="12"/>
      <c r="R169" s="148">
        <f>'Parameters, country spec'!L18</f>
        <v>0</v>
      </c>
      <c r="S169" s="148">
        <f>'Parameters, country spec'!L36</f>
        <v>0</v>
      </c>
    </row>
    <row r="170" spans="1:19" x14ac:dyDescent="0.35">
      <c r="A170" s="20" t="s">
        <v>224</v>
      </c>
      <c r="B170" s="15" t="s">
        <v>109</v>
      </c>
      <c r="C170" s="15" t="s">
        <v>223</v>
      </c>
      <c r="D170" s="21" t="s">
        <v>54</v>
      </c>
      <c r="E170" s="21" t="s">
        <v>55</v>
      </c>
      <c r="F170" s="312">
        <f t="shared" ref="F170:F177" si="21">SUM(G170:Q170)</f>
        <v>0.157</v>
      </c>
      <c r="G170" s="72">
        <v>6.3E-2</v>
      </c>
      <c r="H170" s="12">
        <v>2.7E-2</v>
      </c>
      <c r="I170" s="14">
        <v>0</v>
      </c>
      <c r="J170" s="12"/>
      <c r="K170" s="72">
        <v>2.8000000000000001E-2</v>
      </c>
      <c r="L170" s="12"/>
      <c r="M170" s="12">
        <v>4.0000000000000001E-3</v>
      </c>
      <c r="N170" s="72">
        <v>3.5000000000000003E-2</v>
      </c>
      <c r="O170" s="12"/>
      <c r="P170" s="12"/>
      <c r="R170" s="148">
        <f>'Parameters, country spec'!L19</f>
        <v>3.1697869732220848E-4</v>
      </c>
      <c r="S170" s="148">
        <f>'Parameters, country spec'!L37</f>
        <v>0</v>
      </c>
    </row>
    <row r="171" spans="1:19" x14ac:dyDescent="0.35">
      <c r="A171" s="20" t="s">
        <v>225</v>
      </c>
      <c r="B171" s="15" t="s">
        <v>110</v>
      </c>
      <c r="C171" s="15" t="s">
        <v>223</v>
      </c>
      <c r="D171" s="21" t="s">
        <v>54</v>
      </c>
      <c r="E171" s="21" t="s">
        <v>55</v>
      </c>
      <c r="F171" s="312">
        <f t="shared" si="21"/>
        <v>0.16600000000000001</v>
      </c>
      <c r="G171" s="72">
        <v>5.7000000000000002E-2</v>
      </c>
      <c r="H171" s="12">
        <v>2.7E-2</v>
      </c>
      <c r="I171" s="14">
        <v>0</v>
      </c>
      <c r="J171" s="12"/>
      <c r="K171" s="72">
        <v>4.7E-2</v>
      </c>
      <c r="L171" s="12"/>
      <c r="M171" s="12">
        <v>0</v>
      </c>
      <c r="N171" s="72">
        <v>3.5000000000000003E-2</v>
      </c>
      <c r="O171" s="12"/>
      <c r="P171" s="12"/>
      <c r="R171" s="148">
        <f>'Parameters, country spec'!L20</f>
        <v>0</v>
      </c>
      <c r="S171" s="148">
        <f>'Parameters, country spec'!L38</f>
        <v>0</v>
      </c>
    </row>
    <row r="172" spans="1:19" x14ac:dyDescent="0.35">
      <c r="A172" s="20" t="s">
        <v>226</v>
      </c>
      <c r="B172" s="15" t="s">
        <v>111</v>
      </c>
      <c r="C172" s="15" t="s">
        <v>223</v>
      </c>
      <c r="D172" s="21" t="s">
        <v>54</v>
      </c>
      <c r="E172" s="21" t="s">
        <v>55</v>
      </c>
      <c r="F172" s="312">
        <f t="shared" si="21"/>
        <v>0.14300000000000002</v>
      </c>
      <c r="G172" s="72">
        <v>0.05</v>
      </c>
      <c r="H172" s="12">
        <v>2.7E-2</v>
      </c>
      <c r="I172" s="12">
        <v>0</v>
      </c>
      <c r="J172" s="12"/>
      <c r="K172" s="72">
        <v>3.1E-2</v>
      </c>
      <c r="L172" s="12"/>
      <c r="M172" s="12">
        <v>0</v>
      </c>
      <c r="N172" s="72">
        <v>3.5000000000000003E-2</v>
      </c>
      <c r="O172" s="12"/>
      <c r="P172" s="12"/>
      <c r="R172" s="148">
        <f>'Parameters, country spec'!L21</f>
        <v>4.9002790875207444E-6</v>
      </c>
      <c r="S172" s="148">
        <f>'Parameters, country spec'!L39</f>
        <v>0</v>
      </c>
    </row>
    <row r="173" spans="1:19" x14ac:dyDescent="0.35">
      <c r="A173" s="20" t="s">
        <v>227</v>
      </c>
      <c r="B173" s="15" t="s">
        <v>112</v>
      </c>
      <c r="C173" s="15" t="s">
        <v>223</v>
      </c>
      <c r="D173" s="21" t="s">
        <v>54</v>
      </c>
      <c r="E173" s="21" t="s">
        <v>55</v>
      </c>
      <c r="F173" s="312">
        <f t="shared" si="21"/>
        <v>0.16500000000000001</v>
      </c>
      <c r="G173" s="72">
        <v>7.3999999999999996E-2</v>
      </c>
      <c r="H173" s="12">
        <v>2.7E-2</v>
      </c>
      <c r="I173" s="12">
        <v>0</v>
      </c>
      <c r="J173" s="12"/>
      <c r="K173" s="72">
        <v>2.9000000000000001E-2</v>
      </c>
      <c r="L173" s="12"/>
      <c r="M173" s="12">
        <v>0</v>
      </c>
      <c r="N173" s="72">
        <v>3.5000000000000003E-2</v>
      </c>
      <c r="O173" s="12"/>
      <c r="P173" s="12"/>
      <c r="R173" s="148">
        <f>'Parameters, country spec'!L22</f>
        <v>0</v>
      </c>
      <c r="S173" s="148">
        <f>'Parameters, country spec'!L40</f>
        <v>0.29571303587051617</v>
      </c>
    </row>
    <row r="174" spans="1:19" x14ac:dyDescent="0.35">
      <c r="A174" s="20" t="s">
        <v>228</v>
      </c>
      <c r="B174" s="15" t="s">
        <v>113</v>
      </c>
      <c r="C174" s="15" t="s">
        <v>229</v>
      </c>
      <c r="D174" s="21" t="s">
        <v>54</v>
      </c>
      <c r="E174" s="21" t="s">
        <v>55</v>
      </c>
      <c r="F174" s="312">
        <f t="shared" si="21"/>
        <v>0.11900000000000001</v>
      </c>
      <c r="G174" s="72">
        <v>0</v>
      </c>
      <c r="H174" s="12">
        <v>2.7E-2</v>
      </c>
      <c r="I174" s="14">
        <v>0</v>
      </c>
      <c r="J174" s="12"/>
      <c r="K174" s="72">
        <v>5.7000000000000002E-2</v>
      </c>
      <c r="L174" s="14"/>
      <c r="M174" s="12">
        <v>0</v>
      </c>
      <c r="N174" s="72">
        <v>3.5000000000000003E-2</v>
      </c>
      <c r="O174" s="12"/>
      <c r="P174" s="12"/>
      <c r="R174" s="148">
        <f>'Parameters, country spec'!L23</f>
        <v>1.4784950076098704E-3</v>
      </c>
      <c r="S174" s="148">
        <f>'Parameters, country spec'!L41</f>
        <v>0</v>
      </c>
    </row>
    <row r="175" spans="1:19" x14ac:dyDescent="0.35">
      <c r="A175" s="20" t="s">
        <v>230</v>
      </c>
      <c r="B175" s="15" t="s">
        <v>114</v>
      </c>
      <c r="C175" s="15" t="s">
        <v>229</v>
      </c>
      <c r="D175" s="21" t="s">
        <v>54</v>
      </c>
      <c r="E175" s="21" t="s">
        <v>55</v>
      </c>
      <c r="F175" s="312">
        <f t="shared" si="21"/>
        <v>0.15000000000000002</v>
      </c>
      <c r="G175" s="72">
        <v>3.0000000000000001E-3</v>
      </c>
      <c r="H175" s="12">
        <v>2.7E-2</v>
      </c>
      <c r="I175" s="14">
        <v>0</v>
      </c>
      <c r="J175" s="12"/>
      <c r="K175" s="72">
        <v>8.5000000000000006E-2</v>
      </c>
      <c r="L175" s="12"/>
      <c r="M175" s="12">
        <v>0</v>
      </c>
      <c r="N175" s="72">
        <v>3.5000000000000003E-2</v>
      </c>
      <c r="O175" s="12"/>
      <c r="P175" s="12"/>
      <c r="R175" s="148">
        <f>'Parameters, country spec'!L24</f>
        <v>1.4523693197724004E-3</v>
      </c>
      <c r="S175" s="148">
        <f>'Parameters, country spec'!L42</f>
        <v>9.3321668124817739E-3</v>
      </c>
    </row>
    <row r="176" spans="1:19" x14ac:dyDescent="0.35">
      <c r="B176" s="16" t="s">
        <v>115</v>
      </c>
      <c r="C176" s="15" t="s">
        <v>231</v>
      </c>
      <c r="D176" s="21" t="s">
        <v>54</v>
      </c>
      <c r="E176" s="21" t="s">
        <v>55</v>
      </c>
      <c r="F176" s="312">
        <f t="shared" si="21"/>
        <v>0.27628755742228495</v>
      </c>
      <c r="G176" s="18">
        <f>'Off-farm feed'!$F$74</f>
        <v>0.15910156565543246</v>
      </c>
      <c r="H176" s="18">
        <f>'Off-farm feed'!$G$74</f>
        <v>1.3034482758620692E-2</v>
      </c>
      <c r="I176" s="18">
        <f>'Off-farm feed'!$H$74</f>
        <v>0</v>
      </c>
      <c r="J176" s="18"/>
      <c r="K176" s="18">
        <f>'Off-farm feed'!$J$74</f>
        <v>2.4688740026345454E-2</v>
      </c>
      <c r="L176" s="18"/>
      <c r="M176" s="289">
        <f>'Off-farm feed'!$L$74</f>
        <v>1.931759303794134E-4</v>
      </c>
      <c r="N176" s="18">
        <f>'Off-farm feed'!$M$74</f>
        <v>3.6802128767029069E-2</v>
      </c>
      <c r="O176" s="18">
        <f>'Off-farm feed'!$N$74</f>
        <v>0</v>
      </c>
      <c r="P176" s="18">
        <f>'Off-farm feed'!$O$74</f>
        <v>2.6267464284477883E-2</v>
      </c>
      <c r="Q176" s="18">
        <f>'Off-farm feed'!$P$74</f>
        <v>1.6199999999999999E-2</v>
      </c>
      <c r="R176" s="148">
        <f>'Parameters, country spec'!L25</f>
        <v>0</v>
      </c>
      <c r="S176" s="148">
        <f>'Parameters, country spec'!L43</f>
        <v>2.3038786818314377E-2</v>
      </c>
    </row>
    <row r="177" spans="1:20" x14ac:dyDescent="0.35">
      <c r="B177" s="16" t="s">
        <v>232</v>
      </c>
      <c r="C177" s="15" t="s">
        <v>231</v>
      </c>
      <c r="D177" s="21" t="s">
        <v>54</v>
      </c>
      <c r="E177" s="21" t="s">
        <v>55</v>
      </c>
      <c r="F177" s="312">
        <f t="shared" si="21"/>
        <v>0.7061171705997602</v>
      </c>
      <c r="G177" s="18">
        <f>'Off-farm feed'!$F$23</f>
        <v>7.2632670993098931E-3</v>
      </c>
      <c r="H177" s="18">
        <f>'Off-farm feed'!$G$23</f>
        <v>2.1402439024390246E-2</v>
      </c>
      <c r="I177" s="18">
        <f>'Off-farm feed'!$H$23</f>
        <v>0</v>
      </c>
      <c r="J177" s="18"/>
      <c r="K177" s="18">
        <f>'Off-farm feed'!$J$23</f>
        <v>4.308361966433235E-2</v>
      </c>
      <c r="L177" s="18"/>
      <c r="M177" s="289">
        <f>'Off-farm feed'!$L$23</f>
        <v>1.7842060425123844E-4</v>
      </c>
      <c r="N177" s="18">
        <f>'Off-farm feed'!$M$23</f>
        <v>3.0432604948959403E-2</v>
      </c>
      <c r="O177" s="18">
        <f>'Off-farm feed'!$N$23</f>
        <v>0.31761120248475611</v>
      </c>
      <c r="P177" s="18">
        <f>'Off-farm feed'!$O$23</f>
        <v>3.5145616773760872E-2</v>
      </c>
      <c r="Q177" s="18">
        <f>'Off-farm feed'!$P$23</f>
        <v>0.251</v>
      </c>
      <c r="R177" s="148">
        <f>'Parameters, country spec'!L26</f>
        <v>0</v>
      </c>
      <c r="S177" s="148">
        <f>'Parameters, country spec'!L44</f>
        <v>0</v>
      </c>
    </row>
    <row r="178" spans="1:20" x14ac:dyDescent="0.35">
      <c r="B178" s="15" t="s">
        <v>117</v>
      </c>
      <c r="C178" s="15" t="s">
        <v>233</v>
      </c>
      <c r="D178" s="21" t="s">
        <v>54</v>
      </c>
      <c r="E178" s="21" t="s">
        <v>55</v>
      </c>
      <c r="F178" s="108">
        <f>SUM(G178:Q178)</f>
        <v>0.20786505990095008</v>
      </c>
      <c r="G178" s="72">
        <v>3.8442922292579597E-2</v>
      </c>
      <c r="H178" s="14">
        <v>1.35108E-2</v>
      </c>
      <c r="K178" s="14">
        <v>3.3024922817634902E-2</v>
      </c>
      <c r="N178" s="97"/>
      <c r="O178" s="6"/>
      <c r="P178" s="14">
        <v>0.104008553970993</v>
      </c>
      <c r="Q178" s="14">
        <v>1.88778608197426E-2</v>
      </c>
      <c r="R178" s="148">
        <f>'Parameters, country spec'!L27</f>
        <v>0</v>
      </c>
      <c r="S178" s="148">
        <f>'Parameters, country spec'!L45</f>
        <v>0</v>
      </c>
    </row>
    <row r="179" spans="1:20" x14ac:dyDescent="0.35">
      <c r="A179" s="75"/>
      <c r="B179" s="15" t="s">
        <v>234</v>
      </c>
      <c r="C179" s="76" t="s">
        <v>235</v>
      </c>
      <c r="D179" s="21" t="s">
        <v>54</v>
      </c>
      <c r="E179" s="21" t="s">
        <v>55</v>
      </c>
      <c r="F179" s="312">
        <f>SUM(G179:Q179)</f>
        <v>4.4426269926053685E-4</v>
      </c>
      <c r="G179" s="73">
        <f>SUMPRODUCT(G169:G177,$R169:$R177)</f>
        <v>2.4571779844992374E-5</v>
      </c>
      <c r="H179" s="73">
        <f>SUMPRODUCT(H169:H177,$R169:$R177)</f>
        <v>8.7824069202384008E-5</v>
      </c>
      <c r="I179" s="73">
        <f t="shared" ref="I179:P179" si="22">SUMPRODUCT(I169:I177,$R169:$R177)</f>
        <v>0</v>
      </c>
      <c r="J179" s="73">
        <f t="shared" si="22"/>
        <v>0</v>
      </c>
      <c r="K179" s="73">
        <f>SUMPRODUCT(K169:K177,$R169:$R177)</f>
        <v>2.1675291979115162E-4</v>
      </c>
      <c r="L179" s="73">
        <f t="shared" si="22"/>
        <v>0</v>
      </c>
      <c r="M179" s="73">
        <f t="shared" si="22"/>
        <v>1.2679147892888339E-6</v>
      </c>
      <c r="N179" s="73">
        <f t="shared" si="22"/>
        <v>1.1384601563272002E-4</v>
      </c>
      <c r="O179" s="73">
        <f t="shared" si="22"/>
        <v>0</v>
      </c>
      <c r="P179" s="73">
        <f t="shared" si="22"/>
        <v>0</v>
      </c>
      <c r="Q179" s="73">
        <f>SUMPRODUCT(Q169:Q177,$R169:$R177)</f>
        <v>0</v>
      </c>
      <c r="R179" s="148">
        <f>'Parameters, country spec'!L28</f>
        <v>0</v>
      </c>
      <c r="S179" s="148">
        <f>'Parameters, country spec'!L46</f>
        <v>0</v>
      </c>
    </row>
    <row r="180" spans="1:20" x14ac:dyDescent="0.35">
      <c r="A180" s="321"/>
      <c r="B180" s="322" t="s">
        <v>541</v>
      </c>
      <c r="C180" s="323"/>
      <c r="D180" s="324"/>
      <c r="E180" s="324"/>
      <c r="F180" s="325">
        <f>SUMPRODUCT(F166:F168,R166:R168)+SUMPRODUCT(F169:F179,R169:R179)/0.87</f>
        <v>8.1020071700948881E-2</v>
      </c>
      <c r="G180" s="325">
        <f>SUMPRODUCT(G166:G168,R166:R168)+SUMPRODUCT(G169:G179,R169:R179)/0.87</f>
        <v>6.9983347562085291E-3</v>
      </c>
      <c r="H180" s="325">
        <f>SUMPRODUCT(H166:H168,R166:R168)+SUMPRODUCT(H169:H179,R169:R179)/0.87</f>
        <v>2.7100947205979751E-2</v>
      </c>
      <c r="I180" s="325">
        <f>SUMPRODUCT(I166:I168,R166:R168)+SUMPRODUCT(I169:I179,R169:R179)/0.87</f>
        <v>0</v>
      </c>
      <c r="J180" s="325">
        <f>SUMPRODUCT(J166:J168,R166:R168)+SUMPRODUCT(J169:J179,R169:R179)/0.87</f>
        <v>0</v>
      </c>
      <c r="K180" s="325">
        <f>SUMPRODUCT(K166:K168,R166:R168)+SUMPRODUCT(K169:K179,R169:R179)/0.87</f>
        <v>2.4250546448787214E-2</v>
      </c>
      <c r="L180" s="325">
        <f>SUMPRODUCT(L166:L168,R166:R168)+SUMPRODUCT(L169:L179,R169:R179)/0.87</f>
        <v>0</v>
      </c>
      <c r="M180" s="325">
        <f>SUMPRODUCT(M166:M168,R166:R168)+SUMPRODUCT(M169:M179,R169:R179)/0.87</f>
        <v>1.4573733210216482E-6</v>
      </c>
      <c r="N180" s="325">
        <f>SUMPRODUCT(N166:N168,R166:R168)+SUMPRODUCT(N169:N179,R169:R179)/0.87</f>
        <v>1.3085748923301151E-4</v>
      </c>
      <c r="O180" s="325">
        <f>SUMPRODUCT(O166:O168,R166:R168)+SUMPRODUCT(O169:O179,R169:R179)/0.87</f>
        <v>0</v>
      </c>
      <c r="P180" s="325">
        <f>SUMPRODUCT(P166:P168,R166:R168)+SUMPRODUCT(P169:P179,R169:R179)/0.87</f>
        <v>2.2537928427419356E-2</v>
      </c>
      <c r="Q180" s="325">
        <f>SUMPRODUCT(Q166:Q168,R166:R168)+SUMPRODUCT(Q169:Q179,R169:R179)/0.87</f>
        <v>0</v>
      </c>
      <c r="R180" s="328"/>
      <c r="S180" s="328"/>
    </row>
    <row r="181" spans="1:20" x14ac:dyDescent="0.35">
      <c r="A181" s="147"/>
      <c r="B181" s="23" t="s">
        <v>428</v>
      </c>
      <c r="C181" s="24"/>
      <c r="D181" s="94"/>
      <c r="E181" s="94"/>
      <c r="F181" s="320">
        <f>SUMPRODUCT(F166:F168,S166:S168)+SUMPRODUCT(F169:F179,S169:S179)/0.87</f>
        <v>0.13566170078420142</v>
      </c>
      <c r="G181" s="320">
        <f>SUMPRODUCT(G166:G168,S166:S168)+SUMPRODUCT(G169:G179,S169:S179)/0.87</f>
        <v>3.9818460031938743E-2</v>
      </c>
      <c r="H181" s="320">
        <f>SUMPRODUCT(H166:H168,S166:S168)+SUMPRODUCT(H169:H179,S169:S179)/0.87</f>
        <v>2.7953823251285023E-2</v>
      </c>
      <c r="I181" s="320">
        <f>SUMPRODUCT(I166:I168,S166:S168)+SUMPRODUCT(I169:I179,S169:S179)/0.87</f>
        <v>0</v>
      </c>
      <c r="J181" s="320">
        <f>SUMPRODUCT(J166:J168,S166:S168)+SUMPRODUCT(J169:J179,S169:S179)/0.87</f>
        <v>0</v>
      </c>
      <c r="K181" s="320">
        <f>SUMPRODUCT(K166:K168,S166:S168)+SUMPRODUCT(K169:K179,S169:S179)/0.87</f>
        <v>2.165772947440528E-2</v>
      </c>
      <c r="L181" s="320">
        <f>SUMPRODUCT(L166:L168,S166:S168)+SUMPRODUCT(L169:L179,S169:S179)/0.87</f>
        <v>0</v>
      </c>
      <c r="M181" s="320">
        <f>SUMPRODUCT(M166:M168,S166:S168)+SUMPRODUCT(M169:M179,S169:S179)/0.87</f>
        <v>4.8210993468234773E-4</v>
      </c>
      <c r="N181" s="320">
        <f>SUMPRODUCT(N166:N168,S166:S168)+SUMPRODUCT(N169:N179,S169:S179)/0.87</f>
        <v>1.324650401497548E-2</v>
      </c>
      <c r="O181" s="320">
        <f>SUMPRODUCT(O166:O168,S166:S168)+SUMPRODUCT(O169:O179,S169:S179)/0.87</f>
        <v>0</v>
      </c>
      <c r="P181" s="320">
        <f>SUMPRODUCT(P166:P168,S166:S168)+SUMPRODUCT(P169:P179,S169:S179)/0.87</f>
        <v>3.2074075977539029E-2</v>
      </c>
      <c r="Q181" s="320">
        <f>SUMPRODUCT(Q166:Q168,S166:S168)+SUMPRODUCT(Q169:Q179,S169:S179)/0.87</f>
        <v>4.2899809937550906E-4</v>
      </c>
      <c r="R181" s="149"/>
      <c r="S181" s="149"/>
    </row>
    <row r="182" spans="1:20" x14ac:dyDescent="0.35">
      <c r="B182" s="16" t="s">
        <v>285</v>
      </c>
      <c r="C182" s="15" t="s">
        <v>288</v>
      </c>
      <c r="D182" s="21" t="s">
        <v>493</v>
      </c>
      <c r="E182" s="21" t="s">
        <v>495</v>
      </c>
      <c r="F182" s="108">
        <f>SUM(G182:Q182)</f>
        <v>0.10735008316998949</v>
      </c>
      <c r="G182" s="18">
        <f>'Forage crops, CF'!F63</f>
        <v>6.5638573298596306E-2</v>
      </c>
      <c r="H182" s="18">
        <f>'Forage crops, CF'!G63</f>
        <v>2.7E-2</v>
      </c>
      <c r="I182" s="18">
        <f>'Forage crops, CF'!H63</f>
        <v>0</v>
      </c>
      <c r="J182" s="18">
        <f>'Forage crops, CF'!I63</f>
        <v>0</v>
      </c>
      <c r="K182" s="18">
        <f>'Forage crops, CF'!J63</f>
        <v>1.4711509871393188E-2</v>
      </c>
      <c r="L182" s="18">
        <f>'Forage crops, CF'!K63</f>
        <v>0</v>
      </c>
      <c r="M182" s="18">
        <f>'Forage crops, CF'!L63</f>
        <v>0</v>
      </c>
      <c r="N182" s="18">
        <f>'Forage crops, CF'!M63</f>
        <v>0</v>
      </c>
      <c r="O182" s="18">
        <f>'Forage crops, CF'!N63</f>
        <v>0</v>
      </c>
      <c r="P182" s="18">
        <f>'Forage crops, CF'!O63</f>
        <v>0</v>
      </c>
      <c r="Q182" s="18">
        <f>'Forage crops, CF'!P63</f>
        <v>0</v>
      </c>
      <c r="R182" s="148">
        <f>'Parameters, country spec'!M15</f>
        <v>0.74946751429338065</v>
      </c>
      <c r="S182" s="148">
        <f>'Parameters, country spec'!L33</f>
        <v>0</v>
      </c>
    </row>
    <row r="183" spans="1:20" x14ac:dyDescent="0.35">
      <c r="B183" s="16" t="s">
        <v>286</v>
      </c>
      <c r="C183" s="15" t="s">
        <v>288</v>
      </c>
      <c r="D183" s="21" t="s">
        <v>493</v>
      </c>
      <c r="E183" s="21" t="s">
        <v>495</v>
      </c>
      <c r="F183" s="312">
        <f>SUM(G183:Q183)</f>
        <v>0.10073778158324222</v>
      </c>
      <c r="G183" s="18">
        <f>'Forage crops, CF'!F128</f>
        <v>5.4215639296764179E-2</v>
      </c>
      <c r="H183" s="18">
        <f>'Forage crops, CF'!G128</f>
        <v>2.7E-2</v>
      </c>
      <c r="I183" s="18">
        <f>'Forage crops, CF'!H128</f>
        <v>0</v>
      </c>
      <c r="J183" s="18">
        <f>'Forage crops, CF'!I128</f>
        <v>0</v>
      </c>
      <c r="K183" s="18">
        <f>'Forage crops, CF'!J128</f>
        <v>1.2994693103255812E-2</v>
      </c>
      <c r="L183" s="18">
        <f>'Forage crops, CF'!K128</f>
        <v>0</v>
      </c>
      <c r="M183" s="18">
        <f>'Forage crops, CF'!L128</f>
        <v>6.5274491832222319E-3</v>
      </c>
      <c r="N183" s="18">
        <f>'Forage crops, CF'!M128</f>
        <v>0</v>
      </c>
      <c r="O183" s="18">
        <f>'Forage crops, CF'!N128</f>
        <v>0</v>
      </c>
      <c r="P183" s="18">
        <f>'Forage crops, CF'!O128</f>
        <v>0</v>
      </c>
      <c r="Q183" s="18">
        <f>'Forage crops, CF'!P128</f>
        <v>0</v>
      </c>
      <c r="R183" s="148">
        <f>'Parameters, country spec'!M16</f>
        <v>6.8994040926595557E-2</v>
      </c>
      <c r="S183" s="148">
        <f>'Parameters, country spec'!L34</f>
        <v>0.12715077282006415</v>
      </c>
    </row>
    <row r="184" spans="1:20" x14ac:dyDescent="0.35">
      <c r="B184" s="16" t="s">
        <v>287</v>
      </c>
      <c r="C184" s="15" t="s">
        <v>288</v>
      </c>
      <c r="D184" s="21" t="s">
        <v>493</v>
      </c>
      <c r="E184" s="21" t="s">
        <v>495</v>
      </c>
      <c r="F184" s="312">
        <f>SUM(G184:Q184)</f>
        <v>5.2623007176078415E-2</v>
      </c>
      <c r="G184" s="18">
        <f>'Forage crops, CF'!F193*'Forage, input data per ha'!$E$89+'Forage crops, CF'!F258*'Forage, input data per ha'!$G$89</f>
        <v>1.0718210188043819E-2</v>
      </c>
      <c r="H184" s="18">
        <f>'Forage crops, CF'!G193*'Forage, input data per ha'!$E$89+'Forage crops, CF'!G258*'Forage, input data per ha'!$G$89</f>
        <v>2.7E-2</v>
      </c>
      <c r="I184" s="18">
        <f>'Forage crops, CF'!H193*'Forage, input data per ha'!$E$89+'Forage crops, CF'!H258*'Forage, input data per ha'!$G$89</f>
        <v>0</v>
      </c>
      <c r="J184" s="18">
        <f>'Forage crops, CF'!I193*'Forage, input data per ha'!$E$89+'Forage crops, CF'!I258*'Forage, input data per ha'!$G$89</f>
        <v>0</v>
      </c>
      <c r="K184" s="18">
        <f>'Forage crops, CF'!J193*'Forage, input data per ha'!$E$89+'Forage crops, CF'!J258*'Forage, input data per ha'!$G$89</f>
        <v>1.49047969880346E-2</v>
      </c>
      <c r="L184" s="18">
        <f>'Forage crops, CF'!K193*'Forage, input data per ha'!$E$89+'Forage crops, CF'!K258*'Forage, input data per ha'!$G$89</f>
        <v>0</v>
      </c>
      <c r="M184" s="18">
        <f>'Forage crops, CF'!L193*'Forage, input data per ha'!$E$89+'Forage crops, CF'!L258*'Forage, input data per ha'!$G$89</f>
        <v>0</v>
      </c>
      <c r="N184" s="18">
        <f>'Forage crops, CF'!M193*'Forage, input data per ha'!$E$89+'Forage crops, CF'!M258*'Forage, input data per ha'!$G$89</f>
        <v>0</v>
      </c>
      <c r="O184" s="18">
        <f>'Forage crops, CF'!N193*'Forage, input data per ha'!$E$89+'Forage crops, CF'!N258*'Forage, input data per ha'!$G$89</f>
        <v>0</v>
      </c>
      <c r="P184" s="18">
        <f>'Forage crops, CF'!O193*'Forage, input data per ha'!$E$89+'Forage crops, CF'!O258*'Forage, input data per ha'!$G$89</f>
        <v>0</v>
      </c>
      <c r="Q184" s="18">
        <f>'Forage crops, CF'!P193*'Forage, input data per ha'!$E$89+'Forage crops, CF'!P258*'Forage, input data per ha'!$G$89</f>
        <v>0</v>
      </c>
      <c r="R184" s="148">
        <f>'Parameters, country spec'!M17</f>
        <v>3.2584598647782959E-3</v>
      </c>
      <c r="S184" s="148">
        <f>'Parameters, country spec'!L35</f>
        <v>0.5447652376786235</v>
      </c>
    </row>
    <row r="185" spans="1:20" x14ac:dyDescent="0.35">
      <c r="A185" s="20" t="s">
        <v>222</v>
      </c>
      <c r="B185" s="15" t="s">
        <v>108</v>
      </c>
      <c r="C185" s="15" t="s">
        <v>223</v>
      </c>
      <c r="D185" s="21" t="s">
        <v>493</v>
      </c>
      <c r="E185" s="21" t="s">
        <v>495</v>
      </c>
      <c r="F185" s="312">
        <f>SUM(G185:Q185)</f>
        <v>0.17779054290660856</v>
      </c>
      <c r="G185" s="548">
        <v>7.9350764789664241E-2</v>
      </c>
      <c r="H185" s="549">
        <v>2.7E-2</v>
      </c>
      <c r="I185" s="550">
        <v>0</v>
      </c>
      <c r="J185" s="549"/>
      <c r="K185" s="548">
        <v>3.0528074155066337E-2</v>
      </c>
      <c r="L185" s="549"/>
      <c r="M185" s="549">
        <v>2.830225711974277E-6</v>
      </c>
      <c r="N185" s="548">
        <v>4.0908873736166002E-2</v>
      </c>
      <c r="O185" s="6"/>
      <c r="P185" s="12"/>
      <c r="R185" s="148">
        <f>'Parameters, country spec'!M18</f>
        <v>1.3909861729922528E-2</v>
      </c>
      <c r="S185" s="148">
        <f>'Parameters, country spec'!L36</f>
        <v>0</v>
      </c>
    </row>
    <row r="186" spans="1:20" x14ac:dyDescent="0.35">
      <c r="A186" s="20" t="s">
        <v>224</v>
      </c>
      <c r="B186" s="15" t="s">
        <v>109</v>
      </c>
      <c r="C186" s="15" t="s">
        <v>223</v>
      </c>
      <c r="D186" s="21" t="s">
        <v>493</v>
      </c>
      <c r="E186" s="21" t="s">
        <v>495</v>
      </c>
      <c r="F186" s="312">
        <f t="shared" ref="F186:F193" si="23">SUM(G186:Q186)</f>
        <v>0.1828115024633224</v>
      </c>
      <c r="G186" s="548">
        <v>9.0958864790748981E-2</v>
      </c>
      <c r="H186" s="549">
        <v>2.7E-2</v>
      </c>
      <c r="I186" s="549">
        <v>0</v>
      </c>
      <c r="J186" s="549"/>
      <c r="K186" s="548">
        <v>2.3868735784876118E-2</v>
      </c>
      <c r="L186" s="549"/>
      <c r="M186" s="549">
        <v>7.5028151531290012E-5</v>
      </c>
      <c r="N186" s="548">
        <v>4.0908873736166002E-2</v>
      </c>
      <c r="O186" s="6"/>
      <c r="P186" s="12"/>
      <c r="R186" s="148">
        <f>'Parameters, country spec'!M19</f>
        <v>6.5309995773990038E-4</v>
      </c>
      <c r="S186" s="148">
        <f>'Parameters, country spec'!L37</f>
        <v>0</v>
      </c>
      <c r="T186" t="s">
        <v>602</v>
      </c>
    </row>
    <row r="187" spans="1:20" x14ac:dyDescent="0.35">
      <c r="A187" s="20" t="s">
        <v>225</v>
      </c>
      <c r="B187" s="15" t="s">
        <v>110</v>
      </c>
      <c r="C187" s="15" t="s">
        <v>223</v>
      </c>
      <c r="D187" s="21" t="s">
        <v>493</v>
      </c>
      <c r="E187" s="21" t="s">
        <v>495</v>
      </c>
      <c r="F187" s="312">
        <f t="shared" si="23"/>
        <v>0.17225592942667178</v>
      </c>
      <c r="G187" s="548">
        <v>6.9944688736358923E-2</v>
      </c>
      <c r="H187" s="549">
        <v>2.7E-2</v>
      </c>
      <c r="I187" s="550">
        <v>0</v>
      </c>
      <c r="J187" s="549"/>
      <c r="K187" s="548">
        <v>3.4148755020080315E-2</v>
      </c>
      <c r="L187" s="549"/>
      <c r="M187" s="549">
        <v>2.5361193406655912E-4</v>
      </c>
      <c r="N187" s="548">
        <v>4.0908873736166002E-2</v>
      </c>
      <c r="O187" s="6"/>
      <c r="P187" s="12"/>
      <c r="R187" s="148">
        <f>'Parameters, country spec'!M20</f>
        <v>1.5338046639374065E-3</v>
      </c>
      <c r="S187" s="148">
        <f>'Parameters, country spec'!L38</f>
        <v>0</v>
      </c>
    </row>
    <row r="188" spans="1:20" x14ac:dyDescent="0.35">
      <c r="A188" s="20" t="s">
        <v>226</v>
      </c>
      <c r="B188" s="15" t="s">
        <v>111</v>
      </c>
      <c r="C188" s="15" t="s">
        <v>223</v>
      </c>
      <c r="D188" s="21" t="s">
        <v>493</v>
      </c>
      <c r="E188" s="21" t="s">
        <v>495</v>
      </c>
      <c r="F188" s="312">
        <f t="shared" si="23"/>
        <v>0.19764639983207027</v>
      </c>
      <c r="G188" s="548">
        <v>6.1618089476185953E-2</v>
      </c>
      <c r="H188" s="549">
        <v>2.7E-2</v>
      </c>
      <c r="I188" s="549">
        <v>0</v>
      </c>
      <c r="J188" s="549"/>
      <c r="K188" s="548">
        <v>6.8119436619718324E-2</v>
      </c>
      <c r="L188" s="549"/>
      <c r="M188" s="549">
        <v>0</v>
      </c>
      <c r="N188" s="548">
        <v>4.0908873736166002E-2</v>
      </c>
      <c r="O188" s="6"/>
      <c r="P188" s="12"/>
      <c r="R188" s="148">
        <f>'Parameters, country spec'!M21</f>
        <v>7.2745448066960375E-5</v>
      </c>
      <c r="S188" s="148">
        <f>'Parameters, country spec'!L39</f>
        <v>0</v>
      </c>
    </row>
    <row r="189" spans="1:20" x14ac:dyDescent="0.35">
      <c r="A189" s="20" t="s">
        <v>227</v>
      </c>
      <c r="B189" s="15" t="s">
        <v>112</v>
      </c>
      <c r="C189" s="15" t="s">
        <v>223</v>
      </c>
      <c r="D189" s="21" t="s">
        <v>493</v>
      </c>
      <c r="E189" s="21" t="s">
        <v>495</v>
      </c>
      <c r="F189" s="312">
        <f t="shared" si="23"/>
        <v>0.1828115024633224</v>
      </c>
      <c r="G189" s="548">
        <v>9.0958864790748981E-2</v>
      </c>
      <c r="H189" s="549">
        <v>2.7E-2</v>
      </c>
      <c r="I189" s="549">
        <v>0</v>
      </c>
      <c r="J189" s="549"/>
      <c r="K189" s="548">
        <v>2.3868735784876118E-2</v>
      </c>
      <c r="L189" s="549"/>
      <c r="M189" s="549">
        <v>7.5028151531290012E-5</v>
      </c>
      <c r="N189" s="548">
        <v>4.0908873736166002E-2</v>
      </c>
      <c r="O189" s="6"/>
      <c r="P189" s="12"/>
      <c r="R189" s="148">
        <f>'Parameters, country spec'!M22</f>
        <v>2.0790459475885831E-2</v>
      </c>
      <c r="S189" s="148">
        <f>'Parameters, country spec'!L40</f>
        <v>0.29571303587051617</v>
      </c>
    </row>
    <row r="190" spans="1:20" x14ac:dyDescent="0.35">
      <c r="A190" s="20" t="s">
        <v>228</v>
      </c>
      <c r="B190" s="15" t="s">
        <v>113</v>
      </c>
      <c r="C190" s="15" t="s">
        <v>229</v>
      </c>
      <c r="D190" s="21" t="s">
        <v>493</v>
      </c>
      <c r="E190" s="21" t="s">
        <v>495</v>
      </c>
      <c r="F190" s="312">
        <f t="shared" si="23"/>
        <v>0.11760102242306324</v>
      </c>
      <c r="G190" s="548">
        <v>0</v>
      </c>
      <c r="H190" s="549">
        <v>2.7E-2</v>
      </c>
      <c r="I190" s="550">
        <v>0</v>
      </c>
      <c r="J190" s="549"/>
      <c r="K190" s="548">
        <v>4.9692148686897232E-2</v>
      </c>
      <c r="L190" s="550"/>
      <c r="M190" s="549">
        <v>0</v>
      </c>
      <c r="N190" s="548">
        <v>4.0908873736166002E-2</v>
      </c>
      <c r="O190" s="6"/>
      <c r="P190" s="12"/>
      <c r="R190" s="148">
        <f>'Parameters, country spec'!M23</f>
        <v>6.5340906393272433E-4</v>
      </c>
      <c r="S190" s="148">
        <f>'Parameters, country spec'!L41</f>
        <v>0</v>
      </c>
    </row>
    <row r="191" spans="1:20" x14ac:dyDescent="0.35">
      <c r="A191" s="20" t="s">
        <v>230</v>
      </c>
      <c r="B191" s="15" t="s">
        <v>114</v>
      </c>
      <c r="C191" s="15" t="s">
        <v>229</v>
      </c>
      <c r="D191" s="21" t="s">
        <v>493</v>
      </c>
      <c r="E191" s="21" t="s">
        <v>495</v>
      </c>
      <c r="F191" s="312">
        <f t="shared" si="23"/>
        <v>0.12047749081432377</v>
      </c>
      <c r="G191" s="548">
        <v>3.9087030496004829E-3</v>
      </c>
      <c r="H191" s="549">
        <v>2.7E-2</v>
      </c>
      <c r="I191" s="550">
        <v>0</v>
      </c>
      <c r="J191" s="549"/>
      <c r="K191" s="548">
        <v>4.8659914028557287E-2</v>
      </c>
      <c r="L191" s="549"/>
      <c r="M191" s="549">
        <v>0</v>
      </c>
      <c r="N191" s="548">
        <v>4.0908873736166002E-2</v>
      </c>
      <c r="O191" s="6"/>
      <c r="P191" s="12"/>
      <c r="R191" s="148">
        <f>'Parameters, country spec'!M24</f>
        <v>6.4186302502542813E-4</v>
      </c>
      <c r="S191" s="148">
        <f>'Parameters, country spec'!L42</f>
        <v>9.3321668124817739E-3</v>
      </c>
    </row>
    <row r="192" spans="1:20" x14ac:dyDescent="0.35">
      <c r="B192" s="16" t="s">
        <v>115</v>
      </c>
      <c r="C192" s="15" t="s">
        <v>231</v>
      </c>
      <c r="D192" s="21" t="s">
        <v>493</v>
      </c>
      <c r="E192" s="21" t="s">
        <v>495</v>
      </c>
      <c r="F192" s="312">
        <f t="shared" si="23"/>
        <v>0.27628755742228495</v>
      </c>
      <c r="G192" s="18">
        <f>'Off-farm feed'!$F$74</f>
        <v>0.15910156565543246</v>
      </c>
      <c r="H192" s="18">
        <f>'Off-farm feed'!$G$74</f>
        <v>1.3034482758620692E-2</v>
      </c>
      <c r="I192" s="18">
        <f>'Off-farm feed'!$H$74</f>
        <v>0</v>
      </c>
      <c r="J192" s="18"/>
      <c r="K192" s="18">
        <f>'Off-farm feed'!$J$74</f>
        <v>2.4688740026345454E-2</v>
      </c>
      <c r="L192" s="18"/>
      <c r="M192" s="289">
        <f>'Off-farm feed'!$L$74</f>
        <v>1.931759303794134E-4</v>
      </c>
      <c r="N192" s="18">
        <f>'Off-farm feed'!$M$74</f>
        <v>3.6802128767029069E-2</v>
      </c>
      <c r="O192" s="18">
        <f>'Off-farm feed'!$N$74</f>
        <v>0</v>
      </c>
      <c r="P192" s="18">
        <f>'Off-farm feed'!$O$74</f>
        <v>2.6267464284477883E-2</v>
      </c>
      <c r="Q192" s="18">
        <f>'Off-farm feed'!$P$74</f>
        <v>1.6199999999999999E-2</v>
      </c>
      <c r="R192" s="148">
        <f>'Parameters, country spec'!M25</f>
        <v>1.0151950508744787E-2</v>
      </c>
      <c r="S192" s="148">
        <f>'Parameters, country spec'!L43</f>
        <v>2.3038786818314377E-2</v>
      </c>
    </row>
    <row r="193" spans="1:20" x14ac:dyDescent="0.35">
      <c r="B193" s="16" t="s">
        <v>232</v>
      </c>
      <c r="C193" s="15" t="s">
        <v>231</v>
      </c>
      <c r="D193" s="21" t="s">
        <v>493</v>
      </c>
      <c r="E193" s="21" t="s">
        <v>495</v>
      </c>
      <c r="F193" s="312">
        <f t="shared" si="23"/>
        <v>0.7061171705997602</v>
      </c>
      <c r="G193" s="18">
        <f>'Off-farm feed'!$F$23</f>
        <v>7.2632670993098931E-3</v>
      </c>
      <c r="H193" s="18">
        <f>'Off-farm feed'!$G$23</f>
        <v>2.1402439024390246E-2</v>
      </c>
      <c r="I193" s="18">
        <f>'Off-farm feed'!$H$23</f>
        <v>0</v>
      </c>
      <c r="J193" s="18"/>
      <c r="K193" s="18">
        <f>'Off-farm feed'!$J$23</f>
        <v>4.308361966433235E-2</v>
      </c>
      <c r="L193" s="18"/>
      <c r="M193" s="289">
        <f>'Off-farm feed'!$L$23</f>
        <v>1.7842060425123844E-4</v>
      </c>
      <c r="N193" s="18">
        <f>'Off-farm feed'!$M$23</f>
        <v>3.0432604948959403E-2</v>
      </c>
      <c r="O193" s="18">
        <f>'Off-farm feed'!$N$23</f>
        <v>0.31761120248475611</v>
      </c>
      <c r="P193" s="18">
        <f>'Off-farm feed'!$O$23</f>
        <v>3.5145616773760872E-2</v>
      </c>
      <c r="Q193" s="18">
        <f>'Off-farm feed'!$P$23</f>
        <v>0.251</v>
      </c>
      <c r="R193" s="148">
        <f>'Parameters, country spec'!M26</f>
        <v>1.9990823703774308E-2</v>
      </c>
      <c r="S193" s="148">
        <f>'Parameters, country spec'!L44</f>
        <v>0</v>
      </c>
    </row>
    <row r="194" spans="1:20" x14ac:dyDescent="0.35">
      <c r="B194" s="15" t="s">
        <v>117</v>
      </c>
      <c r="C194" s="15" t="s">
        <v>233</v>
      </c>
      <c r="D194" s="21" t="s">
        <v>493</v>
      </c>
      <c r="E194" s="21" t="s">
        <v>495</v>
      </c>
      <c r="F194" s="108">
        <f>SUM(G182:Q182)</f>
        <v>0.10735008316998949</v>
      </c>
      <c r="G194" s="72">
        <v>4.4988265028212203E-2</v>
      </c>
      <c r="H194" s="14">
        <v>1.35108E-2</v>
      </c>
      <c r="K194" s="14">
        <v>3.2995894066916297E-2</v>
      </c>
      <c r="N194" s="97"/>
      <c r="O194" s="6"/>
      <c r="P194" s="14">
        <v>0.44500683667895402</v>
      </c>
      <c r="Q194" s="14">
        <v>2.9553163076405799E-2</v>
      </c>
      <c r="R194" s="148">
        <f>'Parameters, country spec'!M27</f>
        <v>8.0060070909469844E-2</v>
      </c>
      <c r="S194" s="148">
        <f>'Parameters, country spec'!L45</f>
        <v>0</v>
      </c>
      <c r="T194" t="s">
        <v>610</v>
      </c>
    </row>
    <row r="195" spans="1:20" x14ac:dyDescent="0.35">
      <c r="A195" s="75"/>
      <c r="B195" s="15" t="s">
        <v>234</v>
      </c>
      <c r="C195" s="76" t="s">
        <v>235</v>
      </c>
      <c r="D195" s="21" t="s">
        <v>493</v>
      </c>
      <c r="E195" s="21" t="s">
        <v>495</v>
      </c>
      <c r="F195" s="312">
        <f>SUM(G195:Q195)</f>
        <v>2.3746649112282851E-2</v>
      </c>
      <c r="G195" s="73">
        <f>SUMPRODUCT(G185:G193,$R185:$R193)</f>
        <v>4.9289026793296704E-3</v>
      </c>
      <c r="H195" s="73">
        <f>SUMPRODUCT(H185:H193,$R185:$R193)</f>
        <v>1.5930693800817602E-3</v>
      </c>
      <c r="I195" s="73">
        <f t="shared" ref="I195:J195" si="24">SUMPRODUCT(I185:I193,$R185:$R193)</f>
        <v>0</v>
      </c>
      <c r="J195" s="73">
        <f t="shared" si="24"/>
        <v>0</v>
      </c>
      <c r="K195" s="73">
        <f>SUMPRODUCT(K185:K193,$R185:$R193)</f>
        <v>2.1694230555177356E-3</v>
      </c>
      <c r="L195" s="73">
        <f t="shared" ref="L195:P195" si="25">SUMPRODUCT(L185:L193,$R185:$R193)</f>
        <v>0</v>
      </c>
      <c r="M195" s="73">
        <f t="shared" si="25"/>
        <v>7.5651171715757286E-6</v>
      </c>
      <c r="N195" s="73">
        <f t="shared" si="25"/>
        <v>2.5469651507856626E-3</v>
      </c>
      <c r="O195" s="73">
        <f t="shared" si="25"/>
        <v>6.3493095552165238E-3</v>
      </c>
      <c r="P195" s="73">
        <f t="shared" si="25"/>
        <v>9.6925582629090747E-4</v>
      </c>
      <c r="Q195" s="73">
        <f>SUMPRODUCT(Q185:Q193,$R185:$R193)</f>
        <v>5.1821583478890171E-3</v>
      </c>
      <c r="R195" s="148">
        <f>'Parameters, country spec'!M28</f>
        <v>2.9821896428745772E-2</v>
      </c>
      <c r="S195" s="148">
        <f>'Parameters, country spec'!L46</f>
        <v>0</v>
      </c>
    </row>
    <row r="196" spans="1:20" x14ac:dyDescent="0.35">
      <c r="A196" s="321"/>
      <c r="B196" s="322" t="s">
        <v>541</v>
      </c>
      <c r="C196" s="323"/>
      <c r="D196" s="324"/>
      <c r="E196" s="324"/>
      <c r="F196" s="325">
        <f>SUMPRODUCT(F182:F184,R182:R184)+SUMPRODUCT(F185:F195,R185:R195)/0.87</f>
        <v>0.12556484840631069</v>
      </c>
      <c r="G196" s="325">
        <f>SUMPRODUCT(G182:G184,R182:R184)+SUMPRODUCT(G185:G195,R185:R195)/0.87</f>
        <v>6.294377603941026E-2</v>
      </c>
      <c r="H196" s="325">
        <f>SUMPRODUCT(H182:H184,R182:R184)+SUMPRODUCT(H185:H195,R185:R195)/0.87</f>
        <v>2.5315467230486107E-2</v>
      </c>
      <c r="I196" s="325">
        <f>SUMPRODUCT(I182:I184,R182:R184)+SUMPRODUCT(I185:I195,R185:R195)/0.87</f>
        <v>0</v>
      </c>
      <c r="J196" s="325">
        <f>SUMPRODUCT(J182:J184,R182:R184)+SUMPRODUCT(J185:J195,R185:R195)/0.87</f>
        <v>0</v>
      </c>
      <c r="K196" s="325">
        <f>SUMPRODUCT(K182:K184,R182:R184)+SUMPRODUCT(K185:K195,R185:R195)/0.87</f>
        <v>1.7575258568501211E-2</v>
      </c>
      <c r="L196" s="325">
        <f>SUMPRODUCT(L182:L184,R182:R184)+SUMPRODUCT(L185:L195,R185:R195)/0.87</f>
        <v>0</v>
      </c>
      <c r="M196" s="325">
        <f>SUMPRODUCT(M182:M184,R182:R184)+SUMPRODUCT(M185:M195,R185:R195)/0.87</f>
        <v>4.5930995047550486E-4</v>
      </c>
      <c r="N196" s="325">
        <f>SUMPRODUCT(N182:N184,R182:R184)+SUMPRODUCT(N185:N195,R185:R195)/0.87</f>
        <v>3.0148511284138133E-3</v>
      </c>
      <c r="O196" s="325">
        <f>SUMPRODUCT(O182:O184,R182:R184)+SUMPRODUCT(O185:O195,R185:R195)/0.87</f>
        <v>7.515698858811766E-3</v>
      </c>
      <c r="P196" s="325">
        <f>SUMPRODUCT(P182:P184,R182:R184)+SUMPRODUCT(P185:P195,R185:R195)/0.87</f>
        <v>4.2098206635484407E-2</v>
      </c>
      <c r="Q196" s="325">
        <f>SUMPRODUCT(Q182:Q184,R182:R184)+SUMPRODUCT(Q185:Q195,R185:R195)/0.87</f>
        <v>8.8537108838083883E-3</v>
      </c>
      <c r="R196" s="328"/>
      <c r="S196" s="328"/>
    </row>
    <row r="197" spans="1:20" x14ac:dyDescent="0.35">
      <c r="A197" s="147"/>
      <c r="B197" s="23" t="s">
        <v>428</v>
      </c>
      <c r="C197" s="24"/>
      <c r="D197" s="94"/>
      <c r="E197" s="94"/>
      <c r="F197" s="320">
        <f>SUMPRODUCT(F182:F184,S182:S184)+SUMPRODUCT(F185:F195,S185:S195)/0.87</f>
        <v>0.11222249772651079</v>
      </c>
      <c r="G197" s="320">
        <f>SUMPRODUCT(G182:G184,S182:S184)+SUMPRODUCT(G185:G195,S185:S195)/0.87</f>
        <v>4.7904544352743744E-2</v>
      </c>
      <c r="H197" s="320">
        <f>SUMPRODUCT(H182:H184,S182:S184)+SUMPRODUCT(H185:H195,S185:S195)/0.87</f>
        <v>2.7953823251285023E-2</v>
      </c>
      <c r="I197" s="320">
        <f>SUMPRODUCT(I182:I184,S182:S184)+SUMPRODUCT(I185:I195,S185:S195)/0.87</f>
        <v>0</v>
      </c>
      <c r="J197" s="320">
        <f>SUMPRODUCT(J182:J184,S182:S184)+SUMPRODUCT(J185:J195,S185:S195)/0.87</f>
        <v>0</v>
      </c>
      <c r="K197" s="320">
        <f>SUMPRODUCT(K182:K184,S182:S184)+SUMPRODUCT(K185:K195,S185:S195)/0.87</f>
        <v>1.9060633158643758E-2</v>
      </c>
      <c r="L197" s="320">
        <f>SUMPRODUCT(L182:L184,S182:S184)+SUMPRODUCT(L185:L195,S185:S195)/0.87</f>
        <v>0</v>
      </c>
      <c r="M197" s="320">
        <f>SUMPRODUCT(M182:M184,S182:S184)+SUMPRODUCT(M185:M195,S185:S195)/0.87</f>
        <v>8.6058784214846273E-4</v>
      </c>
      <c r="N197" s="320">
        <f>SUMPRODUCT(N182:N184,S182:S184)+SUMPRODUCT(N185:N195,S185:S195)/0.87</f>
        <v>1.5318312735063986E-2</v>
      </c>
      <c r="O197" s="320">
        <f>SUMPRODUCT(O182:O184,S182:S184)+SUMPRODUCT(O185:O195,S185:S195)/0.87</f>
        <v>0</v>
      </c>
      <c r="P197" s="320">
        <f>SUMPRODUCT(P182:P184,S182:S184)+SUMPRODUCT(P185:P195,S185:S195)/0.87</f>
        <v>6.9559828725031345E-4</v>
      </c>
      <c r="Q197" s="320">
        <f>SUMPRODUCT(Q182:Q184,S182:S184)+SUMPRODUCT(Q185:Q195,S185:S195)/0.87</f>
        <v>4.2899809937550906E-4</v>
      </c>
      <c r="R197" s="149"/>
      <c r="S197" s="149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6">
    <tabColor theme="4" tint="0.79998168889431442"/>
  </sheetPr>
  <dimension ref="A1:U197"/>
  <sheetViews>
    <sheetView topLeftCell="C1" zoomScale="74" zoomScaleNormal="80" workbookViewId="0">
      <selection activeCell="T19" sqref="T19"/>
    </sheetView>
  </sheetViews>
  <sheetFormatPr defaultColWidth="8.7265625" defaultRowHeight="14.5" x14ac:dyDescent="0.35"/>
  <cols>
    <col min="1" max="1" width="8.7265625" customWidth="1"/>
    <col min="2" max="2" width="30.453125" customWidth="1"/>
    <col min="3" max="3" width="19" customWidth="1"/>
    <col min="4" max="4" width="12.7265625" customWidth="1"/>
    <col min="5" max="5" width="11.26953125" customWidth="1"/>
    <col min="6" max="6" width="12.7265625" style="15" customWidth="1"/>
    <col min="7" max="10" width="12.7265625" customWidth="1"/>
    <col min="11" max="11" width="14.26953125" customWidth="1"/>
    <col min="12" max="17" width="12.7265625" customWidth="1"/>
    <col min="19" max="19" width="8.7265625" style="3"/>
  </cols>
  <sheetData>
    <row r="1" spans="1:21" x14ac:dyDescent="0.35">
      <c r="F1" s="6"/>
    </row>
    <row r="2" spans="1:21" ht="21" x14ac:dyDescent="0.5">
      <c r="A2" s="2" t="s">
        <v>236</v>
      </c>
      <c r="F2" t="s">
        <v>427</v>
      </c>
      <c r="O2" t="s">
        <v>214</v>
      </c>
    </row>
    <row r="3" spans="1:21" x14ac:dyDescent="0.35">
      <c r="H3" s="7"/>
      <c r="I3" s="7"/>
      <c r="J3" s="7"/>
      <c r="K3" s="7"/>
      <c r="L3" s="7"/>
      <c r="M3" s="7"/>
      <c r="N3" s="7"/>
    </row>
    <row r="4" spans="1:21" ht="29" x14ac:dyDescent="0.35">
      <c r="A4" s="150" t="s">
        <v>215</v>
      </c>
      <c r="B4" s="142"/>
      <c r="C4" s="142"/>
      <c r="D4" s="142"/>
      <c r="E4" s="142"/>
      <c r="F4" s="290" t="s">
        <v>60</v>
      </c>
      <c r="G4" s="143" t="s">
        <v>61</v>
      </c>
      <c r="H4" s="144"/>
      <c r="I4" s="143" t="s">
        <v>62</v>
      </c>
      <c r="J4" s="95"/>
      <c r="K4" s="143" t="s">
        <v>63</v>
      </c>
      <c r="L4" s="95"/>
      <c r="M4" s="95"/>
      <c r="N4" s="95"/>
      <c r="O4" s="96" t="s">
        <v>64</v>
      </c>
      <c r="P4" s="96" t="s">
        <v>291</v>
      </c>
      <c r="Q4" s="145" t="s">
        <v>65</v>
      </c>
      <c r="R4" s="143" t="s">
        <v>216</v>
      </c>
      <c r="S4" s="347" t="s">
        <v>216</v>
      </c>
    </row>
    <row r="5" spans="1:21" ht="57" customHeight="1" x14ac:dyDescent="0.35">
      <c r="A5" s="89" t="s">
        <v>14</v>
      </c>
      <c r="B5" s="89" t="s">
        <v>215</v>
      </c>
      <c r="C5" s="89" t="s">
        <v>217</v>
      </c>
      <c r="D5" s="89" t="s">
        <v>17</v>
      </c>
      <c r="E5" s="146" t="s">
        <v>18</v>
      </c>
      <c r="F5" s="291"/>
      <c r="G5" s="90" t="s">
        <v>218</v>
      </c>
      <c r="H5" s="90" t="s">
        <v>71</v>
      </c>
      <c r="I5" s="90" t="s">
        <v>219</v>
      </c>
      <c r="J5" s="90" t="s">
        <v>220</v>
      </c>
      <c r="K5" s="90" t="s">
        <v>72</v>
      </c>
      <c r="L5" s="90" t="s">
        <v>73</v>
      </c>
      <c r="M5" s="90" t="s">
        <v>74</v>
      </c>
      <c r="N5" s="90" t="s">
        <v>75</v>
      </c>
      <c r="O5" s="90" t="s">
        <v>76</v>
      </c>
      <c r="P5" s="90" t="s">
        <v>291</v>
      </c>
      <c r="Q5" s="146" t="s">
        <v>221</v>
      </c>
      <c r="R5" s="90" t="s">
        <v>542</v>
      </c>
      <c r="S5" s="90" t="s">
        <v>278</v>
      </c>
    </row>
    <row r="6" spans="1:21" x14ac:dyDescent="0.35">
      <c r="B6" s="16" t="s">
        <v>285</v>
      </c>
      <c r="C6" s="15" t="s">
        <v>288</v>
      </c>
      <c r="D6" s="21" t="s">
        <v>85</v>
      </c>
      <c r="E6" s="21" t="s">
        <v>35</v>
      </c>
      <c r="F6" s="118">
        <f>SUM(G6:Q6)</f>
        <v>1.1009627339353734E-4</v>
      </c>
      <c r="G6" s="27">
        <f>'Forage crops, CF'!F9</f>
        <v>1.0612103878906502E-5</v>
      </c>
      <c r="H6" s="27">
        <f>'Forage crops, CF'!G9</f>
        <v>9.5000000000000005E-5</v>
      </c>
      <c r="I6" s="27"/>
      <c r="J6" s="27"/>
      <c r="K6" s="27">
        <f>'Forage crops, CF'!J9</f>
        <v>4.4841695146308248E-6</v>
      </c>
      <c r="L6" s="27"/>
      <c r="M6" s="27">
        <f>'Forage crops, CF'!L9</f>
        <v>0</v>
      </c>
      <c r="N6" s="27">
        <f>'Forage crops, CF'!M9</f>
        <v>0</v>
      </c>
      <c r="O6" s="27"/>
      <c r="P6" s="27">
        <f>'Forage crops, CF'!O9</f>
        <v>0</v>
      </c>
      <c r="Q6" s="27"/>
      <c r="R6" s="148">
        <f>'Parameters, country spec'!B15</f>
        <v>1.3213875800981024E-2</v>
      </c>
      <c r="S6" s="148">
        <f>'Parameters, country spec'!B33</f>
        <v>1.3213875800981E-2</v>
      </c>
      <c r="U6" s="148"/>
    </row>
    <row r="7" spans="1:21" x14ac:dyDescent="0.35">
      <c r="B7" s="16" t="s">
        <v>286</v>
      </c>
      <c r="C7" s="15" t="s">
        <v>288</v>
      </c>
      <c r="D7" s="21" t="s">
        <v>85</v>
      </c>
      <c r="E7" s="21" t="s">
        <v>35</v>
      </c>
      <c r="F7" s="118">
        <f>SUM(G7:Q7)</f>
        <v>8.3198290605482003E-4</v>
      </c>
      <c r="G7" s="27">
        <f>'Forage crops, CF'!F74</f>
        <v>1.187544333864606E-5</v>
      </c>
      <c r="H7" s="27">
        <f>'Forage crops, CF'!G74</f>
        <v>9.5000000000000005E-5</v>
      </c>
      <c r="I7" s="27"/>
      <c r="J7" s="27"/>
      <c r="K7" s="27">
        <f>'Forage crops, CF'!J74</f>
        <v>6.9903516117470652E-6</v>
      </c>
      <c r="L7" s="27"/>
      <c r="M7" s="27">
        <f>'Forage crops, CF'!L74</f>
        <v>1.0117111104426938E-5</v>
      </c>
      <c r="N7" s="27">
        <f>'Forage crops, CF'!M74</f>
        <v>0</v>
      </c>
      <c r="O7" s="27"/>
      <c r="P7" s="27">
        <f>'Forage crops, CF'!O74</f>
        <v>7.0799999999999997E-4</v>
      </c>
      <c r="Q7" s="27"/>
      <c r="R7" s="148">
        <f>'Parameters, country spec'!B16</f>
        <v>0.2760369962266197</v>
      </c>
      <c r="S7" s="148">
        <f>'Parameters, country spec'!B34</f>
        <v>0.2760369962266197</v>
      </c>
    </row>
    <row r="8" spans="1:21" x14ac:dyDescent="0.35">
      <c r="B8" s="16" t="s">
        <v>287</v>
      </c>
      <c r="C8" s="15" t="s">
        <v>288</v>
      </c>
      <c r="D8" s="21" t="s">
        <v>85</v>
      </c>
      <c r="E8" s="21" t="s">
        <v>35</v>
      </c>
      <c r="F8" s="118">
        <f>SUM(G8:Q8)</f>
        <v>8.1809137945589613E-4</v>
      </c>
      <c r="G8" s="27">
        <f>'Forage crops, CF'!F139*'Forage, input data per ha'!$E$78+'Forage crops, CF'!F204*'Forage, input data per ha'!$G$78</f>
        <v>1.0607257254880882E-5</v>
      </c>
      <c r="H8" s="27">
        <f>'Forage crops, CF'!G139*'Forage, input data per ha'!$E$78+'Forage crops, CF'!G204*'Forage, input data per ha'!$G$78</f>
        <v>9.5000000000000005E-5</v>
      </c>
      <c r="I8" s="27"/>
      <c r="J8" s="27"/>
      <c r="K8" s="27">
        <f>'Forage crops, CF'!J139*'Forage, input data per ha'!$E$78+'Forage crops, CF'!J204*'Forage, input data per ha'!$G$78</f>
        <v>4.484122201015219E-6</v>
      </c>
      <c r="L8" s="27"/>
      <c r="M8" s="27">
        <f>'Forage crops, CF'!L139*'Forage, input data per ha'!$E$78+'Forage crops, CF'!L204*'Forage, input data per ha'!$G$78</f>
        <v>0</v>
      </c>
      <c r="N8" s="27">
        <f>'Forage crops, CF'!M139*'Forage, input data per ha'!$E$78+'Forage crops, CF'!M204*'Forage, input data per ha'!$G$78</f>
        <v>0</v>
      </c>
      <c r="O8" s="27"/>
      <c r="P8" s="27">
        <f>'Forage crops, CF'!O139*'Forage, input data per ha'!$E$78+'Forage crops, CF'!O204*'Forage, input data per ha'!$G$78</f>
        <v>7.0799999999999997E-4</v>
      </c>
      <c r="Q8" s="27"/>
      <c r="R8" s="148">
        <f>'Parameters, country spec'!B17</f>
        <v>0.61590538837145792</v>
      </c>
      <c r="S8" s="148">
        <f>'Parameters, country spec'!B35</f>
        <v>0.61590538837145792</v>
      </c>
    </row>
    <row r="9" spans="1:21" x14ac:dyDescent="0.35">
      <c r="A9" s="20" t="s">
        <v>222</v>
      </c>
      <c r="B9" s="15" t="s">
        <v>108</v>
      </c>
      <c r="C9" s="15" t="s">
        <v>223</v>
      </c>
      <c r="D9" s="21" t="s">
        <v>85</v>
      </c>
      <c r="E9" s="21" t="s">
        <v>35</v>
      </c>
      <c r="F9" s="118">
        <f>SUM(G9:Q9)</f>
        <v>2.1829999999999999E-4</v>
      </c>
      <c r="G9" s="93">
        <v>8.1000000000000004E-5</v>
      </c>
      <c r="H9" s="93">
        <v>1E-4</v>
      </c>
      <c r="I9" s="93"/>
      <c r="J9" s="93"/>
      <c r="K9" s="93">
        <v>1.45E-5</v>
      </c>
      <c r="L9" s="93"/>
      <c r="M9" s="93">
        <v>0</v>
      </c>
      <c r="N9" s="93">
        <v>2.2799999999999999E-5</v>
      </c>
      <c r="O9" s="93"/>
      <c r="P9" s="93"/>
      <c r="Q9" s="93"/>
      <c r="R9" s="148">
        <f>'Parameters, country spec'!B18</f>
        <v>5.1639112390513857E-3</v>
      </c>
      <c r="S9" s="148">
        <f>'Parameters, country spec'!B36</f>
        <v>5.1639112390513857E-3</v>
      </c>
    </row>
    <row r="10" spans="1:21" x14ac:dyDescent="0.35">
      <c r="A10" s="20" t="s">
        <v>224</v>
      </c>
      <c r="B10" s="15" t="s">
        <v>109</v>
      </c>
      <c r="C10" s="15" t="s">
        <v>223</v>
      </c>
      <c r="D10" s="21" t="s">
        <v>85</v>
      </c>
      <c r="E10" s="21" t="s">
        <v>35</v>
      </c>
      <c r="F10" s="118">
        <f t="shared" ref="F10:F19" si="0">SUM(G10:Q10)</f>
        <v>2.2610000000000002E-4</v>
      </c>
      <c r="G10" s="93">
        <v>7.8999999999999996E-5</v>
      </c>
      <c r="H10" s="93">
        <v>1E-4</v>
      </c>
      <c r="I10" s="93"/>
      <c r="J10" s="93"/>
      <c r="K10" s="93">
        <v>1.2E-5</v>
      </c>
      <c r="L10" s="93"/>
      <c r="M10" s="93">
        <v>1.2300000000000001E-5</v>
      </c>
      <c r="N10" s="93">
        <v>2.2799999999999999E-5</v>
      </c>
      <c r="O10" s="93"/>
      <c r="P10" s="93"/>
      <c r="Q10" s="93"/>
      <c r="R10" s="148">
        <f>'Parameters, country spec'!B19</f>
        <v>3.1075970320211814E-4</v>
      </c>
      <c r="S10" s="148">
        <f>'Parameters, country spec'!B37</f>
        <v>3.1075970320211814E-4</v>
      </c>
    </row>
    <row r="11" spans="1:21" x14ac:dyDescent="0.35">
      <c r="A11" s="20" t="s">
        <v>225</v>
      </c>
      <c r="B11" s="15" t="s">
        <v>110</v>
      </c>
      <c r="C11" s="15" t="s">
        <v>223</v>
      </c>
      <c r="D11" s="21" t="s">
        <v>85</v>
      </c>
      <c r="E11" s="21" t="s">
        <v>35</v>
      </c>
      <c r="F11" s="118">
        <f t="shared" si="0"/>
        <v>2.1040000000000002E-4</v>
      </c>
      <c r="G11" s="93">
        <v>7.1000000000000005E-5</v>
      </c>
      <c r="H11" s="93">
        <v>1E-4</v>
      </c>
      <c r="I11" s="93"/>
      <c r="J11" s="93"/>
      <c r="K11" s="93">
        <v>1.66E-5</v>
      </c>
      <c r="L11" s="93"/>
      <c r="M11" s="93">
        <v>0</v>
      </c>
      <c r="N11" s="93">
        <v>2.2799999999999999E-5</v>
      </c>
      <c r="O11" s="93"/>
      <c r="P11" s="93"/>
      <c r="Q11" s="93"/>
      <c r="R11" s="148">
        <f>'Parameters, country spec'!B20</f>
        <v>8.6733359151412953E-5</v>
      </c>
      <c r="S11" s="148">
        <f>'Parameters, country spec'!B38</f>
        <v>8.6733359151412953E-5</v>
      </c>
    </row>
    <row r="12" spans="1:21" x14ac:dyDescent="0.35">
      <c r="A12" s="20" t="s">
        <v>226</v>
      </c>
      <c r="B12" s="15" t="s">
        <v>111</v>
      </c>
      <c r="C12" s="15" t="s">
        <v>223</v>
      </c>
      <c r="D12" s="21" t="s">
        <v>85</v>
      </c>
      <c r="E12" s="21" t="s">
        <v>35</v>
      </c>
      <c r="F12" s="118">
        <f t="shared" si="0"/>
        <v>1.9940000000000002E-4</v>
      </c>
      <c r="G12" s="93">
        <v>6.3E-5</v>
      </c>
      <c r="H12" s="93">
        <v>1E-4</v>
      </c>
      <c r="I12" s="93"/>
      <c r="J12" s="93"/>
      <c r="K12" s="93">
        <v>1.36E-5</v>
      </c>
      <c r="L12" s="93"/>
      <c r="M12" s="93">
        <v>0</v>
      </c>
      <c r="N12" s="93">
        <v>2.2799999999999999E-5</v>
      </c>
      <c r="O12" s="93"/>
      <c r="P12" s="93"/>
      <c r="Q12" s="93"/>
      <c r="R12" s="148">
        <f>'Parameters, country spec'!B21</f>
        <v>6.2924072151971947E-5</v>
      </c>
      <c r="S12" s="148">
        <f>'Parameters, country spec'!B39</f>
        <v>6.2924072151971947E-5</v>
      </c>
    </row>
    <row r="13" spans="1:21" x14ac:dyDescent="0.35">
      <c r="A13" s="20" t="s">
        <v>227</v>
      </c>
      <c r="B13" s="15" t="s">
        <v>112</v>
      </c>
      <c r="C13" s="15" t="s">
        <v>223</v>
      </c>
      <c r="D13" s="21" t="s">
        <v>85</v>
      </c>
      <c r="E13" s="21" t="s">
        <v>35</v>
      </c>
      <c r="F13" s="118">
        <f t="shared" si="0"/>
        <v>2.2831000000000001E-4</v>
      </c>
      <c r="G13" s="93">
        <v>9.2999999999999997E-5</v>
      </c>
      <c r="H13" s="93">
        <v>1E-4</v>
      </c>
      <c r="I13" s="93"/>
      <c r="J13" s="93"/>
      <c r="K13" s="93">
        <v>1.1E-5</v>
      </c>
      <c r="L13" s="93"/>
      <c r="M13" s="93">
        <v>1.5099999999999999E-6</v>
      </c>
      <c r="N13" s="93">
        <v>2.2799999999999999E-5</v>
      </c>
      <c r="O13" s="93"/>
      <c r="P13" s="93"/>
      <c r="Q13" s="93"/>
      <c r="R13" s="148">
        <f>'Parameters, country spec'!B22</f>
        <v>5.3306026591199238E-3</v>
      </c>
      <c r="S13" s="148">
        <f>'Parameters, country spec'!B40</f>
        <v>5.3306026591199238E-3</v>
      </c>
    </row>
    <row r="14" spans="1:21" x14ac:dyDescent="0.35">
      <c r="A14" s="20" t="s">
        <v>228</v>
      </c>
      <c r="B14" s="15" t="s">
        <v>113</v>
      </c>
      <c r="C14" s="15" t="s">
        <v>229</v>
      </c>
      <c r="D14" s="21" t="s">
        <v>85</v>
      </c>
      <c r="E14" s="21" t="s">
        <v>35</v>
      </c>
      <c r="F14" s="118">
        <f t="shared" si="0"/>
        <v>1.4275099999999999E-4</v>
      </c>
      <c r="G14" s="93">
        <v>0</v>
      </c>
      <c r="H14" s="93">
        <v>1E-4</v>
      </c>
      <c r="I14" s="93"/>
      <c r="J14" s="93"/>
      <c r="K14" s="93">
        <v>1.9700000000000001E-5</v>
      </c>
      <c r="L14" s="93"/>
      <c r="M14" s="93">
        <v>2.5100000000000001E-7</v>
      </c>
      <c r="N14" s="93">
        <v>2.2799999999999999E-5</v>
      </c>
      <c r="O14" s="93"/>
      <c r="P14" s="93"/>
      <c r="Q14" s="93"/>
      <c r="R14" s="148">
        <f>'Parameters, country spec'!B23</f>
        <v>2.439015630520557E-4</v>
      </c>
      <c r="S14" s="148">
        <f>'Parameters, country spec'!B41</f>
        <v>2.439015630520557E-4</v>
      </c>
    </row>
    <row r="15" spans="1:21" x14ac:dyDescent="0.35">
      <c r="A15" s="20" t="s">
        <v>230</v>
      </c>
      <c r="B15" s="15" t="s">
        <v>114</v>
      </c>
      <c r="C15" s="15" t="s">
        <v>229</v>
      </c>
      <c r="D15" s="21" t="s">
        <v>85</v>
      </c>
      <c r="E15" s="21" t="s">
        <v>35</v>
      </c>
      <c r="F15" s="118">
        <f t="shared" si="0"/>
        <v>1.7640000000000001E-4</v>
      </c>
      <c r="G15" s="93">
        <v>3.9999999999999998E-6</v>
      </c>
      <c r="H15" s="93">
        <v>1E-4</v>
      </c>
      <c r="I15" s="93"/>
      <c r="J15" s="93"/>
      <c r="K15" s="93">
        <v>2.0999999999999999E-5</v>
      </c>
      <c r="L15" s="93"/>
      <c r="M15" s="93">
        <v>2.8600000000000001E-5</v>
      </c>
      <c r="N15" s="93">
        <v>2.2799999999999999E-5</v>
      </c>
      <c r="O15" s="93"/>
      <c r="P15" s="93"/>
      <c r="Q15" s="93"/>
      <c r="R15" s="148">
        <f>'Parameters, country spec'!B24</f>
        <v>2.3959170998341588E-4</v>
      </c>
      <c r="S15" s="148">
        <f>'Parameters, country spec'!B42</f>
        <v>2.3959170998341588E-4</v>
      </c>
    </row>
    <row r="16" spans="1:21" x14ac:dyDescent="0.35">
      <c r="B16" s="16" t="s">
        <v>115</v>
      </c>
      <c r="C16" s="15" t="s">
        <v>231</v>
      </c>
      <c r="D16" s="21" t="s">
        <v>85</v>
      </c>
      <c r="E16" s="21" t="s">
        <v>35</v>
      </c>
      <c r="F16" s="118">
        <f t="shared" si="0"/>
        <v>4.6478527325651394E-4</v>
      </c>
      <c r="G16" s="27">
        <f>'Off-farm feed'!$F$75</f>
        <v>3.0425509539765719E-4</v>
      </c>
      <c r="H16" s="27">
        <f>'Off-farm feed'!$G$75</f>
        <v>4.5862068965517246E-5</v>
      </c>
      <c r="I16" s="27"/>
      <c r="J16" s="27"/>
      <c r="K16" s="27">
        <f>'Off-farm feed'!$J$75</f>
        <v>1.0936279334641699E-5</v>
      </c>
      <c r="L16" s="27"/>
      <c r="M16" s="27">
        <f>'Off-farm feed'!$L$75</f>
        <v>6.4606960551724142E-7</v>
      </c>
      <c r="N16" s="27">
        <f>'Off-farm feed'!$M$75</f>
        <v>2.1884761697575221E-5</v>
      </c>
      <c r="O16" s="27"/>
      <c r="P16" s="27">
        <f>'Off-farm feed'!$O$75</f>
        <v>5.7027085212127035E-5</v>
      </c>
      <c r="Q16" s="27">
        <f>'Off-farm feed'!$P$75</f>
        <v>2.4173913043478263E-5</v>
      </c>
      <c r="R16" s="148">
        <f>'Parameters, country spec'!B25</f>
        <v>1.5312279516773717E-2</v>
      </c>
      <c r="S16" s="148">
        <f>'Parameters, country spec'!B43</f>
        <v>1.5312279516773717E-2</v>
      </c>
    </row>
    <row r="17" spans="1:20" x14ac:dyDescent="0.35">
      <c r="B17" s="16" t="s">
        <v>232</v>
      </c>
      <c r="C17" s="15" t="s">
        <v>231</v>
      </c>
      <c r="D17" s="21" t="s">
        <v>85</v>
      </c>
      <c r="E17" s="21" t="s">
        <v>35</v>
      </c>
      <c r="F17" s="118">
        <f t="shared" si="0"/>
        <v>4.7266553697523981E-4</v>
      </c>
      <c r="G17" s="27">
        <f>'Off-farm feed'!$F$24</f>
        <v>1.5603516238625262E-5</v>
      </c>
      <c r="H17" s="27">
        <f>'Off-farm feed'!$G$24</f>
        <v>7.5304878048780503E-5</v>
      </c>
      <c r="I17" s="27"/>
      <c r="J17" s="27"/>
      <c r="K17" s="27">
        <f>'Off-farm feed'!$J$24</f>
        <v>1.908459074435586E-5</v>
      </c>
      <c r="L17" s="27"/>
      <c r="M17" s="27">
        <f>'Off-farm feed'!$L$24</f>
        <v>5.9672097439024396E-7</v>
      </c>
      <c r="N17" s="27">
        <f>'Off-farm feed'!$M$24</f>
        <v>2.3084271612619523E-5</v>
      </c>
      <c r="O17" s="27"/>
      <c r="P17" s="27">
        <f>'Off-farm feed'!$O$24</f>
        <v>1.2899155935646844E-4</v>
      </c>
      <c r="Q17" s="27">
        <f>'Off-farm feed'!$P$24</f>
        <v>2.1000000000000001E-4</v>
      </c>
      <c r="R17" s="148">
        <f>'Parameters, country spec'!B26</f>
        <v>3.7726798982461625E-2</v>
      </c>
      <c r="S17" s="148">
        <f>'Parameters, country spec'!B44</f>
        <v>3.7726798982461625E-2</v>
      </c>
    </row>
    <row r="18" spans="1:20" x14ac:dyDescent="0.35">
      <c r="B18" s="15" t="s">
        <v>117</v>
      </c>
      <c r="C18" s="15" t="s">
        <v>233</v>
      </c>
      <c r="D18" s="21" t="s">
        <v>85</v>
      </c>
      <c r="E18" s="21" t="s">
        <v>35</v>
      </c>
      <c r="F18" s="579">
        <f t="shared" si="0"/>
        <v>1.1635230536951896E-3</v>
      </c>
      <c r="G18" s="93">
        <v>8.6135251234116994E-5</v>
      </c>
      <c r="H18" s="93">
        <v>4.7537999999999998E-5</v>
      </c>
      <c r="I18" s="42"/>
      <c r="J18" s="42"/>
      <c r="K18" s="93">
        <v>2.1158324202862201E-5</v>
      </c>
      <c r="L18" s="42"/>
      <c r="M18" s="42"/>
      <c r="N18" s="93"/>
      <c r="O18" s="93"/>
      <c r="P18" s="93">
        <v>9.9818289932063491E-4</v>
      </c>
      <c r="Q18" s="93">
        <v>1.05085789375756E-5</v>
      </c>
      <c r="R18" s="148">
        <f>'Parameters, country spec'!B27</f>
        <v>1.6611298610472246E-2</v>
      </c>
      <c r="S18" s="148">
        <f>'Parameters, country spec'!B45</f>
        <v>1.6611298610472246E-2</v>
      </c>
      <c r="T18" t="s">
        <v>403</v>
      </c>
    </row>
    <row r="19" spans="1:20" x14ac:dyDescent="0.35">
      <c r="A19" s="75"/>
      <c r="B19" s="15" t="s">
        <v>234</v>
      </c>
      <c r="C19" s="76" t="s">
        <v>235</v>
      </c>
      <c r="D19" s="21" t="s">
        <v>85</v>
      </c>
      <c r="E19" s="21" t="s">
        <v>35</v>
      </c>
      <c r="F19" s="118">
        <f t="shared" si="0"/>
        <v>2.7471531132689413E-5</v>
      </c>
      <c r="G19" s="74">
        <f>SUMPRODUCT(G9:G17,$R9:$R17)</f>
        <v>6.1971633117853115E-6</v>
      </c>
      <c r="H19" s="74">
        <f t="shared" ref="H19:P19" si="1">SUMPRODUCT(H9:H17,$R9:$R17)</f>
        <v>4.6871072463339112E-6</v>
      </c>
      <c r="I19" s="74">
        <f t="shared" si="1"/>
        <v>0</v>
      </c>
      <c r="J19" s="74">
        <f t="shared" si="1"/>
        <v>0</v>
      </c>
      <c r="K19" s="74">
        <f t="shared" si="1"/>
        <v>1.0368341712203581E-6</v>
      </c>
      <c r="L19" s="74">
        <f t="shared" si="1"/>
        <v>0</v>
      </c>
      <c r="M19" s="74">
        <f t="shared" si="1"/>
        <v>5.1190267198919996E-8</v>
      </c>
      <c r="N19" s="74">
        <f t="shared" si="1"/>
        <v>1.4667973372273371E-6</v>
      </c>
      <c r="O19" s="74">
        <f t="shared" si="1"/>
        <v>0</v>
      </c>
      <c r="P19" s="74">
        <f t="shared" si="1"/>
        <v>5.7396532990707141E-6</v>
      </c>
      <c r="Q19" s="74">
        <f>SUMPRODUCT(Q9:Q17,$R9:$R17)</f>
        <v>8.2927854998528619E-6</v>
      </c>
      <c r="R19" s="148">
        <f>'Parameters, country spec'!B28</f>
        <v>1.3754938185521381E-2</v>
      </c>
      <c r="S19" s="148">
        <f>'Parameters, country spec'!B46</f>
        <v>1.3754938185521381E-2</v>
      </c>
    </row>
    <row r="20" spans="1:20" x14ac:dyDescent="0.35">
      <c r="A20" s="321"/>
      <c r="B20" s="322" t="s">
        <v>541</v>
      </c>
      <c r="C20" s="323"/>
      <c r="D20" s="324"/>
      <c r="E20" s="324"/>
      <c r="F20" s="327">
        <f>SUMPRODUCT(F6:F8,R6:R8)+SUMPRODUCT(F9:F19,R9:R19)/0.87</f>
        <v>7.8920621994891269E-4</v>
      </c>
      <c r="G20" s="327">
        <f>SUMPRODUCT(G6:G8,R6:R8)+SUMPRODUCT(G9:G19,R9:R19)/0.87</f>
        <v>1.8817129525460649E-5</v>
      </c>
      <c r="H20" s="327">
        <f>SUMPRODUCT(H6:H8,R6:R8)+SUMPRODUCT(H9:H19,R9:R19)/0.87</f>
        <v>9.2359093048394227E-5</v>
      </c>
      <c r="I20" s="327">
        <f>SUMPRODUCT(I6:I8,R6:R8)+SUMPRODUCT(I9:I19,R9:R19)/0.87</f>
        <v>0</v>
      </c>
      <c r="J20" s="327">
        <f>SUMPRODUCT(J6:J8,R6:R8)+SUMPRODUCT(J9:J19,R9:R19)/0.87</f>
        <v>0</v>
      </c>
      <c r="K20" s="327">
        <f>SUMPRODUCT(K6:K8,R6:R8)+SUMPRODUCT(K9:K19,R9:R19)/0.87</f>
        <v>6.3627853285144764E-6</v>
      </c>
      <c r="L20" s="327">
        <f>SUMPRODUCT(L6:L8,R6:R8)+SUMPRODUCT(L9:L19,R9:R19)/0.87</f>
        <v>0</v>
      </c>
      <c r="M20" s="327">
        <f>SUMPRODUCT(M6:M8,R6:R8)+SUMPRODUCT(M9:M19,R9:R19)/0.87</f>
        <v>2.8523456794810613E-6</v>
      </c>
      <c r="N20" s="327">
        <f>SUMPRODUCT(N6:N8,R6:R8)+SUMPRODUCT(N9:N19,R9:R19)/0.87</f>
        <v>1.7091644183121685E-6</v>
      </c>
      <c r="O20" s="327">
        <f>SUMPRODUCT(O6:O8,R6:R8)+SUMPRODUCT(O9:O19,R9:R19)/0.87</f>
        <v>0</v>
      </c>
      <c r="P20" s="327">
        <f>SUMPRODUCT(P6:P8,R6:R8)+SUMPRODUCT(P9:P19,R9:R19)/0.87</f>
        <v>6.5724200839186158E-4</v>
      </c>
      <c r="Q20" s="327">
        <f>SUMPRODUCT(Q6:Q8,R6:R8)+SUMPRODUCT(Q9:Q19,R9:R19)/0.87</f>
        <v>9.8636935568884071E-6</v>
      </c>
      <c r="R20" s="328"/>
      <c r="S20" s="328"/>
    </row>
    <row r="21" spans="1:20" x14ac:dyDescent="0.35">
      <c r="A21" s="147"/>
      <c r="B21" s="23" t="s">
        <v>428</v>
      </c>
      <c r="C21" s="24"/>
      <c r="D21" s="94"/>
      <c r="E21" s="94"/>
      <c r="F21" s="28">
        <f>SUMPRODUCT(F6:F8,S6:S8)+SUMPRODUCT(F9:F19,S9:S19)/0.87</f>
        <v>7.8920621994891269E-4</v>
      </c>
      <c r="G21" s="28">
        <f>SUMPRODUCT(G6:G8,S6:S8)+SUMPRODUCT(G9:G19,S9:S19)/0.87</f>
        <v>1.8817129525460649E-5</v>
      </c>
      <c r="H21" s="28">
        <f>SUMPRODUCT(H6:H8,S6:S8)+SUMPRODUCT(H9:H19,S9:S19)/0.87</f>
        <v>9.2359093048394227E-5</v>
      </c>
      <c r="I21" s="28">
        <f>SUMPRODUCT(I6:I8,S6:S8)+SUMPRODUCT(I9:I19,S9:S19)/0.87</f>
        <v>0</v>
      </c>
      <c r="J21" s="28">
        <f>SUMPRODUCT(J6:J8,S6:S8)+SUMPRODUCT(J9:J19,S9:S19)/0.87</f>
        <v>0</v>
      </c>
      <c r="K21" s="28">
        <f>SUMPRODUCT(K6:K8,S6:S8)+SUMPRODUCT(K9:K19,S9:S19)/0.87</f>
        <v>6.3627853285144764E-6</v>
      </c>
      <c r="L21" s="28">
        <f>SUMPRODUCT(L6:L8,S6:S8)+SUMPRODUCT(L9:L19,S9:S19)/0.87</f>
        <v>0</v>
      </c>
      <c r="M21" s="28">
        <f>SUMPRODUCT(M6:M8,S6:S8)+SUMPRODUCT(M9:M19,S9:S19)/0.87</f>
        <v>2.8523456794810613E-6</v>
      </c>
      <c r="N21" s="28">
        <f>SUMPRODUCT(N6:N8,S6:S8)+SUMPRODUCT(N9:N19,S9:S19)/0.87</f>
        <v>1.7091644183121685E-6</v>
      </c>
      <c r="O21" s="28">
        <f>SUMPRODUCT(O6:O8,S6:S8)+SUMPRODUCT(O9:O19,S9:S19)/0.87</f>
        <v>0</v>
      </c>
      <c r="P21" s="28">
        <f>SUMPRODUCT(P6:P8,S6:S8)+SUMPRODUCT(P9:P19,S9:S19)/0.87</f>
        <v>6.5724200839186158E-4</v>
      </c>
      <c r="Q21" s="28">
        <f>SUMPRODUCT(Q6:Q8,S6:S8)+SUMPRODUCT(Q9:Q19,S9:S19)/0.87</f>
        <v>9.8636935568884071E-6</v>
      </c>
      <c r="R21" s="149"/>
      <c r="S21" s="149"/>
    </row>
    <row r="22" spans="1:20" x14ac:dyDescent="0.35">
      <c r="B22" s="16" t="s">
        <v>285</v>
      </c>
      <c r="C22" s="15" t="s">
        <v>288</v>
      </c>
      <c r="D22" s="21" t="s">
        <v>36</v>
      </c>
      <c r="E22" s="21" t="s">
        <v>37</v>
      </c>
      <c r="F22" s="118">
        <f>SUM(G22:Q22)</f>
        <v>1.3388596486894555E-4</v>
      </c>
      <c r="G22" s="27">
        <f>'Forage crops, CF'!F14</f>
        <v>3.3081003708430824E-5</v>
      </c>
      <c r="H22" s="27">
        <f>'Forage crops, CF'!G14</f>
        <v>9.5000000000000005E-5</v>
      </c>
      <c r="I22" s="27">
        <f>'Forage crops, CF'!H14</f>
        <v>0</v>
      </c>
      <c r="J22" s="27">
        <f>'Forage crops, CF'!I14</f>
        <v>0</v>
      </c>
      <c r="K22" s="27">
        <f>'Forage crops, CF'!J14</f>
        <v>5.8049611605147208E-6</v>
      </c>
      <c r="L22" s="27">
        <f>'Forage crops, CF'!K14</f>
        <v>0</v>
      </c>
      <c r="M22" s="27">
        <f>'Forage crops, CF'!L14</f>
        <v>0</v>
      </c>
      <c r="N22" s="27">
        <f>'Forage crops, CF'!M14</f>
        <v>0</v>
      </c>
      <c r="O22" s="27">
        <f>'Forage crops, CF'!N14</f>
        <v>0</v>
      </c>
      <c r="P22" s="27">
        <f>'Forage crops, CF'!O14</f>
        <v>0</v>
      </c>
      <c r="Q22" s="27">
        <f>'Forage crops, CF'!P14</f>
        <v>0</v>
      </c>
      <c r="R22" s="148">
        <f>'Parameters, country spec'!C15</f>
        <v>0.18889688285610365</v>
      </c>
      <c r="S22" s="148">
        <f>'Parameters, country spec'!C33</f>
        <v>0.18889688285610365</v>
      </c>
    </row>
    <row r="23" spans="1:20" x14ac:dyDescent="0.35">
      <c r="B23" s="16" t="s">
        <v>286</v>
      </c>
      <c r="C23" s="15" t="s">
        <v>288</v>
      </c>
      <c r="D23" s="21" t="s">
        <v>36</v>
      </c>
      <c r="E23" s="21" t="s">
        <v>37</v>
      </c>
      <c r="F23" s="118">
        <f>SUM(G23:Q23)</f>
        <v>8.6666830127486087E-4</v>
      </c>
      <c r="G23" s="27">
        <f>'Forage crops, CF'!F79</f>
        <v>3.3552545797205459E-5</v>
      </c>
      <c r="H23" s="27">
        <f>'Forage crops, CF'!G79</f>
        <v>9.5000000000000005E-5</v>
      </c>
      <c r="I23" s="27"/>
      <c r="J23" s="27"/>
      <c r="K23" s="27">
        <f>'Forage crops, CF'!J79</f>
        <v>7.2812328576555162E-6</v>
      </c>
      <c r="L23" s="27"/>
      <c r="M23" s="27">
        <f>'Forage crops, CF'!L79</f>
        <v>2.2834522620000003E-5</v>
      </c>
      <c r="N23" s="27">
        <f>'Forage crops, CF'!M79</f>
        <v>0</v>
      </c>
      <c r="O23" s="27"/>
      <c r="P23" s="27">
        <f>'Forage crops, CF'!O79</f>
        <v>7.0799999999999997E-4</v>
      </c>
      <c r="Q23" s="27"/>
      <c r="R23" s="148">
        <f>'Parameters, country spec'!C16</f>
        <v>0.36965765773619236</v>
      </c>
      <c r="S23" s="148">
        <f>'Parameters, country spec'!C34</f>
        <v>0.36965765773619236</v>
      </c>
    </row>
    <row r="24" spans="1:20" x14ac:dyDescent="0.35">
      <c r="B24" s="16" t="s">
        <v>287</v>
      </c>
      <c r="C24" s="15" t="s">
        <v>288</v>
      </c>
      <c r="D24" s="21" t="s">
        <v>36</v>
      </c>
      <c r="E24" s="21" t="s">
        <v>37</v>
      </c>
      <c r="F24" s="118">
        <f>SUM(G24:Q24)</f>
        <v>8.3876933352423824E-4</v>
      </c>
      <c r="G24" s="27">
        <f>'Forage crops, CF'!F144*'Forage, input data per ha'!$E$79+'Forage crops, CF'!F209*'Forage, input data per ha'!$G$79</f>
        <v>2.9975882368115792E-5</v>
      </c>
      <c r="H24" s="27">
        <f>'Forage crops, CF'!G144*'Forage, input data per ha'!$E$79+'Forage crops, CF'!G209*'Forage, input data per ha'!$G$79</f>
        <v>9.5000000000000005E-5</v>
      </c>
      <c r="I24" s="27"/>
      <c r="J24" s="27"/>
      <c r="K24" s="27">
        <f>'Forage crops, CF'!J144*'Forage, input data per ha'!$E$79+'Forage crops, CF'!J209*'Forage, input data per ha'!$G$79</f>
        <v>5.7934511561224962E-6</v>
      </c>
      <c r="L24" s="27"/>
      <c r="M24" s="27">
        <f>'Forage crops, CF'!L144*'Forage, input data per ha'!$E$79+'Forage crops, CF'!L209*'Forage, input data per ha'!$G$79</f>
        <v>0</v>
      </c>
      <c r="N24" s="27">
        <f>'Forage crops, CF'!M144*'Forage, input data per ha'!$E$79+'Forage crops, CF'!M209*'Forage, input data per ha'!$G$79</f>
        <v>0</v>
      </c>
      <c r="O24" s="27"/>
      <c r="P24" s="27">
        <f>'Forage crops, CF'!O144*'Forage, input data per ha'!$E$79+'Forage crops, CF'!O209*'Forage, input data per ha'!$G$79</f>
        <v>7.0799999999999997E-4</v>
      </c>
      <c r="Q24" s="27"/>
      <c r="R24" s="148">
        <f>'Parameters, country spec'!C17</f>
        <v>0.23243726980023638</v>
      </c>
      <c r="S24" s="148">
        <f>'Parameters, country spec'!C35</f>
        <v>0.23243726980023638</v>
      </c>
    </row>
    <row r="25" spans="1:20" x14ac:dyDescent="0.35">
      <c r="A25" s="20" t="s">
        <v>222</v>
      </c>
      <c r="B25" s="15" t="s">
        <v>108</v>
      </c>
      <c r="C25" s="15" t="s">
        <v>223</v>
      </c>
      <c r="D25" s="21" t="s">
        <v>36</v>
      </c>
      <c r="E25" s="21" t="s">
        <v>37</v>
      </c>
      <c r="F25" s="118">
        <f>SUM(G25:Q25)</f>
        <v>2.8210000000000003E-4</v>
      </c>
      <c r="G25" s="93">
        <v>1.4999999999999999E-4</v>
      </c>
      <c r="H25" s="93">
        <v>1E-4</v>
      </c>
      <c r="I25" s="93"/>
      <c r="J25" s="93"/>
      <c r="K25" s="93">
        <v>1.3200000000000001E-5</v>
      </c>
      <c r="L25" s="93"/>
      <c r="M25" s="93">
        <v>9.9999999999999995E-7</v>
      </c>
      <c r="N25" s="93">
        <v>1.7900000000000001E-5</v>
      </c>
      <c r="O25" s="93"/>
      <c r="P25" s="93"/>
      <c r="Q25" s="93"/>
      <c r="R25" s="148">
        <f>'Parameters, country spec'!C18</f>
        <v>9.8050025013408561E-3</v>
      </c>
      <c r="S25" s="148">
        <f>'Parameters, country spec'!C36</f>
        <v>9.8050025013408561E-3</v>
      </c>
    </row>
    <row r="26" spans="1:20" x14ac:dyDescent="0.35">
      <c r="A26" s="20" t="s">
        <v>224</v>
      </c>
      <c r="B26" s="15" t="s">
        <v>109</v>
      </c>
      <c r="C26" s="15" t="s">
        <v>223</v>
      </c>
      <c r="D26" s="21" t="s">
        <v>36</v>
      </c>
      <c r="E26" s="21" t="s">
        <v>37</v>
      </c>
      <c r="F26" s="118">
        <f t="shared" ref="F26:F35" si="2">SUM(G26:Q26)</f>
        <v>2.9971000000000002E-4</v>
      </c>
      <c r="G26" s="93">
        <v>1.4999999999999999E-4</v>
      </c>
      <c r="H26" s="93">
        <v>1E-4</v>
      </c>
      <c r="I26" s="93"/>
      <c r="J26" s="93"/>
      <c r="K26" s="93">
        <v>9.0100000000000001E-6</v>
      </c>
      <c r="L26" s="93"/>
      <c r="M26" s="93">
        <v>2.2799999999999999E-5</v>
      </c>
      <c r="N26" s="93">
        <v>1.7900000000000001E-5</v>
      </c>
      <c r="O26" s="93"/>
      <c r="P26" s="93"/>
      <c r="Q26" s="93"/>
      <c r="R26" s="148">
        <f>'Parameters, country spec'!C19</f>
        <v>1.6126916347682995E-2</v>
      </c>
      <c r="S26" s="148">
        <f>'Parameters, country spec'!C37</f>
        <v>1.6126916347682995E-2</v>
      </c>
    </row>
    <row r="27" spans="1:20" x14ac:dyDescent="0.35">
      <c r="A27" s="20" t="s">
        <v>225</v>
      </c>
      <c r="B27" s="15" t="s">
        <v>110</v>
      </c>
      <c r="C27" s="15" t="s">
        <v>223</v>
      </c>
      <c r="D27" s="21" t="s">
        <v>36</v>
      </c>
      <c r="E27" s="21" t="s">
        <v>37</v>
      </c>
      <c r="F27" s="118">
        <f t="shared" si="2"/>
        <v>2.7940000000000002E-4</v>
      </c>
      <c r="G27" s="93">
        <v>1.2999999999999999E-4</v>
      </c>
      <c r="H27" s="93">
        <v>1E-4</v>
      </c>
      <c r="I27" s="93"/>
      <c r="J27" s="93"/>
      <c r="K27" s="93">
        <v>1.8199999999999999E-5</v>
      </c>
      <c r="L27" s="93"/>
      <c r="M27" s="93">
        <v>1.33E-5</v>
      </c>
      <c r="N27" s="93">
        <v>1.7900000000000001E-5</v>
      </c>
      <c r="O27" s="93"/>
      <c r="P27" s="93"/>
      <c r="Q27" s="93"/>
      <c r="R27" s="148">
        <f>'Parameters, country spec'!C20</f>
        <v>1.1110741938309403E-3</v>
      </c>
      <c r="S27" s="148">
        <f>'Parameters, country spec'!C38</f>
        <v>1.1110741938309403E-3</v>
      </c>
    </row>
    <row r="28" spans="1:20" x14ac:dyDescent="0.35">
      <c r="A28" s="20" t="s">
        <v>226</v>
      </c>
      <c r="B28" s="15" t="s">
        <v>111</v>
      </c>
      <c r="C28" s="15" t="s">
        <v>223</v>
      </c>
      <c r="D28" s="21" t="s">
        <v>36</v>
      </c>
      <c r="E28" s="21" t="s">
        <v>37</v>
      </c>
      <c r="F28" s="118">
        <f t="shared" si="2"/>
        <v>2.5635100000000004E-4</v>
      </c>
      <c r="G28" s="93">
        <v>1.2E-4</v>
      </c>
      <c r="H28" s="93">
        <v>1E-4</v>
      </c>
      <c r="I28" s="93"/>
      <c r="J28" s="93"/>
      <c r="K28" s="93">
        <v>1.8199999999999999E-5</v>
      </c>
      <c r="L28" s="93"/>
      <c r="M28" s="93">
        <v>2.5100000000000001E-7</v>
      </c>
      <c r="N28" s="93">
        <v>1.7900000000000001E-5</v>
      </c>
      <c r="O28" s="93"/>
      <c r="P28" s="93"/>
      <c r="Q28" s="93"/>
      <c r="R28" s="148">
        <f>'Parameters, country spec'!C21</f>
        <v>1.7062794715375247E-4</v>
      </c>
      <c r="S28" s="148">
        <f>'Parameters, country spec'!C39</f>
        <v>1.7062794715375247E-4</v>
      </c>
    </row>
    <row r="29" spans="1:20" x14ac:dyDescent="0.35">
      <c r="A29" s="20" t="s">
        <v>227</v>
      </c>
      <c r="B29" s="15" t="s">
        <v>112</v>
      </c>
      <c r="C29" s="15" t="s">
        <v>223</v>
      </c>
      <c r="D29" s="21" t="s">
        <v>36</v>
      </c>
      <c r="E29" s="21" t="s">
        <v>37</v>
      </c>
      <c r="F29" s="118">
        <f t="shared" si="2"/>
        <v>3.0055300000000001E-4</v>
      </c>
      <c r="G29" s="93">
        <v>1.7000000000000001E-4</v>
      </c>
      <c r="H29" s="93">
        <v>1E-4</v>
      </c>
      <c r="I29" s="93"/>
      <c r="J29" s="93"/>
      <c r="K29" s="93">
        <v>1.19E-5</v>
      </c>
      <c r="L29" s="93"/>
      <c r="M29" s="93">
        <v>7.5300000000000003E-7</v>
      </c>
      <c r="N29" s="93">
        <v>1.7900000000000001E-5</v>
      </c>
      <c r="O29" s="93"/>
      <c r="P29" s="93"/>
      <c r="Q29" s="93"/>
      <c r="R29" s="148">
        <f>'Parameters, country spec'!C22</f>
        <v>2.3886940717374589E-2</v>
      </c>
      <c r="S29" s="148">
        <f>'Parameters, country spec'!C40</f>
        <v>2.3886940717374589E-2</v>
      </c>
    </row>
    <row r="30" spans="1:20" x14ac:dyDescent="0.35">
      <c r="A30" s="20" t="s">
        <v>228</v>
      </c>
      <c r="B30" s="15" t="s">
        <v>113</v>
      </c>
      <c r="C30" s="15" t="s">
        <v>229</v>
      </c>
      <c r="D30" s="21" t="s">
        <v>36</v>
      </c>
      <c r="E30" s="21" t="s">
        <v>37</v>
      </c>
      <c r="F30" s="118">
        <f t="shared" si="2"/>
        <v>1.4692000000000001E-4</v>
      </c>
      <c r="G30" s="93">
        <v>0</v>
      </c>
      <c r="H30" s="93">
        <v>1E-4</v>
      </c>
      <c r="I30" s="93"/>
      <c r="J30" s="93"/>
      <c r="K30" s="93">
        <v>2.2500000000000001E-5</v>
      </c>
      <c r="L30" s="93"/>
      <c r="M30" s="93">
        <v>6.5200000000000003E-6</v>
      </c>
      <c r="N30" s="93">
        <v>1.7900000000000001E-5</v>
      </c>
      <c r="O30" s="93"/>
      <c r="P30" s="93"/>
      <c r="Q30" s="93"/>
      <c r="R30" s="148">
        <f>'Parameters, country spec'!C23</f>
        <v>0</v>
      </c>
      <c r="S30" s="148">
        <f>'Parameters, country spec'!C41</f>
        <v>0</v>
      </c>
    </row>
    <row r="31" spans="1:20" x14ac:dyDescent="0.35">
      <c r="A31" s="20" t="s">
        <v>230</v>
      </c>
      <c r="B31" s="15" t="s">
        <v>114</v>
      </c>
      <c r="C31" s="15" t="s">
        <v>229</v>
      </c>
      <c r="D31" s="21" t="s">
        <v>36</v>
      </c>
      <c r="E31" s="21" t="s">
        <v>37</v>
      </c>
      <c r="F31" s="118">
        <f t="shared" si="2"/>
        <v>1.674E-4</v>
      </c>
      <c r="G31" s="93">
        <v>7.5000000000000002E-6</v>
      </c>
      <c r="H31" s="93">
        <v>1E-4</v>
      </c>
      <c r="I31" s="93"/>
      <c r="J31" s="93"/>
      <c r="K31" s="93">
        <v>3.0700000000000001E-5</v>
      </c>
      <c r="L31" s="93"/>
      <c r="M31" s="93">
        <v>1.13E-5</v>
      </c>
      <c r="N31" s="93">
        <v>1.7900000000000001E-5</v>
      </c>
      <c r="O31" s="93"/>
      <c r="P31" s="93"/>
      <c r="Q31" s="93"/>
      <c r="R31" s="148">
        <f>'Parameters, country spec'!C24</f>
        <v>0</v>
      </c>
      <c r="S31" s="148">
        <f>'Parameters, country spec'!C42</f>
        <v>0</v>
      </c>
    </row>
    <row r="32" spans="1:20" x14ac:dyDescent="0.35">
      <c r="B32" s="16" t="s">
        <v>115</v>
      </c>
      <c r="C32" s="15" t="s">
        <v>231</v>
      </c>
      <c r="D32" s="21" t="s">
        <v>36</v>
      </c>
      <c r="E32" s="21" t="s">
        <v>37</v>
      </c>
      <c r="F32" s="118">
        <f t="shared" si="2"/>
        <v>4.6478527325651394E-4</v>
      </c>
      <c r="G32" s="27">
        <f>'Off-farm feed'!$F$75</f>
        <v>3.0425509539765719E-4</v>
      </c>
      <c r="H32" s="27">
        <f>'Off-farm feed'!$G$75</f>
        <v>4.5862068965517246E-5</v>
      </c>
      <c r="I32" s="27"/>
      <c r="J32" s="27"/>
      <c r="K32" s="27">
        <f>'Off-farm feed'!$J$75</f>
        <v>1.0936279334641699E-5</v>
      </c>
      <c r="L32" s="27"/>
      <c r="M32" s="27">
        <f>'Off-farm feed'!$L$75</f>
        <v>6.4606960551724142E-7</v>
      </c>
      <c r="N32" s="27">
        <f>'Off-farm feed'!$M$75</f>
        <v>2.1884761697575221E-5</v>
      </c>
      <c r="O32" s="27"/>
      <c r="P32" s="27">
        <f>'Off-farm feed'!$O$75</f>
        <v>5.7027085212127035E-5</v>
      </c>
      <c r="Q32" s="27">
        <f>'Off-farm feed'!$P$75</f>
        <v>2.4173913043478263E-5</v>
      </c>
      <c r="R32" s="148">
        <f>'Parameters, country spec'!C25</f>
        <v>3.0917251771110446E-2</v>
      </c>
      <c r="S32" s="148">
        <f>'Parameters, country spec'!C43</f>
        <v>3.0917251771110446E-2</v>
      </c>
    </row>
    <row r="33" spans="1:19" x14ac:dyDescent="0.35">
      <c r="B33" s="16" t="s">
        <v>232</v>
      </c>
      <c r="C33" s="15" t="s">
        <v>231</v>
      </c>
      <c r="D33" s="21" t="s">
        <v>36</v>
      </c>
      <c r="E33" s="21" t="s">
        <v>37</v>
      </c>
      <c r="F33" s="118">
        <f t="shared" si="2"/>
        <v>4.7266553697523981E-4</v>
      </c>
      <c r="G33" s="27">
        <f>'Off-farm feed'!$F$24</f>
        <v>1.5603516238625262E-5</v>
      </c>
      <c r="H33" s="27">
        <f>'Off-farm feed'!$G$24</f>
        <v>7.5304878048780503E-5</v>
      </c>
      <c r="I33" s="27"/>
      <c r="J33" s="27"/>
      <c r="K33" s="27">
        <f>'Off-farm feed'!$J$24</f>
        <v>1.908459074435586E-5</v>
      </c>
      <c r="L33" s="27"/>
      <c r="M33" s="27">
        <f>'Off-farm feed'!$L$24</f>
        <v>5.9672097439024396E-7</v>
      </c>
      <c r="N33" s="27">
        <f>'Off-farm feed'!$M$24</f>
        <v>2.3084271612619523E-5</v>
      </c>
      <c r="O33" s="27"/>
      <c r="P33" s="27">
        <f>'Off-farm feed'!$O$24</f>
        <v>1.2899155935646844E-4</v>
      </c>
      <c r="Q33" s="27">
        <f>'Off-farm feed'!$P$24</f>
        <v>2.1000000000000001E-4</v>
      </c>
      <c r="R33" s="148">
        <f>'Parameters, country spec'!C26</f>
        <v>2.7855163642864746E-2</v>
      </c>
      <c r="S33" s="148">
        <f>'Parameters, country spec'!C44</f>
        <v>2.7855163642864746E-2</v>
      </c>
    </row>
    <row r="34" spans="1:19" x14ac:dyDescent="0.35">
      <c r="B34" s="15" t="s">
        <v>117</v>
      </c>
      <c r="C34" s="15" t="s">
        <v>233</v>
      </c>
      <c r="D34" s="21" t="s">
        <v>36</v>
      </c>
      <c r="E34" s="21" t="s">
        <v>37</v>
      </c>
      <c r="F34" s="579">
        <f t="shared" si="2"/>
        <v>4.6000977921061839E-4</v>
      </c>
      <c r="G34" s="93">
        <v>8.6947637393862496E-5</v>
      </c>
      <c r="H34" s="93">
        <v>4.7537999999999998E-5</v>
      </c>
      <c r="I34" s="42"/>
      <c r="J34" s="42"/>
      <c r="K34" s="93">
        <v>1.5728572781534499E-5</v>
      </c>
      <c r="L34" s="42"/>
      <c r="M34" s="42"/>
      <c r="N34" s="93"/>
      <c r="O34" s="93"/>
      <c r="P34" s="93">
        <v>3.05272119125027E-4</v>
      </c>
      <c r="Q34" s="93">
        <v>4.5234499101943599E-6</v>
      </c>
      <c r="R34" s="148">
        <f>'Parameters, country spec'!C27</f>
        <v>5.6499694118849607E-2</v>
      </c>
      <c r="S34" s="148">
        <f>'Parameters, country spec'!C45</f>
        <v>5.6499694118849607E-2</v>
      </c>
    </row>
    <row r="35" spans="1:19" x14ac:dyDescent="0.35">
      <c r="A35" s="75"/>
      <c r="B35" s="15" t="s">
        <v>234</v>
      </c>
      <c r="C35" s="76" t="s">
        <v>235</v>
      </c>
      <c r="D35" s="21" t="s">
        <v>36</v>
      </c>
      <c r="E35" s="21" t="s">
        <v>37</v>
      </c>
      <c r="F35" s="118">
        <f t="shared" si="2"/>
        <v>4.2668914965822446E-5</v>
      </c>
      <c r="G35" s="74">
        <f>SUMPRODUCT(G25:G33,$R25:$R33)</f>
        <v>1.7956852633447331E-5</v>
      </c>
      <c r="H35" s="74">
        <f t="shared" ref="H35:P35" si="3">SUMPRODUCT(H25:H33,$R25:$R33)</f>
        <v>8.6256150048439953E-6</v>
      </c>
      <c r="I35" s="74">
        <f t="shared" si="3"/>
        <v>0</v>
      </c>
      <c r="J35" s="74">
        <f t="shared" si="3"/>
        <v>0</v>
      </c>
      <c r="K35" s="74">
        <f t="shared" si="3"/>
        <v>1.4520352226824463E-6</v>
      </c>
      <c r="L35" s="74">
        <f t="shared" si="3"/>
        <v>0</v>
      </c>
      <c r="M35" s="74">
        <f t="shared" si="3"/>
        <v>4.4690213302759175E-7</v>
      </c>
      <c r="N35" s="74">
        <f t="shared" si="3"/>
        <v>2.2343329052626998E-6</v>
      </c>
      <c r="O35" s="74">
        <f t="shared" si="3"/>
        <v>0</v>
      </c>
      <c r="P35" s="74">
        <f t="shared" si="3"/>
        <v>5.3562017456986306E-6</v>
      </c>
      <c r="Q35" s="74">
        <f>SUMPRODUCT(Q25:Q33,$R25:$R33)</f>
        <v>6.596975320859746E-6</v>
      </c>
      <c r="R35" s="148">
        <f>'Parameters, country spec'!C28</f>
        <v>4.2635518367259616E-2</v>
      </c>
      <c r="S35" s="148">
        <f>'Parameters, country spec'!C46</f>
        <v>4.2635518367259616E-2</v>
      </c>
    </row>
    <row r="36" spans="1:19" x14ac:dyDescent="0.35">
      <c r="A36" s="321"/>
      <c r="B36" s="322" t="s">
        <v>541</v>
      </c>
      <c r="C36" s="323"/>
      <c r="D36" s="324"/>
      <c r="E36" s="324"/>
      <c r="F36" s="327">
        <f>SUMPRODUCT(F22:F24,R22:R24)+SUMPRODUCT(F25:F35,R25:R35)/0.87</f>
        <v>6.2163228347921862E-4</v>
      </c>
      <c r="G36" s="327">
        <f>SUMPRODUCT(G22:G24,R22:R24)+SUMPRODUCT(G25:G35,R25:R35)/0.87</f>
        <v>5.2785995277182539E-5</v>
      </c>
      <c r="H36" s="327">
        <f>SUMPRODUCT(H22:H24,R22:R24)+SUMPRODUCT(H25:H35,R25:R35)/0.87</f>
        <v>8.856865305721449E-5</v>
      </c>
      <c r="I36" s="327">
        <f>SUMPRODUCT(I22:I24,R22:R24)+SUMPRODUCT(I25:I35,R25:R35)/0.87</f>
        <v>0</v>
      </c>
      <c r="J36" s="327">
        <f>SUMPRODUCT(J22:J24,R22:R24)+SUMPRODUCT(J25:J35,R25:R35)/0.87</f>
        <v>0</v>
      </c>
      <c r="K36" s="327">
        <f>SUMPRODUCT(K22:K24,R22:R24)+SUMPRODUCT(K25:K35,R25:R35)/0.87</f>
        <v>7.8963292204128979E-6</v>
      </c>
      <c r="L36" s="327">
        <f>SUMPRODUCT(L22:L24,R22:R24)+SUMPRODUCT(L25:L35,R25:R35)/0.87</f>
        <v>0</v>
      </c>
      <c r="M36" s="327">
        <f>SUMPRODUCT(M22:M24,R22:R24)+SUMPRODUCT(M25:M35,R25:R35)/0.87</f>
        <v>8.9765377991053234E-6</v>
      </c>
      <c r="N36" s="327">
        <f>SUMPRODUCT(N22:N24,R22:R24)+SUMPRODUCT(N25:N35,R25:R35)/0.87</f>
        <v>2.6776952263029884E-6</v>
      </c>
      <c r="O36" s="327">
        <f>SUMPRODUCT(O22:O24,R22:R24)+SUMPRODUCT(O25:O35,R25:R35)/0.87</f>
        <v>0</v>
      </c>
      <c r="P36" s="327">
        <f>SUMPRODUCT(P22:P24,R22:R24)+SUMPRODUCT(P25:P35,R25:R35)/0.87</f>
        <v>4.5252728632473772E-4</v>
      </c>
      <c r="Q36" s="327">
        <f>SUMPRODUCT(Q22:Q24,R22:R24)+SUMPRODUCT(Q25:Q35,R25:R35)/0.87</f>
        <v>8.1997865742626891E-6</v>
      </c>
      <c r="R36" s="328"/>
      <c r="S36" s="329"/>
    </row>
    <row r="37" spans="1:19" x14ac:dyDescent="0.35">
      <c r="A37" s="147"/>
      <c r="B37" s="23" t="s">
        <v>428</v>
      </c>
      <c r="C37" s="24"/>
      <c r="D37" s="94"/>
      <c r="E37" s="94"/>
      <c r="F37" s="28">
        <f>SUMPRODUCT(F22:F24,S22:S24)+SUMPRODUCT(F25:F35,S25:S35)/0.87</f>
        <v>6.2163228347921862E-4</v>
      </c>
      <c r="G37" s="28">
        <f>SUMPRODUCT(G22:G24,S22:S24)+SUMPRODUCT(G25:G35,S25:S35)/0.87</f>
        <v>5.2785995277182539E-5</v>
      </c>
      <c r="H37" s="28">
        <f>SUMPRODUCT(H22:H24,S22:S24)+SUMPRODUCT(H25:H35,S25:S35)/0.87</f>
        <v>8.856865305721449E-5</v>
      </c>
      <c r="I37" s="28">
        <f>SUMPRODUCT(I22:I24,S22:S24)+SUMPRODUCT(I25:I35,S25:S35)/0.87</f>
        <v>0</v>
      </c>
      <c r="J37" s="28">
        <f>SUMPRODUCT(J22:J24,S22:S24)+SUMPRODUCT(J25:J35,S25:S35)/0.87</f>
        <v>0</v>
      </c>
      <c r="K37" s="28">
        <f>SUMPRODUCT(K22:K24,S22:S24)+SUMPRODUCT(K25:K35,S25:S35)/0.87</f>
        <v>7.8963292204128979E-6</v>
      </c>
      <c r="L37" s="28">
        <f>SUMPRODUCT(L22:L24,S22:S24)+SUMPRODUCT(L25:L35,S25:S35)/0.87</f>
        <v>0</v>
      </c>
      <c r="M37" s="28">
        <f>SUMPRODUCT(M22:M24,S22:S24)+SUMPRODUCT(M25:M35,S25:S35)/0.87</f>
        <v>8.9765377991053234E-6</v>
      </c>
      <c r="N37" s="28">
        <f>SUMPRODUCT(N22:N24,S22:S24)+SUMPRODUCT(N25:N35,S25:S35)/0.87</f>
        <v>2.6776952263029884E-6</v>
      </c>
      <c r="O37" s="28">
        <f>SUMPRODUCT(O22:O24,S22:S24)+SUMPRODUCT(O25:O35,S25:S35)/0.87</f>
        <v>0</v>
      </c>
      <c r="P37" s="28">
        <f>SUMPRODUCT(P22:P24,S22:S24)+SUMPRODUCT(P25:P35,S25:S35)/0.87</f>
        <v>4.5252728632473772E-4</v>
      </c>
      <c r="Q37" s="28">
        <f>SUMPRODUCT(Q22:Q24,S22:S24)+SUMPRODUCT(Q25:Q35,S25:S35)/0.87</f>
        <v>8.1997865742626891E-6</v>
      </c>
      <c r="R37" s="149"/>
      <c r="S37" s="149"/>
    </row>
    <row r="38" spans="1:19" x14ac:dyDescent="0.35">
      <c r="B38" s="16" t="s">
        <v>285</v>
      </c>
      <c r="C38" s="15" t="s">
        <v>288</v>
      </c>
      <c r="D38" s="21" t="s">
        <v>38</v>
      </c>
      <c r="E38" s="21" t="s">
        <v>39</v>
      </c>
      <c r="F38" s="118">
        <f>SUM(G38:Q38)</f>
        <v>1.3959717150898213E-4</v>
      </c>
      <c r="G38" s="27">
        <f>'Forage crops, CF'!F19</f>
        <v>3.8766361483709314E-5</v>
      </c>
      <c r="H38" s="27">
        <f>'Forage crops, CF'!G19</f>
        <v>9.5000000000000005E-5</v>
      </c>
      <c r="I38" s="27">
        <f>'Forage crops, CF'!H19</f>
        <v>0</v>
      </c>
      <c r="J38" s="27">
        <f>'Forage crops, CF'!I19</f>
        <v>0</v>
      </c>
      <c r="K38" s="27">
        <f>'Forage crops, CF'!J19</f>
        <v>5.8308100252728102E-6</v>
      </c>
      <c r="L38" s="27">
        <f>'Forage crops, CF'!K19</f>
        <v>0</v>
      </c>
      <c r="M38" s="27">
        <f>'Forage crops, CF'!L19</f>
        <v>0</v>
      </c>
      <c r="N38" s="27">
        <f>'Forage crops, CF'!M19</f>
        <v>0</v>
      </c>
      <c r="O38" s="27">
        <f>'Forage crops, CF'!N19</f>
        <v>0</v>
      </c>
      <c r="P38" s="27">
        <f>'Forage crops, CF'!O19</f>
        <v>0</v>
      </c>
      <c r="Q38" s="27">
        <f>'Forage crops, CF'!P19</f>
        <v>0</v>
      </c>
      <c r="R38" s="148">
        <f>'Parameters, country spec'!D15</f>
        <v>0.26457370102986028</v>
      </c>
      <c r="S38" s="148">
        <f>'Parameters, country spec'!D33</f>
        <v>0.26457370102986028</v>
      </c>
    </row>
    <row r="39" spans="1:19" x14ac:dyDescent="0.35">
      <c r="B39" s="16" t="s">
        <v>286</v>
      </c>
      <c r="C39" s="15" t="s">
        <v>288</v>
      </c>
      <c r="D39" s="21" t="s">
        <v>38</v>
      </c>
      <c r="E39" s="21" t="s">
        <v>39</v>
      </c>
      <c r="F39" s="118">
        <f>SUM(G39:Q39)</f>
        <v>8.3667253398757248E-4</v>
      </c>
      <c r="G39" s="27">
        <f>'Forage crops, CF'!F84</f>
        <v>2.2474024037107735E-5</v>
      </c>
      <c r="H39" s="27">
        <f>'Forage crops, CF'!G84</f>
        <v>9.5000000000000005E-5</v>
      </c>
      <c r="I39" s="27"/>
      <c r="J39" s="27"/>
      <c r="K39" s="27">
        <f>'Forage crops, CF'!J84</f>
        <v>5.9290047304648054E-6</v>
      </c>
      <c r="L39" s="27"/>
      <c r="M39" s="27">
        <f>'Forage crops, CF'!L84</f>
        <v>5.26950522E-6</v>
      </c>
      <c r="N39" s="27">
        <f>'Forage crops, CF'!M84</f>
        <v>0</v>
      </c>
      <c r="O39" s="27"/>
      <c r="P39" s="27">
        <f>'Forage crops, CF'!O84</f>
        <v>7.0799999999999997E-4</v>
      </c>
      <c r="Q39" s="27"/>
      <c r="R39" s="148">
        <f>'Parameters, country spec'!D16</f>
        <v>0.47771254487501524</v>
      </c>
      <c r="S39" s="148">
        <f>'Parameters, country spec'!D34</f>
        <v>0.47771254487501524</v>
      </c>
    </row>
    <row r="40" spans="1:19" x14ac:dyDescent="0.35">
      <c r="B40" s="16" t="s">
        <v>287</v>
      </c>
      <c r="C40" s="15" t="s">
        <v>288</v>
      </c>
      <c r="D40" s="21" t="s">
        <v>38</v>
      </c>
      <c r="E40" s="21" t="s">
        <v>39</v>
      </c>
      <c r="F40" s="118">
        <f>SUM(G40:Q40)</f>
        <v>8.4256424429798014E-4</v>
      </c>
      <c r="G40" s="27">
        <f>'Forage crops, CF'!F149*'Forage, input data per ha'!$E$80+'Forage crops, CF'!F214*'Forage, input data per ha'!$G$80</f>
        <v>3.3509059208259762E-5</v>
      </c>
      <c r="H40" s="27">
        <f>'Forage crops, CF'!G149*'Forage, input data per ha'!$E$80+'Forage crops, CF'!G214*'Forage, input data per ha'!$G$80</f>
        <v>9.5000000000000005E-5</v>
      </c>
      <c r="I40" s="27"/>
      <c r="J40" s="27"/>
      <c r="K40" s="27">
        <f>'Forage crops, CF'!J149*'Forage, input data per ha'!$E$80+'Forage crops, CF'!J214*'Forage, input data per ha'!$G$80</f>
        <v>6.0551850897204147E-6</v>
      </c>
      <c r="L40" s="27"/>
      <c r="M40" s="27">
        <f>'Forage crops, CF'!L149*'Forage, input data per ha'!$E$80+'Forage crops, CF'!L214*'Forage, input data per ha'!$G$80</f>
        <v>0</v>
      </c>
      <c r="N40" s="27">
        <f>'Forage crops, CF'!M149*'Forage, input data per ha'!$E$80+'Forage crops, CF'!M214*'Forage, input data per ha'!$G$80</f>
        <v>0</v>
      </c>
      <c r="O40" s="27"/>
      <c r="P40" s="27">
        <f>'Forage crops, CF'!O149*'Forage, input data per ha'!$E$80+'Forage crops, CF'!O214*'Forage, input data per ha'!$G$80</f>
        <v>7.0799999999999997E-4</v>
      </c>
      <c r="Q40" s="27"/>
      <c r="R40" s="148">
        <f>'Parameters, country spec'!D17</f>
        <v>0.13883749692306407</v>
      </c>
      <c r="S40" s="148">
        <f>'Parameters, country spec'!D35</f>
        <v>0.13883749692306407</v>
      </c>
    </row>
    <row r="41" spans="1:19" x14ac:dyDescent="0.35">
      <c r="A41" s="20" t="s">
        <v>222</v>
      </c>
      <c r="B41" s="15" t="s">
        <v>108</v>
      </c>
      <c r="C41" s="15" t="s">
        <v>223</v>
      </c>
      <c r="D41" s="21" t="s">
        <v>38</v>
      </c>
      <c r="E41" s="21" t="s">
        <v>39</v>
      </c>
      <c r="F41" s="118">
        <f>SUM(G41:Q41)</f>
        <v>2.9299999999999997E-4</v>
      </c>
      <c r="G41" s="93">
        <v>1.4999999999999999E-4</v>
      </c>
      <c r="H41" s="93">
        <v>1E-4</v>
      </c>
      <c r="I41" s="93"/>
      <c r="J41" s="93"/>
      <c r="K41" s="93">
        <v>1.27E-5</v>
      </c>
      <c r="L41" s="93"/>
      <c r="M41" s="93">
        <v>0</v>
      </c>
      <c r="N41" s="93">
        <v>3.0300000000000001E-5</v>
      </c>
      <c r="O41" s="93"/>
      <c r="P41" s="93"/>
      <c r="Q41" s="93"/>
      <c r="R41" s="148">
        <f>'Parameters, country spec'!D18</f>
        <v>1.298916356294802E-3</v>
      </c>
      <c r="S41" s="148">
        <f>'Parameters, country spec'!D36</f>
        <v>1.298916356294802E-3</v>
      </c>
    </row>
    <row r="42" spans="1:19" x14ac:dyDescent="0.35">
      <c r="A42" s="20" t="s">
        <v>224</v>
      </c>
      <c r="B42" s="15" t="s">
        <v>109</v>
      </c>
      <c r="C42" s="15" t="s">
        <v>223</v>
      </c>
      <c r="D42" s="21" t="s">
        <v>38</v>
      </c>
      <c r="E42" s="21" t="s">
        <v>39</v>
      </c>
      <c r="F42" s="118">
        <f t="shared" ref="F42:F51" si="4">SUM(G42:Q42)</f>
        <v>2.9417999999999995E-4</v>
      </c>
      <c r="G42" s="93">
        <v>1.4999999999999999E-4</v>
      </c>
      <c r="H42" s="93">
        <v>1E-4</v>
      </c>
      <c r="I42" s="93"/>
      <c r="J42" s="93"/>
      <c r="K42" s="93">
        <v>8.6100000000000006E-6</v>
      </c>
      <c r="L42" s="93"/>
      <c r="M42" s="93">
        <v>5.2700000000000004E-6</v>
      </c>
      <c r="N42" s="93">
        <v>3.0300000000000001E-5</v>
      </c>
      <c r="O42" s="93"/>
      <c r="P42" s="93"/>
      <c r="Q42" s="93"/>
      <c r="R42" s="148">
        <f>'Parameters, country spec'!D19</f>
        <v>1.9338522642940996E-3</v>
      </c>
      <c r="S42" s="148">
        <f>'Parameters, country spec'!D37</f>
        <v>1.9338522642940996E-3</v>
      </c>
    </row>
    <row r="43" spans="1:19" x14ac:dyDescent="0.35">
      <c r="A43" s="20" t="s">
        <v>225</v>
      </c>
      <c r="B43" s="15" t="s">
        <v>110</v>
      </c>
      <c r="C43" s="15" t="s">
        <v>223</v>
      </c>
      <c r="D43" s="21" t="s">
        <v>38</v>
      </c>
      <c r="E43" s="21" t="s">
        <v>39</v>
      </c>
      <c r="F43" s="118">
        <f t="shared" si="4"/>
        <v>2.8010000000000003E-4</v>
      </c>
      <c r="G43" s="93">
        <v>1.2999999999999999E-4</v>
      </c>
      <c r="H43" s="93">
        <v>1E-4</v>
      </c>
      <c r="I43" s="93"/>
      <c r="J43" s="93"/>
      <c r="K43" s="93">
        <v>1.88E-5</v>
      </c>
      <c r="L43" s="93"/>
      <c r="M43" s="93">
        <v>9.9999999999999995E-7</v>
      </c>
      <c r="N43" s="93">
        <v>3.0300000000000001E-5</v>
      </c>
      <c r="O43" s="93"/>
      <c r="P43" s="93"/>
      <c r="Q43" s="93"/>
      <c r="R43" s="148">
        <f>'Parameters, country spec'!D20</f>
        <v>2.5855421185781316E-7</v>
      </c>
      <c r="S43" s="148">
        <f>'Parameters, country spec'!D38</f>
        <v>2.5855421185781316E-7</v>
      </c>
    </row>
    <row r="44" spans="1:19" x14ac:dyDescent="0.35">
      <c r="A44" s="20" t="s">
        <v>226</v>
      </c>
      <c r="B44" s="15" t="s">
        <v>111</v>
      </c>
      <c r="C44" s="15" t="s">
        <v>223</v>
      </c>
      <c r="D44" s="21" t="s">
        <v>38</v>
      </c>
      <c r="E44" s="21" t="s">
        <v>39</v>
      </c>
      <c r="F44" s="118">
        <f t="shared" si="4"/>
        <v>2.6639999999999997E-4</v>
      </c>
      <c r="G44" s="93">
        <v>1.2E-4</v>
      </c>
      <c r="H44" s="93">
        <v>1E-4</v>
      </c>
      <c r="I44" s="93"/>
      <c r="J44" s="93"/>
      <c r="K44" s="93">
        <v>1.6099999999999998E-5</v>
      </c>
      <c r="L44" s="93"/>
      <c r="M44" s="93">
        <v>0</v>
      </c>
      <c r="N44" s="93">
        <v>3.0300000000000001E-5</v>
      </c>
      <c r="O44" s="93"/>
      <c r="P44" s="93"/>
      <c r="Q44" s="93"/>
      <c r="R44" s="148">
        <f>'Parameters, country spec'!D21</f>
        <v>2.1217635552166355E-4</v>
      </c>
      <c r="S44" s="148">
        <f>'Parameters, country spec'!D39</f>
        <v>2.1217635552166355E-4</v>
      </c>
    </row>
    <row r="45" spans="1:19" x14ac:dyDescent="0.35">
      <c r="A45" s="20" t="s">
        <v>227</v>
      </c>
      <c r="B45" s="15" t="s">
        <v>112</v>
      </c>
      <c r="C45" s="15" t="s">
        <v>223</v>
      </c>
      <c r="D45" s="21" t="s">
        <v>38</v>
      </c>
      <c r="E45" s="21" t="s">
        <v>39</v>
      </c>
      <c r="F45" s="118">
        <f t="shared" si="4"/>
        <v>3.1195099999999998E-4</v>
      </c>
      <c r="G45" s="93">
        <v>1.7000000000000001E-4</v>
      </c>
      <c r="H45" s="93">
        <v>1E-4</v>
      </c>
      <c r="I45" s="93"/>
      <c r="J45" s="93"/>
      <c r="K45" s="93">
        <v>1.1399999999999999E-5</v>
      </c>
      <c r="L45" s="93"/>
      <c r="M45" s="93">
        <v>2.5100000000000001E-7</v>
      </c>
      <c r="N45" s="93">
        <v>3.0300000000000001E-5</v>
      </c>
      <c r="O45" s="93"/>
      <c r="P45" s="93"/>
      <c r="Q45" s="93"/>
      <c r="R45" s="148">
        <f>'Parameters, country spec'!D22</f>
        <v>4.3386015699034622E-3</v>
      </c>
      <c r="S45" s="148">
        <f>'Parameters, country spec'!D40</f>
        <v>4.3386015699034622E-3</v>
      </c>
    </row>
    <row r="46" spans="1:19" x14ac:dyDescent="0.35">
      <c r="A46" s="20" t="s">
        <v>228</v>
      </c>
      <c r="B46" s="15" t="s">
        <v>113</v>
      </c>
      <c r="C46" s="15" t="s">
        <v>229</v>
      </c>
      <c r="D46" s="21" t="s">
        <v>38</v>
      </c>
      <c r="E46" s="21" t="s">
        <v>39</v>
      </c>
      <c r="F46" s="118">
        <f t="shared" si="4"/>
        <v>1.5420200000000001E-4</v>
      </c>
      <c r="G46" s="93">
        <v>0</v>
      </c>
      <c r="H46" s="93">
        <v>1E-4</v>
      </c>
      <c r="I46" s="93"/>
      <c r="J46" s="93"/>
      <c r="K46" s="93">
        <v>2.34E-5</v>
      </c>
      <c r="L46" s="93"/>
      <c r="M46" s="93">
        <v>5.0200000000000002E-7</v>
      </c>
      <c r="N46" s="93">
        <v>3.0300000000000001E-5</v>
      </c>
      <c r="O46" s="93"/>
      <c r="P46" s="93"/>
      <c r="Q46" s="93"/>
      <c r="R46" s="148">
        <f>'Parameters, country spec'!D23</f>
        <v>2.7051994141606358E-4</v>
      </c>
      <c r="S46" s="148">
        <f>'Parameters, country spec'!D41</f>
        <v>2.7051994141606358E-4</v>
      </c>
    </row>
    <row r="47" spans="1:19" x14ac:dyDescent="0.35">
      <c r="A47" s="20" t="s">
        <v>230</v>
      </c>
      <c r="B47" s="15" t="s">
        <v>114</v>
      </c>
      <c r="C47" s="15" t="s">
        <v>229</v>
      </c>
      <c r="D47" s="21" t="s">
        <v>38</v>
      </c>
      <c r="E47" s="21" t="s">
        <v>39</v>
      </c>
      <c r="F47" s="118">
        <f t="shared" si="4"/>
        <v>1.7880000000000004E-4</v>
      </c>
      <c r="G47" s="93">
        <v>7.5000000000000002E-6</v>
      </c>
      <c r="H47" s="93">
        <v>1E-4</v>
      </c>
      <c r="I47" s="93"/>
      <c r="J47" s="93"/>
      <c r="K47" s="93">
        <v>2.0400000000000001E-5</v>
      </c>
      <c r="L47" s="93"/>
      <c r="M47" s="93">
        <v>2.0599999999999999E-5</v>
      </c>
      <c r="N47" s="93">
        <v>3.0300000000000001E-5</v>
      </c>
      <c r="O47" s="93"/>
      <c r="P47" s="93"/>
      <c r="Q47" s="93"/>
      <c r="R47" s="148">
        <f>'Parameters, country spec'!D24</f>
        <v>2.6573972962751311E-4</v>
      </c>
      <c r="S47" s="148">
        <f>'Parameters, country spec'!D42</f>
        <v>2.6573972962751311E-4</v>
      </c>
    </row>
    <row r="48" spans="1:19" x14ac:dyDescent="0.35">
      <c r="B48" s="16" t="s">
        <v>115</v>
      </c>
      <c r="C48" s="15" t="s">
        <v>231</v>
      </c>
      <c r="D48" s="21" t="s">
        <v>38</v>
      </c>
      <c r="E48" s="21" t="s">
        <v>39</v>
      </c>
      <c r="F48" s="118">
        <f t="shared" si="4"/>
        <v>4.6478527325651394E-4</v>
      </c>
      <c r="G48" s="27">
        <v>3.0425509539765719E-4</v>
      </c>
      <c r="H48" s="27">
        <v>4.5862068965517246E-5</v>
      </c>
      <c r="I48" s="27"/>
      <c r="J48" s="27"/>
      <c r="K48" s="27">
        <v>1.0936279334641699E-5</v>
      </c>
      <c r="L48" s="27"/>
      <c r="M48" s="27">
        <v>6.4606960551724142E-7</v>
      </c>
      <c r="N48" s="27">
        <v>2.1884761697575221E-5</v>
      </c>
      <c r="O48" s="27"/>
      <c r="P48" s="27">
        <v>5.7027085212127035E-5</v>
      </c>
      <c r="Q48" s="27">
        <v>2.4173913043478263E-5</v>
      </c>
      <c r="R48" s="148">
        <f>'Parameters, country spec'!D25</f>
        <v>2.7355781220453596E-2</v>
      </c>
      <c r="S48" s="148">
        <f>'Parameters, country spec'!D43</f>
        <v>2.7355781220453596E-2</v>
      </c>
    </row>
    <row r="49" spans="1:19" x14ac:dyDescent="0.35">
      <c r="B49" s="16" t="s">
        <v>232</v>
      </c>
      <c r="C49" s="15" t="s">
        <v>231</v>
      </c>
      <c r="D49" s="21" t="s">
        <v>38</v>
      </c>
      <c r="E49" s="21" t="s">
        <v>39</v>
      </c>
      <c r="F49" s="118">
        <f t="shared" si="4"/>
        <v>4.7266553697523981E-4</v>
      </c>
      <c r="G49" s="27">
        <v>1.5603516238625262E-5</v>
      </c>
      <c r="H49" s="27">
        <v>7.5304878048780503E-5</v>
      </c>
      <c r="I49" s="27"/>
      <c r="J49" s="27"/>
      <c r="K49" s="27">
        <v>1.908459074435586E-5</v>
      </c>
      <c r="L49" s="27"/>
      <c r="M49" s="27">
        <v>5.9672097439024396E-7</v>
      </c>
      <c r="N49" s="27">
        <v>2.3084271612619523E-5</v>
      </c>
      <c r="O49" s="27"/>
      <c r="P49" s="27">
        <v>1.2899155935646844E-4</v>
      </c>
      <c r="Q49" s="27">
        <v>2.1000000000000001E-4</v>
      </c>
      <c r="R49" s="148">
        <f>'Parameters, country spec'!D26</f>
        <v>2.6285117627784533E-2</v>
      </c>
      <c r="S49" s="148">
        <f>'Parameters, country spec'!D44</f>
        <v>2.6285117627784533E-2</v>
      </c>
    </row>
    <row r="50" spans="1:19" x14ac:dyDescent="0.35">
      <c r="B50" s="15" t="s">
        <v>117</v>
      </c>
      <c r="C50" s="15" t="s">
        <v>233</v>
      </c>
      <c r="D50" s="21" t="s">
        <v>38</v>
      </c>
      <c r="E50" s="21" t="s">
        <v>39</v>
      </c>
      <c r="F50" s="579">
        <f t="shared" si="4"/>
        <v>1.1635230536951896E-3</v>
      </c>
      <c r="G50" s="93">
        <v>8.6135251234116994E-5</v>
      </c>
      <c r="H50" s="93">
        <v>4.7537999999999998E-5</v>
      </c>
      <c r="I50" s="42"/>
      <c r="J50" s="42"/>
      <c r="K50" s="93">
        <v>2.1158324202862201E-5</v>
      </c>
      <c r="L50" s="42"/>
      <c r="M50" s="42"/>
      <c r="N50" s="93"/>
      <c r="O50" s="93"/>
      <c r="P50" s="93">
        <v>9.9818289932063491E-4</v>
      </c>
      <c r="Q50" s="93">
        <v>1.05085789375756E-5</v>
      </c>
      <c r="R50" s="148">
        <f>'Parameters, country spec'!D27</f>
        <v>4.2051693837096289E-2</v>
      </c>
      <c r="S50" s="148">
        <f>'Parameters, country spec'!D45</f>
        <v>4.2051693837096289E-2</v>
      </c>
    </row>
    <row r="51" spans="1:19" x14ac:dyDescent="0.35">
      <c r="A51" s="75"/>
      <c r="B51" s="15" t="s">
        <v>234</v>
      </c>
      <c r="C51" s="76" t="s">
        <v>235</v>
      </c>
      <c r="D51" s="21" t="s">
        <v>38</v>
      </c>
      <c r="E51" s="21" t="s">
        <v>39</v>
      </c>
      <c r="F51" s="118">
        <f t="shared" si="4"/>
        <v>2.7587372919334781E-5</v>
      </c>
      <c r="G51" s="74">
        <f>SUMPRODUCT(G41:G49,$R41:$R49)</f>
        <v>9.9832414673001319E-6</v>
      </c>
      <c r="H51" s="74">
        <f t="shared" ref="H51:P51" si="5">SUMPRODUCT(H41:H49,$R41:$R49)</f>
        <v>4.0659967795231555E-6</v>
      </c>
      <c r="I51" s="74">
        <f t="shared" si="5"/>
        <v>0</v>
      </c>
      <c r="J51" s="74">
        <f t="shared" si="5"/>
        <v>0</v>
      </c>
      <c r="K51" s="74">
        <f t="shared" si="5"/>
        <v>8.9859009831178249E-7</v>
      </c>
      <c r="L51" s="74">
        <f t="shared" si="5"/>
        <v>0</v>
      </c>
      <c r="M51" s="74">
        <f t="shared" si="5"/>
        <v>5.0249308206533348E-8</v>
      </c>
      <c r="N51" s="74">
        <f t="shared" si="5"/>
        <v>1.4575455103195266E-6</v>
      </c>
      <c r="O51" s="74">
        <f t="shared" si="5"/>
        <v>0</v>
      </c>
      <c r="P51" s="74">
        <f t="shared" si="5"/>
        <v>4.9505787773792354E-6</v>
      </c>
      <c r="Q51" s="74">
        <f>SUMPRODUCT(Q41:Q49,$R41:$R49)</f>
        <v>6.1811709782944132E-6</v>
      </c>
      <c r="R51" s="148">
        <f>'Parameters, country spec'!D28</f>
        <v>1.4863599715456545E-2</v>
      </c>
      <c r="S51" s="148">
        <f>'Parameters, country spec'!D46</f>
        <v>1.4863599715456545E-2</v>
      </c>
    </row>
    <row r="52" spans="1:19" x14ac:dyDescent="0.35">
      <c r="A52" s="321"/>
      <c r="B52" s="322" t="s">
        <v>541</v>
      </c>
      <c r="C52" s="323"/>
      <c r="D52" s="324"/>
      <c r="E52" s="324"/>
      <c r="F52" s="327">
        <f>SUMPRODUCT(F38:F40,R38:R40)+SUMPRODUCT(F41:F51,R41:R51)/0.87</f>
        <v>6.4202237254091566E-4</v>
      </c>
      <c r="G52" s="327">
        <f>SUMPRODUCT(G38:G40,R38:R40)+SUMPRODUCT(G41:G51,R41:R51)/0.87</f>
        <v>4.1453918217278414E-5</v>
      </c>
      <c r="H52" s="327">
        <f>SUMPRODUCT(H38:H40,R38:R40)+SUMPRODUCT(H41:H51,R41:R51)/0.87</f>
        <v>9.0747543556845303E-5</v>
      </c>
      <c r="I52" s="327">
        <f>SUMPRODUCT(I38:I40,R38:R40)+SUMPRODUCT(I41:I51,R41:R51)/0.87</f>
        <v>0</v>
      </c>
      <c r="J52" s="327">
        <f>SUMPRODUCT(J38:J40,R38:R40)+SUMPRODUCT(J41:J51,R41:R51)/0.87</f>
        <v>0</v>
      </c>
      <c r="K52" s="327">
        <f>SUMPRODUCT(K38:K40,R38:R40)+SUMPRODUCT(K41:K51,R41:R51)/0.87</f>
        <v>7.2866334304612757E-6</v>
      </c>
      <c r="L52" s="327">
        <f>SUMPRODUCT(L38:L40,R38:R40)+SUMPRODUCT(L41:L51,R41:R51)/0.87</f>
        <v>0</v>
      </c>
      <c r="M52" s="327">
        <f>SUMPRODUCT(M38:M40,R38:R40)+SUMPRODUCT(M41:M51,R41:R51)/0.87</f>
        <v>2.5759250636021631E-6</v>
      </c>
      <c r="N52" s="327">
        <f>SUMPRODUCT(N38:N40,R38:R40)+SUMPRODUCT(N41:N51,R41:R51)/0.87</f>
        <v>1.7002412452321574E-6</v>
      </c>
      <c r="O52" s="327">
        <f>SUMPRODUCT(O38:O40,R38:R40)+SUMPRODUCT(O41:O51,R41:R51)/0.87</f>
        <v>0</v>
      </c>
      <c r="P52" s="327">
        <f>SUMPRODUCT(P38:P40,R38:R40)+SUMPRODUCT(P41:P51,R41:R51)/0.87</f>
        <v>4.9053977887389356E-4</v>
      </c>
      <c r="Q52" s="327">
        <f>SUMPRODUCT(Q38:Q40,R38:R40)+SUMPRODUCT(Q41:Q51,R41:R51)/0.87</f>
        <v>7.7183321536028345E-6</v>
      </c>
      <c r="R52" s="328"/>
      <c r="S52" s="329"/>
    </row>
    <row r="53" spans="1:19" x14ac:dyDescent="0.35">
      <c r="A53" s="147"/>
      <c r="B53" s="23" t="s">
        <v>428</v>
      </c>
      <c r="C53" s="24"/>
      <c r="D53" s="94"/>
      <c r="E53" s="94"/>
      <c r="F53" s="28">
        <f>SUMPRODUCT(F38:F40,S38:S40)+SUMPRODUCT(F41:F51,S41:S51)/0.87</f>
        <v>6.4202237254091566E-4</v>
      </c>
      <c r="G53" s="28">
        <f>SUMPRODUCT(G38:G40,S38:S40)+SUMPRODUCT(G41:G51,S41:S51)/0.87</f>
        <v>4.1453918217278414E-5</v>
      </c>
      <c r="H53" s="28">
        <f>SUMPRODUCT(H38:H40,S38:S40)+SUMPRODUCT(H41:H51,S41:S51)/0.87</f>
        <v>9.0747543556845303E-5</v>
      </c>
      <c r="I53" s="28">
        <f>SUMPRODUCT(I38:I40,S38:S40)+SUMPRODUCT(I41:I51,S41:S51)/0.87</f>
        <v>0</v>
      </c>
      <c r="J53" s="28">
        <f>SUMPRODUCT(J38:J40,S38:S40)+SUMPRODUCT(J41:J51,S41:S51)/0.87</f>
        <v>0</v>
      </c>
      <c r="K53" s="28">
        <f>SUMPRODUCT(K38:K40,S38:S40)+SUMPRODUCT(K41:K51,S41:S51)/0.87</f>
        <v>7.2866334304612757E-6</v>
      </c>
      <c r="L53" s="28">
        <f>SUMPRODUCT(L38:L40,S38:S40)+SUMPRODUCT(L41:L51,S41:S51)/0.87</f>
        <v>0</v>
      </c>
      <c r="M53" s="28">
        <f>SUMPRODUCT(M38:M40,S38:S40)+SUMPRODUCT(M41:M51,S41:S51)/0.87</f>
        <v>2.5759250636021631E-6</v>
      </c>
      <c r="N53" s="28">
        <f>SUMPRODUCT(N38:N40,S38:S40)+SUMPRODUCT(N41:N51,S41:S51)/0.87</f>
        <v>1.7002412452321574E-6</v>
      </c>
      <c r="O53" s="28">
        <f>SUMPRODUCT(O38:O40,S38:S40)+SUMPRODUCT(O41:O51,S41:S51)/0.87</f>
        <v>0</v>
      </c>
      <c r="P53" s="28">
        <f>SUMPRODUCT(P38:P40,S38:S40)+SUMPRODUCT(P41:P51,S41:S51)/0.87</f>
        <v>4.9053977887389356E-4</v>
      </c>
      <c r="Q53" s="28">
        <f>SUMPRODUCT(Q38:Q40,S38:S40)+SUMPRODUCT(Q41:Q51,S41:S51)/0.87</f>
        <v>7.7183321536028345E-6</v>
      </c>
      <c r="R53" s="149"/>
      <c r="S53" s="149"/>
    </row>
    <row r="54" spans="1:19" x14ac:dyDescent="0.35">
      <c r="B54" s="16" t="s">
        <v>285</v>
      </c>
      <c r="C54" s="15" t="s">
        <v>288</v>
      </c>
      <c r="D54" s="21" t="s">
        <v>40</v>
      </c>
      <c r="E54" s="21" t="s">
        <v>41</v>
      </c>
      <c r="F54" s="118">
        <f>SUM(G54:Q54)</f>
        <v>1.4926093556085892E-4</v>
      </c>
      <c r="G54" s="27">
        <f>'Forage crops, CF'!F24</f>
        <v>3.9901302719260733E-5</v>
      </c>
      <c r="H54" s="27">
        <f>'Forage crops, CF'!G24</f>
        <v>9.5000000000000005E-5</v>
      </c>
      <c r="I54" s="27">
        <f>'Forage crops, CF'!H24</f>
        <v>0</v>
      </c>
      <c r="J54" s="27">
        <f>'Forage crops, CF'!I24</f>
        <v>0</v>
      </c>
      <c r="K54" s="27">
        <f>'Forage crops, CF'!J24</f>
        <v>1.4359632841598194E-5</v>
      </c>
      <c r="L54" s="27">
        <f>'Forage crops, CF'!K24</f>
        <v>0</v>
      </c>
      <c r="M54" s="27">
        <f>'Forage crops, CF'!L24</f>
        <v>0</v>
      </c>
      <c r="N54" s="27">
        <f>'Forage crops, CF'!M24</f>
        <v>0</v>
      </c>
      <c r="O54" s="27">
        <f>'Forage crops, CF'!N24</f>
        <v>0</v>
      </c>
      <c r="P54" s="27">
        <f>'Forage crops, CF'!O24</f>
        <v>0</v>
      </c>
      <c r="Q54" s="27">
        <f>'Forage crops, CF'!P24</f>
        <v>0</v>
      </c>
      <c r="R54" s="148">
        <f>'Parameters, country spec'!E15</f>
        <v>0.3707697249953647</v>
      </c>
      <c r="S54" s="148">
        <f>'Parameters, country spec'!E33</f>
        <v>0.3707697249953647</v>
      </c>
    </row>
    <row r="55" spans="1:19" x14ac:dyDescent="0.35">
      <c r="B55" s="16" t="s">
        <v>286</v>
      </c>
      <c r="C55" s="15" t="s">
        <v>288</v>
      </c>
      <c r="D55" s="21" t="s">
        <v>40</v>
      </c>
      <c r="E55" s="21" t="s">
        <v>41</v>
      </c>
      <c r="F55" s="118">
        <f>SUM(G55:Q55)</f>
        <v>1.0516831355973388E-3</v>
      </c>
      <c r="G55" s="27">
        <f>'Forage crops, CF'!F89</f>
        <v>1.8329117956048056E-4</v>
      </c>
      <c r="H55" s="27">
        <f>'Forage crops, CF'!G89</f>
        <v>9.5000000000000005E-5</v>
      </c>
      <c r="I55" s="27"/>
      <c r="J55" s="27"/>
      <c r="K55" s="27">
        <f>'Forage crops, CF'!J89</f>
        <v>1.3700619116858083E-5</v>
      </c>
      <c r="L55" s="27"/>
      <c r="M55" s="27">
        <f>'Forage crops, CF'!L89</f>
        <v>5.169133692E-5</v>
      </c>
      <c r="N55" s="27">
        <f>'Forage crops, CF'!M89</f>
        <v>0</v>
      </c>
      <c r="O55" s="27"/>
      <c r="P55" s="27">
        <f>'Forage crops, CF'!O89</f>
        <v>7.0799999999999997E-4</v>
      </c>
      <c r="Q55" s="27"/>
      <c r="R55" s="148">
        <f>'Parameters, country spec'!E16</f>
        <v>0.13544388222799708</v>
      </c>
      <c r="S55" s="148">
        <f>'Parameters, country spec'!E34</f>
        <v>0.13544388222799708</v>
      </c>
    </row>
    <row r="56" spans="1:19" x14ac:dyDescent="0.35">
      <c r="B56" s="16" t="s">
        <v>287</v>
      </c>
      <c r="C56" s="15" t="s">
        <v>288</v>
      </c>
      <c r="D56" s="21" t="s">
        <v>40</v>
      </c>
      <c r="E56" s="21" t="s">
        <v>41</v>
      </c>
      <c r="F56" s="118">
        <f>SUM(G56:Q56)</f>
        <v>8.3257809498983853E-4</v>
      </c>
      <c r="G56" s="27">
        <f>'Forage crops, CF'!F154*'Forage, input data per ha'!$E$81+'Forage crops, CF'!F219*'Forage, input data per ha'!$G$81</f>
        <v>1.6772801472403413E-5</v>
      </c>
      <c r="H56" s="27">
        <f>'Forage crops, CF'!G154*'Forage, input data per ha'!$E$81+'Forage crops, CF'!G219*'Forage, input data per ha'!$G$81</f>
        <v>9.5000000000000005E-5</v>
      </c>
      <c r="I56" s="27"/>
      <c r="J56" s="27"/>
      <c r="K56" s="27">
        <f>'Forage crops, CF'!J154*'Forage, input data per ha'!$E$81+'Forage crops, CF'!J219*'Forage, input data per ha'!$G$81</f>
        <v>1.2805293517435253E-5</v>
      </c>
      <c r="L56" s="27"/>
      <c r="M56" s="27">
        <f>'Forage crops, CF'!L154*'Forage, input data per ha'!$E$81+'Forage crops, CF'!L219*'Forage, input data per ha'!$G$81</f>
        <v>0</v>
      </c>
      <c r="N56" s="27">
        <f>'Forage crops, CF'!M154*'Forage, input data per ha'!$E$81+'Forage crops, CF'!M219*'Forage, input data per ha'!$G$81</f>
        <v>0</v>
      </c>
      <c r="O56" s="27"/>
      <c r="P56" s="27">
        <f>'Forage crops, CF'!O154*'Forage, input data per ha'!$E$81+'Forage crops, CF'!O219*'Forage, input data per ha'!$G$81</f>
        <v>7.0799999999999986E-4</v>
      </c>
      <c r="Q56" s="27"/>
      <c r="R56" s="148">
        <f>'Parameters, country spec'!E17</f>
        <v>3.5518223853143398E-2</v>
      </c>
      <c r="S56" s="148">
        <f>'Parameters, country spec'!E35</f>
        <v>3.5518223853143398E-2</v>
      </c>
    </row>
    <row r="57" spans="1:19" x14ac:dyDescent="0.35">
      <c r="A57" s="20" t="s">
        <v>222</v>
      </c>
      <c r="B57" s="15" t="s">
        <v>108</v>
      </c>
      <c r="C57" s="15" t="s">
        <v>223</v>
      </c>
      <c r="D57" s="21" t="s">
        <v>40</v>
      </c>
      <c r="E57" s="21" t="s">
        <v>41</v>
      </c>
      <c r="F57" s="118">
        <f>SUM(G57:Q57)</f>
        <v>3.1946000000000003E-4</v>
      </c>
      <c r="G57" s="93">
        <v>1.4999999999999999E-4</v>
      </c>
      <c r="H57" s="93">
        <v>1E-4</v>
      </c>
      <c r="I57" s="93"/>
      <c r="J57" s="93"/>
      <c r="K57" s="93">
        <v>2.9200000000000002E-5</v>
      </c>
      <c r="L57" s="93"/>
      <c r="M57" s="93">
        <v>2.26E-6</v>
      </c>
      <c r="N57" s="93">
        <v>3.8000000000000002E-5</v>
      </c>
      <c r="O57" s="93"/>
      <c r="P57" s="93"/>
      <c r="Q57" s="93"/>
      <c r="R57" s="148">
        <f>'Parameters, country spec'!E18</f>
        <v>6.7240073264057107E-2</v>
      </c>
      <c r="S57" s="148">
        <f>'Parameters, country spec'!E36</f>
        <v>6.7240073264057107E-2</v>
      </c>
    </row>
    <row r="58" spans="1:19" x14ac:dyDescent="0.35">
      <c r="A58" s="20" t="s">
        <v>224</v>
      </c>
      <c r="B58" s="15" t="s">
        <v>109</v>
      </c>
      <c r="C58" s="15" t="s">
        <v>223</v>
      </c>
      <c r="D58" s="21" t="s">
        <v>40</v>
      </c>
      <c r="E58" s="21" t="s">
        <v>41</v>
      </c>
      <c r="F58" s="118">
        <f t="shared" ref="F58:F67" si="6">SUM(G58:Q58)</f>
        <v>3.4726000000000001E-4</v>
      </c>
      <c r="G58" s="93">
        <v>1.4999999999999999E-4</v>
      </c>
      <c r="H58" s="93">
        <v>1E-4</v>
      </c>
      <c r="I58" s="93"/>
      <c r="J58" s="93"/>
      <c r="K58" s="93">
        <v>7.5599999999999996E-6</v>
      </c>
      <c r="L58" s="93"/>
      <c r="M58" s="93">
        <v>5.1700000000000003E-5</v>
      </c>
      <c r="N58" s="93">
        <v>3.8000000000000002E-5</v>
      </c>
      <c r="O58" s="93"/>
      <c r="P58" s="93"/>
      <c r="Q58" s="93"/>
      <c r="R58" s="148">
        <f>'Parameters, country spec'!E19</f>
        <v>0.20110909949687941</v>
      </c>
      <c r="S58" s="148">
        <f>'Parameters, country spec'!E37</f>
        <v>0.20110909949687941</v>
      </c>
    </row>
    <row r="59" spans="1:19" x14ac:dyDescent="0.35">
      <c r="A59" s="20" t="s">
        <v>225</v>
      </c>
      <c r="B59" s="15" t="s">
        <v>110</v>
      </c>
      <c r="C59" s="15" t="s">
        <v>223</v>
      </c>
      <c r="D59" s="21" t="s">
        <v>40</v>
      </c>
      <c r="E59" s="21" t="s">
        <v>41</v>
      </c>
      <c r="F59" s="118">
        <f t="shared" si="6"/>
        <v>3.7189999999999999E-4</v>
      </c>
      <c r="G59" s="93">
        <v>1.2999999999999999E-4</v>
      </c>
      <c r="H59" s="93">
        <v>1E-4</v>
      </c>
      <c r="I59" s="93"/>
      <c r="J59" s="93"/>
      <c r="K59" s="93">
        <v>6.1500000000000004E-5</v>
      </c>
      <c r="L59" s="93"/>
      <c r="M59" s="93">
        <v>4.2400000000000001E-5</v>
      </c>
      <c r="N59" s="93">
        <v>3.8000000000000002E-5</v>
      </c>
      <c r="O59" s="93"/>
      <c r="P59" s="93"/>
      <c r="Q59" s="93"/>
      <c r="R59" s="148">
        <f>'Parameters, country spec'!E20</f>
        <v>1.8273719871874414E-2</v>
      </c>
      <c r="S59" s="148">
        <f>'Parameters, country spec'!E38</f>
        <v>1.8273719871874414E-2</v>
      </c>
    </row>
    <row r="60" spans="1:19" x14ac:dyDescent="0.35">
      <c r="A60" s="20" t="s">
        <v>226</v>
      </c>
      <c r="B60" s="15" t="s">
        <v>111</v>
      </c>
      <c r="C60" s="15" t="s">
        <v>223</v>
      </c>
      <c r="D60" s="21" t="s">
        <v>40</v>
      </c>
      <c r="E60" s="21" t="s">
        <v>41</v>
      </c>
      <c r="F60" s="118">
        <f t="shared" si="6"/>
        <v>2.9825100000000003E-4</v>
      </c>
      <c r="G60" s="93">
        <v>1.2E-4</v>
      </c>
      <c r="H60" s="93">
        <v>1E-4</v>
      </c>
      <c r="I60" s="93"/>
      <c r="J60" s="93"/>
      <c r="K60" s="93">
        <v>4.0000000000000003E-5</v>
      </c>
      <c r="L60" s="93"/>
      <c r="M60" s="93">
        <v>2.5100000000000001E-7</v>
      </c>
      <c r="N60" s="93">
        <v>3.8000000000000002E-5</v>
      </c>
      <c r="O60" s="93"/>
      <c r="P60" s="93"/>
      <c r="Q60" s="93"/>
      <c r="R60" s="148">
        <f>'Parameters, country spec'!E21</f>
        <v>4.0305382311056149E-3</v>
      </c>
      <c r="S60" s="148">
        <f>'Parameters, country spec'!E39</f>
        <v>4.0305382311056149E-3</v>
      </c>
    </row>
    <row r="61" spans="1:19" x14ac:dyDescent="0.35">
      <c r="A61" s="20" t="s">
        <v>227</v>
      </c>
      <c r="B61" s="15" t="s">
        <v>112</v>
      </c>
      <c r="C61" s="15" t="s">
        <v>223</v>
      </c>
      <c r="D61" s="21" t="s">
        <v>40</v>
      </c>
      <c r="E61" s="21" t="s">
        <v>41</v>
      </c>
      <c r="F61" s="118">
        <f t="shared" si="6"/>
        <v>3.4382E-4</v>
      </c>
      <c r="G61" s="93">
        <v>1.7000000000000001E-4</v>
      </c>
      <c r="H61" s="93">
        <v>1E-4</v>
      </c>
      <c r="I61" s="93"/>
      <c r="J61" s="93"/>
      <c r="K61" s="93">
        <v>2.9300000000000001E-5</v>
      </c>
      <c r="L61" s="93"/>
      <c r="M61" s="93">
        <v>6.5200000000000003E-6</v>
      </c>
      <c r="N61" s="93">
        <v>3.8000000000000002E-5</v>
      </c>
      <c r="O61" s="93"/>
      <c r="P61" s="93"/>
      <c r="Q61" s="93"/>
      <c r="R61" s="148">
        <f>'Parameters, country spec'!E22</f>
        <v>2.8904067051552513E-3</v>
      </c>
      <c r="S61" s="148">
        <f>'Parameters, country spec'!E40</f>
        <v>2.8904067051552513E-3</v>
      </c>
    </row>
    <row r="62" spans="1:19" x14ac:dyDescent="0.35">
      <c r="A62" s="20" t="s">
        <v>228</v>
      </c>
      <c r="B62" s="15" t="s">
        <v>113</v>
      </c>
      <c r="C62" s="15" t="s">
        <v>229</v>
      </c>
      <c r="D62" s="21" t="s">
        <v>40</v>
      </c>
      <c r="E62" s="21" t="s">
        <v>41</v>
      </c>
      <c r="F62" s="118">
        <f t="shared" si="6"/>
        <v>1.9450000000000001E-4</v>
      </c>
      <c r="G62" s="93">
        <v>0</v>
      </c>
      <c r="H62" s="93">
        <v>1E-4</v>
      </c>
      <c r="I62" s="93"/>
      <c r="J62" s="93"/>
      <c r="K62" s="93">
        <v>4.6199999999999998E-5</v>
      </c>
      <c r="L62" s="93"/>
      <c r="M62" s="93">
        <v>1.03E-5</v>
      </c>
      <c r="N62" s="93">
        <v>3.8000000000000002E-5</v>
      </c>
      <c r="O62" s="93"/>
      <c r="P62" s="93"/>
      <c r="Q62" s="93"/>
      <c r="R62" s="148">
        <f>'Parameters, country spec'!E23</f>
        <v>2.7727022810161413E-4</v>
      </c>
      <c r="S62" s="148">
        <f>'Parameters, country spec'!E41</f>
        <v>2.7727022810161413E-4</v>
      </c>
    </row>
    <row r="63" spans="1:19" x14ac:dyDescent="0.35">
      <c r="A63" s="20" t="s">
        <v>230</v>
      </c>
      <c r="B63" s="15" t="s">
        <v>114</v>
      </c>
      <c r="C63" s="15" t="s">
        <v>229</v>
      </c>
      <c r="D63" s="21" t="s">
        <v>40</v>
      </c>
      <c r="E63" s="21" t="s">
        <v>41</v>
      </c>
      <c r="F63" s="118">
        <f t="shared" si="6"/>
        <v>2.496E-4</v>
      </c>
      <c r="G63" s="93">
        <v>7.5000000000000002E-6</v>
      </c>
      <c r="H63" s="93">
        <v>1E-4</v>
      </c>
      <c r="I63" s="93"/>
      <c r="J63" s="93"/>
      <c r="K63" s="93">
        <v>2.8600000000000001E-5</v>
      </c>
      <c r="L63" s="93"/>
      <c r="M63" s="93">
        <v>7.5500000000000006E-5</v>
      </c>
      <c r="N63" s="93">
        <v>3.8000000000000002E-5</v>
      </c>
      <c r="O63" s="93"/>
      <c r="P63" s="93"/>
      <c r="Q63" s="93"/>
      <c r="R63" s="148">
        <f>'Parameters, country spec'!E24</f>
        <v>2.7237073543292042E-4</v>
      </c>
      <c r="S63" s="148">
        <f>'Parameters, country spec'!E42</f>
        <v>2.7237073543292042E-4</v>
      </c>
    </row>
    <row r="64" spans="1:19" x14ac:dyDescent="0.35">
      <c r="B64" s="16" t="s">
        <v>115</v>
      </c>
      <c r="C64" s="15" t="s">
        <v>231</v>
      </c>
      <c r="D64" s="21" t="s">
        <v>40</v>
      </c>
      <c r="E64" s="21" t="s">
        <v>41</v>
      </c>
      <c r="F64" s="118">
        <f t="shared" si="6"/>
        <v>4.6478527325651394E-4</v>
      </c>
      <c r="G64" s="27">
        <v>3.0425509539765719E-4</v>
      </c>
      <c r="H64" s="27">
        <v>4.5862068965517246E-5</v>
      </c>
      <c r="I64" s="27"/>
      <c r="J64" s="27"/>
      <c r="K64" s="27">
        <v>1.0936279334641699E-5</v>
      </c>
      <c r="L64" s="27"/>
      <c r="M64" s="27">
        <v>6.4606960551724142E-7</v>
      </c>
      <c r="N64" s="27">
        <v>2.1884761697575221E-5</v>
      </c>
      <c r="O64" s="27"/>
      <c r="P64" s="27">
        <v>5.7027085212127035E-5</v>
      </c>
      <c r="Q64" s="27">
        <v>2.4173913043478263E-5</v>
      </c>
      <c r="R64" s="148">
        <f>'Parameters, country spec'!E25</f>
        <v>3.0258775338687637E-4</v>
      </c>
      <c r="S64" s="148">
        <f>'Parameters, country spec'!E43</f>
        <v>3.0258775338687637E-4</v>
      </c>
    </row>
    <row r="65" spans="1:19" x14ac:dyDescent="0.35">
      <c r="B65" s="16" t="s">
        <v>232</v>
      </c>
      <c r="C65" s="15" t="s">
        <v>231</v>
      </c>
      <c r="D65" s="21" t="s">
        <v>40</v>
      </c>
      <c r="E65" s="21" t="s">
        <v>41</v>
      </c>
      <c r="F65" s="118">
        <f t="shared" si="6"/>
        <v>4.7266553697523981E-4</v>
      </c>
      <c r="G65" s="27">
        <v>1.5603516238625262E-5</v>
      </c>
      <c r="H65" s="27">
        <v>7.5304878048780503E-5</v>
      </c>
      <c r="I65" s="27"/>
      <c r="J65" s="27"/>
      <c r="K65" s="27">
        <v>1.908459074435586E-5</v>
      </c>
      <c r="L65" s="27"/>
      <c r="M65" s="27">
        <v>5.9672097439024396E-7</v>
      </c>
      <c r="N65" s="27">
        <v>2.3084271612619523E-5</v>
      </c>
      <c r="O65" s="27"/>
      <c r="P65" s="27">
        <v>1.2899155935646844E-4</v>
      </c>
      <c r="Q65" s="27">
        <v>2.1000000000000001E-4</v>
      </c>
      <c r="R65" s="148">
        <f>'Parameters, country spec'!E26</f>
        <v>5.3317910590755316E-2</v>
      </c>
      <c r="S65" s="148">
        <f>'Parameters, country spec'!E44</f>
        <v>5.3317910590755316E-2</v>
      </c>
    </row>
    <row r="66" spans="1:19" x14ac:dyDescent="0.35">
      <c r="B66" s="15" t="s">
        <v>117</v>
      </c>
      <c r="C66" s="15" t="s">
        <v>233</v>
      </c>
      <c r="D66" s="21" t="s">
        <v>40</v>
      </c>
      <c r="E66" s="21" t="s">
        <v>41</v>
      </c>
      <c r="F66" s="579">
        <f t="shared" si="6"/>
        <v>1.6252379039289314E-3</v>
      </c>
      <c r="G66" s="93">
        <v>8.6169621417798601E-5</v>
      </c>
      <c r="H66" s="93">
        <v>4.7537999999999998E-5</v>
      </c>
      <c r="I66" s="42"/>
      <c r="J66" s="42"/>
      <c r="K66" s="93">
        <v>3.12048551328049E-5</v>
      </c>
      <c r="L66" s="42"/>
      <c r="M66" s="42"/>
      <c r="N66" s="93"/>
      <c r="O66" s="93"/>
      <c r="P66" s="93">
        <v>1.4294971164590801E-3</v>
      </c>
      <c r="Q66" s="93">
        <v>3.0828310919247803E-5</v>
      </c>
      <c r="R66" s="148">
        <f>'Parameters, country spec'!E27</f>
        <v>4.6947510766466367E-2</v>
      </c>
      <c r="S66" s="148">
        <f>'Parameters, country spec'!E45</f>
        <v>4.6947510766466367E-2</v>
      </c>
    </row>
    <row r="67" spans="1:19" x14ac:dyDescent="0.35">
      <c r="A67" s="75"/>
      <c r="B67" s="15" t="s">
        <v>234</v>
      </c>
      <c r="C67" s="76" t="s">
        <v>235</v>
      </c>
      <c r="D67" s="21" t="s">
        <v>40</v>
      </c>
      <c r="E67" s="21" t="s">
        <v>41</v>
      </c>
      <c r="F67" s="118">
        <f t="shared" si="6"/>
        <v>1.2577363777425309E-4</v>
      </c>
      <c r="G67" s="74">
        <f>SUMPRODUCT(G57:G65,$R57:$R65)</f>
        <v>4.4529046755094269E-5</v>
      </c>
      <c r="H67" s="74">
        <f t="shared" ref="H67:P67" si="7">SUMPRODUCT(H57:H65,$R57:$R65)</f>
        <v>3.3438323908527198E-5</v>
      </c>
      <c r="I67" s="74">
        <f t="shared" si="7"/>
        <v>0</v>
      </c>
      <c r="J67" s="74">
        <f t="shared" si="7"/>
        <v>0</v>
      </c>
      <c r="K67" s="74">
        <f t="shared" si="7"/>
        <v>5.894998524067105E-6</v>
      </c>
      <c r="L67" s="74">
        <f t="shared" si="7"/>
        <v>0</v>
      </c>
      <c r="M67" s="74">
        <f t="shared" si="7"/>
        <v>1.1399397131131794E-5</v>
      </c>
      <c r="N67" s="74">
        <f t="shared" si="7"/>
        <v>1.2412979375008876E-5</v>
      </c>
      <c r="O67" s="74">
        <f t="shared" si="7"/>
        <v>0</v>
      </c>
      <c r="P67" s="74">
        <f t="shared" si="7"/>
        <v>6.8948161263268309E-6</v>
      </c>
      <c r="Q67" s="74">
        <f>SUMPRODUCT(Q57:Q65,$R57:$R65)</f>
        <v>1.1204075954097012E-5</v>
      </c>
      <c r="R67" s="148">
        <f>'Parameters, country spec'!E28</f>
        <v>6.3606681280279728E-2</v>
      </c>
      <c r="S67" s="148">
        <f>'Parameters, country spec'!E46</f>
        <v>6.3606681280279728E-2</v>
      </c>
    </row>
    <row r="68" spans="1:19" x14ac:dyDescent="0.35">
      <c r="A68" s="321"/>
      <c r="B68" s="322" t="s">
        <v>541</v>
      </c>
      <c r="C68" s="323"/>
      <c r="D68" s="324"/>
      <c r="E68" s="324"/>
      <c r="F68" s="327">
        <f>SUMPRODUCT(F54:F56,R54:R56)+SUMPRODUCT(F57:F67,R57:R67)/0.87</f>
        <v>4.6882218421655616E-4</v>
      </c>
      <c r="G68" s="327">
        <f>SUMPRODUCT(G54:G56,R54:R56)+SUMPRODUCT(G57:G67,R57:R67)/0.87</f>
        <v>9.9303926929286522E-5</v>
      </c>
      <c r="H68" s="327">
        <f>SUMPRODUCT(H54:H56,R54:R56)+SUMPRODUCT(H57:H67,R57:R67)/0.87</f>
        <v>9.4909369339325381E-5</v>
      </c>
      <c r="I68" s="327">
        <f>SUMPRODUCT(I54:I56,R54:R56)+SUMPRODUCT(I57:I67,R57:R67)/0.87</f>
        <v>0</v>
      </c>
      <c r="J68" s="327">
        <f>SUMPRODUCT(J54:J56,R54:R56)+SUMPRODUCT(J57:J67,R57:R67)/0.87</f>
        <v>0</v>
      </c>
      <c r="K68" s="327">
        <f>SUMPRODUCT(K54:K56,R54:R56)+SUMPRODUCT(K57:K67,R57:R67)/0.87</f>
        <v>1.652535067181727E-5</v>
      </c>
      <c r="L68" s="327">
        <f>SUMPRODUCT(L54:L56,R54:R56)+SUMPRODUCT(L57:L67,R57:R67)/0.87</f>
        <v>0</v>
      </c>
      <c r="M68" s="327">
        <f>SUMPRODUCT(M54:M56,R54:R56)+SUMPRODUCT(M57:M67,R57:R67)/0.87</f>
        <v>2.0937453454872643E-5</v>
      </c>
      <c r="N68" s="327">
        <f>SUMPRODUCT(N54:N56,R54:R56)+SUMPRODUCT(N57:N67,R57:R67)/0.87</f>
        <v>1.5175319307877876E-5</v>
      </c>
      <c r="O68" s="327">
        <f>SUMPRODUCT(O54:O56,R54:R56)+SUMPRODUCT(O57:O67,R57:R67)/0.87</f>
        <v>0</v>
      </c>
      <c r="P68" s="327">
        <f>SUMPRODUCT(P54:P56,R54:R56)+SUMPRODUCT(P57:P67,R57:R67)/0.87</f>
        <v>2.0660979612125839E-4</v>
      </c>
      <c r="Q68" s="327">
        <f>SUMPRODUCT(Q54:Q56,R54:R56)+SUMPRODUCT(Q57:Q67,R57:R67)/0.87</f>
        <v>1.5360968392118009E-5</v>
      </c>
      <c r="R68" s="328"/>
      <c r="S68" s="329"/>
    </row>
    <row r="69" spans="1:19" x14ac:dyDescent="0.35">
      <c r="A69" s="147"/>
      <c r="B69" s="23" t="s">
        <v>428</v>
      </c>
      <c r="C69" s="24"/>
      <c r="D69" s="94"/>
      <c r="E69" s="94"/>
      <c r="F69" s="28">
        <f>SUMPRODUCT(F54:F56,S54:S56)+SUMPRODUCT(F57:F67,S57:S67)/0.87</f>
        <v>4.6882218421655616E-4</v>
      </c>
      <c r="G69" s="28">
        <f>SUMPRODUCT(G54:G56,S54:S56)+SUMPRODUCT(G57:G67,S57:S67)/0.87</f>
        <v>9.9303926929286522E-5</v>
      </c>
      <c r="H69" s="28">
        <f>SUMPRODUCT(H54:H56,S54:S56)+SUMPRODUCT(H57:H67,S57:S67)/0.87</f>
        <v>9.4909369339325381E-5</v>
      </c>
      <c r="I69" s="28">
        <f>SUMPRODUCT(I54:I56,S54:S56)+SUMPRODUCT(I57:I67,S57:S67)/0.87</f>
        <v>0</v>
      </c>
      <c r="J69" s="28">
        <f>SUMPRODUCT(J54:J56,S54:S56)+SUMPRODUCT(J57:J67,S57:S67)/0.87</f>
        <v>0</v>
      </c>
      <c r="K69" s="28">
        <f>SUMPRODUCT(K54:K56,S54:S56)+SUMPRODUCT(K57:K67,S57:S67)/0.87</f>
        <v>1.652535067181727E-5</v>
      </c>
      <c r="L69" s="28">
        <f>SUMPRODUCT(L54:L56,S54:S56)+SUMPRODUCT(L57:L67,S57:S67)/0.87</f>
        <v>0</v>
      </c>
      <c r="M69" s="28">
        <f>SUMPRODUCT(M54:M56,S54:S56)+SUMPRODUCT(M57:M67,S57:S67)/0.87</f>
        <v>2.0937453454872643E-5</v>
      </c>
      <c r="N69" s="28">
        <f>SUMPRODUCT(N54:N56,S54:S56)+SUMPRODUCT(N57:N67,S57:S67)/0.87</f>
        <v>1.5175319307877876E-5</v>
      </c>
      <c r="O69" s="28">
        <f>SUMPRODUCT(O54:O56,S54:S56)+SUMPRODUCT(O57:O67,S57:S67)/0.87</f>
        <v>0</v>
      </c>
      <c r="P69" s="28">
        <f>SUMPRODUCT(P54:P56,S54:S56)+SUMPRODUCT(P57:P67,S57:S67)/0.87</f>
        <v>2.0660979612125839E-4</v>
      </c>
      <c r="Q69" s="28">
        <f>SUMPRODUCT(Q54:Q56,S54:S56)+SUMPRODUCT(Q57:Q67,S57:S67)/0.87</f>
        <v>1.5360968392118009E-5</v>
      </c>
      <c r="R69" s="149"/>
      <c r="S69" s="149"/>
    </row>
    <row r="70" spans="1:19" x14ac:dyDescent="0.35">
      <c r="B70" s="16" t="s">
        <v>285</v>
      </c>
      <c r="C70" s="15" t="s">
        <v>288</v>
      </c>
      <c r="D70" s="21" t="s">
        <v>91</v>
      </c>
      <c r="E70" s="21" t="s">
        <v>43</v>
      </c>
      <c r="F70" s="118">
        <f>SUM(G70:Q70)</f>
        <v>1.5647295549767155E-4</v>
      </c>
      <c r="G70" s="27">
        <f>'Forage crops, CF'!F29</f>
        <v>3.9901302719260733E-5</v>
      </c>
      <c r="H70" s="27">
        <f>'Forage crops, CF'!G29</f>
        <v>9.5000000000000005E-5</v>
      </c>
      <c r="I70" s="27">
        <f>'Forage crops, CF'!H29</f>
        <v>0</v>
      </c>
      <c r="J70" s="27">
        <f>'Forage crops, CF'!I29</f>
        <v>0</v>
      </c>
      <c r="K70" s="27">
        <f>'Forage crops, CF'!J29</f>
        <v>2.1571652778410818E-5</v>
      </c>
      <c r="L70" s="27">
        <f>'Forage crops, CF'!K29</f>
        <v>0</v>
      </c>
      <c r="M70" s="27">
        <f>'Forage crops, CF'!L29</f>
        <v>0</v>
      </c>
      <c r="N70" s="27">
        <f>'Forage crops, CF'!M29</f>
        <v>0</v>
      </c>
      <c r="O70" s="27">
        <f>'Forage crops, CF'!N29</f>
        <v>0</v>
      </c>
      <c r="P70" s="27">
        <f>'Forage crops, CF'!O29</f>
        <v>0</v>
      </c>
      <c r="Q70" s="27">
        <f>'Forage crops, CF'!P29</f>
        <v>0</v>
      </c>
      <c r="R70" s="148">
        <f>'Parameters, country spec'!F15</f>
        <v>7.7439143939213403E-2</v>
      </c>
      <c r="S70" s="148">
        <f>'Parameters, country spec'!F33</f>
        <v>7.7439143939213403E-2</v>
      </c>
    </row>
    <row r="71" spans="1:19" x14ac:dyDescent="0.35">
      <c r="B71" s="16" t="s">
        <v>286</v>
      </c>
      <c r="C71" s="15" t="s">
        <v>288</v>
      </c>
      <c r="D71" s="21" t="s">
        <v>91</v>
      </c>
      <c r="E71" s="21" t="s">
        <v>43</v>
      </c>
      <c r="F71" s="118">
        <f>SUM(G71:Q71)</f>
        <v>8.9778333874785895E-4</v>
      </c>
      <c r="G71" s="27">
        <f>'Forage crops, CF'!F94</f>
        <v>8.475319093918984E-5</v>
      </c>
      <c r="H71" s="27">
        <f>'Forage crops, CF'!G94</f>
        <v>9.5000000000000005E-5</v>
      </c>
      <c r="I71" s="27"/>
      <c r="J71" s="27"/>
      <c r="K71" s="27">
        <f>'Forage crops, CF'!J94</f>
        <v>9.5282901686691296E-6</v>
      </c>
      <c r="L71" s="27"/>
      <c r="M71" s="27">
        <f>'Forage crops, CF'!L94</f>
        <v>5.0185763999999998E-7</v>
      </c>
      <c r="N71" s="27">
        <f>'Forage crops, CF'!M94</f>
        <v>0</v>
      </c>
      <c r="O71" s="27"/>
      <c r="P71" s="27">
        <f>'Forage crops, CF'!O94</f>
        <v>7.0799999999999997E-4</v>
      </c>
      <c r="Q71" s="27"/>
      <c r="R71" s="148">
        <f>'Parameters, country spec'!F16</f>
        <v>0.38082943222890436</v>
      </c>
      <c r="S71" s="148">
        <f>'Parameters, country spec'!F34</f>
        <v>0.38082943222890436</v>
      </c>
    </row>
    <row r="72" spans="1:19" x14ac:dyDescent="0.35">
      <c r="B72" s="16" t="s">
        <v>287</v>
      </c>
      <c r="C72" s="15" t="s">
        <v>288</v>
      </c>
      <c r="D72" s="21" t="s">
        <v>91</v>
      </c>
      <c r="E72" s="21" t="s">
        <v>43</v>
      </c>
      <c r="F72" s="118">
        <f>SUM(G72:Q72)</f>
        <v>8.2327393052972588E-4</v>
      </c>
      <c r="G72" s="27">
        <f>'Forage crops, CF'!F159*'Forage, input data per ha'!$E$82+'Forage crops, CF'!F224*'Forage, input data per ha'!$G$82</f>
        <v>6.5155369446603544E-6</v>
      </c>
      <c r="H72" s="27">
        <f>'Forage crops, CF'!G159*'Forage, input data per ha'!$E$82+'Forage crops, CF'!G224*'Forage, input data per ha'!$G$82</f>
        <v>9.5000000000000005E-5</v>
      </c>
      <c r="I72" s="27"/>
      <c r="J72" s="27"/>
      <c r="K72" s="27">
        <f>'Forage crops, CF'!J159*'Forage, input data per ha'!$E$82+'Forage crops, CF'!J224*'Forage, input data per ha'!$G$82</f>
        <v>1.3758393585065519E-5</v>
      </c>
      <c r="L72" s="27"/>
      <c r="M72" s="27">
        <f>'Forage crops, CF'!L159*'Forage, input data per ha'!$E$82+'Forage crops, CF'!L224*'Forage, input data per ha'!$G$82</f>
        <v>0</v>
      </c>
      <c r="N72" s="27">
        <f>'Forage crops, CF'!M159*'Forage, input data per ha'!$E$82+'Forage crops, CF'!M224*'Forage, input data per ha'!$G$82</f>
        <v>0</v>
      </c>
      <c r="O72" s="27"/>
      <c r="P72" s="27">
        <f>'Forage crops, CF'!O159*'Forage, input data per ha'!$E$82+'Forage crops, CF'!O224*'Forage, input data per ha'!$G$82</f>
        <v>7.0799999999999997E-4</v>
      </c>
      <c r="Q72" s="27"/>
      <c r="R72" s="148">
        <f>'Parameters, country spec'!F17</f>
        <v>0.18201404564523588</v>
      </c>
      <c r="S72" s="148">
        <f>'Parameters, country spec'!F35</f>
        <v>0.18201404564523588</v>
      </c>
    </row>
    <row r="73" spans="1:19" x14ac:dyDescent="0.35">
      <c r="A73" s="20" t="s">
        <v>222</v>
      </c>
      <c r="B73" s="15" t="s">
        <v>108</v>
      </c>
      <c r="C73" s="15" t="s">
        <v>223</v>
      </c>
      <c r="D73" s="21" t="s">
        <v>91</v>
      </c>
      <c r="E73" s="21" t="s">
        <v>43</v>
      </c>
      <c r="F73" s="118">
        <f>SUM(G73:Q73)</f>
        <v>2.9985099999999996E-4</v>
      </c>
      <c r="G73" s="93">
        <v>1.4999999999999999E-4</v>
      </c>
      <c r="H73" s="93">
        <v>1E-4</v>
      </c>
      <c r="I73" s="93"/>
      <c r="J73" s="93"/>
      <c r="K73" s="93">
        <v>1.5E-5</v>
      </c>
      <c r="L73" s="93"/>
      <c r="M73" s="93">
        <v>2.5100000000000001E-7</v>
      </c>
      <c r="N73" s="93">
        <v>3.4600000000000001E-5</v>
      </c>
      <c r="O73" s="93"/>
      <c r="P73" s="93"/>
      <c r="Q73" s="93"/>
      <c r="R73" s="148">
        <f>'Parameters, country spec'!F18</f>
        <v>1.3777713958130216E-2</v>
      </c>
      <c r="S73" s="148">
        <f>'Parameters, country spec'!F36</f>
        <v>1.3777713958130216E-2</v>
      </c>
    </row>
    <row r="74" spans="1:19" x14ac:dyDescent="0.35">
      <c r="A74" s="20" t="s">
        <v>224</v>
      </c>
      <c r="B74" s="15" t="s">
        <v>109</v>
      </c>
      <c r="C74" s="15" t="s">
        <v>223</v>
      </c>
      <c r="D74" s="21" t="s">
        <v>91</v>
      </c>
      <c r="E74" s="21" t="s">
        <v>43</v>
      </c>
      <c r="F74" s="118">
        <f t="shared" ref="F74:F83" si="8">SUM(G74:Q74)</f>
        <v>2.9590200000000001E-4</v>
      </c>
      <c r="G74" s="93">
        <v>1.4999999999999999E-4</v>
      </c>
      <c r="H74" s="93">
        <v>1E-4</v>
      </c>
      <c r="I74" s="93"/>
      <c r="J74" s="93"/>
      <c r="K74" s="93">
        <v>1.08E-5</v>
      </c>
      <c r="L74" s="93"/>
      <c r="M74" s="93">
        <v>5.0200000000000002E-7</v>
      </c>
      <c r="N74" s="93">
        <v>3.4600000000000001E-5</v>
      </c>
      <c r="O74" s="93"/>
      <c r="P74" s="93"/>
      <c r="Q74" s="93"/>
      <c r="R74" s="148">
        <f>'Parameters, country spec'!F19</f>
        <v>8.1721304315358359E-2</v>
      </c>
      <c r="S74" s="148">
        <f>'Parameters, country spec'!F37</f>
        <v>8.1721304315358359E-2</v>
      </c>
    </row>
    <row r="75" spans="1:19" x14ac:dyDescent="0.35">
      <c r="A75" s="20" t="s">
        <v>225</v>
      </c>
      <c r="B75" s="15" t="s">
        <v>110</v>
      </c>
      <c r="C75" s="15" t="s">
        <v>223</v>
      </c>
      <c r="D75" s="21" t="s">
        <v>91</v>
      </c>
      <c r="E75" s="21" t="s">
        <v>43</v>
      </c>
      <c r="F75" s="118">
        <f t="shared" si="8"/>
        <v>2.9496000000000004E-4</v>
      </c>
      <c r="G75" s="93">
        <v>1.2999999999999999E-4</v>
      </c>
      <c r="H75" s="93">
        <v>1E-4</v>
      </c>
      <c r="I75" s="93"/>
      <c r="J75" s="93"/>
      <c r="K75" s="93">
        <v>2.8099999999999999E-5</v>
      </c>
      <c r="L75" s="93"/>
      <c r="M75" s="93">
        <v>2.26E-6</v>
      </c>
      <c r="N75" s="93">
        <v>3.4600000000000001E-5</v>
      </c>
      <c r="O75" s="93"/>
      <c r="P75" s="93"/>
      <c r="Q75" s="93"/>
      <c r="R75" s="148">
        <f>'Parameters, country spec'!F20</f>
        <v>7.3794391499110061E-3</v>
      </c>
      <c r="S75" s="148">
        <f>'Parameters, country spec'!F38</f>
        <v>7.3794391499110061E-3</v>
      </c>
    </row>
    <row r="76" spans="1:19" x14ac:dyDescent="0.35">
      <c r="A76" s="20" t="s">
        <v>226</v>
      </c>
      <c r="B76" s="15" t="s">
        <v>111</v>
      </c>
      <c r="C76" s="15" t="s">
        <v>223</v>
      </c>
      <c r="D76" s="21" t="s">
        <v>91</v>
      </c>
      <c r="E76" s="21" t="s">
        <v>43</v>
      </c>
      <c r="F76" s="118">
        <f t="shared" si="8"/>
        <v>2.7900000000000006E-4</v>
      </c>
      <c r="G76" s="93">
        <v>1.2E-4</v>
      </c>
      <c r="H76" s="93">
        <v>1E-4</v>
      </c>
      <c r="I76" s="93"/>
      <c r="J76" s="93"/>
      <c r="K76" s="93">
        <v>2.44E-5</v>
      </c>
      <c r="L76" s="93"/>
      <c r="M76" s="93">
        <v>0</v>
      </c>
      <c r="N76" s="93">
        <v>3.4600000000000001E-5</v>
      </c>
      <c r="O76" s="93"/>
      <c r="P76" s="93"/>
      <c r="Q76" s="93"/>
      <c r="R76" s="148">
        <f>'Parameters, country spec'!F21</f>
        <v>2.8681330795635538E-3</v>
      </c>
      <c r="S76" s="148">
        <f>'Parameters, country spec'!F39</f>
        <v>2.8681330795635538E-3</v>
      </c>
    </row>
    <row r="77" spans="1:19" x14ac:dyDescent="0.35">
      <c r="A77" s="20" t="s">
        <v>227</v>
      </c>
      <c r="B77" s="15" t="s">
        <v>112</v>
      </c>
      <c r="C77" s="15" t="s">
        <v>223</v>
      </c>
      <c r="D77" s="21" t="s">
        <v>91</v>
      </c>
      <c r="E77" s="21" t="s">
        <v>43</v>
      </c>
      <c r="F77" s="118">
        <f t="shared" si="8"/>
        <v>3.2050199999999996E-4</v>
      </c>
      <c r="G77" s="93">
        <v>1.7000000000000001E-4</v>
      </c>
      <c r="H77" s="93">
        <v>1E-4</v>
      </c>
      <c r="I77" s="93"/>
      <c r="J77" s="93"/>
      <c r="K77" s="93">
        <v>1.5400000000000002E-5</v>
      </c>
      <c r="L77" s="93"/>
      <c r="M77" s="93">
        <v>5.0200000000000002E-7</v>
      </c>
      <c r="N77" s="93">
        <v>3.4600000000000001E-5</v>
      </c>
      <c r="O77" s="93"/>
      <c r="P77" s="93"/>
      <c r="Q77" s="93"/>
      <c r="R77" s="148">
        <f>'Parameters, country spec'!F22</f>
        <v>1.2902756316192223E-2</v>
      </c>
      <c r="S77" s="148">
        <f>'Parameters, country spec'!F40</f>
        <v>1.2902756316192223E-2</v>
      </c>
    </row>
    <row r="78" spans="1:19" x14ac:dyDescent="0.35">
      <c r="A78" s="20" t="s">
        <v>228</v>
      </c>
      <c r="B78" s="15" t="s">
        <v>113</v>
      </c>
      <c r="C78" s="15" t="s">
        <v>229</v>
      </c>
      <c r="D78" s="21" t="s">
        <v>91</v>
      </c>
      <c r="E78" s="21" t="s">
        <v>43</v>
      </c>
      <c r="F78" s="118">
        <f t="shared" si="8"/>
        <v>1.8469999999999999E-4</v>
      </c>
      <c r="G78" s="93">
        <v>0</v>
      </c>
      <c r="H78" s="93">
        <v>1E-4</v>
      </c>
      <c r="I78" s="93"/>
      <c r="J78" s="93"/>
      <c r="K78" s="93">
        <v>3.15E-5</v>
      </c>
      <c r="L78" s="93"/>
      <c r="M78" s="93">
        <v>1.8600000000000001E-5</v>
      </c>
      <c r="N78" s="93">
        <v>3.4600000000000001E-5</v>
      </c>
      <c r="O78" s="93"/>
      <c r="P78" s="93"/>
      <c r="Q78" s="93"/>
      <c r="R78" s="148">
        <f>'Parameters, country spec'!F23</f>
        <v>9.2331122908701521E-4</v>
      </c>
      <c r="S78" s="148">
        <f>'Parameters, country spec'!F41</f>
        <v>9.2331122908701521E-4</v>
      </c>
    </row>
    <row r="79" spans="1:19" x14ac:dyDescent="0.35">
      <c r="A79" s="20" t="s">
        <v>230</v>
      </c>
      <c r="B79" s="15" t="s">
        <v>114</v>
      </c>
      <c r="C79" s="15" t="s">
        <v>229</v>
      </c>
      <c r="D79" s="21" t="s">
        <v>91</v>
      </c>
      <c r="E79" s="21" t="s">
        <v>43</v>
      </c>
      <c r="F79" s="118">
        <f t="shared" si="8"/>
        <v>2.0880000000000001E-4</v>
      </c>
      <c r="G79" s="93">
        <v>7.5000000000000002E-6</v>
      </c>
      <c r="H79" s="93">
        <v>1E-4</v>
      </c>
      <c r="I79" s="93"/>
      <c r="J79" s="93"/>
      <c r="K79" s="93">
        <v>3.93E-5</v>
      </c>
      <c r="L79" s="93"/>
      <c r="M79" s="93">
        <v>2.7399999999999999E-5</v>
      </c>
      <c r="N79" s="93">
        <v>3.4600000000000001E-5</v>
      </c>
      <c r="O79" s="93"/>
      <c r="P79" s="93"/>
      <c r="Q79" s="93"/>
      <c r="R79" s="148">
        <f>'Parameters, country spec'!F24</f>
        <v>9.0699589423403552E-4</v>
      </c>
      <c r="S79" s="148">
        <f>'Parameters, country spec'!F42</f>
        <v>9.0699589423403552E-4</v>
      </c>
    </row>
    <row r="80" spans="1:19" x14ac:dyDescent="0.35">
      <c r="B80" s="16" t="s">
        <v>115</v>
      </c>
      <c r="C80" s="15" t="s">
        <v>231</v>
      </c>
      <c r="D80" s="21" t="s">
        <v>91</v>
      </c>
      <c r="E80" s="21" t="s">
        <v>43</v>
      </c>
      <c r="F80" s="118">
        <f t="shared" si="8"/>
        <v>4.6478527325651394E-4</v>
      </c>
      <c r="G80" s="27">
        <v>3.0425509539765719E-4</v>
      </c>
      <c r="H80" s="27">
        <v>4.5862068965517246E-5</v>
      </c>
      <c r="I80" s="27"/>
      <c r="J80" s="27"/>
      <c r="K80" s="27">
        <v>1.0936279334641699E-5</v>
      </c>
      <c r="L80" s="27"/>
      <c r="M80" s="27">
        <v>6.4606960551724142E-7</v>
      </c>
      <c r="N80" s="27">
        <v>2.1884761697575221E-5</v>
      </c>
      <c r="O80" s="27"/>
      <c r="P80" s="27">
        <v>5.7027085212127035E-5</v>
      </c>
      <c r="Q80" s="27">
        <v>2.4173913043478263E-5</v>
      </c>
      <c r="R80" s="148">
        <f>'Parameters, country spec'!F25</f>
        <v>3.9849321881062677E-4</v>
      </c>
      <c r="S80" s="148">
        <f>'Parameters, country spec'!F43</f>
        <v>3.9849321881062677E-4</v>
      </c>
    </row>
    <row r="81" spans="1:19" x14ac:dyDescent="0.35">
      <c r="B81" s="16" t="s">
        <v>232</v>
      </c>
      <c r="C81" s="15" t="s">
        <v>231</v>
      </c>
      <c r="D81" s="21" t="s">
        <v>91</v>
      </c>
      <c r="E81" s="21" t="s">
        <v>43</v>
      </c>
      <c r="F81" s="118">
        <f t="shared" si="8"/>
        <v>4.7266553697523981E-4</v>
      </c>
      <c r="G81" s="27">
        <v>1.5603516238625262E-5</v>
      </c>
      <c r="H81" s="27">
        <v>7.5304878048780503E-5</v>
      </c>
      <c r="I81" s="27"/>
      <c r="J81" s="27"/>
      <c r="K81" s="27">
        <v>1.908459074435586E-5</v>
      </c>
      <c r="L81" s="27"/>
      <c r="M81" s="27">
        <v>5.9672097439024396E-7</v>
      </c>
      <c r="N81" s="27">
        <v>2.3084271612619523E-5</v>
      </c>
      <c r="O81" s="27"/>
      <c r="P81" s="27">
        <v>1.2899155935646844E-4</v>
      </c>
      <c r="Q81" s="27">
        <v>2.1000000000000001E-4</v>
      </c>
      <c r="R81" s="148">
        <f>'Parameters, country spec'!F26</f>
        <v>7.5984876674379837E-2</v>
      </c>
      <c r="S81" s="148">
        <f>'Parameters, country spec'!F44</f>
        <v>7.5984876674379837E-2</v>
      </c>
    </row>
    <row r="82" spans="1:19" x14ac:dyDescent="0.35">
      <c r="B82" s="15" t="s">
        <v>117</v>
      </c>
      <c r="C82" s="15" t="s">
        <v>233</v>
      </c>
      <c r="D82" s="21" t="s">
        <v>91</v>
      </c>
      <c r="E82" s="21" t="s">
        <v>43</v>
      </c>
      <c r="F82" s="579">
        <f t="shared" si="8"/>
        <v>1.4048667020930565E-3</v>
      </c>
      <c r="G82" s="93">
        <v>8.6835153156359304E-5</v>
      </c>
      <c r="H82" s="93">
        <v>4.7537999999999998E-5</v>
      </c>
      <c r="I82" s="42"/>
      <c r="J82" s="42"/>
      <c r="K82" s="93">
        <v>2.5195708664316999E-5</v>
      </c>
      <c r="L82" s="42"/>
      <c r="M82" s="42"/>
      <c r="N82" s="93"/>
      <c r="O82" s="93"/>
      <c r="P82" s="93">
        <v>1.2421904527491999E-3</v>
      </c>
      <c r="Q82" s="93">
        <v>3.10738752318024E-6</v>
      </c>
      <c r="R82" s="148">
        <f>'Parameters, country spec'!F27</f>
        <v>9.4871367549450719E-2</v>
      </c>
      <c r="S82" s="148">
        <f>'Parameters, country spec'!F45</f>
        <v>9.4871367549450719E-2</v>
      </c>
    </row>
    <row r="83" spans="1:19" x14ac:dyDescent="0.35">
      <c r="A83" s="75"/>
      <c r="B83" s="15" t="s">
        <v>234</v>
      </c>
      <c r="C83" s="76" t="s">
        <v>235</v>
      </c>
      <c r="D83" s="21" t="s">
        <v>91</v>
      </c>
      <c r="E83" s="21" t="s">
        <v>43</v>
      </c>
      <c r="F83" s="118">
        <f t="shared" si="8"/>
        <v>7.1885529044908027E-5</v>
      </c>
      <c r="G83" s="74">
        <f>SUMPRODUCT(G73:G81,$R73:$R81)</f>
        <v>1.9135501692401949E-5</v>
      </c>
      <c r="H83" s="74">
        <f t="shared" ref="H83:P83" si="9">SUMPRODUCT(H73:H81,$R73:$R81)</f>
        <v>1.7788272989246829E-5</v>
      </c>
      <c r="I83" s="74">
        <f t="shared" si="9"/>
        <v>0</v>
      </c>
      <c r="J83" s="74">
        <f t="shared" si="9"/>
        <v>0</v>
      </c>
      <c r="K83" s="74">
        <f t="shared" si="9"/>
        <v>3.0845304801054364E-6</v>
      </c>
      <c r="L83" s="74">
        <f t="shared" si="9"/>
        <v>0</v>
      </c>
      <c r="M83" s="74">
        <f t="shared" si="9"/>
        <v>1.5526151748709575E-7</v>
      </c>
      <c r="N83" s="74">
        <f t="shared" si="9"/>
        <v>5.9313724871442356E-6</v>
      </c>
      <c r="O83" s="74">
        <f t="shared" si="9"/>
        <v>0</v>
      </c>
      <c r="P83" s="74">
        <f t="shared" si="9"/>
        <v>9.824132636482768E-6</v>
      </c>
      <c r="Q83" s="74">
        <f>SUMPRODUCT(Q73:Q81,$R73:$R81)</f>
        <v>1.5966457242039711E-5</v>
      </c>
      <c r="R83" s="148">
        <f>'Parameters, country spec'!F28</f>
        <v>6.7982986801529061E-2</v>
      </c>
      <c r="S83" s="148">
        <f>'Parameters, country spec'!F46</f>
        <v>6.7982986801529061E-2</v>
      </c>
    </row>
    <row r="84" spans="1:19" x14ac:dyDescent="0.35">
      <c r="A84" s="321"/>
      <c r="B84" s="322" t="s">
        <v>541</v>
      </c>
      <c r="C84" s="323"/>
      <c r="D84" s="324"/>
      <c r="E84" s="324"/>
      <c r="F84" s="327">
        <f>SUMPRODUCT(F70:F72,R70:R72)+SUMPRODUCT(F73:F83,R73:R83)/0.87</f>
        <v>7.4530841823883362E-4</v>
      </c>
      <c r="G84" s="327">
        <f>SUMPRODUCT(G70:G72,R70:R72)+SUMPRODUCT(G73:G83,R73:R83)/0.87</f>
        <v>6.9511615896386211E-5</v>
      </c>
      <c r="H84" s="327">
        <f>SUMPRODUCT(H70:H72,R70:R72)+SUMPRODUCT(H73:H83,R73:R83)/0.87</f>
        <v>8.7847042161535942E-5</v>
      </c>
      <c r="I84" s="327">
        <f>SUMPRODUCT(I70:I72,R70:R72)+SUMPRODUCT(I73:I83,R73:R83)/0.87</f>
        <v>0</v>
      </c>
      <c r="J84" s="327">
        <f>SUMPRODUCT(J70:J72,R70:R72)+SUMPRODUCT(J73:J83,R73:R83)/0.87</f>
        <v>0</v>
      </c>
      <c r="K84" s="327">
        <f>SUMPRODUCT(K70:K72,R70:R72)+SUMPRODUCT(K73:K83,R73:R83)/0.87</f>
        <v>1.4337361563287331E-5</v>
      </c>
      <c r="L84" s="327">
        <f>SUMPRODUCT(L70:L72,R70:R72)+SUMPRODUCT(L73:L83,R73:R83)/0.87</f>
        <v>0</v>
      </c>
      <c r="M84" s="327">
        <f>SUMPRODUCT(M70:M72,R70:R72)+SUMPRODUCT(M73:M83,R73:R83)/0.87</f>
        <v>3.8171602122876128E-7</v>
      </c>
      <c r="N84" s="327">
        <f>SUMPRODUCT(N70:N72,R70:R72)+SUMPRODUCT(N73:N83,R73:R83)/0.87</f>
        <v>7.2811550628192118E-6</v>
      </c>
      <c r="O84" s="327">
        <f>SUMPRODUCT(O70:O72,R70:R72)+SUMPRODUCT(O73:O83,R73:R83)/0.87</f>
        <v>0</v>
      </c>
      <c r="P84" s="327">
        <f>SUMPRODUCT(P70:P72,R70:R72)+SUMPRODUCT(P73:P83,R73:R83)/0.87</f>
        <v>5.4601078408780303E-4</v>
      </c>
      <c r="Q84" s="327">
        <f>SUMPRODUCT(Q70:Q72,R70:R72)+SUMPRODUCT(Q73:Q83,R73:R83)/0.87</f>
        <v>1.9938743445773196E-5</v>
      </c>
      <c r="R84" s="328"/>
      <c r="S84" s="329"/>
    </row>
    <row r="85" spans="1:19" x14ac:dyDescent="0.35">
      <c r="A85" s="147"/>
      <c r="B85" s="23" t="s">
        <v>428</v>
      </c>
      <c r="C85" s="24"/>
      <c r="D85" s="94"/>
      <c r="E85" s="94"/>
      <c r="F85" s="28">
        <f>SUMPRODUCT(F70:F72,S70:S72)+SUMPRODUCT(F73:F83,S73:S83)/0.87</f>
        <v>7.4530841823883362E-4</v>
      </c>
      <c r="G85" s="28">
        <f>SUMPRODUCT(G70:G72,S70:S72)+SUMPRODUCT(G73:G83,S73:S83)/0.87</f>
        <v>6.9511615896386211E-5</v>
      </c>
      <c r="H85" s="28">
        <f>SUMPRODUCT(H70:H72,S70:S72)+SUMPRODUCT(H73:H83,S73:S83)/0.87</f>
        <v>8.7847042161535942E-5</v>
      </c>
      <c r="I85" s="28">
        <f>SUMPRODUCT(I70:I72,S70:S72)+SUMPRODUCT(I73:I83,S73:S83)/0.87</f>
        <v>0</v>
      </c>
      <c r="J85" s="28">
        <f>SUMPRODUCT(J70:J72,S70:S72)+SUMPRODUCT(J73:J83,S73:S83)/0.87</f>
        <v>0</v>
      </c>
      <c r="K85" s="28">
        <f>SUMPRODUCT(K70:K72,S70:S72)+SUMPRODUCT(K73:K83,S73:S83)/0.87</f>
        <v>1.4337361563287331E-5</v>
      </c>
      <c r="L85" s="28">
        <f>SUMPRODUCT(L70:L72,S70:S72)+SUMPRODUCT(L73:L83,S73:S83)/0.87</f>
        <v>0</v>
      </c>
      <c r="M85" s="28">
        <f>SUMPRODUCT(M70:M72,S70:S72)+SUMPRODUCT(M73:M83,S73:S83)/0.87</f>
        <v>3.8171602122876128E-7</v>
      </c>
      <c r="N85" s="28">
        <f>SUMPRODUCT(N70:N72,S70:S72)+SUMPRODUCT(N73:N83,S73:S83)/0.87</f>
        <v>7.2811550628192118E-6</v>
      </c>
      <c r="O85" s="28">
        <f>SUMPRODUCT(O70:O72,S70:S72)+SUMPRODUCT(O73:O83,S73:S83)/0.87</f>
        <v>0</v>
      </c>
      <c r="P85" s="28">
        <f>SUMPRODUCT(P70:P72,S70:S72)+SUMPRODUCT(P73:P83,S73:S83)/0.87</f>
        <v>5.4601078408780303E-4</v>
      </c>
      <c r="Q85" s="28">
        <f>SUMPRODUCT(Q70:Q72,S70:S72)+SUMPRODUCT(Q73:Q83,S73:S83)/0.87</f>
        <v>1.9938743445773196E-5</v>
      </c>
      <c r="R85" s="149"/>
      <c r="S85" s="149"/>
    </row>
    <row r="86" spans="1:19" x14ac:dyDescent="0.35">
      <c r="B86" s="16" t="s">
        <v>285</v>
      </c>
      <c r="C86" s="15" t="s">
        <v>288</v>
      </c>
      <c r="D86" s="21" t="s">
        <v>44</v>
      </c>
      <c r="E86" s="21" t="s">
        <v>45</v>
      </c>
      <c r="F86" s="118">
        <f>SUM(G86:Q86)</f>
        <v>1.4141800552451564E-4</v>
      </c>
      <c r="G86" s="27">
        <f>'Forage crops, CF'!F34</f>
        <v>3.9901302719260733E-5</v>
      </c>
      <c r="H86" s="27">
        <f>'Forage crops, CF'!G34</f>
        <v>9.5000000000000005E-5</v>
      </c>
      <c r="I86" s="27">
        <f>'Forage crops, CF'!H34</f>
        <v>0</v>
      </c>
      <c r="J86" s="27">
        <f>'Forage crops, CF'!I34</f>
        <v>0</v>
      </c>
      <c r="K86" s="27">
        <f>'Forage crops, CF'!J34</f>
        <v>6.5167028052549126E-6</v>
      </c>
      <c r="L86" s="27">
        <f>'Forage crops, CF'!K34</f>
        <v>0</v>
      </c>
      <c r="M86" s="27">
        <f>'Forage crops, CF'!L34</f>
        <v>0</v>
      </c>
      <c r="N86" s="27">
        <f>'Forage crops, CF'!M34</f>
        <v>0</v>
      </c>
      <c r="O86" s="27">
        <f>'Forage crops, CF'!N34</f>
        <v>0</v>
      </c>
      <c r="P86" s="27">
        <f>'Forage crops, CF'!O34</f>
        <v>0</v>
      </c>
      <c r="Q86" s="27">
        <f>'Forage crops, CF'!P34</f>
        <v>0</v>
      </c>
      <c r="R86" s="148">
        <f>'Parameters, country spec'!G15</f>
        <v>0.75114991922794239</v>
      </c>
      <c r="S86" s="148">
        <f>'Parameters, country spec'!G33</f>
        <v>0.75114991922794239</v>
      </c>
    </row>
    <row r="87" spans="1:19" x14ac:dyDescent="0.35">
      <c r="B87" s="16" t="s">
        <v>286</v>
      </c>
      <c r="C87" s="15" t="s">
        <v>288</v>
      </c>
      <c r="D87" s="21" t="s">
        <v>44</v>
      </c>
      <c r="E87" s="21" t="s">
        <v>45</v>
      </c>
      <c r="F87" s="118">
        <f>SUM(G87:Q87)</f>
        <v>8.9048243603061044E-4</v>
      </c>
      <c r="G87" s="27">
        <f>'Forage crops, CF'!F99</f>
        <v>5.989541782308556E-5</v>
      </c>
      <c r="H87" s="27">
        <f>'Forage crops, CF'!G99</f>
        <v>9.5000000000000005E-5</v>
      </c>
      <c r="I87" s="27"/>
      <c r="J87" s="27"/>
      <c r="K87" s="27">
        <f>'Forage crops, CF'!J99</f>
        <v>5.756210867524934E-6</v>
      </c>
      <c r="L87" s="27"/>
      <c r="M87" s="27">
        <f>'Forage crops, CF'!L99</f>
        <v>2.1830807340000004E-5</v>
      </c>
      <c r="N87" s="27">
        <f>'Forage crops, CF'!M99</f>
        <v>0</v>
      </c>
      <c r="O87" s="27"/>
      <c r="P87" s="27">
        <f>'Forage crops, CF'!O99</f>
        <v>7.0799999999999997E-4</v>
      </c>
      <c r="Q87" s="27"/>
      <c r="R87" s="148">
        <f>'Parameters, country spec'!G16</f>
        <v>1.9608947623101922E-2</v>
      </c>
      <c r="S87" s="148">
        <f>'Parameters, country spec'!G34</f>
        <v>1.9608947623101922E-2</v>
      </c>
    </row>
    <row r="88" spans="1:19" x14ac:dyDescent="0.35">
      <c r="B88" s="16" t="s">
        <v>287</v>
      </c>
      <c r="C88" s="15" t="s">
        <v>288</v>
      </c>
      <c r="D88" s="21" t="s">
        <v>44</v>
      </c>
      <c r="E88" s="21" t="s">
        <v>45</v>
      </c>
      <c r="F88" s="118">
        <f>SUM(G88:Q88)</f>
        <v>8.4941462032251823E-4</v>
      </c>
      <c r="G88" s="27">
        <f>'Forage crops, CF'!F164*'Forage, input data per ha'!$E$83+'Forage crops, CF'!F229*'Forage, input data per ha'!$G$83</f>
        <v>3.9897908813400757E-5</v>
      </c>
      <c r="H88" s="27">
        <f>'Forage crops, CF'!G164*'Forage, input data per ha'!$E$83+'Forage crops, CF'!G229*'Forage, input data per ha'!$G$83</f>
        <v>9.5000000000000019E-5</v>
      </c>
      <c r="I88" s="27"/>
      <c r="J88" s="27"/>
      <c r="K88" s="27">
        <f>'Forage crops, CF'!J164*'Forage, input data per ha'!$E$83+'Forage crops, CF'!J229*'Forage, input data per ha'!$G$83</f>
        <v>6.51671150911748E-6</v>
      </c>
      <c r="L88" s="27"/>
      <c r="M88" s="27">
        <f>'Forage crops, CF'!L164*'Forage, input data per ha'!$E$83+'Forage crops, CF'!L229*'Forage, input data per ha'!$G$83</f>
        <v>0</v>
      </c>
      <c r="N88" s="27">
        <f>'Forage crops, CF'!M164*'Forage, input data per ha'!$E$83+'Forage crops, CF'!M229*'Forage, input data per ha'!$G$83</f>
        <v>0</v>
      </c>
      <c r="O88" s="27"/>
      <c r="P88" s="27">
        <f>'Forage crops, CF'!O164*'Forage, input data per ha'!$E$83+'Forage crops, CF'!O229*'Forage, input data per ha'!$G$83</f>
        <v>7.0799999999999997E-4</v>
      </c>
      <c r="Q88" s="27"/>
      <c r="R88" s="148">
        <f>'Parameters, country spec'!G17</f>
        <v>4.011237421254237E-4</v>
      </c>
      <c r="S88" s="148">
        <f>'Parameters, country spec'!G35</f>
        <v>4.011237421254237E-4</v>
      </c>
    </row>
    <row r="89" spans="1:19" x14ac:dyDescent="0.35">
      <c r="A89" s="20" t="s">
        <v>222</v>
      </c>
      <c r="B89" s="15" t="s">
        <v>108</v>
      </c>
      <c r="C89" s="15" t="s">
        <v>223</v>
      </c>
      <c r="D89" s="21" t="s">
        <v>44</v>
      </c>
      <c r="E89" s="21" t="s">
        <v>45</v>
      </c>
      <c r="F89" s="118">
        <f>SUM(G89:Q89)</f>
        <v>2.8265300000000001E-4</v>
      </c>
      <c r="G89" s="93">
        <v>1.4999999999999999E-4</v>
      </c>
      <c r="H89" s="93">
        <v>1E-4</v>
      </c>
      <c r="I89" s="93"/>
      <c r="J89" s="93"/>
      <c r="K89" s="93">
        <v>1.0900000000000001E-5</v>
      </c>
      <c r="L89" s="93"/>
      <c r="M89" s="93">
        <v>7.5300000000000003E-7</v>
      </c>
      <c r="N89" s="93">
        <v>2.0999999999999999E-5</v>
      </c>
      <c r="O89" s="93"/>
      <c r="P89" s="93"/>
      <c r="Q89" s="93"/>
      <c r="R89" s="148">
        <f>'Parameters, country spec'!G18</f>
        <v>9.7140944486754449E-2</v>
      </c>
      <c r="S89" s="148">
        <f>'Parameters, country spec'!G36</f>
        <v>9.7140944486754449E-2</v>
      </c>
    </row>
    <row r="90" spans="1:19" x14ac:dyDescent="0.35">
      <c r="A90" s="20" t="s">
        <v>224</v>
      </c>
      <c r="B90" s="15" t="s">
        <v>109</v>
      </c>
      <c r="C90" s="15" t="s">
        <v>223</v>
      </c>
      <c r="D90" s="21" t="s">
        <v>44</v>
      </c>
      <c r="E90" s="21" t="s">
        <v>45</v>
      </c>
      <c r="F90" s="118">
        <f t="shared" ref="F90:F99" si="10">SUM(G90:Q90)</f>
        <v>0</v>
      </c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148">
        <f>'Parameters, country spec'!G19</f>
        <v>2.6773939262145888E-2</v>
      </c>
      <c r="S90" s="148">
        <f>'Parameters, country spec'!G37</f>
        <v>2.6773939262145888E-2</v>
      </c>
    </row>
    <row r="91" spans="1:19" x14ac:dyDescent="0.35">
      <c r="A91" s="20" t="s">
        <v>225</v>
      </c>
      <c r="B91" s="15" t="s">
        <v>110</v>
      </c>
      <c r="C91" s="15" t="s">
        <v>223</v>
      </c>
      <c r="D91" s="21" t="s">
        <v>44</v>
      </c>
      <c r="E91" s="21" t="s">
        <v>45</v>
      </c>
      <c r="F91" s="118">
        <f t="shared" si="10"/>
        <v>2.6160000000000002E-4</v>
      </c>
      <c r="G91" s="93">
        <v>1.2999999999999999E-4</v>
      </c>
      <c r="H91" s="93">
        <v>1E-4</v>
      </c>
      <c r="I91" s="93"/>
      <c r="J91" s="93"/>
      <c r="K91" s="93">
        <v>1.06E-5</v>
      </c>
      <c r="L91" s="93"/>
      <c r="M91" s="93">
        <v>0</v>
      </c>
      <c r="N91" s="93">
        <v>2.0999999999999999E-5</v>
      </c>
      <c r="O91" s="93"/>
      <c r="P91" s="93"/>
      <c r="Q91" s="93"/>
      <c r="R91" s="148">
        <f>'Parameters, country spec'!G20</f>
        <v>5.5992035288690246E-3</v>
      </c>
      <c r="S91" s="148">
        <f>'Parameters, country spec'!G38</f>
        <v>5.5992035288690246E-3</v>
      </c>
    </row>
    <row r="92" spans="1:19" x14ac:dyDescent="0.35">
      <c r="A92" s="20" t="s">
        <v>226</v>
      </c>
      <c r="B92" s="15" t="s">
        <v>111</v>
      </c>
      <c r="C92" s="15" t="s">
        <v>223</v>
      </c>
      <c r="D92" s="21" t="s">
        <v>44</v>
      </c>
      <c r="E92" s="21" t="s">
        <v>45</v>
      </c>
      <c r="F92" s="118">
        <f t="shared" si="10"/>
        <v>2.6615300000000004E-4</v>
      </c>
      <c r="G92" s="93">
        <v>1.2E-4</v>
      </c>
      <c r="H92" s="93">
        <v>1E-4</v>
      </c>
      <c r="I92" s="93"/>
      <c r="J92" s="93"/>
      <c r="K92" s="93">
        <v>2.44E-5</v>
      </c>
      <c r="L92" s="93"/>
      <c r="M92" s="93">
        <v>7.5300000000000003E-7</v>
      </c>
      <c r="N92" s="93">
        <v>2.0999999999999999E-5</v>
      </c>
      <c r="O92" s="93"/>
      <c r="P92" s="93"/>
      <c r="Q92" s="93"/>
      <c r="R92" s="148">
        <f>'Parameters, country spec'!G21</f>
        <v>0</v>
      </c>
      <c r="S92" s="148">
        <f>'Parameters, country spec'!G39</f>
        <v>0</v>
      </c>
    </row>
    <row r="93" spans="1:19" x14ac:dyDescent="0.35">
      <c r="A93" s="20" t="s">
        <v>227</v>
      </c>
      <c r="B93" s="15" t="s">
        <v>112</v>
      </c>
      <c r="C93" s="15" t="s">
        <v>223</v>
      </c>
      <c r="D93" s="21" t="s">
        <v>44</v>
      </c>
      <c r="E93" s="21" t="s">
        <v>45</v>
      </c>
      <c r="F93" s="118">
        <f t="shared" si="10"/>
        <v>3.0043100000000004E-4</v>
      </c>
      <c r="G93" s="93">
        <v>1.7000000000000001E-4</v>
      </c>
      <c r="H93" s="93">
        <v>1E-4</v>
      </c>
      <c r="I93" s="93"/>
      <c r="J93" s="93"/>
      <c r="K93" s="93">
        <v>9.1800000000000002E-6</v>
      </c>
      <c r="L93" s="93"/>
      <c r="M93" s="93">
        <v>2.5100000000000001E-7</v>
      </c>
      <c r="N93" s="93">
        <v>2.0999999999999999E-5</v>
      </c>
      <c r="O93" s="93"/>
      <c r="P93" s="93"/>
      <c r="Q93" s="93"/>
      <c r="R93" s="148">
        <f>'Parameters, country spec'!G22</f>
        <v>4.1722075562431273E-2</v>
      </c>
      <c r="S93" s="148">
        <f>'Parameters, country spec'!G40</f>
        <v>4.1722075562431273E-2</v>
      </c>
    </row>
    <row r="94" spans="1:19" x14ac:dyDescent="0.35">
      <c r="A94" s="20" t="s">
        <v>228</v>
      </c>
      <c r="B94" s="15" t="s">
        <v>113</v>
      </c>
      <c r="C94" s="15" t="s">
        <v>229</v>
      </c>
      <c r="D94" s="21" t="s">
        <v>44</v>
      </c>
      <c r="E94" s="21" t="s">
        <v>45</v>
      </c>
      <c r="F94" s="118">
        <f t="shared" si="10"/>
        <v>1.4256000000000002E-4</v>
      </c>
      <c r="G94" s="93">
        <v>0</v>
      </c>
      <c r="H94" s="93">
        <v>1E-4</v>
      </c>
      <c r="I94" s="93"/>
      <c r="J94" s="93"/>
      <c r="K94" s="93">
        <v>1.98E-5</v>
      </c>
      <c r="L94" s="93"/>
      <c r="M94" s="93">
        <v>1.7600000000000001E-6</v>
      </c>
      <c r="N94" s="93">
        <v>2.0999999999999999E-5</v>
      </c>
      <c r="O94" s="93"/>
      <c r="P94" s="93"/>
      <c r="Q94" s="93"/>
      <c r="R94" s="148">
        <f>'Parameters, country spec'!G23</f>
        <v>8.7938670638632881E-5</v>
      </c>
      <c r="S94" s="148">
        <f>'Parameters, country spec'!G41</f>
        <v>8.7938670638632881E-5</v>
      </c>
    </row>
    <row r="95" spans="1:19" x14ac:dyDescent="0.35">
      <c r="A95" s="20" t="s">
        <v>230</v>
      </c>
      <c r="B95" s="15" t="s">
        <v>114</v>
      </c>
      <c r="C95" s="15" t="s">
        <v>229</v>
      </c>
      <c r="D95" s="21" t="s">
        <v>44</v>
      </c>
      <c r="E95" s="21" t="s">
        <v>45</v>
      </c>
      <c r="F95" s="118">
        <f t="shared" si="10"/>
        <v>1.4410000000000001E-4</v>
      </c>
      <c r="G95" s="93">
        <v>7.5000000000000002E-6</v>
      </c>
      <c r="H95" s="93">
        <v>1E-4</v>
      </c>
      <c r="I95" s="93"/>
      <c r="J95" s="93"/>
      <c r="K95" s="93">
        <v>1.56E-5</v>
      </c>
      <c r="L95" s="93"/>
      <c r="M95" s="93">
        <v>0</v>
      </c>
      <c r="N95" s="93">
        <v>2.0999999999999999E-5</v>
      </c>
      <c r="O95" s="93"/>
      <c r="P95" s="93"/>
      <c r="Q95" s="93"/>
      <c r="R95" s="148">
        <f>'Parameters, country spec'!G24</f>
        <v>8.6384753409677397E-5</v>
      </c>
      <c r="S95" s="148">
        <f>'Parameters, country spec'!G42</f>
        <v>8.6384753409677397E-5</v>
      </c>
    </row>
    <row r="96" spans="1:19" x14ac:dyDescent="0.35">
      <c r="B96" s="16" t="s">
        <v>115</v>
      </c>
      <c r="C96" s="15" t="s">
        <v>231</v>
      </c>
      <c r="D96" s="21" t="s">
        <v>44</v>
      </c>
      <c r="E96" s="21" t="s">
        <v>45</v>
      </c>
      <c r="F96" s="118">
        <f t="shared" si="10"/>
        <v>4.6478527325651394E-4</v>
      </c>
      <c r="G96" s="27">
        <v>3.0425509539765719E-4</v>
      </c>
      <c r="H96" s="27">
        <v>4.5862068965517246E-5</v>
      </c>
      <c r="I96" s="27"/>
      <c r="J96" s="27"/>
      <c r="K96" s="27">
        <v>1.0936279334641699E-5</v>
      </c>
      <c r="L96" s="27"/>
      <c r="M96" s="27">
        <v>6.4606960551724142E-7</v>
      </c>
      <c r="N96" s="27">
        <v>2.1884761697575221E-5</v>
      </c>
      <c r="O96" s="27"/>
      <c r="P96" s="27">
        <v>5.7027085212127035E-5</v>
      </c>
      <c r="Q96" s="27">
        <v>2.4173913043478263E-5</v>
      </c>
      <c r="R96" s="148">
        <f>'Parameters, country spec'!G25</f>
        <v>4.7080431031984718E-3</v>
      </c>
      <c r="S96" s="148">
        <f>'Parameters, country spec'!G43</f>
        <v>4.7080431031984718E-3</v>
      </c>
    </row>
    <row r="97" spans="1:19" x14ac:dyDescent="0.35">
      <c r="B97" s="16" t="s">
        <v>232</v>
      </c>
      <c r="C97" s="15" t="s">
        <v>231</v>
      </c>
      <c r="D97" s="21" t="s">
        <v>44</v>
      </c>
      <c r="E97" s="21" t="s">
        <v>45</v>
      </c>
      <c r="F97" s="118">
        <f t="shared" si="10"/>
        <v>4.7266553697523981E-4</v>
      </c>
      <c r="G97" s="27">
        <v>1.5603516238625262E-5</v>
      </c>
      <c r="H97" s="27">
        <v>7.5304878048780503E-5</v>
      </c>
      <c r="I97" s="27"/>
      <c r="J97" s="27"/>
      <c r="K97" s="27">
        <v>1.908459074435586E-5</v>
      </c>
      <c r="L97" s="27"/>
      <c r="M97" s="27">
        <v>5.9672097439024396E-7</v>
      </c>
      <c r="N97" s="27">
        <v>2.3084271612619523E-5</v>
      </c>
      <c r="O97" s="27"/>
      <c r="P97" s="27">
        <v>1.2899155935646844E-4</v>
      </c>
      <c r="Q97" s="27">
        <v>2.1000000000000001E-4</v>
      </c>
      <c r="R97" s="148">
        <f>'Parameters, country spec'!G26</f>
        <v>8.9589881795904755E-3</v>
      </c>
      <c r="S97" s="148">
        <f>'Parameters, country spec'!G44</f>
        <v>8.9589881795904755E-3</v>
      </c>
    </row>
    <row r="98" spans="1:19" x14ac:dyDescent="0.35">
      <c r="B98" s="15" t="s">
        <v>117</v>
      </c>
      <c r="C98" s="15" t="s">
        <v>233</v>
      </c>
      <c r="D98" s="21" t="s">
        <v>44</v>
      </c>
      <c r="E98" s="21" t="s">
        <v>45</v>
      </c>
      <c r="F98" s="579">
        <f t="shared" si="10"/>
        <v>6.523832252484027E-4</v>
      </c>
      <c r="G98" s="93">
        <v>8.4554222784766103E-5</v>
      </c>
      <c r="H98" s="93">
        <v>4.7537999999999998E-5</v>
      </c>
      <c r="I98" s="42"/>
      <c r="J98" s="42"/>
      <c r="K98" s="93">
        <v>1.7594966226416302E-5</v>
      </c>
      <c r="L98" s="42"/>
      <c r="M98" s="42"/>
      <c r="N98" s="93"/>
      <c r="O98" s="93"/>
      <c r="P98" s="93">
        <v>4.7636352423280299E-4</v>
      </c>
      <c r="Q98" s="93">
        <v>2.6332512004417299E-5</v>
      </c>
      <c r="R98" s="148">
        <f>'Parameters, country spec'!G27</f>
        <v>1.7413738591251369E-2</v>
      </c>
      <c r="S98" s="148">
        <f>'Parameters, country spec'!G45</f>
        <v>1.7413738591251369E-2</v>
      </c>
    </row>
    <row r="99" spans="1:19" x14ac:dyDescent="0.35">
      <c r="A99" s="75"/>
      <c r="B99" s="15" t="s">
        <v>234</v>
      </c>
      <c r="C99" s="76" t="s">
        <v>235</v>
      </c>
      <c r="D99" s="21" t="s">
        <v>44</v>
      </c>
      <c r="E99" s="21" t="s">
        <v>45</v>
      </c>
      <c r="F99" s="118">
        <f t="shared" si="10"/>
        <v>4.7904354547200613E-5</v>
      </c>
      <c r="G99" s="74">
        <f>SUMPRODUCT(G89:G97,$R89:$R97)</f>
        <v>2.3964676684071854E-5</v>
      </c>
      <c r="H99" s="74">
        <f t="shared" ref="H99:P99" si="11">SUMPRODUCT(H89:H97,$R89:$R97)</f>
        <v>1.535423081000635E-5</v>
      </c>
      <c r="I99" s="74">
        <f t="shared" si="11"/>
        <v>0</v>
      </c>
      <c r="J99" s="74">
        <f t="shared" si="11"/>
        <v>0</v>
      </c>
      <c r="K99" s="74">
        <f t="shared" si="11"/>
        <v>1.7267523911937079E-6</v>
      </c>
      <c r="L99" s="74">
        <f t="shared" si="11"/>
        <v>0</v>
      </c>
      <c r="M99" s="74">
        <f t="shared" si="11"/>
        <v>9.2161883931537852E-8</v>
      </c>
      <c r="N99" s="74">
        <f t="shared" si="11"/>
        <v>3.3472136049314895E-6</v>
      </c>
      <c r="O99" s="74">
        <f t="shared" si="11"/>
        <v>0</v>
      </c>
      <c r="P99" s="74">
        <f t="shared" si="11"/>
        <v>1.4241198307700101E-6</v>
      </c>
      <c r="Q99" s="74">
        <f>SUMPRODUCT(Q89:Q97,$R89:$R97)</f>
        <v>1.9951993422956674E-6</v>
      </c>
      <c r="R99" s="148">
        <f>'Parameters, country spec'!G28</f>
        <v>2.6348753268541039E-2</v>
      </c>
      <c r="S99" s="148">
        <f>'Parameters, country spec'!G46</f>
        <v>2.6348753268541039E-2</v>
      </c>
    </row>
    <row r="100" spans="1:19" x14ac:dyDescent="0.35">
      <c r="A100" s="321"/>
      <c r="B100" s="322" t="s">
        <v>541</v>
      </c>
      <c r="C100" s="323"/>
      <c r="D100" s="324"/>
      <c r="E100" s="324"/>
      <c r="F100" s="327">
        <f>SUMPRODUCT(F86:F88,R86:R88)+SUMPRODUCT(F89:F99,R89:R99)/0.87</f>
        <v>1.9359953794846515E-4</v>
      </c>
      <c r="G100" s="327">
        <f>SUMPRODUCT(G86:G88,R86:R88)+SUMPRODUCT(G89:G99,R89:R99)/0.87</f>
        <v>6.1126167860359494E-5</v>
      </c>
      <c r="H100" s="327">
        <f>SUMPRODUCT(H86:H88,R86:R88)+SUMPRODUCT(H89:H99,R89:R99)/0.87</f>
        <v>9.2325268019452682E-5</v>
      </c>
      <c r="I100" s="327">
        <f>SUMPRODUCT(I86:I88,R86:R88)+SUMPRODUCT(I89:I99,R89:R99)/0.87</f>
        <v>0</v>
      </c>
      <c r="J100" s="327">
        <f>SUMPRODUCT(J86:J88,R86:R88)+SUMPRODUCT(J89:J99,R89:R99)/0.87</f>
        <v>0</v>
      </c>
      <c r="K100" s="327">
        <f>SUMPRODUCT(K86:K88,R86:R88)+SUMPRODUCT(K89:K99,R89:R99)/0.87</f>
        <v>7.399754359988833E-6</v>
      </c>
      <c r="L100" s="327">
        <f>SUMPRODUCT(L86:L88,R86:R88)+SUMPRODUCT(L89:L99,R89:R99)/0.87</f>
        <v>0</v>
      </c>
      <c r="M100" s="327">
        <f>SUMPRODUCT(M86:M88,R86:R88)+SUMPRODUCT(M89:M99,R89:R99)/0.87</f>
        <v>5.3680356536907058E-7</v>
      </c>
      <c r="N100" s="327">
        <f>SUMPRODUCT(N86:N88,R86:R88)+SUMPRODUCT(N89:N99,R89:R99)/0.87</f>
        <v>3.9487454141895784E-6</v>
      </c>
      <c r="O100" s="327">
        <f>SUMPRODUCT(O86:O88,R86:R88)+SUMPRODUCT(O89:O99,R89:R99)/0.87</f>
        <v>0</v>
      </c>
      <c r="P100" s="327">
        <f>SUMPRODUCT(P86:P88,R86:R88)+SUMPRODUCT(P89:P99,R89:R99)/0.87</f>
        <v>2.53819736279753E-5</v>
      </c>
      <c r="Q100" s="327">
        <f>SUMPRODUCT(Q86:Q88,R86:R88)+SUMPRODUCT(Q89:Q99,R89:R99)/0.87</f>
        <v>2.88082510113021E-6</v>
      </c>
      <c r="R100" s="328"/>
      <c r="S100" s="329"/>
    </row>
    <row r="101" spans="1:19" x14ac:dyDescent="0.35">
      <c r="A101" s="147"/>
      <c r="B101" s="23" t="s">
        <v>428</v>
      </c>
      <c r="C101" s="24"/>
      <c r="D101" s="94"/>
      <c r="E101" s="94"/>
      <c r="F101" s="28">
        <f>SUMPRODUCT(F86:F88,S86:S88)+SUMPRODUCT(F89:F99,S89:S99)/0.87</f>
        <v>1.9359953794846515E-4</v>
      </c>
      <c r="G101" s="28">
        <f>SUMPRODUCT(G86:G88,S86:S88)+SUMPRODUCT(G89:G99,S89:S99)/0.87</f>
        <v>6.1126167860359494E-5</v>
      </c>
      <c r="H101" s="28">
        <f>SUMPRODUCT(H86:H88,S86:S88)+SUMPRODUCT(H89:H99,S89:S99)/0.87</f>
        <v>9.2325268019452682E-5</v>
      </c>
      <c r="I101" s="28">
        <f>SUMPRODUCT(I86:I88,S86:S88)+SUMPRODUCT(I89:I99,S89:S99)/0.87</f>
        <v>0</v>
      </c>
      <c r="J101" s="28">
        <f>SUMPRODUCT(J86:J88,S86:S88)+SUMPRODUCT(J89:J99,S89:S99)/0.87</f>
        <v>0</v>
      </c>
      <c r="K101" s="28">
        <f>SUMPRODUCT(K86:K88,S86:S88)+SUMPRODUCT(K89:K99,S89:S99)/0.87</f>
        <v>7.399754359988833E-6</v>
      </c>
      <c r="L101" s="28">
        <f>SUMPRODUCT(L86:L88,S86:S88)+SUMPRODUCT(L89:L99,S89:S99)/0.87</f>
        <v>0</v>
      </c>
      <c r="M101" s="28">
        <f>SUMPRODUCT(M86:M88,S86:S88)+SUMPRODUCT(M89:M99,S89:S99)/0.87</f>
        <v>5.3680356536907058E-7</v>
      </c>
      <c r="N101" s="28">
        <f>SUMPRODUCT(N86:N88,S86:S88)+SUMPRODUCT(N89:N99,S89:S99)/0.87</f>
        <v>3.9487454141895784E-6</v>
      </c>
      <c r="O101" s="28">
        <f>SUMPRODUCT(O86:O88,S86:S88)+SUMPRODUCT(O89:O99,S89:S99)/0.87</f>
        <v>0</v>
      </c>
      <c r="P101" s="28">
        <f>SUMPRODUCT(P86:P88,S86:S88)+SUMPRODUCT(P89:P99,S89:S99)/0.87</f>
        <v>2.53819736279753E-5</v>
      </c>
      <c r="Q101" s="28">
        <f>SUMPRODUCT(Q86:Q88,S86:S88)+SUMPRODUCT(Q89:Q99,S89:S99)/0.87</f>
        <v>2.88082510113021E-6</v>
      </c>
      <c r="R101" s="149"/>
      <c r="S101" s="149"/>
    </row>
    <row r="102" spans="1:19" x14ac:dyDescent="0.35">
      <c r="B102" s="16" t="s">
        <v>285</v>
      </c>
      <c r="C102" s="15" t="s">
        <v>288</v>
      </c>
      <c r="D102" s="21" t="s">
        <v>46</v>
      </c>
      <c r="E102" s="21" t="s">
        <v>47</v>
      </c>
      <c r="F102" s="118">
        <f>SUM(G102:Q102)</f>
        <v>1.4922812306244335E-4</v>
      </c>
      <c r="G102" s="27">
        <f>'Forage crops, CF'!F39</f>
        <v>4.8856889968420392E-5</v>
      </c>
      <c r="H102" s="27">
        <f>'Forage crops, CF'!G39</f>
        <v>9.5000000000000005E-5</v>
      </c>
      <c r="I102" s="27">
        <f>'Forage crops, CF'!H39</f>
        <v>0</v>
      </c>
      <c r="J102" s="27">
        <f>'Forage crops, CF'!I39</f>
        <v>0</v>
      </c>
      <c r="K102" s="27">
        <f>'Forage crops, CF'!J39</f>
        <v>5.371233094022949E-6</v>
      </c>
      <c r="L102" s="27">
        <f>'Forage crops, CF'!K39</f>
        <v>0</v>
      </c>
      <c r="M102" s="27">
        <f>'Forage crops, CF'!L39</f>
        <v>0</v>
      </c>
      <c r="N102" s="27">
        <f>'Forage crops, CF'!M39</f>
        <v>0</v>
      </c>
      <c r="O102" s="27">
        <f>'Forage crops, CF'!N39</f>
        <v>0</v>
      </c>
      <c r="P102" s="27">
        <f>'Forage crops, CF'!O39</f>
        <v>0</v>
      </c>
      <c r="Q102" s="27">
        <f>'Forage crops, CF'!P39</f>
        <v>0</v>
      </c>
      <c r="R102" s="148">
        <f>'Parameters, country spec'!H15</f>
        <v>0.40067105954621879</v>
      </c>
      <c r="S102" s="148">
        <f>'Parameters, country spec'!H33</f>
        <v>0.40067105954621879</v>
      </c>
    </row>
    <row r="103" spans="1:19" x14ac:dyDescent="0.35">
      <c r="B103" s="16" t="s">
        <v>286</v>
      </c>
      <c r="C103" s="15" t="s">
        <v>288</v>
      </c>
      <c r="D103" s="21" t="s">
        <v>46</v>
      </c>
      <c r="E103" s="21" t="s">
        <v>47</v>
      </c>
      <c r="F103" s="118">
        <f>SUM(G103:Q103)</f>
        <v>8.9744416753174039E-4</v>
      </c>
      <c r="G103" s="27">
        <f>'Forage crops, CF'!F104</f>
        <v>6.4570667817511238E-5</v>
      </c>
      <c r="H103" s="27">
        <f>'Forage crops, CF'!G104</f>
        <v>9.5000000000000005E-5</v>
      </c>
      <c r="I103" s="27"/>
      <c r="J103" s="27"/>
      <c r="K103" s="27">
        <f>'Forage crops, CF'!J104</f>
        <v>4.7806177142291395E-6</v>
      </c>
      <c r="L103" s="27"/>
      <c r="M103" s="27">
        <f>'Forage crops, CF'!L104</f>
        <v>2.5092882000000002E-5</v>
      </c>
      <c r="N103" s="27">
        <f>'Forage crops, CF'!M104</f>
        <v>0</v>
      </c>
      <c r="O103" s="27"/>
      <c r="P103" s="27">
        <f>'Forage crops, CF'!O104</f>
        <v>7.0799999999999997E-4</v>
      </c>
      <c r="Q103" s="27"/>
      <c r="R103" s="148">
        <f>'Parameters, country spec'!H16</f>
        <v>0.27744597499526535</v>
      </c>
      <c r="S103" s="148">
        <f>'Parameters, country spec'!H34</f>
        <v>0.27744597499526535</v>
      </c>
    </row>
    <row r="104" spans="1:19" x14ac:dyDescent="0.35">
      <c r="B104" s="16" t="s">
        <v>287</v>
      </c>
      <c r="C104" s="15" t="s">
        <v>288</v>
      </c>
      <c r="D104" s="21" t="s">
        <v>46</v>
      </c>
      <c r="E104" s="21" t="s">
        <v>47</v>
      </c>
      <c r="F104" s="118">
        <f>SUM(G104:Q104)</f>
        <v>8.3561367377667987E-4</v>
      </c>
      <c r="G104" s="27">
        <f>'Forage crops, CF'!F169*'Forage, input data per ha'!$E$84+'Forage crops, CF'!F234*'Forage, input data per ha'!$G$84</f>
        <v>2.6494504039325838E-5</v>
      </c>
      <c r="H104" s="27">
        <f>'Forage crops, CF'!G169*'Forage, input data per ha'!$E$84+'Forage crops, CF'!G234*'Forage, input data per ha'!$G$84</f>
        <v>9.5000000000000005E-5</v>
      </c>
      <c r="I104" s="27"/>
      <c r="J104" s="27"/>
      <c r="K104" s="27">
        <f>'Forage crops, CF'!J169*'Forage, input data per ha'!$E$84+'Forage crops, CF'!J234*'Forage, input data per ha'!$G$84</f>
        <v>6.1191697373541144E-6</v>
      </c>
      <c r="L104" s="27"/>
      <c r="M104" s="27">
        <f>'Forage crops, CF'!L169*'Forage, input data per ha'!$E$84+'Forage crops, CF'!L234*'Forage, input data per ha'!$G$84</f>
        <v>0</v>
      </c>
      <c r="N104" s="27">
        <f>'Forage crops, CF'!M169*'Forage, input data per ha'!$E$84+'Forage crops, CF'!M234*'Forage, input data per ha'!$G$84</f>
        <v>0</v>
      </c>
      <c r="O104" s="27"/>
      <c r="P104" s="27">
        <f>'Forage crops, CF'!O169*'Forage, input data per ha'!$E$84+'Forage crops, CF'!O234*'Forage, input data per ha'!$G$84</f>
        <v>7.0799999999999997E-4</v>
      </c>
      <c r="Q104" s="27"/>
      <c r="R104" s="148">
        <f>'Parameters, country spec'!H17</f>
        <v>7.1895313213819118E-2</v>
      </c>
      <c r="S104" s="148">
        <f>'Parameters, country spec'!H35</f>
        <v>7.1895313213819118E-2</v>
      </c>
    </row>
    <row r="105" spans="1:19" x14ac:dyDescent="0.35">
      <c r="A105" s="20" t="s">
        <v>222</v>
      </c>
      <c r="B105" s="15" t="s">
        <v>108</v>
      </c>
      <c r="C105" s="15" t="s">
        <v>223</v>
      </c>
      <c r="D105" s="21" t="s">
        <v>46</v>
      </c>
      <c r="E105" s="21" t="s">
        <v>47</v>
      </c>
      <c r="F105" s="118">
        <f>SUM(G105:Q105)</f>
        <v>3.1615300000000001E-4</v>
      </c>
      <c r="G105" s="93">
        <v>1.4999999999999999E-4</v>
      </c>
      <c r="H105" s="93">
        <v>1E-4</v>
      </c>
      <c r="I105" s="93"/>
      <c r="J105" s="93"/>
      <c r="K105" s="93">
        <v>2.0000000000000002E-5</v>
      </c>
      <c r="L105" s="93"/>
      <c r="M105" s="93">
        <v>7.5300000000000003E-7</v>
      </c>
      <c r="N105" s="93">
        <v>4.5399999999999999E-5</v>
      </c>
      <c r="O105" s="93"/>
      <c r="P105" s="93"/>
      <c r="Q105" s="93"/>
      <c r="R105" s="148">
        <f>'Parameters, country spec'!H18</f>
        <v>3.0038264722936558E-3</v>
      </c>
      <c r="S105" s="148">
        <f>'Parameters, country spec'!H36</f>
        <v>3.0038264722936558E-3</v>
      </c>
    </row>
    <row r="106" spans="1:19" x14ac:dyDescent="0.35">
      <c r="A106" s="20" t="s">
        <v>224</v>
      </c>
      <c r="B106" s="15" t="s">
        <v>109</v>
      </c>
      <c r="C106" s="15" t="s">
        <v>223</v>
      </c>
      <c r="D106" s="21" t="s">
        <v>46</v>
      </c>
      <c r="E106" s="21" t="s">
        <v>47</v>
      </c>
      <c r="F106" s="118">
        <f t="shared" ref="F106:F115" si="12">SUM(G106:Q106)</f>
        <v>3.2844000000000005E-4</v>
      </c>
      <c r="G106" s="93">
        <v>1.4999999999999999E-4</v>
      </c>
      <c r="H106" s="93">
        <v>1E-4</v>
      </c>
      <c r="I106" s="93"/>
      <c r="J106" s="93"/>
      <c r="K106" s="93">
        <v>7.9400000000000002E-6</v>
      </c>
      <c r="L106" s="93"/>
      <c r="M106" s="93">
        <v>2.51E-5</v>
      </c>
      <c r="N106" s="93">
        <v>4.5399999999999999E-5</v>
      </c>
      <c r="O106" s="93"/>
      <c r="P106" s="93"/>
      <c r="Q106" s="93"/>
      <c r="R106" s="148">
        <f>'Parameters, country spec'!H19</f>
        <v>1.964163410545296E-2</v>
      </c>
      <c r="S106" s="148">
        <f>'Parameters, country spec'!H37</f>
        <v>1.964163410545296E-2</v>
      </c>
    </row>
    <row r="107" spans="1:19" x14ac:dyDescent="0.35">
      <c r="A107" s="20" t="s">
        <v>225</v>
      </c>
      <c r="B107" s="15" t="s">
        <v>110</v>
      </c>
      <c r="C107" s="15" t="s">
        <v>223</v>
      </c>
      <c r="D107" s="21" t="s">
        <v>46</v>
      </c>
      <c r="E107" s="21" t="s">
        <v>47</v>
      </c>
      <c r="F107" s="118">
        <f t="shared" si="12"/>
        <v>3.3830000000000004E-4</v>
      </c>
      <c r="G107" s="93">
        <v>1.2999999999999999E-4</v>
      </c>
      <c r="H107" s="93">
        <v>1E-4</v>
      </c>
      <c r="I107" s="93"/>
      <c r="J107" s="93"/>
      <c r="K107" s="93">
        <v>3.4999999999999997E-5</v>
      </c>
      <c r="L107" s="93"/>
      <c r="M107" s="93">
        <v>2.7900000000000001E-5</v>
      </c>
      <c r="N107" s="93">
        <v>4.5399999999999999E-5</v>
      </c>
      <c r="O107" s="93"/>
      <c r="P107" s="93"/>
      <c r="Q107" s="93"/>
      <c r="R107" s="148">
        <f>'Parameters, country spec'!H20</f>
        <v>6.238152652520509E-4</v>
      </c>
      <c r="S107" s="148">
        <f>'Parameters, country spec'!H38</f>
        <v>6.238152652520509E-4</v>
      </c>
    </row>
    <row r="108" spans="1:19" x14ac:dyDescent="0.35">
      <c r="A108" s="20" t="s">
        <v>226</v>
      </c>
      <c r="B108" s="15" t="s">
        <v>111</v>
      </c>
      <c r="C108" s="15" t="s">
        <v>223</v>
      </c>
      <c r="D108" s="21" t="s">
        <v>46</v>
      </c>
      <c r="E108" s="21" t="s">
        <v>47</v>
      </c>
      <c r="F108" s="118">
        <f t="shared" si="12"/>
        <v>2.9170000000000004E-4</v>
      </c>
      <c r="G108" s="93">
        <v>1.2E-4</v>
      </c>
      <c r="H108" s="93">
        <v>1E-4</v>
      </c>
      <c r="I108" s="93"/>
      <c r="J108" s="93"/>
      <c r="K108" s="93">
        <v>2.5299999999999998E-5</v>
      </c>
      <c r="L108" s="93"/>
      <c r="M108" s="93">
        <v>9.9999999999999995E-7</v>
      </c>
      <c r="N108" s="93">
        <v>4.5399999999999999E-5</v>
      </c>
      <c r="O108" s="93"/>
      <c r="P108" s="93"/>
      <c r="Q108" s="93"/>
      <c r="R108" s="148">
        <f>'Parameters, country spec'!H21</f>
        <v>4.9703321891174883E-5</v>
      </c>
      <c r="S108" s="148">
        <f>'Parameters, country spec'!H39</f>
        <v>4.9703321891174883E-5</v>
      </c>
    </row>
    <row r="109" spans="1:19" x14ac:dyDescent="0.35">
      <c r="A109" s="20" t="s">
        <v>227</v>
      </c>
      <c r="B109" s="15" t="s">
        <v>112</v>
      </c>
      <c r="C109" s="15" t="s">
        <v>223</v>
      </c>
      <c r="D109" s="21" t="s">
        <v>46</v>
      </c>
      <c r="E109" s="21" t="s">
        <v>47</v>
      </c>
      <c r="F109" s="118">
        <f t="shared" si="12"/>
        <v>3.4172E-4</v>
      </c>
      <c r="G109" s="93">
        <v>1.7000000000000001E-4</v>
      </c>
      <c r="H109" s="93">
        <v>1E-4</v>
      </c>
      <c r="I109" s="93"/>
      <c r="J109" s="93"/>
      <c r="K109" s="93">
        <v>2.1299999999999999E-5</v>
      </c>
      <c r="L109" s="93"/>
      <c r="M109" s="93">
        <v>5.0200000000000002E-6</v>
      </c>
      <c r="N109" s="93">
        <v>4.5399999999999999E-5</v>
      </c>
      <c r="O109" s="93"/>
      <c r="P109" s="93"/>
      <c r="Q109" s="93"/>
      <c r="R109" s="148">
        <f>'Parameters, country spec'!H22</f>
        <v>2.8451429826063719E-3</v>
      </c>
      <c r="S109" s="148">
        <f>'Parameters, country spec'!H40</f>
        <v>2.8451429826063719E-3</v>
      </c>
    </row>
    <row r="110" spans="1:19" x14ac:dyDescent="0.35">
      <c r="A110" s="20" t="s">
        <v>228</v>
      </c>
      <c r="B110" s="15" t="s">
        <v>113</v>
      </c>
      <c r="C110" s="15" t="s">
        <v>229</v>
      </c>
      <c r="D110" s="21" t="s">
        <v>46</v>
      </c>
      <c r="E110" s="21" t="s">
        <v>47</v>
      </c>
      <c r="F110" s="118">
        <f t="shared" si="12"/>
        <v>1.7426E-4</v>
      </c>
      <c r="G110" s="93">
        <v>0</v>
      </c>
      <c r="H110" s="93">
        <v>1E-4</v>
      </c>
      <c r="I110" s="93"/>
      <c r="J110" s="93"/>
      <c r="K110" s="93">
        <v>2.5599999999999999E-5</v>
      </c>
      <c r="L110" s="93"/>
      <c r="M110" s="93">
        <v>3.2600000000000001E-6</v>
      </c>
      <c r="N110" s="93">
        <v>4.5399999999999999E-5</v>
      </c>
      <c r="O110" s="93"/>
      <c r="P110" s="93"/>
      <c r="Q110" s="93"/>
      <c r="R110" s="148">
        <f>'Parameters, country spec'!H23</f>
        <v>7.8267619629308958E-4</v>
      </c>
      <c r="S110" s="148">
        <f>'Parameters, country spec'!H41</f>
        <v>7.8267619629308958E-4</v>
      </c>
    </row>
    <row r="111" spans="1:19" x14ac:dyDescent="0.35">
      <c r="A111" s="20" t="s">
        <v>230</v>
      </c>
      <c r="B111" s="15" t="s">
        <v>114</v>
      </c>
      <c r="C111" s="15" t="s">
        <v>229</v>
      </c>
      <c r="D111" s="21" t="s">
        <v>46</v>
      </c>
      <c r="E111" s="21" t="s">
        <v>47</v>
      </c>
      <c r="F111" s="118">
        <f t="shared" si="12"/>
        <v>1.9220000000000001E-4</v>
      </c>
      <c r="G111" s="93">
        <v>7.5000000000000002E-6</v>
      </c>
      <c r="H111" s="93">
        <v>1E-4</v>
      </c>
      <c r="I111" s="93"/>
      <c r="J111" s="93"/>
      <c r="K111" s="93">
        <v>3.8300000000000003E-5</v>
      </c>
      <c r="L111" s="93"/>
      <c r="M111" s="93">
        <v>9.9999999999999995E-7</v>
      </c>
      <c r="N111" s="93">
        <v>4.5399999999999999E-5</v>
      </c>
      <c r="O111" s="93"/>
      <c r="P111" s="93"/>
      <c r="Q111" s="93"/>
      <c r="R111" s="148">
        <f>'Parameters, country spec'!H24</f>
        <v>7.6884594730627475E-4</v>
      </c>
      <c r="S111" s="148">
        <f>'Parameters, country spec'!H42</f>
        <v>7.6884594730627475E-4</v>
      </c>
    </row>
    <row r="112" spans="1:19" x14ac:dyDescent="0.35">
      <c r="B112" s="16" t="s">
        <v>115</v>
      </c>
      <c r="C112" s="15" t="s">
        <v>231</v>
      </c>
      <c r="D112" s="21" t="s">
        <v>46</v>
      </c>
      <c r="E112" s="21" t="s">
        <v>47</v>
      </c>
      <c r="F112" s="118">
        <f t="shared" si="12"/>
        <v>4.6478527325651394E-4</v>
      </c>
      <c r="G112" s="27">
        <v>3.0425509539765719E-4</v>
      </c>
      <c r="H112" s="27">
        <v>4.5862068965517246E-5</v>
      </c>
      <c r="I112" s="27"/>
      <c r="J112" s="27"/>
      <c r="K112" s="27">
        <v>1.0936279334641699E-5</v>
      </c>
      <c r="L112" s="27"/>
      <c r="M112" s="27">
        <v>6.4606960551724142E-7</v>
      </c>
      <c r="N112" s="27">
        <v>2.1884761697575221E-5</v>
      </c>
      <c r="O112" s="27"/>
      <c r="P112" s="27">
        <v>5.7027085212127035E-5</v>
      </c>
      <c r="Q112" s="27">
        <v>2.4173913043478263E-5</v>
      </c>
      <c r="R112" s="148">
        <f>'Parameters, country spec'!H25</f>
        <v>1.3183641649379223E-3</v>
      </c>
      <c r="S112" s="148">
        <f>'Parameters, country spec'!H43</f>
        <v>1.3183641649379223E-3</v>
      </c>
    </row>
    <row r="113" spans="1:19" x14ac:dyDescent="0.35">
      <c r="B113" s="16" t="s">
        <v>232</v>
      </c>
      <c r="C113" s="15" t="s">
        <v>231</v>
      </c>
      <c r="D113" s="21" t="s">
        <v>46</v>
      </c>
      <c r="E113" s="21" t="s">
        <v>47</v>
      </c>
      <c r="F113" s="118">
        <f t="shared" si="12"/>
        <v>4.7266553697523981E-4</v>
      </c>
      <c r="G113" s="27">
        <v>1.5603516238625262E-5</v>
      </c>
      <c r="H113" s="27">
        <v>7.5304878048780503E-5</v>
      </c>
      <c r="I113" s="27"/>
      <c r="J113" s="27"/>
      <c r="K113" s="27">
        <v>1.908459074435586E-5</v>
      </c>
      <c r="L113" s="27"/>
      <c r="M113" s="27">
        <v>5.9672097439024396E-7</v>
      </c>
      <c r="N113" s="27">
        <v>2.3084271612619523E-5</v>
      </c>
      <c r="O113" s="27"/>
      <c r="P113" s="27">
        <v>1.2899155935646844E-4</v>
      </c>
      <c r="Q113" s="27">
        <v>2.1000000000000001E-4</v>
      </c>
      <c r="R113" s="148">
        <f>'Parameters, country spec'!H26</f>
        <v>3.2548889626891842E-2</v>
      </c>
      <c r="S113" s="148">
        <f>'Parameters, country spec'!H44</f>
        <v>3.2548889626891842E-2</v>
      </c>
    </row>
    <row r="114" spans="1:19" x14ac:dyDescent="0.35">
      <c r="B114" s="15" t="s">
        <v>117</v>
      </c>
      <c r="C114" s="15" t="s">
        <v>233</v>
      </c>
      <c r="D114" s="21" t="s">
        <v>46</v>
      </c>
      <c r="E114" s="21" t="s">
        <v>47</v>
      </c>
      <c r="F114" s="579">
        <f t="shared" si="12"/>
        <v>2.0494297585875614E-3</v>
      </c>
      <c r="G114" s="93">
        <v>8.9837354931365901E-5</v>
      </c>
      <c r="H114" s="93">
        <v>4.9778010471204101E-5</v>
      </c>
      <c r="K114" s="93">
        <v>3.0411124322263398E-5</v>
      </c>
      <c r="N114" s="93"/>
      <c r="O114" s="93"/>
      <c r="P114" s="93">
        <v>1.84838955963081E-3</v>
      </c>
      <c r="Q114" s="93">
        <v>3.1013709231917901E-5</v>
      </c>
      <c r="R114" s="148">
        <f>'Parameters, country spec'!H27</f>
        <v>7.1183592363716075E-2</v>
      </c>
      <c r="S114" s="148">
        <f>'Parameters, country spec'!H45</f>
        <v>7.1183592363716075E-2</v>
      </c>
    </row>
    <row r="115" spans="1:19" x14ac:dyDescent="0.35">
      <c r="A115" s="75"/>
      <c r="B115" s="15" t="s">
        <v>234</v>
      </c>
      <c r="C115" s="76" t="s">
        <v>235</v>
      </c>
      <c r="D115" s="21" t="s">
        <v>46</v>
      </c>
      <c r="E115" s="21" t="s">
        <v>47</v>
      </c>
      <c r="F115" s="118">
        <f t="shared" si="12"/>
        <v>2.4880200466669912E-5</v>
      </c>
      <c r="G115" s="74">
        <f>SUMPRODUCT(G105:G113,$R105:$R113)</f>
        <v>4.8823162640340477E-6</v>
      </c>
      <c r="H115" s="74">
        <f t="shared" ref="H115:P115" si="13">SUMPRODUCT(H105:H113,$R105:$R113)</f>
        <v>5.2831175013399145E-6</v>
      </c>
      <c r="I115" s="74">
        <f t="shared" si="13"/>
        <v>0</v>
      </c>
      <c r="J115" s="74">
        <f t="shared" si="13"/>
        <v>0</v>
      </c>
      <c r="K115" s="74">
        <f t="shared" si="13"/>
        <v>9.8480722499227054E-7</v>
      </c>
      <c r="L115" s="74">
        <f t="shared" si="13"/>
        <v>0</v>
      </c>
      <c r="M115" s="74">
        <f t="shared" si="13"/>
        <v>5.5059839487228445E-7</v>
      </c>
      <c r="N115" s="74">
        <f t="shared" si="13"/>
        <v>2.0385097452323735E-6</v>
      </c>
      <c r="O115" s="74">
        <f t="shared" si="13"/>
        <v>0</v>
      </c>
      <c r="P115" s="74">
        <f t="shared" si="13"/>
        <v>4.2737144938688883E-6</v>
      </c>
      <c r="Q115" s="74">
        <f>SUMPRODUCT(Q105:Q113,$R105:$R113)</f>
        <v>6.8671368423301339E-6</v>
      </c>
      <c r="R115" s="148">
        <f>'Parameters, country spec'!H28</f>
        <v>0.11722116179805527</v>
      </c>
      <c r="S115" s="148">
        <f>'Parameters, country spec'!H46</f>
        <v>0.11722116179805527</v>
      </c>
    </row>
    <row r="116" spans="1:19" x14ac:dyDescent="0.35">
      <c r="A116" s="321"/>
      <c r="B116" s="322" t="s">
        <v>541</v>
      </c>
      <c r="C116" s="323"/>
      <c r="D116" s="324"/>
      <c r="E116" s="324"/>
      <c r="F116" s="327">
        <f>SUMPRODUCT(F102:F104,R102:R104)+SUMPRODUCT(F105:F115,R105:R115)/0.87</f>
        <v>5.6849537937512531E-4</v>
      </c>
      <c r="G116" s="327">
        <f>SUMPRODUCT(G102:G104,R102:R104)+SUMPRODUCT(G105:G115,R105:R115)/0.87</f>
        <v>5.301544293202763E-5</v>
      </c>
      <c r="H116" s="327">
        <f>SUMPRODUCT(H102:H104,R102:R104)+SUMPRODUCT(H105:H115,R105:R115)/0.87</f>
        <v>8.2108400943445308E-5</v>
      </c>
      <c r="I116" s="327">
        <f>SUMPRODUCT(I102:I104,R102:R104)+SUMPRODUCT(I105:I115,R105:R115)/0.87</f>
        <v>0</v>
      </c>
      <c r="J116" s="327">
        <f>SUMPRODUCT(J102:J104,R102:R104)+SUMPRODUCT(J105:J115,R105:R115)/0.87</f>
        <v>0</v>
      </c>
      <c r="K116" s="327">
        <f>SUMPRODUCT(K102:K104,R102:R104)+SUMPRODUCT(K105:K115,R105:R115)/0.87</f>
        <v>7.6712976054409351E-6</v>
      </c>
      <c r="L116" s="327">
        <f>SUMPRODUCT(L102:L104,R102:R104)+SUMPRODUCT(L105:L115,R105:R115)/0.87</f>
        <v>0</v>
      </c>
      <c r="M116" s="327">
        <f>SUMPRODUCT(M102:M104,R102:R104)+SUMPRODUCT(M105:M115,R105:R115)/0.87</f>
        <v>7.6689767882568431E-6</v>
      </c>
      <c r="N116" s="327">
        <f>SUMPRODUCT(N102:N104,R102:R104)+SUMPRODUCT(N105:N115,R105:R115)/0.87</f>
        <v>2.6177772711553678E-6</v>
      </c>
      <c r="O116" s="327">
        <f>SUMPRODUCT(O102:O104,R102:R104)+SUMPRODUCT(O105:O115,R105:R115)/0.87</f>
        <v>0</v>
      </c>
      <c r="P116" s="327">
        <f>SUMPRODUCT(P102:P104,R102:R104)+SUMPRODUCT(P105:P115,R105:R115)/0.87</f>
        <v>4.0405741735564287E-4</v>
      </c>
      <c r="Q116" s="327">
        <f>SUMPRODUCT(Q102:Q104,R102:R104)+SUMPRODUCT(Q105:Q115,R105:R115)/0.87</f>
        <v>1.1356066479156281E-5</v>
      </c>
      <c r="R116" s="328"/>
      <c r="S116" s="329"/>
    </row>
    <row r="117" spans="1:19" x14ac:dyDescent="0.35">
      <c r="A117" s="147"/>
      <c r="B117" s="23" t="s">
        <v>428</v>
      </c>
      <c r="C117" s="24"/>
      <c r="D117" s="94"/>
      <c r="E117" s="94"/>
      <c r="F117" s="28">
        <f>SUMPRODUCT(F102:F104,S102:S104)+SUMPRODUCT(F105:F115,S105:S115)/0.87</f>
        <v>5.6849537937512531E-4</v>
      </c>
      <c r="G117" s="28">
        <f>SUMPRODUCT(G102:G104,S102:S104)+SUMPRODUCT(G105:G115,S105:S115)/0.87</f>
        <v>5.301544293202763E-5</v>
      </c>
      <c r="H117" s="28">
        <f>SUMPRODUCT(H102:H104,S102:S104)+SUMPRODUCT(H105:H115,S105:S115)/0.87</f>
        <v>8.2108400943445308E-5</v>
      </c>
      <c r="I117" s="28">
        <f>SUMPRODUCT(I102:I104,S102:S104)+SUMPRODUCT(I105:I115,S105:S115)/0.87</f>
        <v>0</v>
      </c>
      <c r="J117" s="28">
        <f>SUMPRODUCT(J102:J104,S102:S104)+SUMPRODUCT(J105:J115,S105:S115)/0.87</f>
        <v>0</v>
      </c>
      <c r="K117" s="28">
        <f>SUMPRODUCT(K102:K104,S102:S104)+SUMPRODUCT(K105:K115,S105:S115)/0.87</f>
        <v>7.6712976054409351E-6</v>
      </c>
      <c r="L117" s="28">
        <f>SUMPRODUCT(L102:L104,S102:S104)+SUMPRODUCT(L105:L115,S105:S115)/0.87</f>
        <v>0</v>
      </c>
      <c r="M117" s="28">
        <f>SUMPRODUCT(M102:M104,S102:S104)+SUMPRODUCT(M105:M115,S105:S115)/0.87</f>
        <v>7.6689767882568431E-6</v>
      </c>
      <c r="N117" s="28">
        <f>SUMPRODUCT(N102:N104,S102:S104)+SUMPRODUCT(N105:N115,S105:S115)/0.87</f>
        <v>2.6177772711553678E-6</v>
      </c>
      <c r="O117" s="28">
        <f>SUMPRODUCT(O102:O104,S102:S104)+SUMPRODUCT(O105:O115,S105:S115)/0.87</f>
        <v>0</v>
      </c>
      <c r="P117" s="28">
        <f>SUMPRODUCT(P102:P104,S102:S104)+SUMPRODUCT(P105:P115,S105:S115)/0.87</f>
        <v>4.0405741735564287E-4</v>
      </c>
      <c r="Q117" s="28">
        <f>SUMPRODUCT(Q102:Q104,S102:S104)+SUMPRODUCT(Q105:Q115,S105:S115)/0.87</f>
        <v>1.1356066479156281E-5</v>
      </c>
      <c r="R117" s="149"/>
      <c r="S117" s="149"/>
    </row>
    <row r="118" spans="1:19" x14ac:dyDescent="0.35">
      <c r="B118" s="16" t="s">
        <v>285</v>
      </c>
      <c r="C118" s="15" t="s">
        <v>288</v>
      </c>
      <c r="D118" s="21" t="s">
        <v>48</v>
      </c>
      <c r="E118" s="21" t="s">
        <v>49</v>
      </c>
      <c r="F118" s="118">
        <f>SUM(G118:Q118)</f>
        <v>2.8243490387347279E-4</v>
      </c>
      <c r="G118" s="27">
        <f>'Forage crops, CF'!F44</f>
        <v>1.7830890378398945E-4</v>
      </c>
      <c r="H118" s="27">
        <f>'Forage crops, CF'!G44</f>
        <v>9.5000000000000005E-5</v>
      </c>
      <c r="I118" s="27">
        <f>'Forage crops, CF'!H44</f>
        <v>0</v>
      </c>
      <c r="J118" s="27">
        <f>'Forage crops, CF'!I44</f>
        <v>0</v>
      </c>
      <c r="K118" s="27">
        <f>'Forage crops, CF'!J44</f>
        <v>9.1260000894833206E-6</v>
      </c>
      <c r="L118" s="27">
        <f>'Forage crops, CF'!K44</f>
        <v>0</v>
      </c>
      <c r="M118" s="27">
        <f>'Forage crops, CF'!L44</f>
        <v>0</v>
      </c>
      <c r="N118" s="27">
        <f>'Forage crops, CF'!M44</f>
        <v>0</v>
      </c>
      <c r="O118" s="27">
        <f>'Forage crops, CF'!N44</f>
        <v>0</v>
      </c>
      <c r="P118" s="27">
        <f>'Forage crops, CF'!O44</f>
        <v>0</v>
      </c>
      <c r="Q118" s="27">
        <f>'Forage crops, CF'!P44</f>
        <v>0</v>
      </c>
      <c r="R118" s="148">
        <f>'Parameters, country spec'!I15</f>
        <v>0.47949543012015922</v>
      </c>
      <c r="S118" s="148">
        <f>'Parameters, country spec'!I33</f>
        <v>0.47949543012015922</v>
      </c>
    </row>
    <row r="119" spans="1:19" x14ac:dyDescent="0.35">
      <c r="B119" s="16" t="s">
        <v>286</v>
      </c>
      <c r="C119" s="15" t="s">
        <v>288</v>
      </c>
      <c r="D119" s="21" t="s">
        <v>48</v>
      </c>
      <c r="E119" s="21" t="s">
        <v>49</v>
      </c>
      <c r="F119" s="118">
        <f>SUM(G119:Q119)</f>
        <v>8.9493648650889061E-4</v>
      </c>
      <c r="G119" s="27">
        <f>'Forage crops, CF'!F109</f>
        <v>7.074145390136706E-5</v>
      </c>
      <c r="H119" s="27">
        <f>'Forage crops, CF'!G109</f>
        <v>9.5000000000000005E-5</v>
      </c>
      <c r="I119" s="27"/>
      <c r="J119" s="27"/>
      <c r="K119" s="27">
        <f>'Forage crops, CF'!J109</f>
        <v>5.7150664601010523E-6</v>
      </c>
      <c r="L119" s="27"/>
      <c r="M119" s="27">
        <f>'Forage crops, CF'!L109</f>
        <v>1.5479966147422487E-5</v>
      </c>
      <c r="N119" s="27">
        <f>'Forage crops, CF'!M109</f>
        <v>0</v>
      </c>
      <c r="O119" s="27"/>
      <c r="P119" s="27">
        <f>'Forage crops, CF'!O109</f>
        <v>7.0799999999999997E-4</v>
      </c>
      <c r="Q119" s="27"/>
      <c r="R119" s="148">
        <f>'Parameters, country spec'!I16</f>
        <v>0.16379583021525312</v>
      </c>
      <c r="S119" s="148">
        <f>'Parameters, country spec'!I34</f>
        <v>0.16379583021525312</v>
      </c>
    </row>
    <row r="120" spans="1:19" x14ac:dyDescent="0.35">
      <c r="B120" s="16" t="s">
        <v>287</v>
      </c>
      <c r="C120" s="15" t="s">
        <v>288</v>
      </c>
      <c r="D120" s="21" t="s">
        <v>48</v>
      </c>
      <c r="E120" s="21" t="s">
        <v>49</v>
      </c>
      <c r="F120" s="118">
        <f>SUM(G120:Q120)</f>
        <v>9.6599763175376802E-4</v>
      </c>
      <c r="G120" s="27">
        <f>'Forage crops, CF'!F174*'Forage, input data per ha'!$E$85+'Forage crops, CF'!F239*'Forage, input data per ha'!$G$85</f>
        <v>1.5412753184918936E-4</v>
      </c>
      <c r="H120" s="27">
        <f>'Forage crops, CF'!G174*'Forage, input data per ha'!$E$85+'Forage crops, CF'!G239*'Forage, input data per ha'!$G$85</f>
        <v>9.5000000000000005E-5</v>
      </c>
      <c r="I120" s="27"/>
      <c r="J120" s="27"/>
      <c r="K120" s="27">
        <f>'Forage crops, CF'!J174*'Forage, input data per ha'!$E$85+'Forage crops, CF'!J239*'Forage, input data per ha'!$G$85</f>
        <v>8.8700999045786299E-6</v>
      </c>
      <c r="L120" s="27"/>
      <c r="M120" s="27">
        <f>'Forage crops, CF'!L174*'Forage, input data per ha'!$E$85+'Forage crops, CF'!L239*'Forage, input data per ha'!$G$85</f>
        <v>0</v>
      </c>
      <c r="N120" s="27">
        <f>'Forage crops, CF'!M174*'Forage, input data per ha'!$E$85+'Forage crops, CF'!M239*'Forage, input data per ha'!$G$85</f>
        <v>0</v>
      </c>
      <c r="O120" s="27"/>
      <c r="P120" s="27">
        <f>'Forage crops, CF'!O174*'Forage, input data per ha'!$E$85+'Forage crops, CF'!O239*'Forage, input data per ha'!$G$85</f>
        <v>7.0799999999999997E-4</v>
      </c>
      <c r="Q120" s="27"/>
      <c r="R120" s="148">
        <f>'Parameters, country spec'!I17</f>
        <v>0.1711074910334601</v>
      </c>
      <c r="S120" s="148">
        <f>'Parameters, country spec'!I35</f>
        <v>0.1711074910334601</v>
      </c>
    </row>
    <row r="121" spans="1:19" x14ac:dyDescent="0.35">
      <c r="A121" s="20" t="s">
        <v>222</v>
      </c>
      <c r="B121" s="15" t="s">
        <v>108</v>
      </c>
      <c r="C121" s="15" t="s">
        <v>223</v>
      </c>
      <c r="D121" s="21" t="s">
        <v>48</v>
      </c>
      <c r="E121" s="21" t="s">
        <v>49</v>
      </c>
      <c r="F121" s="118">
        <f>SUM(G121:Q121)</f>
        <v>2.9616000000000006E-4</v>
      </c>
      <c r="G121" s="93">
        <v>1.4999999999999999E-4</v>
      </c>
      <c r="H121" s="93">
        <v>1E-4</v>
      </c>
      <c r="I121" s="93"/>
      <c r="J121" s="93"/>
      <c r="K121" s="93">
        <v>1.22E-5</v>
      </c>
      <c r="L121" s="93"/>
      <c r="M121" s="93">
        <v>1.7600000000000001E-6</v>
      </c>
      <c r="N121" s="93">
        <v>3.2199999999999997E-5</v>
      </c>
      <c r="O121" s="93"/>
      <c r="P121" s="93"/>
      <c r="Q121" s="93"/>
      <c r="R121" s="148">
        <f>'Parameters, country spec'!I18</f>
        <v>3.7649623151768418E-3</v>
      </c>
      <c r="S121" s="148">
        <f>'Parameters, country spec'!I36</f>
        <v>3.7649623151768418E-3</v>
      </c>
    </row>
    <row r="122" spans="1:19" x14ac:dyDescent="0.35">
      <c r="A122" s="20" t="s">
        <v>224</v>
      </c>
      <c r="B122" s="15" t="s">
        <v>109</v>
      </c>
      <c r="C122" s="15" t="s">
        <v>223</v>
      </c>
      <c r="D122" s="21" t="s">
        <v>48</v>
      </c>
      <c r="E122" s="21" t="s">
        <v>49</v>
      </c>
      <c r="F122" s="118">
        <f t="shared" ref="F122:F131" si="14">SUM(G122:Q122)</f>
        <v>3.0712999999999997E-4</v>
      </c>
      <c r="G122" s="93">
        <v>1.4999999999999999E-4</v>
      </c>
      <c r="H122" s="93">
        <v>1E-4</v>
      </c>
      <c r="I122" s="93"/>
      <c r="J122" s="93"/>
      <c r="K122" s="93">
        <v>8.8300000000000002E-6</v>
      </c>
      <c r="L122" s="93"/>
      <c r="M122" s="93">
        <v>1.6099999999999998E-5</v>
      </c>
      <c r="N122" s="93">
        <v>3.2199999999999997E-5</v>
      </c>
      <c r="O122" s="93"/>
      <c r="P122" s="93"/>
      <c r="Q122" s="93"/>
      <c r="R122" s="148">
        <f>'Parameters, country spec'!I19</f>
        <v>1.1306927408010266E-2</v>
      </c>
      <c r="S122" s="148">
        <f>'Parameters, country spec'!I37</f>
        <v>1.1306927408010266E-2</v>
      </c>
    </row>
    <row r="123" spans="1:19" x14ac:dyDescent="0.35">
      <c r="A123" s="20" t="s">
        <v>225</v>
      </c>
      <c r="B123" s="15" t="s">
        <v>110</v>
      </c>
      <c r="C123" s="15" t="s">
        <v>223</v>
      </c>
      <c r="D123" s="21" t="s">
        <v>48</v>
      </c>
      <c r="E123" s="21" t="s">
        <v>49</v>
      </c>
      <c r="F123" s="118">
        <f t="shared" si="14"/>
        <v>2.8722999999999997E-4</v>
      </c>
      <c r="G123" s="93">
        <v>1.2999999999999999E-4</v>
      </c>
      <c r="H123" s="93">
        <v>1E-4</v>
      </c>
      <c r="I123" s="93"/>
      <c r="J123" s="93"/>
      <c r="K123" s="93">
        <v>1.5999999999999999E-5</v>
      </c>
      <c r="L123" s="93"/>
      <c r="M123" s="93">
        <v>9.0299999999999999E-6</v>
      </c>
      <c r="N123" s="93">
        <v>3.2199999999999997E-5</v>
      </c>
      <c r="O123" s="93"/>
      <c r="P123" s="93"/>
      <c r="Q123" s="93"/>
      <c r="R123" s="148">
        <f>'Parameters, country spec'!I20</f>
        <v>1.2367044164683077E-4</v>
      </c>
      <c r="S123" s="148">
        <f>'Parameters, country spec'!I38</f>
        <v>1.2367044164683077E-4</v>
      </c>
    </row>
    <row r="124" spans="1:19" x14ac:dyDescent="0.35">
      <c r="A124" s="20" t="s">
        <v>226</v>
      </c>
      <c r="B124" s="15" t="s">
        <v>111</v>
      </c>
      <c r="C124" s="15" t="s">
        <v>223</v>
      </c>
      <c r="D124" s="21" t="s">
        <v>48</v>
      </c>
      <c r="E124" s="21" t="s">
        <v>49</v>
      </c>
      <c r="F124" s="118">
        <f t="shared" si="14"/>
        <v>2.7539999999999997E-4</v>
      </c>
      <c r="G124" s="93">
        <v>1.2E-4</v>
      </c>
      <c r="H124" s="93">
        <v>1E-4</v>
      </c>
      <c r="I124" s="93"/>
      <c r="J124" s="93"/>
      <c r="K124" s="93">
        <v>2.3200000000000001E-5</v>
      </c>
      <c r="L124" s="93"/>
      <c r="M124" s="93">
        <v>0</v>
      </c>
      <c r="N124" s="93">
        <v>3.2199999999999997E-5</v>
      </c>
      <c r="O124" s="93"/>
      <c r="P124" s="93"/>
      <c r="Q124" s="93"/>
      <c r="R124" s="148">
        <f>'Parameters, country spec'!I21</f>
        <v>4.6537012747958835E-4</v>
      </c>
      <c r="S124" s="148">
        <f>'Parameters, country spec'!I39</f>
        <v>4.6537012747958835E-4</v>
      </c>
    </row>
    <row r="125" spans="1:19" x14ac:dyDescent="0.35">
      <c r="A125" s="20" t="s">
        <v>227</v>
      </c>
      <c r="B125" s="15" t="s">
        <v>112</v>
      </c>
      <c r="C125" s="15" t="s">
        <v>223</v>
      </c>
      <c r="D125" s="21" t="s">
        <v>48</v>
      </c>
      <c r="E125" s="21" t="s">
        <v>49</v>
      </c>
      <c r="F125" s="118">
        <f t="shared" si="14"/>
        <v>3.1559000000000003E-4</v>
      </c>
      <c r="G125" s="93">
        <v>1.7000000000000001E-4</v>
      </c>
      <c r="H125" s="93">
        <v>1E-4</v>
      </c>
      <c r="I125" s="93"/>
      <c r="J125" s="93"/>
      <c r="K125" s="93">
        <v>9.6299999999999993E-6</v>
      </c>
      <c r="L125" s="93"/>
      <c r="M125" s="93">
        <v>3.76E-6</v>
      </c>
      <c r="N125" s="93">
        <v>3.2199999999999997E-5</v>
      </c>
      <c r="O125" s="93"/>
      <c r="P125" s="93"/>
      <c r="Q125" s="93"/>
      <c r="R125" s="148">
        <f>'Parameters, country spec'!I22</f>
        <v>1.2739490248206042E-2</v>
      </c>
      <c r="S125" s="148">
        <f>'Parameters, country spec'!I40</f>
        <v>1.2739490248206042E-2</v>
      </c>
    </row>
    <row r="126" spans="1:19" x14ac:dyDescent="0.35">
      <c r="A126" s="20" t="s">
        <v>228</v>
      </c>
      <c r="B126" s="15" t="s">
        <v>113</v>
      </c>
      <c r="C126" s="15" t="s">
        <v>229</v>
      </c>
      <c r="D126" s="21" t="s">
        <v>48</v>
      </c>
      <c r="E126" s="21" t="s">
        <v>49</v>
      </c>
      <c r="F126" s="118">
        <f t="shared" si="14"/>
        <v>1.5197E-4</v>
      </c>
      <c r="G126" s="93">
        <v>0</v>
      </c>
      <c r="H126" s="93">
        <v>1E-4</v>
      </c>
      <c r="I126" s="93"/>
      <c r="J126" s="93"/>
      <c r="K126" s="93">
        <v>1.5E-5</v>
      </c>
      <c r="L126" s="93"/>
      <c r="M126" s="93">
        <v>4.7700000000000001E-6</v>
      </c>
      <c r="N126" s="93">
        <v>3.2199999999999997E-5</v>
      </c>
      <c r="O126" s="93"/>
      <c r="P126" s="93"/>
      <c r="Q126" s="93"/>
      <c r="R126" s="148">
        <f>'Parameters, country spec'!I23</f>
        <v>0</v>
      </c>
      <c r="S126" s="148">
        <f>'Parameters, country spec'!I41</f>
        <v>0</v>
      </c>
    </row>
    <row r="127" spans="1:19" x14ac:dyDescent="0.35">
      <c r="A127" s="20" t="s">
        <v>230</v>
      </c>
      <c r="B127" s="15" t="s">
        <v>114</v>
      </c>
      <c r="C127" s="15" t="s">
        <v>229</v>
      </c>
      <c r="D127" s="21" t="s">
        <v>48</v>
      </c>
      <c r="E127" s="21" t="s">
        <v>49</v>
      </c>
      <c r="F127" s="118">
        <f t="shared" si="14"/>
        <v>1.5696000000000002E-4</v>
      </c>
      <c r="G127" s="93">
        <v>7.5000000000000002E-6</v>
      </c>
      <c r="H127" s="93">
        <v>1E-4</v>
      </c>
      <c r="I127" s="93"/>
      <c r="J127" s="93"/>
      <c r="K127" s="93">
        <v>1.5E-5</v>
      </c>
      <c r="L127" s="93"/>
      <c r="M127" s="93">
        <v>2.26E-6</v>
      </c>
      <c r="N127" s="93">
        <v>3.2199999999999997E-5</v>
      </c>
      <c r="O127" s="93"/>
      <c r="P127" s="93"/>
      <c r="Q127" s="93"/>
      <c r="R127" s="148">
        <f>'Parameters, country spec'!I24</f>
        <v>0</v>
      </c>
      <c r="S127" s="148">
        <f>'Parameters, country spec'!I42</f>
        <v>0</v>
      </c>
    </row>
    <row r="128" spans="1:19" x14ac:dyDescent="0.35">
      <c r="B128" s="16" t="s">
        <v>115</v>
      </c>
      <c r="C128" s="15" t="s">
        <v>231</v>
      </c>
      <c r="D128" s="21" t="s">
        <v>48</v>
      </c>
      <c r="E128" s="21" t="s">
        <v>49</v>
      </c>
      <c r="F128" s="118">
        <f t="shared" si="14"/>
        <v>4.6478527325651394E-4</v>
      </c>
      <c r="G128" s="27">
        <v>3.0425509539765719E-4</v>
      </c>
      <c r="H128" s="27">
        <v>4.5862068965517246E-5</v>
      </c>
      <c r="I128" s="27"/>
      <c r="J128" s="27"/>
      <c r="K128" s="27">
        <v>1.0936279334641699E-5</v>
      </c>
      <c r="L128" s="27"/>
      <c r="M128" s="27">
        <v>6.4606960551724142E-7</v>
      </c>
      <c r="N128" s="27">
        <v>2.1884761697575221E-5</v>
      </c>
      <c r="O128" s="27"/>
      <c r="P128" s="27">
        <v>5.7027085212127035E-5</v>
      </c>
      <c r="Q128" s="27">
        <v>2.4173913043478263E-5</v>
      </c>
      <c r="R128" s="148">
        <f>'Parameters, country spec'!I25</f>
        <v>4.3197597637154396E-2</v>
      </c>
      <c r="S128" s="148">
        <f>'Parameters, country spec'!I43</f>
        <v>4.3197597637154396E-2</v>
      </c>
    </row>
    <row r="129" spans="1:20" x14ac:dyDescent="0.35">
      <c r="B129" s="16" t="s">
        <v>232</v>
      </c>
      <c r="C129" s="15" t="s">
        <v>231</v>
      </c>
      <c r="D129" s="21" t="s">
        <v>48</v>
      </c>
      <c r="E129" s="21" t="s">
        <v>49</v>
      </c>
      <c r="F129" s="118">
        <f t="shared" si="14"/>
        <v>4.7266553697523981E-4</v>
      </c>
      <c r="G129" s="27">
        <v>1.5603516238625262E-5</v>
      </c>
      <c r="H129" s="27">
        <v>7.5304878048780503E-5</v>
      </c>
      <c r="I129" s="27"/>
      <c r="J129" s="27"/>
      <c r="K129" s="27">
        <v>1.908459074435586E-5</v>
      </c>
      <c r="L129" s="27"/>
      <c r="M129" s="27">
        <v>5.9672097439024396E-7</v>
      </c>
      <c r="N129" s="27">
        <v>2.3084271612619523E-5</v>
      </c>
      <c r="O129" s="27"/>
      <c r="P129" s="27">
        <v>1.2899155935646844E-4</v>
      </c>
      <c r="Q129" s="27">
        <v>2.1000000000000001E-4</v>
      </c>
      <c r="R129" s="148">
        <f>'Parameters, country spec'!I26</f>
        <v>5.5787586237705654E-2</v>
      </c>
      <c r="S129" s="148">
        <f>'Parameters, country spec'!I44</f>
        <v>5.5787586237705654E-2</v>
      </c>
    </row>
    <row r="130" spans="1:20" x14ac:dyDescent="0.35">
      <c r="B130" s="15" t="s">
        <v>117</v>
      </c>
      <c r="C130" s="15" t="s">
        <v>233</v>
      </c>
      <c r="D130" s="21" t="s">
        <v>48</v>
      </c>
      <c r="E130" s="21" t="s">
        <v>49</v>
      </c>
      <c r="F130" s="579">
        <f t="shared" si="14"/>
        <v>1.1635230536951896E-3</v>
      </c>
      <c r="G130" s="93">
        <v>8.6135251234116994E-5</v>
      </c>
      <c r="H130" s="93">
        <v>4.7537999999999998E-5</v>
      </c>
      <c r="I130" s="42"/>
      <c r="J130" s="42"/>
      <c r="K130" s="93">
        <v>2.1158324202862201E-5</v>
      </c>
      <c r="L130" s="42"/>
      <c r="M130" s="42"/>
      <c r="N130" s="93"/>
      <c r="O130" s="93"/>
      <c r="P130" s="93">
        <v>9.9818289932063491E-4</v>
      </c>
      <c r="Q130" s="93">
        <v>1.05085789375756E-5</v>
      </c>
      <c r="R130" s="148">
        <f>'Parameters, country spec'!I27</f>
        <v>3.963187482955613E-2</v>
      </c>
      <c r="S130" s="148">
        <f>'Parameters, country spec'!I45</f>
        <v>3.963187482955613E-2</v>
      </c>
      <c r="T130" t="s">
        <v>403</v>
      </c>
    </row>
    <row r="131" spans="1:20" x14ac:dyDescent="0.35">
      <c r="A131" s="75"/>
      <c r="B131" s="15" t="s">
        <v>234</v>
      </c>
      <c r="C131" s="76" t="s">
        <v>235</v>
      </c>
      <c r="D131" s="21" t="s">
        <v>48</v>
      </c>
      <c r="E131" s="21" t="s">
        <v>49</v>
      </c>
      <c r="F131" s="118">
        <f t="shared" si="14"/>
        <v>5.5218345002985801E-5</v>
      </c>
      <c r="G131" s="74">
        <f>SUMPRODUCT(G121:G129,$R121:$R129)</f>
        <v>1.85119900712005E-5</v>
      </c>
      <c r="H131" s="74">
        <f t="shared" ref="H131:P131" si="15">SUMPRODUCT(H121:H129,$R121:$R129)</f>
        <v>9.0222506342980475E-6</v>
      </c>
      <c r="I131" s="74">
        <f t="shared" si="15"/>
        <v>0</v>
      </c>
      <c r="J131" s="74">
        <f t="shared" si="15"/>
        <v>0</v>
      </c>
      <c r="K131" s="74">
        <f t="shared" si="15"/>
        <v>1.8183335606794384E-6</v>
      </c>
      <c r="L131" s="74">
        <f t="shared" si="15"/>
        <v>0</v>
      </c>
      <c r="M131" s="74">
        <f t="shared" si="15"/>
        <v>2.9888337004837446E-7</v>
      </c>
      <c r="N131" s="74">
        <f t="shared" si="15"/>
        <v>3.1476784649252244E-6</v>
      </c>
      <c r="O131" s="74">
        <f t="shared" si="15"/>
        <v>0</v>
      </c>
      <c r="P131" s="74">
        <f t="shared" si="15"/>
        <v>9.6595608229482926E-6</v>
      </c>
      <c r="Q131" s="74">
        <f>SUMPRODUCT(Q121:Q129,$R121:$R129)</f>
        <v>1.275964807888592E-5</v>
      </c>
      <c r="R131" s="148">
        <f>'Parameters, country spec'!I28</f>
        <v>1.8583769386191842E-2</v>
      </c>
      <c r="S131" s="148">
        <f>'Parameters, country spec'!I46</f>
        <v>1.8583769386191842E-2</v>
      </c>
    </row>
    <row r="132" spans="1:20" x14ac:dyDescent="0.35">
      <c r="A132" s="321"/>
      <c r="B132" s="322" t="s">
        <v>541</v>
      </c>
      <c r="C132" s="323"/>
      <c r="D132" s="324"/>
      <c r="E132" s="324"/>
      <c r="F132" s="327">
        <f>SUMPRODUCT(F118:F120,R118:R120)+SUMPRODUCT(F121:F131,R121:R131)/0.87</f>
        <v>5.6495439222017908E-4</v>
      </c>
      <c r="G132" s="327">
        <f>SUMPRODUCT(G118:G120,R118:R120)+SUMPRODUCT(G121:G131,R121:R131)/0.87</f>
        <v>1.4905520751320368E-4</v>
      </c>
      <c r="H132" s="327">
        <f>SUMPRODUCT(H118:H120,R118:R120)+SUMPRODUCT(H121:H131,R121:R131)/0.87</f>
        <v>9.0096545891626444E-5</v>
      </c>
      <c r="I132" s="327">
        <f>SUMPRODUCT(I118:I120,R118:R120)+SUMPRODUCT(I121:I131,R121:R131)/0.87</f>
        <v>0</v>
      </c>
      <c r="J132" s="327">
        <f>SUMPRODUCT(J118:J120,R118:R120)+SUMPRODUCT(J121:J131,R121:R131)/0.87</f>
        <v>0</v>
      </c>
      <c r="K132" s="327">
        <f>SUMPRODUCT(K118:K120,R118:R120)+SUMPRODUCT(K121:K131,R121:R131)/0.87</f>
        <v>9.9224430470295776E-6</v>
      </c>
      <c r="L132" s="327">
        <f>SUMPRODUCT(L118:L120,R118:R120)+SUMPRODUCT(L121:L131,R121:R131)/0.87</f>
        <v>0</v>
      </c>
      <c r="M132" s="327">
        <f>SUMPRODUCT(M118:M120,R118:R120)+SUMPRODUCT(M121:M131,R121:R131)/0.87</f>
        <v>2.8854823547184604E-6</v>
      </c>
      <c r="N132" s="327">
        <f>SUMPRODUCT(N118:N120,R118:R120)+SUMPRODUCT(N121:N131,R121:R131)/0.87</f>
        <v>3.6852576961141118E-6</v>
      </c>
      <c r="O132" s="327">
        <f>SUMPRODUCT(O118:O120,R118:R120)+SUMPRODUCT(O121:O131,R121:R131)/0.87</f>
        <v>0</v>
      </c>
      <c r="P132" s="327">
        <f>SUMPRODUCT(P118:P120,R118:R120)+SUMPRODUCT(P121:P131,R121:R131)/0.87</f>
        <v>2.9389193258952883E-4</v>
      </c>
      <c r="Q132" s="327">
        <f>SUMPRODUCT(Q118:Q120,R118:R120)+SUMPRODUCT(Q121:Q131,R121:R131)/0.87</f>
        <v>1.5417523127957939E-5</v>
      </c>
      <c r="R132" s="328"/>
      <c r="S132" s="329"/>
    </row>
    <row r="133" spans="1:20" x14ac:dyDescent="0.35">
      <c r="A133" s="147"/>
      <c r="B133" s="23" t="s">
        <v>428</v>
      </c>
      <c r="C133" s="24"/>
      <c r="D133" s="94"/>
      <c r="E133" s="94"/>
      <c r="F133" s="28">
        <f>SUMPRODUCT(F118:F120,S118:S120)+SUMPRODUCT(F121:F131,S121:S131)/0.87</f>
        <v>5.6495439222017908E-4</v>
      </c>
      <c r="G133" s="28">
        <f>SUMPRODUCT(G118:G120,S118:S120)+SUMPRODUCT(G121:G131,S121:S131)/0.87</f>
        <v>1.4905520751320368E-4</v>
      </c>
      <c r="H133" s="28">
        <f>SUMPRODUCT(H118:H120,S118:S120)+SUMPRODUCT(H121:H131,S121:S131)/0.87</f>
        <v>9.0096545891626444E-5</v>
      </c>
      <c r="I133" s="28">
        <f>SUMPRODUCT(I118:I120,S118:S120)+SUMPRODUCT(I121:I131,S121:S131)/0.87</f>
        <v>0</v>
      </c>
      <c r="J133" s="28">
        <f>SUMPRODUCT(J118:J120,S118:S120)+SUMPRODUCT(J121:J131,S121:S131)/0.87</f>
        <v>0</v>
      </c>
      <c r="K133" s="28">
        <f>SUMPRODUCT(K118:K120,S118:S120)+SUMPRODUCT(K121:K131,S121:S131)/0.87</f>
        <v>9.9224430470295776E-6</v>
      </c>
      <c r="L133" s="28">
        <f>SUMPRODUCT(L118:L120,S118:S120)+SUMPRODUCT(L121:L131,S121:S131)/0.87</f>
        <v>0</v>
      </c>
      <c r="M133" s="28">
        <f>SUMPRODUCT(M118:M120,S118:S120)+SUMPRODUCT(M121:M131,S121:S131)/0.87</f>
        <v>2.8854823547184604E-6</v>
      </c>
      <c r="N133" s="28">
        <f>SUMPRODUCT(N118:N120,S118:S120)+SUMPRODUCT(N121:N131,S121:S131)/0.87</f>
        <v>3.6852576961141118E-6</v>
      </c>
      <c r="O133" s="28">
        <f>SUMPRODUCT(O118:O120,S118:S120)+SUMPRODUCT(O121:O131,S121:S131)/0.87</f>
        <v>0</v>
      </c>
      <c r="P133" s="28">
        <f>SUMPRODUCT(P118:P120,S118:S120)+SUMPRODUCT(P121:P131,S121:S131)/0.87</f>
        <v>2.9389193258952883E-4</v>
      </c>
      <c r="Q133" s="28">
        <f>SUMPRODUCT(Q118:Q120,S118:S120)+SUMPRODUCT(Q121:Q131,S121:S131)/0.87</f>
        <v>1.5417523127957939E-5</v>
      </c>
      <c r="R133" s="149"/>
      <c r="S133" s="149"/>
    </row>
    <row r="134" spans="1:20" x14ac:dyDescent="0.35">
      <c r="B134" s="16" t="s">
        <v>285</v>
      </c>
      <c r="C134" s="15" t="s">
        <v>288</v>
      </c>
      <c r="D134" s="21" t="s">
        <v>50</v>
      </c>
      <c r="E134" s="21" t="s">
        <v>51</v>
      </c>
      <c r="F134" s="118">
        <f>SUM(G134:Q134)</f>
        <v>1.4164449758016619E-4</v>
      </c>
      <c r="G134" s="27">
        <f>'Forage crops, CF'!F49</f>
        <v>3.9901302719260733E-5</v>
      </c>
      <c r="H134" s="27">
        <f>'Forage crops, CF'!G49</f>
        <v>9.5000000000000005E-5</v>
      </c>
      <c r="I134" s="27">
        <f>'Forage crops, CF'!H49</f>
        <v>0</v>
      </c>
      <c r="J134" s="27">
        <f>'Forage crops, CF'!I49</f>
        <v>0</v>
      </c>
      <c r="K134" s="27">
        <f>'Forage crops, CF'!J49</f>
        <v>6.7431948609054584E-6</v>
      </c>
      <c r="L134" s="27">
        <f>'Forage crops, CF'!K49</f>
        <v>0</v>
      </c>
      <c r="M134" s="27">
        <f>'Forage crops, CF'!L49</f>
        <v>0</v>
      </c>
      <c r="N134" s="27">
        <f>'Forage crops, CF'!M49</f>
        <v>0</v>
      </c>
      <c r="O134" s="27">
        <f>'Forage crops, CF'!N49</f>
        <v>0</v>
      </c>
      <c r="P134" s="27">
        <f>'Forage crops, CF'!O49</f>
        <v>0</v>
      </c>
      <c r="Q134" s="27">
        <f>'Forage crops, CF'!P49</f>
        <v>0</v>
      </c>
      <c r="R134" s="148">
        <f>'Parameters, country spec'!J15</f>
        <v>0.26557017524746096</v>
      </c>
      <c r="S134" s="148">
        <f>'Parameters, country spec'!J33</f>
        <v>0.26557017524746096</v>
      </c>
    </row>
    <row r="135" spans="1:20" x14ac:dyDescent="0.35">
      <c r="B135" s="16" t="s">
        <v>286</v>
      </c>
      <c r="C135" s="15" t="s">
        <v>288</v>
      </c>
      <c r="D135" s="21" t="s">
        <v>50</v>
      </c>
      <c r="E135" s="21" t="s">
        <v>51</v>
      </c>
      <c r="F135" s="118">
        <f>SUM(G135:Q135)</f>
        <v>8.7063988118471285E-4</v>
      </c>
      <c r="G135" s="27">
        <f>'Forage crops, CF'!F114</f>
        <v>5.8740748034109932E-5</v>
      </c>
      <c r="H135" s="27">
        <f>'Forage crops, CF'!G114</f>
        <v>9.5000000000000005E-5</v>
      </c>
      <c r="I135" s="27"/>
      <c r="J135" s="27"/>
      <c r="K135" s="27">
        <f>'Forage crops, CF'!J114</f>
        <v>5.8879873106029554E-6</v>
      </c>
      <c r="L135" s="27"/>
      <c r="M135" s="27">
        <f>'Forage crops, CF'!L114</f>
        <v>3.0111458400000005E-6</v>
      </c>
      <c r="N135" s="27">
        <f>'Forage crops, CF'!M114</f>
        <v>0</v>
      </c>
      <c r="O135" s="27"/>
      <c r="P135" s="27">
        <f>'Forage crops, CF'!O114</f>
        <v>7.0799999999999997E-4</v>
      </c>
      <c r="Q135" s="27"/>
      <c r="R135" s="148">
        <f>'Parameters, country spec'!J16</f>
        <v>0.3089723847114122</v>
      </c>
      <c r="S135" s="148">
        <f>'Parameters, country spec'!J34</f>
        <v>0.3089723847114122</v>
      </c>
    </row>
    <row r="136" spans="1:20" x14ac:dyDescent="0.35">
      <c r="B136" s="16" t="s">
        <v>287</v>
      </c>
      <c r="C136" s="15" t="s">
        <v>288</v>
      </c>
      <c r="D136" s="21" t="s">
        <v>50</v>
      </c>
      <c r="E136" s="21" t="s">
        <v>51</v>
      </c>
      <c r="F136" s="118">
        <f>SUM(G136:Q136)</f>
        <v>8.4113057154292631E-4</v>
      </c>
      <c r="G136" s="27">
        <f>'Forage crops, CF'!F179*'Forage, input data per ha'!$E$86+'Forage crops, CF'!F244*'Forage, input data per ha'!$G$86</f>
        <v>3.1434234210546957E-5</v>
      </c>
      <c r="H136" s="27">
        <f>'Forage crops, CF'!G179*'Forage, input data per ha'!$E$86+'Forage crops, CF'!G244*'Forage, input data per ha'!$G$86</f>
        <v>9.5000000000000005E-5</v>
      </c>
      <c r="I136" s="27"/>
      <c r="J136" s="27"/>
      <c r="K136" s="27">
        <f>'Forage crops, CF'!J179*'Forage, input data per ha'!$E$86+'Forage crops, CF'!J244*'Forage, input data per ha'!$G$86</f>
        <v>6.6963373323794081E-6</v>
      </c>
      <c r="L136" s="27"/>
      <c r="M136" s="27">
        <f>'Forage crops, CF'!L179*'Forage, input data per ha'!$E$86+'Forage crops, CF'!L244*'Forage, input data per ha'!$G$86</f>
        <v>0</v>
      </c>
      <c r="N136" s="27">
        <f>'Forage crops, CF'!M179*'Forage, input data per ha'!$E$86+'Forage crops, CF'!M244*'Forage, input data per ha'!$G$86</f>
        <v>0</v>
      </c>
      <c r="O136" s="27"/>
      <c r="P136" s="27">
        <f>'Forage crops, CF'!O179*'Forage, input data per ha'!$E$86+'Forage crops, CF'!O244*'Forage, input data per ha'!$G$86</f>
        <v>7.0799999999999997E-4</v>
      </c>
      <c r="Q136" s="27"/>
      <c r="R136" s="148">
        <f>'Parameters, country spec'!J17</f>
        <v>0.15280804679497859</v>
      </c>
      <c r="S136" s="148">
        <f>'Parameters, country spec'!J35</f>
        <v>0.15280804679497859</v>
      </c>
    </row>
    <row r="137" spans="1:20" x14ac:dyDescent="0.35">
      <c r="A137" s="20" t="s">
        <v>222</v>
      </c>
      <c r="B137" s="15" t="s">
        <v>108</v>
      </c>
      <c r="C137" s="15" t="s">
        <v>223</v>
      </c>
      <c r="D137" s="21" t="s">
        <v>50</v>
      </c>
      <c r="E137" s="21" t="s">
        <v>51</v>
      </c>
      <c r="F137" s="118">
        <f>SUM(G137:Q137)</f>
        <v>3.2225099999999996E-4</v>
      </c>
      <c r="G137" s="93">
        <v>1.4999999999999999E-4</v>
      </c>
      <c r="H137" s="93">
        <v>1E-4</v>
      </c>
      <c r="I137" s="93"/>
      <c r="J137" s="93"/>
      <c r="K137" s="93">
        <v>2.19E-5</v>
      </c>
      <c r="L137" s="93"/>
      <c r="M137" s="93">
        <v>2.5100000000000001E-7</v>
      </c>
      <c r="N137" s="93">
        <v>5.0099999999999998E-5</v>
      </c>
      <c r="O137" s="93"/>
      <c r="P137" s="93"/>
      <c r="Q137" s="93"/>
      <c r="R137" s="148">
        <f>'Parameters, country spec'!J18</f>
        <v>1.4852072857038275E-2</v>
      </c>
      <c r="S137" s="148">
        <f>'Parameters, country spec'!J36</f>
        <v>1.4852072857038275E-2</v>
      </c>
    </row>
    <row r="138" spans="1:20" x14ac:dyDescent="0.35">
      <c r="A138" s="20" t="s">
        <v>224</v>
      </c>
      <c r="B138" s="15" t="s">
        <v>109</v>
      </c>
      <c r="C138" s="15" t="s">
        <v>223</v>
      </c>
      <c r="D138" s="21" t="s">
        <v>50</v>
      </c>
      <c r="E138" s="21" t="s">
        <v>51</v>
      </c>
      <c r="F138" s="118">
        <f t="shared" ref="F138:F147" si="16">SUM(G138:Q138)</f>
        <v>3.1550999999999997E-4</v>
      </c>
      <c r="G138" s="93">
        <v>1.4999999999999999E-4</v>
      </c>
      <c r="H138" s="93">
        <v>1E-4</v>
      </c>
      <c r="I138" s="93"/>
      <c r="J138" s="93"/>
      <c r="K138" s="93">
        <v>1.24E-5</v>
      </c>
      <c r="L138" s="93"/>
      <c r="M138" s="93">
        <v>3.01E-6</v>
      </c>
      <c r="N138" s="93">
        <v>5.0099999999999998E-5</v>
      </c>
      <c r="O138" s="93"/>
      <c r="P138" s="93"/>
      <c r="Q138" s="93"/>
      <c r="R138" s="148">
        <f>'Parameters, country spec'!J19</f>
        <v>2.0345709016517825E-2</v>
      </c>
      <c r="S138" s="148">
        <f>'Parameters, country spec'!J37</f>
        <v>2.0345709016517825E-2</v>
      </c>
    </row>
    <row r="139" spans="1:20" x14ac:dyDescent="0.35">
      <c r="A139" s="20" t="s">
        <v>225</v>
      </c>
      <c r="B139" s="15" t="s">
        <v>110</v>
      </c>
      <c r="C139" s="15" t="s">
        <v>223</v>
      </c>
      <c r="D139" s="21" t="s">
        <v>50</v>
      </c>
      <c r="E139" s="21" t="s">
        <v>51</v>
      </c>
      <c r="F139" s="118">
        <f t="shared" si="16"/>
        <v>3.0925099999999997E-4</v>
      </c>
      <c r="G139" s="93">
        <v>1.2999999999999999E-4</v>
      </c>
      <c r="H139" s="93">
        <v>1E-4</v>
      </c>
      <c r="I139" s="93"/>
      <c r="J139" s="93"/>
      <c r="K139" s="93">
        <v>2.8900000000000001E-5</v>
      </c>
      <c r="L139" s="93"/>
      <c r="M139" s="93">
        <v>2.5100000000000001E-7</v>
      </c>
      <c r="N139" s="93">
        <v>5.0099999999999998E-5</v>
      </c>
      <c r="O139" s="93"/>
      <c r="P139" s="93"/>
      <c r="Q139" s="93"/>
      <c r="R139" s="148">
        <f>'Parameters, country spec'!J20</f>
        <v>4.4481071240192398E-4</v>
      </c>
      <c r="S139" s="148">
        <f>'Parameters, country spec'!J38</f>
        <v>4.4481071240192398E-4</v>
      </c>
    </row>
    <row r="140" spans="1:20" x14ac:dyDescent="0.35">
      <c r="A140" s="20" t="s">
        <v>226</v>
      </c>
      <c r="B140" s="15" t="s">
        <v>111</v>
      </c>
      <c r="C140" s="15" t="s">
        <v>223</v>
      </c>
      <c r="D140" s="21" t="s">
        <v>50</v>
      </c>
      <c r="E140" s="21" t="s">
        <v>51</v>
      </c>
      <c r="F140" s="118">
        <f t="shared" si="16"/>
        <v>2.9759999999999997E-4</v>
      </c>
      <c r="G140" s="93">
        <v>1.2E-4</v>
      </c>
      <c r="H140" s="93">
        <v>1E-4</v>
      </c>
      <c r="I140" s="93"/>
      <c r="J140" s="93"/>
      <c r="K140" s="93">
        <v>2.7500000000000001E-5</v>
      </c>
      <c r="L140" s="93"/>
      <c r="M140" s="93">
        <v>0</v>
      </c>
      <c r="N140" s="93">
        <v>5.0099999999999998E-5</v>
      </c>
      <c r="O140" s="93"/>
      <c r="P140" s="93"/>
      <c r="Q140" s="93"/>
      <c r="R140" s="148">
        <f>'Parameters, country spec'!J21</f>
        <v>5.8075964903519491E-3</v>
      </c>
      <c r="S140" s="148">
        <f>'Parameters, country spec'!J39</f>
        <v>5.8075964903519491E-3</v>
      </c>
    </row>
    <row r="141" spans="1:20" x14ac:dyDescent="0.35">
      <c r="A141" s="20" t="s">
        <v>227</v>
      </c>
      <c r="B141" s="15" t="s">
        <v>112</v>
      </c>
      <c r="C141" s="15" t="s">
        <v>223</v>
      </c>
      <c r="D141" s="21" t="s">
        <v>50</v>
      </c>
      <c r="E141" s="21" t="s">
        <v>51</v>
      </c>
      <c r="F141" s="118">
        <f t="shared" si="16"/>
        <v>3.3835099999999997E-4</v>
      </c>
      <c r="G141" s="93">
        <v>1.7000000000000001E-4</v>
      </c>
      <c r="H141" s="93">
        <v>1E-4</v>
      </c>
      <c r="I141" s="93"/>
      <c r="J141" s="93"/>
      <c r="K141" s="93">
        <v>1.8E-5</v>
      </c>
      <c r="L141" s="93"/>
      <c r="M141" s="93">
        <v>2.5100000000000001E-7</v>
      </c>
      <c r="N141" s="93">
        <v>5.0099999999999998E-5</v>
      </c>
      <c r="O141" s="93"/>
      <c r="P141" s="93"/>
      <c r="Q141" s="93"/>
      <c r="R141" s="148">
        <f>'Parameters, country spec'!J22</f>
        <v>2.3351211772125756E-2</v>
      </c>
      <c r="S141" s="148">
        <f>'Parameters, country spec'!J40</f>
        <v>2.3351211772125756E-2</v>
      </c>
    </row>
    <row r="142" spans="1:20" x14ac:dyDescent="0.35">
      <c r="A142" s="20" t="s">
        <v>228</v>
      </c>
      <c r="B142" s="15" t="s">
        <v>113</v>
      </c>
      <c r="C142" s="15" t="s">
        <v>229</v>
      </c>
      <c r="D142" s="21" t="s">
        <v>50</v>
      </c>
      <c r="E142" s="21" t="s">
        <v>51</v>
      </c>
      <c r="F142" s="118">
        <f t="shared" si="16"/>
        <v>1.8650000000000001E-4</v>
      </c>
      <c r="G142" s="93">
        <v>0</v>
      </c>
      <c r="H142" s="93">
        <v>1E-4</v>
      </c>
      <c r="I142" s="93"/>
      <c r="J142" s="93"/>
      <c r="K142" s="93">
        <v>3.6399999999999997E-5</v>
      </c>
      <c r="L142" s="93"/>
      <c r="M142" s="93">
        <v>0</v>
      </c>
      <c r="N142" s="93">
        <v>5.0099999999999998E-5</v>
      </c>
      <c r="O142" s="93"/>
      <c r="P142" s="93"/>
      <c r="Q142" s="93"/>
      <c r="R142" s="148">
        <f>'Parameters, country spec'!J23</f>
        <v>2.6962503550840627E-3</v>
      </c>
      <c r="S142" s="148">
        <f>'Parameters, country spec'!J41</f>
        <v>2.6962503550840627E-3</v>
      </c>
    </row>
    <row r="143" spans="1:20" x14ac:dyDescent="0.35">
      <c r="A143" s="20" t="s">
        <v>230</v>
      </c>
      <c r="B143" s="15" t="s">
        <v>114</v>
      </c>
      <c r="C143" s="15" t="s">
        <v>229</v>
      </c>
      <c r="D143" s="21" t="s">
        <v>50</v>
      </c>
      <c r="E143" s="21" t="s">
        <v>51</v>
      </c>
      <c r="F143" s="118">
        <f t="shared" si="16"/>
        <v>1.8700000000000002E-4</v>
      </c>
      <c r="G143" s="93">
        <v>7.5000000000000002E-6</v>
      </c>
      <c r="H143" s="93">
        <v>1E-4</v>
      </c>
      <c r="I143" s="93"/>
      <c r="J143" s="93"/>
      <c r="K143" s="93">
        <v>2.94E-5</v>
      </c>
      <c r="L143" s="93"/>
      <c r="M143" s="93">
        <v>0</v>
      </c>
      <c r="N143" s="93">
        <v>5.0099999999999998E-5</v>
      </c>
      <c r="O143" s="93"/>
      <c r="P143" s="93"/>
      <c r="Q143" s="93"/>
      <c r="R143" s="148">
        <f>'Parameters, country spec'!J24</f>
        <v>2.6486063692714159E-3</v>
      </c>
      <c r="S143" s="148">
        <f>'Parameters, country spec'!J42</f>
        <v>2.6486063692714159E-3</v>
      </c>
    </row>
    <row r="144" spans="1:20" x14ac:dyDescent="0.35">
      <c r="B144" s="16" t="s">
        <v>115</v>
      </c>
      <c r="C144" s="15" t="s">
        <v>231</v>
      </c>
      <c r="D144" s="21" t="s">
        <v>50</v>
      </c>
      <c r="E144" s="21" t="s">
        <v>51</v>
      </c>
      <c r="F144" s="118">
        <f t="shared" si="16"/>
        <v>4.6478527325651394E-4</v>
      </c>
      <c r="G144" s="27">
        <v>3.0425509539765719E-4</v>
      </c>
      <c r="H144" s="27">
        <v>4.5862068965517246E-5</v>
      </c>
      <c r="I144" s="27"/>
      <c r="J144" s="27"/>
      <c r="K144" s="27">
        <v>1.0936279334641699E-5</v>
      </c>
      <c r="L144" s="27"/>
      <c r="M144" s="27">
        <v>6.4606960551724142E-7</v>
      </c>
      <c r="N144" s="27">
        <v>2.1884761697575221E-5</v>
      </c>
      <c r="O144" s="27"/>
      <c r="P144" s="27">
        <v>5.7027085212127035E-5</v>
      </c>
      <c r="Q144" s="27">
        <v>2.4173913043478263E-5</v>
      </c>
      <c r="R144" s="148">
        <f>'Parameters, country spec'!J25</f>
        <v>1.9433337380001321E-2</v>
      </c>
      <c r="S144" s="148">
        <f>'Parameters, country spec'!J43</f>
        <v>1.9433337380001321E-2</v>
      </c>
    </row>
    <row r="145" spans="1:19" x14ac:dyDescent="0.35">
      <c r="B145" s="16" t="s">
        <v>232</v>
      </c>
      <c r="C145" s="15" t="s">
        <v>231</v>
      </c>
      <c r="D145" s="21" t="s">
        <v>50</v>
      </c>
      <c r="E145" s="21" t="s">
        <v>51</v>
      </c>
      <c r="F145" s="118">
        <f t="shared" si="16"/>
        <v>4.7266553697523981E-4</v>
      </c>
      <c r="G145" s="27">
        <v>1.5603516238625262E-5</v>
      </c>
      <c r="H145" s="27">
        <v>7.5304878048780503E-5</v>
      </c>
      <c r="I145" s="27"/>
      <c r="J145" s="27"/>
      <c r="K145" s="27">
        <v>1.908459074435586E-5</v>
      </c>
      <c r="L145" s="27"/>
      <c r="M145" s="27">
        <v>5.9672097439024396E-7</v>
      </c>
      <c r="N145" s="27">
        <v>2.3084271612619523E-5</v>
      </c>
      <c r="O145" s="27"/>
      <c r="P145" s="27">
        <v>1.2899155935646844E-4</v>
      </c>
      <c r="Q145" s="27">
        <v>2.1000000000000001E-4</v>
      </c>
      <c r="R145" s="148">
        <f>'Parameters, country spec'!J26</f>
        <v>6.7782810502236002E-2</v>
      </c>
      <c r="S145" s="148">
        <f>'Parameters, country spec'!J44</f>
        <v>6.7782810502236002E-2</v>
      </c>
    </row>
    <row r="146" spans="1:19" x14ac:dyDescent="0.35">
      <c r="B146" s="15" t="s">
        <v>117</v>
      </c>
      <c r="C146" s="15" t="s">
        <v>233</v>
      </c>
      <c r="D146" s="21" t="s">
        <v>50</v>
      </c>
      <c r="E146" s="21" t="s">
        <v>51</v>
      </c>
      <c r="F146" s="579">
        <f t="shared" si="16"/>
        <v>2.26969488258856E-3</v>
      </c>
      <c r="G146" s="93">
        <v>8.1101581605847706E-5</v>
      </c>
      <c r="H146" s="93">
        <v>4.7537999999999998E-5</v>
      </c>
      <c r="K146" s="93">
        <v>2.34544912894639E-5</v>
      </c>
      <c r="N146" s="12"/>
      <c r="O146" s="12"/>
      <c r="P146" s="93">
        <v>2.1139001122159199E-3</v>
      </c>
      <c r="Q146" s="93">
        <v>3.7006974773287098E-6</v>
      </c>
      <c r="R146" s="148">
        <f>'Parameters, country spec'!J27</f>
        <v>4.7732591070968847E-2</v>
      </c>
      <c r="S146" s="148">
        <f>'Parameters, country spec'!J45</f>
        <v>4.7732591070968847E-2</v>
      </c>
    </row>
    <row r="147" spans="1:19" x14ac:dyDescent="0.35">
      <c r="A147" s="75"/>
      <c r="B147" s="15" t="s">
        <v>234</v>
      </c>
      <c r="C147" s="76" t="s">
        <v>235</v>
      </c>
      <c r="D147" s="21" t="s">
        <v>50</v>
      </c>
      <c r="E147" s="21" t="s">
        <v>51</v>
      </c>
      <c r="F147" s="118">
        <f t="shared" si="16"/>
        <v>6.3041242339972425E-5</v>
      </c>
      <c r="G147" s="74">
        <f>SUMPRODUCT(G137:G145,$R137:$R145)</f>
        <v>1.6994316904337269E-5</v>
      </c>
      <c r="H147" s="74">
        <f t="shared" ref="H147:P147" si="17">SUMPRODUCT(H137:H145,$R137:$R145)</f>
        <v>1.3010255095105386E-5</v>
      </c>
      <c r="I147" s="74">
        <f t="shared" si="17"/>
        <v>0</v>
      </c>
      <c r="J147" s="74">
        <f t="shared" si="17"/>
        <v>0</v>
      </c>
      <c r="K147" s="74">
        <f t="shared" si="17"/>
        <v>2.8525810764563856E-6</v>
      </c>
      <c r="L147" s="74">
        <f t="shared" si="17"/>
        <v>0</v>
      </c>
      <c r="M147" s="74">
        <f t="shared" si="17"/>
        <v>1.2394396941523615E-7</v>
      </c>
      <c r="N147" s="74">
        <f t="shared" si="17"/>
        <v>5.5043382702470847E-6</v>
      </c>
      <c r="O147" s="74">
        <f t="shared" si="17"/>
        <v>0</v>
      </c>
      <c r="P147" s="74">
        <f t="shared" si="17"/>
        <v>9.851637010972775E-6</v>
      </c>
      <c r="Q147" s="74">
        <f>SUMPRODUCT(Q137:Q145,$R137:$R145)</f>
        <v>1.4704170013438288E-5</v>
      </c>
      <c r="R147" s="148">
        <f>'Parameters, country spec'!J28</f>
        <v>6.7554396720150997E-2</v>
      </c>
      <c r="S147" s="148">
        <f>'Parameters, country spec'!J46</f>
        <v>6.7554396720150997E-2</v>
      </c>
    </row>
    <row r="148" spans="1:19" x14ac:dyDescent="0.35">
      <c r="A148" s="321"/>
      <c r="B148" s="322" t="s">
        <v>541</v>
      </c>
      <c r="C148" s="323"/>
      <c r="D148" s="324"/>
      <c r="E148" s="324"/>
      <c r="F148" s="327">
        <f>SUMPRODUCT(F134:F136,R134:R136)+SUMPRODUCT(F137:F147,R137:R147)/0.87</f>
        <v>6.3703494159236514E-4</v>
      </c>
      <c r="G148" s="327">
        <f>SUMPRODUCT(G134:G136,R134:R136)+SUMPRODUCT(G137:G147,R137:R147)/0.87</f>
        <v>5.8852195738925026E-5</v>
      </c>
      <c r="H148" s="327">
        <f>SUMPRODUCT(H134:H136,R134:R136)+SUMPRODUCT(H137:H147,R137:R147)/0.87</f>
        <v>8.7671028266400066E-5</v>
      </c>
      <c r="I148" s="327">
        <f>SUMPRODUCT(I134:I136,R134:R136)+SUMPRODUCT(I137:I147,R137:R147)/0.87</f>
        <v>0</v>
      </c>
      <c r="J148" s="327">
        <f>SUMPRODUCT(J134:J136,R134:R136)+SUMPRODUCT(J137:J147,R137:R147)/0.87</f>
        <v>0</v>
      </c>
      <c r="K148" s="327">
        <f>SUMPRODUCT(K134:K136,R134:R136)+SUMPRODUCT(K137:K147,R137:R147)/0.87</f>
        <v>9.4204310483576228E-6</v>
      </c>
      <c r="L148" s="327">
        <f>SUMPRODUCT(L134:L136,R134:R136)+SUMPRODUCT(L137:L147,R137:R147)/0.87</f>
        <v>0</v>
      </c>
      <c r="M148" s="327">
        <f>SUMPRODUCT(M134:M136,R134:R136)+SUMPRODUCT(M137:M147,R137:R147)/0.87</f>
        <v>1.0824493356069052E-6</v>
      </c>
      <c r="N148" s="327">
        <f>SUMPRODUCT(N134:N136,R134:R136)+SUMPRODUCT(N137:N147,R137:R147)/0.87</f>
        <v>6.7542304844106506E-6</v>
      </c>
      <c r="O148" s="327">
        <f>SUMPRODUCT(O134:O136,R134:R136)+SUMPRODUCT(O137:O147,R137:R147)/0.87</f>
        <v>0</v>
      </c>
      <c r="P148" s="327">
        <f>SUMPRODUCT(P134:P136,R134:R136)+SUMPRODUCT(P137:P147,R137:R147)/0.87</f>
        <v>4.5500846277920582E-4</v>
      </c>
      <c r="Q148" s="327">
        <f>SUMPRODUCT(Q134:Q136,R134:R136)+SUMPRODUCT(Q137:Q147,R137:R147)/0.87</f>
        <v>1.8246143939459013E-5</v>
      </c>
      <c r="R148" s="328"/>
      <c r="S148" s="329"/>
    </row>
    <row r="149" spans="1:19" x14ac:dyDescent="0.35">
      <c r="A149" s="147"/>
      <c r="B149" s="23" t="s">
        <v>428</v>
      </c>
      <c r="C149" s="24"/>
      <c r="D149" s="94"/>
      <c r="E149" s="94"/>
      <c r="F149" s="28">
        <f>SUMPRODUCT(F134:F136,S134:S136)+SUMPRODUCT(F137:F147,S137:S147)/0.87</f>
        <v>6.3703494159236514E-4</v>
      </c>
      <c r="G149" s="28">
        <f>SUMPRODUCT(G134:G136,S134:S136)+SUMPRODUCT(G137:G147,S137:S147)/0.87</f>
        <v>5.8852195738925026E-5</v>
      </c>
      <c r="H149" s="28">
        <f>SUMPRODUCT(H134:H136,S134:S136)+SUMPRODUCT(H137:H147,S137:S147)/0.87</f>
        <v>8.7671028266400066E-5</v>
      </c>
      <c r="I149" s="28">
        <f>SUMPRODUCT(I134:I136,S134:S136)+SUMPRODUCT(I137:I147,S137:S147)/0.87</f>
        <v>0</v>
      </c>
      <c r="J149" s="28">
        <f>SUMPRODUCT(J134:J136,S134:S136)+SUMPRODUCT(J137:J147,S137:S147)/0.87</f>
        <v>0</v>
      </c>
      <c r="K149" s="28">
        <f>SUMPRODUCT(K134:K136,S134:S136)+SUMPRODUCT(K137:K147,S137:S147)/0.87</f>
        <v>9.4204310483576228E-6</v>
      </c>
      <c r="L149" s="28">
        <f>SUMPRODUCT(L134:L136,S134:S136)+SUMPRODUCT(L137:L147,S137:S147)/0.87</f>
        <v>0</v>
      </c>
      <c r="M149" s="28">
        <f>SUMPRODUCT(M134:M136,S134:S136)+SUMPRODUCT(M137:M147,S137:S147)/0.87</f>
        <v>1.0824493356069052E-6</v>
      </c>
      <c r="N149" s="28">
        <f>SUMPRODUCT(N134:N136,S134:S136)+SUMPRODUCT(N137:N147,S137:S147)/0.87</f>
        <v>6.7542304844106506E-6</v>
      </c>
      <c r="O149" s="28">
        <f>SUMPRODUCT(O134:O136,S134:S136)+SUMPRODUCT(O137:O147,S137:S147)/0.87</f>
        <v>0</v>
      </c>
      <c r="P149" s="28">
        <f>SUMPRODUCT(P134:P136,S134:S136)+SUMPRODUCT(P137:P147,S137:S147)/0.87</f>
        <v>4.5500846277920582E-4</v>
      </c>
      <c r="Q149" s="28">
        <f>SUMPRODUCT(Q134:Q136,S134:S136)+SUMPRODUCT(Q137:Q147,S137:S147)/0.87</f>
        <v>1.8246143939459013E-5</v>
      </c>
      <c r="R149" s="149"/>
      <c r="S149" s="149"/>
    </row>
    <row r="150" spans="1:19" x14ac:dyDescent="0.35">
      <c r="B150" s="16" t="s">
        <v>285</v>
      </c>
      <c r="C150" s="15" t="s">
        <v>288</v>
      </c>
      <c r="D150" s="21" t="s">
        <v>52</v>
      </c>
      <c r="E150" s="21" t="s">
        <v>53</v>
      </c>
      <c r="F150" s="118">
        <f>SUM(G150:Q150)</f>
        <v>1.4461073076603038E-4</v>
      </c>
      <c r="G150" s="27">
        <f>'Forage crops, CF'!F54</f>
        <v>3.9901302719260733E-5</v>
      </c>
      <c r="H150" s="27">
        <f>'Forage crops, CF'!G54</f>
        <v>9.5000000000000005E-5</v>
      </c>
      <c r="I150" s="27">
        <f>'Forage crops, CF'!H54</f>
        <v>0</v>
      </c>
      <c r="J150" s="27">
        <f>'Forage crops, CF'!I54</f>
        <v>0</v>
      </c>
      <c r="K150" s="27">
        <f>'Forage crops, CF'!J54</f>
        <v>9.7094280467696498E-6</v>
      </c>
      <c r="L150" s="27">
        <f>'Forage crops, CF'!K54</f>
        <v>0</v>
      </c>
      <c r="M150" s="27">
        <f>'Forage crops, CF'!L54</f>
        <v>0</v>
      </c>
      <c r="N150" s="27">
        <f>'Forage crops, CF'!M54</f>
        <v>0</v>
      </c>
      <c r="O150" s="27">
        <f>'Forage crops, CF'!N54</f>
        <v>0</v>
      </c>
      <c r="P150" s="27">
        <f>'Forage crops, CF'!O54</f>
        <v>0</v>
      </c>
      <c r="Q150" s="27">
        <f>'Forage crops, CF'!P54</f>
        <v>0</v>
      </c>
      <c r="R150" s="148">
        <f>'Parameters, country spec'!K15</f>
        <v>0.42695226222969923</v>
      </c>
      <c r="S150" s="148">
        <f>'Parameters, country spec'!K33</f>
        <v>0.42695226222969923</v>
      </c>
    </row>
    <row r="151" spans="1:19" x14ac:dyDescent="0.35">
      <c r="B151" s="16" t="s">
        <v>286</v>
      </c>
      <c r="C151" s="15" t="s">
        <v>288</v>
      </c>
      <c r="D151" s="21" t="s">
        <v>52</v>
      </c>
      <c r="E151" s="21" t="s">
        <v>53</v>
      </c>
      <c r="F151" s="118">
        <f>SUM(G151:Q151)</f>
        <v>9.4194027560908812E-4</v>
      </c>
      <c r="G151" s="27">
        <f>'Forage crops, CF'!F119</f>
        <v>3.8936683186619176E-5</v>
      </c>
      <c r="H151" s="27">
        <f>'Forage crops, CF'!G119</f>
        <v>9.5000000000000005E-5</v>
      </c>
      <c r="I151" s="27"/>
      <c r="J151" s="27"/>
      <c r="K151" s="27">
        <f>'Forage crops, CF'!J119</f>
        <v>9.5250528905289057E-6</v>
      </c>
      <c r="L151" s="27"/>
      <c r="M151" s="27">
        <f>'Forage crops, CF'!L119</f>
        <v>9.0478539531940063E-5</v>
      </c>
      <c r="N151" s="27">
        <f>'Forage crops, CF'!M119</f>
        <v>0</v>
      </c>
      <c r="O151" s="27"/>
      <c r="P151" s="27">
        <f>'Forage crops, CF'!O119</f>
        <v>7.0799999999999997E-4</v>
      </c>
      <c r="Q151" s="27"/>
      <c r="R151" s="148">
        <f>'Parameters, country spec'!K16</f>
        <v>8.4238508213965613E-2</v>
      </c>
      <c r="S151" s="148">
        <f>'Parameters, country spec'!K34</f>
        <v>8.4238508213965613E-2</v>
      </c>
    </row>
    <row r="152" spans="1:19" x14ac:dyDescent="0.35">
      <c r="B152" s="16" t="s">
        <v>287</v>
      </c>
      <c r="C152" s="15" t="s">
        <v>288</v>
      </c>
      <c r="D152" s="21" t="s">
        <v>52</v>
      </c>
      <c r="E152" s="21" t="s">
        <v>53</v>
      </c>
      <c r="F152" s="118">
        <f>SUM(G152:Q152)</f>
        <v>8.3172272139353162E-4</v>
      </c>
      <c r="G152" s="27">
        <f>'Forage crops, CF'!F184*'Forage, input data per ha'!$E$87+'Forage crops, CF'!F249*'Forage, input data per ha'!$G$87</f>
        <v>2.0808843922414577E-5</v>
      </c>
      <c r="H152" s="27">
        <f>'Forage crops, CF'!G184*'Forage, input data per ha'!$E$87+'Forage crops, CF'!G249*'Forage, input data per ha'!$G$87</f>
        <v>9.5000000000000005E-5</v>
      </c>
      <c r="I152" s="27"/>
      <c r="J152" s="27"/>
      <c r="K152" s="27">
        <f>'Forage crops, CF'!J184*'Forage, input data per ha'!$E$87+'Forage crops, CF'!J249*'Forage, input data per ha'!$G$87</f>
        <v>7.9138774711169853E-6</v>
      </c>
      <c r="L152" s="27"/>
      <c r="M152" s="27">
        <f>'Forage crops, CF'!L184*'Forage, input data per ha'!$E$87+'Forage crops, CF'!L249*'Forage, input data per ha'!$G$87</f>
        <v>0</v>
      </c>
      <c r="N152" s="27">
        <f>'Forage crops, CF'!M184*'Forage, input data per ha'!$E$87+'Forage crops, CF'!M249*'Forage, input data per ha'!$G$87</f>
        <v>0</v>
      </c>
      <c r="O152" s="27"/>
      <c r="P152" s="27">
        <f>'Forage crops, CF'!O184*'Forage, input data per ha'!$E$87+'Forage crops, CF'!O249*'Forage, input data per ha'!$G$87</f>
        <v>7.0800000000000008E-4</v>
      </c>
      <c r="Q152" s="27"/>
      <c r="R152" s="148">
        <f>'Parameters, country spec'!K17</f>
        <v>6.2955748563960065E-2</v>
      </c>
      <c r="S152" s="148">
        <f>'Parameters, country spec'!K35</f>
        <v>6.2955748563960065E-2</v>
      </c>
    </row>
    <row r="153" spans="1:19" x14ac:dyDescent="0.35">
      <c r="A153" s="20" t="s">
        <v>222</v>
      </c>
      <c r="B153" s="15" t="s">
        <v>108</v>
      </c>
      <c r="C153" s="15" t="s">
        <v>223</v>
      </c>
      <c r="D153" s="21" t="s">
        <v>52</v>
      </c>
      <c r="E153" s="21" t="s">
        <v>53</v>
      </c>
      <c r="F153" s="118">
        <f>SUM(G153:Q153)</f>
        <v>1.7320000000000001E-4</v>
      </c>
      <c r="G153" s="93">
        <v>0</v>
      </c>
      <c r="H153" s="93">
        <v>1E-4</v>
      </c>
      <c r="I153" s="93"/>
      <c r="J153" s="93"/>
      <c r="K153" s="93">
        <v>2.48E-5</v>
      </c>
      <c r="L153" s="93"/>
      <c r="M153" s="93">
        <v>1.9300000000000002E-5</v>
      </c>
      <c r="N153" s="93">
        <v>2.9099999999999999E-5</v>
      </c>
      <c r="O153" s="93"/>
      <c r="P153" s="93"/>
      <c r="Q153" s="93"/>
      <c r="R153" s="148">
        <f>'Parameters, country spec'!K18</f>
        <v>7.4482644340220033E-2</v>
      </c>
      <c r="S153" s="148">
        <f>'Parameters, country spec'!K36</f>
        <v>7.4482644340220033E-2</v>
      </c>
    </row>
    <row r="154" spans="1:19" x14ac:dyDescent="0.35">
      <c r="A154" s="20" t="s">
        <v>224</v>
      </c>
      <c r="B154" s="15" t="s">
        <v>109</v>
      </c>
      <c r="C154" s="15" t="s">
        <v>223</v>
      </c>
      <c r="D154" s="21" t="s">
        <v>52</v>
      </c>
      <c r="E154" s="21" t="s">
        <v>53</v>
      </c>
      <c r="F154" s="118">
        <f t="shared" ref="F154:F163" si="18">SUM(G154:Q154)</f>
        <v>1.9490000000000002E-4</v>
      </c>
      <c r="G154" s="93">
        <v>0</v>
      </c>
      <c r="H154" s="93">
        <v>1E-4</v>
      </c>
      <c r="I154" s="93"/>
      <c r="J154" s="93"/>
      <c r="K154" s="93">
        <v>6.8000000000000001E-6</v>
      </c>
      <c r="L154" s="93"/>
      <c r="M154" s="93">
        <v>5.8999999999999998E-5</v>
      </c>
      <c r="N154" s="93">
        <v>2.9099999999999999E-5</v>
      </c>
      <c r="O154" s="93"/>
      <c r="P154" s="93"/>
      <c r="Q154" s="93"/>
      <c r="R154" s="148">
        <f>'Parameters, country spec'!K19</f>
        <v>9.8235935846622865E-2</v>
      </c>
      <c r="S154" s="148">
        <f>'Parameters, country spec'!K37</f>
        <v>9.8235935846622865E-2</v>
      </c>
    </row>
    <row r="155" spans="1:19" x14ac:dyDescent="0.35">
      <c r="A155" s="20" t="s">
        <v>225</v>
      </c>
      <c r="B155" s="15" t="s">
        <v>110</v>
      </c>
      <c r="C155" s="15" t="s">
        <v>223</v>
      </c>
      <c r="D155" s="21" t="s">
        <v>52</v>
      </c>
      <c r="E155" s="21" t="s">
        <v>53</v>
      </c>
      <c r="F155" s="118">
        <f t="shared" si="18"/>
        <v>4.5219999999999999E-4</v>
      </c>
      <c r="G155" s="93">
        <v>0</v>
      </c>
      <c r="H155" s="93">
        <v>1E-4</v>
      </c>
      <c r="I155" s="93"/>
      <c r="J155" s="93"/>
      <c r="K155" s="93">
        <v>3.6100000000000003E-5</v>
      </c>
      <c r="L155" s="93"/>
      <c r="M155" s="93">
        <v>2.8699999999999998E-4</v>
      </c>
      <c r="N155" s="93">
        <v>2.9099999999999999E-5</v>
      </c>
      <c r="O155" s="93"/>
      <c r="P155" s="93"/>
      <c r="Q155" s="93"/>
      <c r="R155" s="148">
        <f>'Parameters, country spec'!K20</f>
        <v>1.1613149284971752E-2</v>
      </c>
      <c r="S155" s="148">
        <f>'Parameters, country spec'!K38</f>
        <v>1.1613149284971752E-2</v>
      </c>
    </row>
    <row r="156" spans="1:19" x14ac:dyDescent="0.35">
      <c r="A156" s="20" t="s">
        <v>226</v>
      </c>
      <c r="B156" s="15" t="s">
        <v>111</v>
      </c>
      <c r="C156" s="15" t="s">
        <v>223</v>
      </c>
      <c r="D156" s="21" t="s">
        <v>52</v>
      </c>
      <c r="E156" s="21" t="s">
        <v>53</v>
      </c>
      <c r="F156" s="118">
        <f t="shared" si="18"/>
        <v>1.6435300000000003E-4</v>
      </c>
      <c r="G156" s="93">
        <v>0</v>
      </c>
      <c r="H156" s="93">
        <v>1E-4</v>
      </c>
      <c r="I156" s="93"/>
      <c r="J156" s="93"/>
      <c r="K156" s="93">
        <v>3.4499999999999998E-5</v>
      </c>
      <c r="L156" s="93"/>
      <c r="M156" s="93">
        <v>7.5300000000000003E-7</v>
      </c>
      <c r="N156" s="93">
        <v>2.9099999999999999E-5</v>
      </c>
      <c r="O156" s="93"/>
      <c r="P156" s="93"/>
      <c r="Q156" s="93"/>
      <c r="R156" s="148">
        <f>'Parameters, country spec'!K21</f>
        <v>3.0653721191027461E-3</v>
      </c>
      <c r="S156" s="148">
        <f>'Parameters, country spec'!K39</f>
        <v>3.0653721191027461E-3</v>
      </c>
    </row>
    <row r="157" spans="1:19" x14ac:dyDescent="0.35">
      <c r="A157" s="20" t="s">
        <v>227</v>
      </c>
      <c r="B157" s="15" t="s">
        <v>112</v>
      </c>
      <c r="C157" s="15" t="s">
        <v>223</v>
      </c>
      <c r="D157" s="21" t="s">
        <v>52</v>
      </c>
      <c r="E157" s="21" t="s">
        <v>53</v>
      </c>
      <c r="F157" s="118">
        <f t="shared" si="18"/>
        <v>1.6173000000000001E-4</v>
      </c>
      <c r="G157" s="93">
        <v>0</v>
      </c>
      <c r="H157" s="93">
        <v>1E-4</v>
      </c>
      <c r="I157" s="93"/>
      <c r="J157" s="93"/>
      <c r="K157" s="93">
        <v>2.3600000000000001E-5</v>
      </c>
      <c r="L157" s="93"/>
      <c r="M157" s="93">
        <v>9.0299999999999999E-6</v>
      </c>
      <c r="N157" s="93">
        <v>2.9099999999999999E-5</v>
      </c>
      <c r="O157" s="93"/>
      <c r="P157" s="93"/>
      <c r="Q157" s="93"/>
      <c r="R157" s="148">
        <f>'Parameters, country spec'!K22</f>
        <v>6.309442770624088E-2</v>
      </c>
      <c r="S157" s="148">
        <f>'Parameters, country spec'!K40</f>
        <v>6.309442770624088E-2</v>
      </c>
    </row>
    <row r="158" spans="1:19" x14ac:dyDescent="0.35">
      <c r="A158" s="20" t="s">
        <v>228</v>
      </c>
      <c r="B158" s="15" t="s">
        <v>113</v>
      </c>
      <c r="C158" s="15" t="s">
        <v>229</v>
      </c>
      <c r="D158" s="21" t="s">
        <v>52</v>
      </c>
      <c r="E158" s="21" t="s">
        <v>53</v>
      </c>
      <c r="F158" s="118">
        <f t="shared" si="18"/>
        <v>1.8352E-4</v>
      </c>
      <c r="G158" s="93">
        <v>0</v>
      </c>
      <c r="H158" s="93">
        <v>1E-4</v>
      </c>
      <c r="I158" s="93"/>
      <c r="J158" s="93"/>
      <c r="K158" s="93">
        <v>4.99E-5</v>
      </c>
      <c r="L158" s="93"/>
      <c r="M158" s="93">
        <v>4.5199999999999999E-6</v>
      </c>
      <c r="N158" s="93">
        <v>2.9099999999999999E-5</v>
      </c>
      <c r="O158" s="93"/>
      <c r="P158" s="93"/>
      <c r="Q158" s="93"/>
      <c r="R158" s="148">
        <f>'Parameters, country spec'!K23</f>
        <v>2.7198099192756071E-3</v>
      </c>
      <c r="S158" s="148">
        <f>'Parameters, country spec'!K41</f>
        <v>2.7198099192756071E-3</v>
      </c>
    </row>
    <row r="159" spans="1:19" x14ac:dyDescent="0.35">
      <c r="A159" s="20" t="s">
        <v>230</v>
      </c>
      <c r="B159" s="15" t="s">
        <v>114</v>
      </c>
      <c r="C159" s="15" t="s">
        <v>229</v>
      </c>
      <c r="D159" s="21" t="s">
        <v>52</v>
      </c>
      <c r="E159" s="21" t="s">
        <v>53</v>
      </c>
      <c r="F159" s="118">
        <f t="shared" si="18"/>
        <v>2.3980000000000003E-4</v>
      </c>
      <c r="G159" s="93">
        <v>0</v>
      </c>
      <c r="H159" s="93">
        <v>1E-4</v>
      </c>
      <c r="I159" s="93"/>
      <c r="J159" s="93"/>
      <c r="K159" s="93">
        <v>5.7800000000000002E-5</v>
      </c>
      <c r="L159" s="93"/>
      <c r="M159" s="93">
        <v>5.2899999999999998E-5</v>
      </c>
      <c r="N159" s="93">
        <v>2.9099999999999999E-5</v>
      </c>
      <c r="O159" s="93"/>
      <c r="P159" s="93"/>
      <c r="Q159" s="93"/>
      <c r="R159" s="148">
        <f>'Parameters, country spec'!K24</f>
        <v>2.67174962512282E-3</v>
      </c>
      <c r="S159" s="148">
        <f>'Parameters, country spec'!K42</f>
        <v>2.67174962512282E-3</v>
      </c>
    </row>
    <row r="160" spans="1:19" x14ac:dyDescent="0.35">
      <c r="B160" s="16" t="s">
        <v>115</v>
      </c>
      <c r="C160" s="15" t="s">
        <v>231</v>
      </c>
      <c r="D160" s="21" t="s">
        <v>52</v>
      </c>
      <c r="E160" s="21" t="s">
        <v>53</v>
      </c>
      <c r="F160" s="118">
        <f t="shared" si="18"/>
        <v>4.6478527325651394E-4</v>
      </c>
      <c r="G160" s="27">
        <v>3.0425509539765719E-4</v>
      </c>
      <c r="H160" s="27">
        <v>4.5862068965517246E-5</v>
      </c>
      <c r="I160" s="27"/>
      <c r="J160" s="27"/>
      <c r="K160" s="27">
        <v>1.0936279334641699E-5</v>
      </c>
      <c r="L160" s="27"/>
      <c r="M160" s="27">
        <v>6.4606960551724142E-7</v>
      </c>
      <c r="N160" s="27">
        <v>2.1884761697575221E-5</v>
      </c>
      <c r="O160" s="27"/>
      <c r="P160" s="27">
        <v>5.7027085212127035E-5</v>
      </c>
      <c r="Q160" s="27">
        <v>2.4173913043478263E-5</v>
      </c>
      <c r="R160" s="148">
        <f>'Parameters, country spec'!K25</f>
        <v>7.8768273776592904E-3</v>
      </c>
      <c r="S160" s="148">
        <f>'Parameters, country spec'!K43</f>
        <v>7.8768273776592904E-3</v>
      </c>
    </row>
    <row r="161" spans="1:19" x14ac:dyDescent="0.35">
      <c r="B161" s="16" t="s">
        <v>232</v>
      </c>
      <c r="C161" s="15" t="s">
        <v>231</v>
      </c>
      <c r="D161" s="21" t="s">
        <v>52</v>
      </c>
      <c r="E161" s="21" t="s">
        <v>53</v>
      </c>
      <c r="F161" s="118">
        <f t="shared" si="18"/>
        <v>4.7266553697523981E-4</v>
      </c>
      <c r="G161" s="27">
        <v>1.5603516238625262E-5</v>
      </c>
      <c r="H161" s="27">
        <v>7.5304878048780503E-5</v>
      </c>
      <c r="I161" s="27"/>
      <c r="J161" s="27"/>
      <c r="K161" s="27">
        <v>1.908459074435586E-5</v>
      </c>
      <c r="L161" s="27"/>
      <c r="M161" s="27">
        <v>5.9672097439024396E-7</v>
      </c>
      <c r="N161" s="27">
        <v>2.3084271612619523E-5</v>
      </c>
      <c r="O161" s="27"/>
      <c r="P161" s="27">
        <v>1.2899155935646844E-4</v>
      </c>
      <c r="Q161" s="27">
        <v>2.1000000000000001E-4</v>
      </c>
      <c r="R161" s="148">
        <f>'Parameters, country spec'!K26</f>
        <v>6.7333865050956468E-2</v>
      </c>
      <c r="S161" s="148">
        <f>'Parameters, country spec'!K44</f>
        <v>6.7333865050956468E-2</v>
      </c>
    </row>
    <row r="162" spans="1:19" x14ac:dyDescent="0.35">
      <c r="B162" s="15" t="s">
        <v>117</v>
      </c>
      <c r="C162" s="15" t="s">
        <v>233</v>
      </c>
      <c r="D162" s="21" t="s">
        <v>52</v>
      </c>
      <c r="E162" s="21" t="s">
        <v>53</v>
      </c>
      <c r="F162" s="579">
        <f t="shared" si="18"/>
        <v>1.1800079428461339E-3</v>
      </c>
      <c r="G162" s="93">
        <v>8.6160247731340001E-5</v>
      </c>
      <c r="H162" s="93">
        <v>4.7537999999999998E-5</v>
      </c>
      <c r="K162" s="93">
        <v>2.6999625124000199E-5</v>
      </c>
      <c r="N162" s="12"/>
      <c r="O162" s="12"/>
      <c r="P162" s="93">
        <v>9.3317281206467095E-4</v>
      </c>
      <c r="Q162" s="93">
        <v>8.6137257926122794E-5</v>
      </c>
      <c r="R162" s="148">
        <f>'Parameters, country spec'!K27</f>
        <v>6.255642502619195E-2</v>
      </c>
      <c r="S162" s="148">
        <f>'Parameters, country spec'!K45</f>
        <v>6.255642502619195E-2</v>
      </c>
    </row>
    <row r="163" spans="1:19" x14ac:dyDescent="0.35">
      <c r="A163" s="75"/>
      <c r="B163" s="15" t="s">
        <v>234</v>
      </c>
      <c r="C163" s="76" t="s">
        <v>235</v>
      </c>
      <c r="D163" s="21" t="s">
        <v>52</v>
      </c>
      <c r="E163" s="21" t="s">
        <v>53</v>
      </c>
      <c r="F163" s="118">
        <f t="shared" si="18"/>
        <v>8.4633364822256715E-5</v>
      </c>
      <c r="G163" s="74">
        <f>SUMPRODUCT(G153:G161,$R153:$R161)</f>
        <v>3.4472099219526068E-6</v>
      </c>
      <c r="H163" s="74">
        <f t="shared" ref="H163:P163" si="19">SUMPRODUCT(H153:H161,$R153:$R161)</f>
        <v>3.1020124980794673E-5</v>
      </c>
      <c r="I163" s="74">
        <f t="shared" si="19"/>
        <v>0</v>
      </c>
      <c r="J163" s="74">
        <f t="shared" si="19"/>
        <v>0</v>
      </c>
      <c r="K163" s="74">
        <f t="shared" si="19"/>
        <v>6.190520550068279E-6</v>
      </c>
      <c r="L163" s="74">
        <f t="shared" si="19"/>
        <v>0</v>
      </c>
      <c r="M163" s="74">
        <f t="shared" si="19"/>
        <v>1.133735760722033E-5</v>
      </c>
      <c r="N163" s="74">
        <f t="shared" si="19"/>
        <v>9.1729336049460573E-6</v>
      </c>
      <c r="O163" s="74">
        <f t="shared" si="19"/>
        <v>0</v>
      </c>
      <c r="P163" s="74">
        <f t="shared" si="19"/>
        <v>9.1346927564878786E-6</v>
      </c>
      <c r="Q163" s="74">
        <f>SUMPRODUCT(Q153:Q161,$R153:$R161)</f>
        <v>1.4330525400786884E-5</v>
      </c>
      <c r="R163" s="148">
        <f>'Parameters, country spec'!K28</f>
        <v>3.220327469601051E-2</v>
      </c>
      <c r="S163" s="148">
        <f>'Parameters, country spec'!K46</f>
        <v>3.220327469601051E-2</v>
      </c>
    </row>
    <row r="164" spans="1:19" x14ac:dyDescent="0.35">
      <c r="A164" s="321"/>
      <c r="B164" s="322" t="s">
        <v>541</v>
      </c>
      <c r="C164" s="323"/>
      <c r="D164" s="324"/>
      <c r="E164" s="324"/>
      <c r="F164" s="327">
        <f>SUMPRODUCT(F150:F152,R150:R152)+SUMPRODUCT(F153:F163,R153:R163)/0.87</f>
        <v>3.7871092090793957E-4</v>
      </c>
      <c r="G164" s="327">
        <f>SUMPRODUCT(G150:G152,R150:R152)+SUMPRODUCT(G153:G163,R153:R163)/0.87</f>
        <v>3.1911126543477526E-5</v>
      </c>
      <c r="H164" s="327">
        <f>SUMPRODUCT(H150:H152,R150:R152)+SUMPRODUCT(H153:H163,R153:R163)/0.87</f>
        <v>9.4765622661529994E-5</v>
      </c>
      <c r="I164" s="327">
        <f>SUMPRODUCT(I150:I152,R150:R152)+SUMPRODUCT(I153:I163,R153:R163)/0.87</f>
        <v>0</v>
      </c>
      <c r="J164" s="327">
        <f>SUMPRODUCT(J150:J152,R150:R152)+SUMPRODUCT(J153:J163,R153:R163)/0.87</f>
        <v>0</v>
      </c>
      <c r="K164" s="327">
        <f>SUMPRODUCT(K150:K152,R150:R152)+SUMPRODUCT(K153:K163,R153:R163)/0.87</f>
        <v>1.4732126513917663E-5</v>
      </c>
      <c r="L164" s="327">
        <f>SUMPRODUCT(L150:L152,R150:R152)+SUMPRODUCT(L153:L163,R153:R163)/0.87</f>
        <v>0</v>
      </c>
      <c r="M164" s="327">
        <f>SUMPRODUCT(M150:M152,R150:R152)+SUMPRODUCT(M153:M163,R153:R163)/0.87</f>
        <v>2.1072877941034638E-5</v>
      </c>
      <c r="N164" s="327">
        <f>SUMPRODUCT(N150:N152,R150:R152)+SUMPRODUCT(N153:N163,R153:R163)/0.87</f>
        <v>1.0883140351257933E-5</v>
      </c>
      <c r="O164" s="327">
        <f>SUMPRODUCT(O150:O152,R150:R152)+SUMPRODUCT(O153:O163,R153:R163)/0.87</f>
        <v>0</v>
      </c>
      <c r="P164" s="327">
        <f>SUMPRODUCT(P150:P152,R150:R152)+SUMPRODUCT(P153:P163,R153:R163)/0.87</f>
        <v>1.8215010257002773E-4</v>
      </c>
      <c r="Q164" s="327">
        <f>SUMPRODUCT(Q150:Q152,R150:R152)+SUMPRODUCT(Q153:Q163,R153:R163)/0.87</f>
        <v>2.3195924326694067E-5</v>
      </c>
      <c r="R164" s="328"/>
      <c r="S164" s="329"/>
    </row>
    <row r="165" spans="1:19" x14ac:dyDescent="0.35">
      <c r="A165" s="147"/>
      <c r="B165" s="23" t="s">
        <v>428</v>
      </c>
      <c r="C165" s="24"/>
      <c r="D165" s="94"/>
      <c r="E165" s="94"/>
      <c r="F165" s="28">
        <f>SUMPRODUCT(F150:F152,S150:S152)+SUMPRODUCT(F153:F163,S153:S163)/0.87</f>
        <v>3.7871092090793957E-4</v>
      </c>
      <c r="G165" s="28">
        <f>SUMPRODUCT(G150:G152,S150:S152)+SUMPRODUCT(G153:G163,S153:S163)/0.87</f>
        <v>3.1911126543477526E-5</v>
      </c>
      <c r="H165" s="28">
        <f>SUMPRODUCT(H150:H152,S150:S152)+SUMPRODUCT(H153:H163,S153:S163)/0.87</f>
        <v>9.4765622661529994E-5</v>
      </c>
      <c r="I165" s="28">
        <f>SUMPRODUCT(I150:I152,S150:S152)+SUMPRODUCT(I153:I163,S153:S163)/0.87</f>
        <v>0</v>
      </c>
      <c r="J165" s="28">
        <f>SUMPRODUCT(J150:J152,S150:S152)+SUMPRODUCT(J153:J163,S153:S163)/0.87</f>
        <v>0</v>
      </c>
      <c r="K165" s="28">
        <f>SUMPRODUCT(K150:K152,S150:S152)+SUMPRODUCT(K153:K163,S153:S163)/0.87</f>
        <v>1.4732126513917663E-5</v>
      </c>
      <c r="L165" s="28">
        <f>SUMPRODUCT(L150:L152,S150:S152)+SUMPRODUCT(L153:L163,S153:S163)/0.87</f>
        <v>0</v>
      </c>
      <c r="M165" s="28">
        <f>SUMPRODUCT(M150:M152,S150:S152)+SUMPRODUCT(M153:M163,S153:S163)/0.87</f>
        <v>2.1072877941034638E-5</v>
      </c>
      <c r="N165" s="28">
        <f>SUMPRODUCT(N150:N152,S150:S152)+SUMPRODUCT(N153:N163,S153:S163)/0.87</f>
        <v>1.0883140351257933E-5</v>
      </c>
      <c r="O165" s="28">
        <f>SUMPRODUCT(O150:O152,S150:S152)+SUMPRODUCT(O153:O163,S153:S163)/0.87</f>
        <v>0</v>
      </c>
      <c r="P165" s="28">
        <f>SUMPRODUCT(P150:P152,S150:S152)+SUMPRODUCT(P153:P163,S153:S163)/0.87</f>
        <v>1.8215010257002773E-4</v>
      </c>
      <c r="Q165" s="28">
        <f>SUMPRODUCT(Q150:Q152,S150:S152)+SUMPRODUCT(Q153:Q163,S153:S163)/0.87</f>
        <v>2.3195924326694067E-5</v>
      </c>
      <c r="R165" s="149"/>
      <c r="S165" s="149"/>
    </row>
    <row r="166" spans="1:19" x14ac:dyDescent="0.35">
      <c r="B166" s="16" t="s">
        <v>285</v>
      </c>
      <c r="C166" s="15" t="s">
        <v>288</v>
      </c>
      <c r="D166" s="21" t="s">
        <v>54</v>
      </c>
      <c r="E166" s="21" t="s">
        <v>55</v>
      </c>
      <c r="F166" s="118">
        <f>SUM(G166:Q166)</f>
        <v>1.0963552846463486E-4</v>
      </c>
      <c r="G166" s="27">
        <f>'Forage crops, CF'!F59</f>
        <v>0</v>
      </c>
      <c r="H166" s="27">
        <f>'Forage crops, CF'!G59</f>
        <v>9.5000000000000005E-5</v>
      </c>
      <c r="I166" s="27">
        <f>'Forage crops, CF'!H59</f>
        <v>0</v>
      </c>
      <c r="J166" s="27">
        <f>'Forage crops, CF'!I59</f>
        <v>0</v>
      </c>
      <c r="K166" s="27">
        <f>'Forage crops, CF'!J59</f>
        <v>1.463552846463485E-5</v>
      </c>
      <c r="L166" s="27">
        <f>'Forage crops, CF'!K59</f>
        <v>0</v>
      </c>
      <c r="M166" s="27">
        <f>'Forage crops, CF'!L59</f>
        <v>0</v>
      </c>
      <c r="N166" s="27">
        <f>'Forage crops, CF'!M59</f>
        <v>0</v>
      </c>
      <c r="O166" s="27">
        <f>'Forage crops, CF'!N59</f>
        <v>0</v>
      </c>
      <c r="P166" s="27">
        <f>'Forage crops, CF'!O59</f>
        <v>0</v>
      </c>
      <c r="Q166" s="27">
        <f>'Forage crops, CF'!P59</f>
        <v>0</v>
      </c>
      <c r="R166" s="148">
        <f>'Parameters, country spec'!L15</f>
        <v>0.51738911290322576</v>
      </c>
      <c r="S166" s="148">
        <f>'Parameters, country spec'!L33</f>
        <v>0</v>
      </c>
    </row>
    <row r="167" spans="1:19" x14ac:dyDescent="0.35">
      <c r="B167" s="16" t="s">
        <v>286</v>
      </c>
      <c r="C167" s="15" t="s">
        <v>288</v>
      </c>
      <c r="D167" s="21" t="s">
        <v>54</v>
      </c>
      <c r="E167" s="21" t="s">
        <v>55</v>
      </c>
      <c r="F167" s="118">
        <f>SUM(G167:Q167)</f>
        <v>8.4929872480248177E-4</v>
      </c>
      <c r="G167" s="27">
        <f>'Forage crops, CF'!F124</f>
        <v>2.5256780244444398E-5</v>
      </c>
      <c r="H167" s="27">
        <f>'Forage crops, CF'!G124</f>
        <v>9.5000000000000005E-5</v>
      </c>
      <c r="I167" s="27"/>
      <c r="J167" s="27"/>
      <c r="K167" s="27">
        <f>'Forage crops, CF'!J124</f>
        <v>8.4955035580373929E-6</v>
      </c>
      <c r="L167" s="27"/>
      <c r="M167" s="27">
        <f>'Forage crops, CF'!L124</f>
        <v>1.2546441000000003E-5</v>
      </c>
      <c r="N167" s="27">
        <f>'Forage crops, CF'!M124</f>
        <v>0</v>
      </c>
      <c r="O167" s="27"/>
      <c r="P167" s="27">
        <f>'Forage crops, CF'!O124</f>
        <v>7.0799999999999997E-4</v>
      </c>
      <c r="Q167" s="27"/>
      <c r="R167" s="148">
        <f>'Parameters, country spec'!L16</f>
        <v>0</v>
      </c>
      <c r="S167" s="148">
        <f>'Parameters, country spec'!L34</f>
        <v>0.12715077282006415</v>
      </c>
    </row>
    <row r="168" spans="1:19" x14ac:dyDescent="0.35">
      <c r="B168" s="16" t="s">
        <v>287</v>
      </c>
      <c r="C168" s="15" t="s">
        <v>288</v>
      </c>
      <c r="D168" s="21" t="s">
        <v>54</v>
      </c>
      <c r="E168" s="21" t="s">
        <v>55</v>
      </c>
      <c r="F168" s="118">
        <f>SUM(G168:Q168)</f>
        <v>8.2750891508058988E-4</v>
      </c>
      <c r="G168" s="27">
        <f>'Forage crops, CF'!F189*'Forage, input data per ha'!$E$88+'Forage crops, CF'!F254*'Forage, input data per ha'!$G$88</f>
        <v>1.8169335599617925E-5</v>
      </c>
      <c r="H168" s="27">
        <f>'Forage crops, CF'!G189*'Forage, input data per ha'!$E$88+'Forage crops, CF'!G254*'Forage, input data per ha'!$G$88</f>
        <v>9.5000000000000005E-5</v>
      </c>
      <c r="I168" s="27"/>
      <c r="J168" s="27"/>
      <c r="K168" s="27">
        <f>'Forage crops, CF'!J189*'Forage, input data per ha'!$E$88+'Forage crops, CF'!J254*'Forage, input data per ha'!$G$88</f>
        <v>6.3395794809719851E-6</v>
      </c>
      <c r="L168" s="27"/>
      <c r="M168" s="27">
        <f>'Forage crops, CF'!L189*'Forage, input data per ha'!$E$88+'Forage crops, CF'!L254*'Forage, input data per ha'!$G$88</f>
        <v>0</v>
      </c>
      <c r="N168" s="27">
        <f>'Forage crops, CF'!M189*'Forage, input data per ha'!$E$88+'Forage crops, CF'!M254*'Forage, input data per ha'!$G$88</f>
        <v>0</v>
      </c>
      <c r="O168" s="27"/>
      <c r="P168" s="27">
        <f>'Forage crops, CF'!O189*'Forage, input data per ha'!$E$88+'Forage crops, CF'!O254*'Forage, input data per ha'!$G$88</f>
        <v>7.0799999999999997E-4</v>
      </c>
      <c r="Q168" s="27"/>
      <c r="R168" s="148">
        <f>'Parameters, country spec'!L17</f>
        <v>0.48261088709677419</v>
      </c>
      <c r="S168" s="148">
        <f>'Parameters, country spec'!L35</f>
        <v>0.5447652376786235</v>
      </c>
    </row>
    <row r="169" spans="1:19" x14ac:dyDescent="0.35">
      <c r="A169" s="20" t="s">
        <v>222</v>
      </c>
      <c r="B169" s="15" t="s">
        <v>108</v>
      </c>
      <c r="C169" s="15" t="s">
        <v>223</v>
      </c>
      <c r="D169" s="21" t="s">
        <v>54</v>
      </c>
      <c r="E169" s="21" t="s">
        <v>55</v>
      </c>
      <c r="F169" s="118">
        <f>SUM(G169:Q169)</f>
        <v>2.0655355021385218E-4</v>
      </c>
      <c r="G169" s="93">
        <v>8.0930691575108743E-5</v>
      </c>
      <c r="H169" s="93">
        <v>9.5000000000000005E-5</v>
      </c>
      <c r="I169" s="93"/>
      <c r="J169" s="93"/>
      <c r="K169" s="93">
        <v>1.8076858638743458E-5</v>
      </c>
      <c r="L169" s="93"/>
      <c r="M169" s="93">
        <v>0</v>
      </c>
      <c r="N169" s="93">
        <v>1.2546000000000003E-5</v>
      </c>
      <c r="O169" s="93"/>
      <c r="P169" s="93"/>
      <c r="Q169" s="93"/>
      <c r="R169" s="148">
        <f>'Parameters, country spec'!L18</f>
        <v>0</v>
      </c>
      <c r="S169" s="148">
        <f>'Parameters, country spec'!L36</f>
        <v>0</v>
      </c>
    </row>
    <row r="170" spans="1:19" x14ac:dyDescent="0.35">
      <c r="A170" s="20" t="s">
        <v>224</v>
      </c>
      <c r="B170" s="15" t="s">
        <v>109</v>
      </c>
      <c r="C170" s="15" t="s">
        <v>223</v>
      </c>
      <c r="D170" s="21" t="s">
        <v>54</v>
      </c>
      <c r="E170" s="21" t="s">
        <v>55</v>
      </c>
      <c r="F170" s="118">
        <f t="shared" ref="F170:F179" si="20">SUM(G170:Q170)</f>
        <v>1.9871902439798405E-4</v>
      </c>
      <c r="G170" s="93">
        <v>7.8815626877616721E-5</v>
      </c>
      <c r="H170" s="93">
        <v>9.5000000000000005E-5</v>
      </c>
      <c r="I170" s="93"/>
      <c r="J170" s="93"/>
      <c r="K170" s="93">
        <v>1.2357397520367332E-5</v>
      </c>
      <c r="L170" s="93"/>
      <c r="M170" s="93">
        <v>0</v>
      </c>
      <c r="N170" s="93">
        <v>1.2546000000000003E-5</v>
      </c>
      <c r="O170" s="93"/>
      <c r="P170" s="93"/>
      <c r="Q170" s="93"/>
      <c r="R170" s="148">
        <f>'Parameters, country spec'!L19</f>
        <v>3.1697869732220848E-4</v>
      </c>
      <c r="S170" s="148">
        <f>'Parameters, country spec'!L37</f>
        <v>0</v>
      </c>
    </row>
    <row r="171" spans="1:19" x14ac:dyDescent="0.35">
      <c r="A171" s="20" t="s">
        <v>225</v>
      </c>
      <c r="B171" s="15" t="s">
        <v>110</v>
      </c>
      <c r="C171" s="15" t="s">
        <v>223</v>
      </c>
      <c r="D171" s="21" t="s">
        <v>54</v>
      </c>
      <c r="E171" s="21" t="s">
        <v>55</v>
      </c>
      <c r="F171" s="118">
        <f t="shared" si="20"/>
        <v>1.9956753055993292E-4</v>
      </c>
      <c r="G171" s="93">
        <v>7.134532609711123E-5</v>
      </c>
      <c r="H171" s="93">
        <v>9.5000000000000005E-5</v>
      </c>
      <c r="I171" s="93"/>
      <c r="J171" s="93"/>
      <c r="K171" s="93">
        <v>2.0676204462821701E-5</v>
      </c>
      <c r="L171" s="93"/>
      <c r="M171" s="93">
        <v>0</v>
      </c>
      <c r="N171" s="93">
        <v>1.2546000000000003E-5</v>
      </c>
      <c r="O171" s="93"/>
      <c r="P171" s="93"/>
      <c r="Q171" s="93"/>
      <c r="R171" s="148">
        <f>'Parameters, country spec'!L20</f>
        <v>0</v>
      </c>
      <c r="S171" s="148">
        <f>'Parameters, country spec'!L38</f>
        <v>0</v>
      </c>
    </row>
    <row r="172" spans="1:19" x14ac:dyDescent="0.35">
      <c r="A172" s="20" t="s">
        <v>226</v>
      </c>
      <c r="B172" s="15" t="s">
        <v>111</v>
      </c>
      <c r="C172" s="15" t="s">
        <v>223</v>
      </c>
      <c r="D172" s="21" t="s">
        <v>54</v>
      </c>
      <c r="E172" s="21" t="s">
        <v>55</v>
      </c>
      <c r="F172" s="118">
        <f t="shared" si="20"/>
        <v>1.840193507270561E-4</v>
      </c>
      <c r="G172" s="93">
        <v>6.2842418816841267E-5</v>
      </c>
      <c r="H172" s="93">
        <v>9.5000000000000005E-5</v>
      </c>
      <c r="I172" s="93"/>
      <c r="J172" s="93"/>
      <c r="K172" s="93">
        <v>1.3630931910214812E-5</v>
      </c>
      <c r="L172" s="93"/>
      <c r="M172" s="93">
        <v>0</v>
      </c>
      <c r="N172" s="93">
        <v>1.2546000000000003E-5</v>
      </c>
      <c r="O172" s="93"/>
      <c r="P172" s="93"/>
      <c r="Q172" s="93"/>
      <c r="R172" s="148">
        <f>'Parameters, country spec'!L21</f>
        <v>4.9002790875207444E-6</v>
      </c>
      <c r="S172" s="148">
        <f>'Parameters, country spec'!L39</f>
        <v>0</v>
      </c>
    </row>
    <row r="173" spans="1:19" x14ac:dyDescent="0.35">
      <c r="A173" s="20" t="s">
        <v>227</v>
      </c>
      <c r="B173" s="15" t="s">
        <v>112</v>
      </c>
      <c r="C173" s="15" t="s">
        <v>223</v>
      </c>
      <c r="D173" s="21" t="s">
        <v>54</v>
      </c>
      <c r="E173" s="21" t="s">
        <v>55</v>
      </c>
      <c r="F173" s="118">
        <f t="shared" si="20"/>
        <v>2.1322851393583626E-4</v>
      </c>
      <c r="G173" s="93">
        <v>9.2769916609057948E-5</v>
      </c>
      <c r="H173" s="93">
        <v>9.5000000000000005E-5</v>
      </c>
      <c r="I173" s="93"/>
      <c r="J173" s="93"/>
      <c r="K173" s="93">
        <v>1.291259732677831E-5</v>
      </c>
      <c r="L173" s="93"/>
      <c r="M173" s="93">
        <v>0</v>
      </c>
      <c r="N173" s="93">
        <v>1.2546000000000003E-5</v>
      </c>
      <c r="O173" s="93"/>
      <c r="P173" s="93"/>
      <c r="Q173" s="93"/>
      <c r="R173" s="148">
        <f>'Parameters, country spec'!L22</f>
        <v>0</v>
      </c>
      <c r="S173" s="148">
        <f>'Parameters, country spec'!L40</f>
        <v>0.29571303587051617</v>
      </c>
    </row>
    <row r="174" spans="1:19" x14ac:dyDescent="0.35">
      <c r="A174" s="20" t="s">
        <v>228</v>
      </c>
      <c r="B174" s="15" t="s">
        <v>113</v>
      </c>
      <c r="C174" s="15" t="s">
        <v>229</v>
      </c>
      <c r="D174" s="21" t="s">
        <v>54</v>
      </c>
      <c r="E174" s="21" t="s">
        <v>55</v>
      </c>
      <c r="F174" s="118">
        <f t="shared" si="20"/>
        <v>1.3280125199673234E-4</v>
      </c>
      <c r="G174" s="93">
        <v>0</v>
      </c>
      <c r="H174" s="93">
        <v>9.5000000000000005E-5</v>
      </c>
      <c r="I174" s="93"/>
      <c r="J174" s="93"/>
      <c r="K174" s="93">
        <v>2.5255251996732317E-5</v>
      </c>
      <c r="L174" s="93"/>
      <c r="M174" s="93">
        <v>0</v>
      </c>
      <c r="N174" s="93">
        <v>1.2546000000000003E-5</v>
      </c>
      <c r="O174" s="93"/>
      <c r="P174" s="93"/>
      <c r="Q174" s="93"/>
      <c r="R174" s="148">
        <f>'Parameters, country spec'!L23</f>
        <v>1.4784950076098704E-3</v>
      </c>
      <c r="S174" s="148">
        <f>'Parameters, country spec'!L41</f>
        <v>0</v>
      </c>
    </row>
    <row r="175" spans="1:19" x14ac:dyDescent="0.35">
      <c r="A175" s="20" t="s">
        <v>230</v>
      </c>
      <c r="B175" s="15" t="s">
        <v>114</v>
      </c>
      <c r="C175" s="15" t="s">
        <v>229</v>
      </c>
      <c r="D175" s="21" t="s">
        <v>54</v>
      </c>
      <c r="E175" s="21" t="s">
        <v>55</v>
      </c>
      <c r="F175" s="118">
        <f t="shared" si="20"/>
        <v>1.4931770127423491E-4</v>
      </c>
      <c r="G175" s="93">
        <v>3.9865279409015522E-6</v>
      </c>
      <c r="H175" s="93">
        <v>9.5000000000000005E-5</v>
      </c>
      <c r="I175" s="93"/>
      <c r="J175" s="93"/>
      <c r="K175" s="93">
        <v>3.7785173333333341E-5</v>
      </c>
      <c r="L175" s="93"/>
      <c r="M175" s="93">
        <v>0</v>
      </c>
      <c r="N175" s="93">
        <v>1.2546000000000003E-5</v>
      </c>
      <c r="O175" s="93"/>
      <c r="P175" s="93"/>
      <c r="Q175" s="93"/>
      <c r="R175" s="148">
        <f>'Parameters, country spec'!L24</f>
        <v>1.4523693197724004E-3</v>
      </c>
      <c r="S175" s="148">
        <f>'Parameters, country spec'!L42</f>
        <v>9.3321668124817739E-3</v>
      </c>
    </row>
    <row r="176" spans="1:19" x14ac:dyDescent="0.35">
      <c r="B176" s="16" t="s">
        <v>115</v>
      </c>
      <c r="C176" s="15" t="s">
        <v>231</v>
      </c>
      <c r="D176" s="21" t="s">
        <v>54</v>
      </c>
      <c r="E176" s="21" t="s">
        <v>55</v>
      </c>
      <c r="F176" s="118">
        <f t="shared" si="20"/>
        <v>4.6478527325651394E-4</v>
      </c>
      <c r="G176" s="27">
        <v>3.0425509539765719E-4</v>
      </c>
      <c r="H176" s="27">
        <v>4.5862068965517246E-5</v>
      </c>
      <c r="I176" s="27"/>
      <c r="J176" s="27"/>
      <c r="K176" s="27">
        <v>1.0936279334641699E-5</v>
      </c>
      <c r="L176" s="27"/>
      <c r="M176" s="27">
        <v>6.4606960551724142E-7</v>
      </c>
      <c r="N176" s="27">
        <v>2.1884761697575221E-5</v>
      </c>
      <c r="O176" s="27"/>
      <c r="P176" s="27">
        <v>5.7027085212127035E-5</v>
      </c>
      <c r="Q176" s="27">
        <v>2.4173913043478263E-5</v>
      </c>
      <c r="R176" s="148">
        <f>'Parameters, country spec'!L25</f>
        <v>0</v>
      </c>
      <c r="S176" s="148">
        <f>'Parameters, country spec'!L43</f>
        <v>2.3038786818314377E-2</v>
      </c>
    </row>
    <row r="177" spans="1:20" x14ac:dyDescent="0.35">
      <c r="B177" s="16" t="s">
        <v>232</v>
      </c>
      <c r="C177" s="15" t="s">
        <v>231</v>
      </c>
      <c r="D177" s="21" t="s">
        <v>54</v>
      </c>
      <c r="E177" s="21" t="s">
        <v>55</v>
      </c>
      <c r="F177" s="118">
        <f t="shared" si="20"/>
        <v>4.7266553697523981E-4</v>
      </c>
      <c r="G177" s="27">
        <v>1.5603516238625262E-5</v>
      </c>
      <c r="H177" s="27">
        <v>7.5304878048780503E-5</v>
      </c>
      <c r="I177" s="27"/>
      <c r="J177" s="27"/>
      <c r="K177" s="27">
        <v>1.908459074435586E-5</v>
      </c>
      <c r="L177" s="27"/>
      <c r="M177" s="27">
        <v>5.9672097439024396E-7</v>
      </c>
      <c r="N177" s="27">
        <v>2.3084271612619523E-5</v>
      </c>
      <c r="O177" s="27"/>
      <c r="P177" s="27">
        <v>1.2899155935646844E-4</v>
      </c>
      <c r="Q177" s="27">
        <v>2.1000000000000001E-4</v>
      </c>
      <c r="R177" s="148">
        <f>'Parameters, country spec'!L26</f>
        <v>0</v>
      </c>
      <c r="S177" s="148">
        <f>'Parameters, country spec'!L44</f>
        <v>0</v>
      </c>
    </row>
    <row r="178" spans="1:20" x14ac:dyDescent="0.35">
      <c r="B178" s="15" t="s">
        <v>117</v>
      </c>
      <c r="C178" s="15" t="s">
        <v>233</v>
      </c>
      <c r="D178" s="21" t="s">
        <v>54</v>
      </c>
      <c r="E178" s="21" t="s">
        <v>55</v>
      </c>
      <c r="F178" s="579">
        <f t="shared" si="20"/>
        <v>2.4590017139572402E-4</v>
      </c>
      <c r="G178" s="93">
        <v>5.3696046963047799E-5</v>
      </c>
      <c r="H178" s="93">
        <v>4.7537999999999998E-5</v>
      </c>
      <c r="K178" s="93">
        <v>1.5715693358092801E-5</v>
      </c>
      <c r="N178" s="12"/>
      <c r="O178" s="12"/>
      <c r="P178" s="93">
        <v>1.12198537729509E-4</v>
      </c>
      <c r="Q178" s="93">
        <v>1.6751893345074401E-5</v>
      </c>
      <c r="R178" s="148">
        <f>'Parameters, country spec'!L27</f>
        <v>0</v>
      </c>
      <c r="S178" s="148">
        <f>'Parameters, country spec'!L45</f>
        <v>0</v>
      </c>
    </row>
    <row r="179" spans="1:20" x14ac:dyDescent="0.35">
      <c r="A179" s="75"/>
      <c r="B179" s="15" t="s">
        <v>234</v>
      </c>
      <c r="C179" s="76" t="s">
        <v>235</v>
      </c>
      <c r="D179" s="21" t="s">
        <v>54</v>
      </c>
      <c r="E179" s="21" t="s">
        <v>55</v>
      </c>
      <c r="F179" s="118">
        <f t="shared" si="20"/>
        <v>4.7710187997402816E-7</v>
      </c>
      <c r="G179" s="74">
        <f>SUMPRODUCT(G169:G177,$R169:$R177)</f>
        <v>3.1080731000818435E-8</v>
      </c>
      <c r="H179" s="74">
        <f t="shared" ref="H179:P179" si="21">SUMPRODUCT(H169:H177,$R169:$R177)</f>
        <v>3.0901061386024003E-7</v>
      </c>
      <c r="I179" s="74">
        <f t="shared" si="21"/>
        <v>0</v>
      </c>
      <c r="J179" s="74">
        <f t="shared" si="21"/>
        <v>0</v>
      </c>
      <c r="K179" s="74">
        <f t="shared" si="21"/>
        <v>9.6201617623595308E-8</v>
      </c>
      <c r="L179" s="74">
        <f t="shared" si="21"/>
        <v>0</v>
      </c>
      <c r="M179" s="74">
        <f t="shared" si="21"/>
        <v>0</v>
      </c>
      <c r="N179" s="74">
        <f t="shared" si="21"/>
        <v>4.0808917489374438E-8</v>
      </c>
      <c r="O179" s="74">
        <f t="shared" si="21"/>
        <v>0</v>
      </c>
      <c r="P179" s="74">
        <f t="shared" si="21"/>
        <v>0</v>
      </c>
      <c r="Q179" s="74">
        <f>SUMPRODUCT(Q169:Q177,$R169:$R177)</f>
        <v>0</v>
      </c>
      <c r="R179" s="148">
        <f>'Parameters, country spec'!L28</f>
        <v>0</v>
      </c>
      <c r="S179" s="148">
        <f>'Parameters, country spec'!L46</f>
        <v>0</v>
      </c>
    </row>
    <row r="180" spans="1:20" x14ac:dyDescent="0.35">
      <c r="A180" s="321"/>
      <c r="B180" s="322" t="s">
        <v>541</v>
      </c>
      <c r="C180" s="323"/>
      <c r="D180" s="324"/>
      <c r="E180" s="324"/>
      <c r="F180" s="327">
        <f>SUMPRODUCT(F166:F168,R166:R168)+SUMPRODUCT(F169:F179,R169:R179)/0.87</f>
        <v>4.5663743336801381E-4</v>
      </c>
      <c r="G180" s="327">
        <f>SUMPRODUCT(G166:G168,R166:R168)+SUMPRODUCT(G169:G179,R169:R179)/0.87</f>
        <v>8.8044441498524666E-6</v>
      </c>
      <c r="H180" s="327">
        <f>SUMPRODUCT(H166:H168,R166:R168)+SUMPRODUCT(H169:H179,R169:R179)/0.87</f>
        <v>9.5355184613632471E-5</v>
      </c>
      <c r="I180" s="327">
        <f>SUMPRODUCT(I166:I168,R166:R168)+SUMPRODUCT(I169:I179,R169:R179)/0.87</f>
        <v>0</v>
      </c>
      <c r="J180" s="327">
        <f>SUMPRODUCT(J166:J168,R166:R168)+SUMPRODUCT(J169:J179,R169:R179)/0.87</f>
        <v>0</v>
      </c>
      <c r="K180" s="327">
        <f>SUMPRODUCT(K166:K168,R166:R168)+SUMPRODUCT(K169:K179,R169:R179)/0.87</f>
        <v>1.0742389738300875E-5</v>
      </c>
      <c r="L180" s="327">
        <f>SUMPRODUCT(L166:L168,R166:R168)+SUMPRODUCT(L169:L179,R169:R179)/0.87</f>
        <v>0</v>
      </c>
      <c r="M180" s="327">
        <f>SUMPRODUCT(M166:M168,R166:R168)+SUMPRODUCT(M169:M179,R169:R179)/0.87</f>
        <v>0</v>
      </c>
      <c r="N180" s="327">
        <f>SUMPRODUCT(N166:N168,R166:R168)+SUMPRODUCT(N169:N179,R169:R179)/0.87</f>
        <v>4.6906801711924645E-8</v>
      </c>
      <c r="O180" s="327">
        <f>SUMPRODUCT(O166:O168,R166:R168)+SUMPRODUCT(O169:O179,R169:R179)/0.87</f>
        <v>0</v>
      </c>
      <c r="P180" s="327">
        <f>SUMPRODUCT(P166:P168,R166:R168)+SUMPRODUCT(P169:P179,R169:R179)/0.87</f>
        <v>3.4168850806451612E-4</v>
      </c>
      <c r="Q180" s="327">
        <f>SUMPRODUCT(Q166:Q168,R166:R168)+SUMPRODUCT(Q169:Q179,R169:R179)/0.87</f>
        <v>0</v>
      </c>
      <c r="R180" s="328"/>
      <c r="S180" s="328"/>
    </row>
    <row r="181" spans="1:20" x14ac:dyDescent="0.35">
      <c r="A181" s="147"/>
      <c r="B181" s="23" t="s">
        <v>428</v>
      </c>
      <c r="C181" s="24"/>
      <c r="D181" s="94"/>
      <c r="E181" s="94"/>
      <c r="F181" s="28">
        <f>SUMPRODUCT(F166:F168,S166:S168)+SUMPRODUCT(F169:F179,S169:S179)/0.87</f>
        <v>6.4517328428697316E-4</v>
      </c>
      <c r="G181" s="28">
        <f>SUMPRODUCT(G166:G168,S166:S168)+SUMPRODUCT(G169:G179,S169:S179)/0.87</f>
        <v>5.2741792016541207E-5</v>
      </c>
      <c r="H181" s="28">
        <f>SUMPRODUCT(H166:H168,S166:S168)+SUMPRODUCT(H169:H179,S169:S179)/0.87</f>
        <v>9.8356044773039922E-5</v>
      </c>
      <c r="I181" s="28">
        <f>SUMPRODUCT(I166:I168,S166:S168)+SUMPRODUCT(I169:I179,S169:S179)/0.87</f>
        <v>0</v>
      </c>
      <c r="J181" s="28">
        <f>SUMPRODUCT(J166:J168,S166:S168)+SUMPRODUCT(J169:J179,S169:S179)/0.87</f>
        <v>0</v>
      </c>
      <c r="K181" s="28">
        <f>SUMPRODUCT(K166:K168,S166:S168)+SUMPRODUCT(K169:K179,S169:S179)/0.87</f>
        <v>9.6176998429178257E-6</v>
      </c>
      <c r="L181" s="28">
        <f>SUMPRODUCT(L166:L168,S166:S168)+SUMPRODUCT(L169:L179,S169:S179)/0.87</f>
        <v>0</v>
      </c>
      <c r="M181" s="28">
        <f>SUMPRODUCT(M166:M168,S166:S168)+SUMPRODUCT(M169:M179,S169:S179)/0.87</f>
        <v>1.6123984737870906E-6</v>
      </c>
      <c r="N181" s="28">
        <f>SUMPRODUCT(N166:N168,S166:S168)+SUMPRODUCT(N169:N179,S169:S179)/0.87</f>
        <v>4.9785005427367132E-6</v>
      </c>
      <c r="O181" s="28">
        <f>SUMPRODUCT(O166:O168,S166:S168)+SUMPRODUCT(O169:O179,S169:S179)/0.87</f>
        <v>0</v>
      </c>
      <c r="P181" s="28">
        <f>SUMPRODUCT(P166:P168,S166:S168)+SUMPRODUCT(P169:P179,S169:S179)/0.87</f>
        <v>4.7722669044349846E-4</v>
      </c>
      <c r="Q181" s="28">
        <f>SUMPRODUCT(Q166:Q168,S166:S168)+SUMPRODUCT(Q169:Q179,S169:S179)/0.87</f>
        <v>6.4015819445191378E-7</v>
      </c>
      <c r="R181" s="149"/>
      <c r="S181" s="149"/>
    </row>
    <row r="182" spans="1:20" x14ac:dyDescent="0.35">
      <c r="B182" s="16" t="s">
        <v>285</v>
      </c>
      <c r="C182" s="15" t="s">
        <v>288</v>
      </c>
      <c r="D182" s="21" t="s">
        <v>493</v>
      </c>
      <c r="E182" s="21" t="s">
        <v>495</v>
      </c>
      <c r="F182" s="118">
        <f>SUM(G182:Q182)</f>
        <v>2.219274072760615E-4</v>
      </c>
      <c r="G182" s="27">
        <f>'Forage crops, CF'!F64</f>
        <v>1.2041070447080657E-4</v>
      </c>
      <c r="H182" s="27">
        <f>'Forage crops, CF'!G64</f>
        <v>9.5000000000000005E-5</v>
      </c>
      <c r="I182" s="27">
        <f>'Forage crops, CF'!H64</f>
        <v>0</v>
      </c>
      <c r="J182" s="27">
        <f>'Forage crops, CF'!I64</f>
        <v>0</v>
      </c>
      <c r="K182" s="27">
        <f>'Forage crops, CF'!J64</f>
        <v>6.5167028052549126E-6</v>
      </c>
      <c r="L182" s="27">
        <f>'Forage crops, CF'!K64</f>
        <v>0</v>
      </c>
      <c r="M182" s="27">
        <f>'Forage crops, CF'!L64</f>
        <v>0</v>
      </c>
      <c r="N182" s="27">
        <f>'Forage crops, CF'!M64</f>
        <v>0</v>
      </c>
      <c r="O182" s="27">
        <f>'Forage crops, CF'!N64</f>
        <v>0</v>
      </c>
      <c r="P182" s="27">
        <f>'Forage crops, CF'!O64</f>
        <v>0</v>
      </c>
      <c r="Q182" s="27">
        <f>'Forage crops, CF'!P64</f>
        <v>0</v>
      </c>
      <c r="R182" s="148">
        <f>'Parameters, country spec'!M15</f>
        <v>0.74946751429338065</v>
      </c>
      <c r="S182" s="148">
        <f>'Parameters, country spec'!L33</f>
        <v>0</v>
      </c>
    </row>
    <row r="183" spans="1:20" x14ac:dyDescent="0.35">
      <c r="B183" s="16" t="s">
        <v>286</v>
      </c>
      <c r="C183" s="15" t="s">
        <v>288</v>
      </c>
      <c r="D183" s="21" t="s">
        <v>493</v>
      </c>
      <c r="E183" s="21" t="s">
        <v>495</v>
      </c>
      <c r="F183" s="118">
        <f>SUM(G183:Q183)</f>
        <v>2.2204291727713688E-4</v>
      </c>
      <c r="G183" s="27">
        <f>'Forage crops, CF'!F129</f>
        <v>9.9455899069611934E-5</v>
      </c>
      <c r="H183" s="27">
        <f>'Forage crops, CF'!G129</f>
        <v>9.5000000000000005E-5</v>
      </c>
      <c r="I183" s="27">
        <f>'Forage crops, CF'!H129</f>
        <v>0</v>
      </c>
      <c r="J183" s="27">
        <f>'Forage crops, CF'!I129</f>
        <v>0</v>
      </c>
      <c r="K183" s="27">
        <f>'Forage crops, CF'!J129</f>
        <v>5.756210867524934E-6</v>
      </c>
      <c r="L183" s="27">
        <f>'Forage crops, CF'!K129</f>
        <v>0</v>
      </c>
      <c r="M183" s="27">
        <f>'Forage crops, CF'!L129</f>
        <v>2.1830807340000004E-5</v>
      </c>
      <c r="N183" s="27">
        <f>'Forage crops, CF'!M129</f>
        <v>0</v>
      </c>
      <c r="O183" s="27">
        <f>'Forage crops, CF'!N129</f>
        <v>0</v>
      </c>
      <c r="P183" s="27">
        <f>'Forage crops, CF'!O129</f>
        <v>0</v>
      </c>
      <c r="Q183" s="27">
        <f>'Forage crops, CF'!P129</f>
        <v>0</v>
      </c>
      <c r="R183" s="148">
        <f>'Parameters, country spec'!M16</f>
        <v>6.8994040926595557E-2</v>
      </c>
      <c r="S183" s="148">
        <f>'Parameters, country spec'!L34</f>
        <v>0.12715077282006415</v>
      </c>
    </row>
    <row r="184" spans="1:20" x14ac:dyDescent="0.35">
      <c r="B184" s="16" t="s">
        <v>287</v>
      </c>
      <c r="C184" s="15" t="s">
        <v>288</v>
      </c>
      <c r="D184" s="21" t="s">
        <v>493</v>
      </c>
      <c r="E184" s="21" t="s">
        <v>495</v>
      </c>
      <c r="F184" s="118">
        <f>SUM(G184:Q184)</f>
        <v>1.2126434702706027E-4</v>
      </c>
      <c r="G184" s="27">
        <f>'Forage crops, CF'!F194*'Forage, input data per ha'!$E$89+'Forage crops, CF'!F259*'Forage, input data per ha'!$G$89</f>
        <v>1.9662024546717743E-5</v>
      </c>
      <c r="H184" s="27">
        <f>'Forage crops, CF'!G194*'Forage, input data per ha'!$E$89+'Forage crops, CF'!G259*'Forage, input data per ha'!$G$89</f>
        <v>9.5000000000000005E-5</v>
      </c>
      <c r="I184" s="27">
        <f>'Forage crops, CF'!H194*'Forage, input data per ha'!$E$89+'Forage crops, CF'!H259*'Forage, input data per ha'!$G$89</f>
        <v>0</v>
      </c>
      <c r="J184" s="27">
        <f>'Forage crops, CF'!I194*'Forage, input data per ha'!$E$89+'Forage crops, CF'!I259*'Forage, input data per ha'!$G$89</f>
        <v>0</v>
      </c>
      <c r="K184" s="27">
        <f>'Forage crops, CF'!J194*'Forage, input data per ha'!$E$89+'Forage crops, CF'!J259*'Forage, input data per ha'!$G$89</f>
        <v>6.6023224803425144E-6</v>
      </c>
      <c r="L184" s="27">
        <f>'Forage crops, CF'!K194*'Forage, input data per ha'!$E$89+'Forage crops, CF'!K259*'Forage, input data per ha'!$G$89</f>
        <v>0</v>
      </c>
      <c r="M184" s="27">
        <f>'Forage crops, CF'!L194*'Forage, input data per ha'!$E$89+'Forage crops, CF'!L259*'Forage, input data per ha'!$G$89</f>
        <v>0</v>
      </c>
      <c r="N184" s="27">
        <f>'Forage crops, CF'!M194*'Forage, input data per ha'!$E$89+'Forage crops, CF'!M259*'Forage, input data per ha'!$G$89</f>
        <v>0</v>
      </c>
      <c r="O184" s="27">
        <f>'Forage crops, CF'!N194*'Forage, input data per ha'!$E$89+'Forage crops, CF'!N259*'Forage, input data per ha'!$G$89</f>
        <v>0</v>
      </c>
      <c r="P184" s="27">
        <f>'Forage crops, CF'!O194*'Forage, input data per ha'!$E$89+'Forage crops, CF'!O259*'Forage, input data per ha'!$G$89</f>
        <v>0</v>
      </c>
      <c r="Q184" s="27">
        <f>'Forage crops, CF'!P194*'Forage, input data per ha'!$E$89+'Forage crops, CF'!P259*'Forage, input data per ha'!$G$89</f>
        <v>0</v>
      </c>
      <c r="R184" s="148">
        <f>'Parameters, country spec'!M17</f>
        <v>3.2584598647782959E-3</v>
      </c>
      <c r="S184" s="148">
        <f>'Parameters, country spec'!L35</f>
        <v>0.5447652376786235</v>
      </c>
    </row>
    <row r="185" spans="1:20" x14ac:dyDescent="0.35">
      <c r="A185" s="20" t="s">
        <v>222</v>
      </c>
      <c r="B185" s="15" t="s">
        <v>108</v>
      </c>
      <c r="C185" s="15" t="s">
        <v>223</v>
      </c>
      <c r="D185" s="21" t="s">
        <v>493</v>
      </c>
      <c r="E185" s="21" t="s">
        <v>495</v>
      </c>
      <c r="F185" s="118">
        <f>SUM(G185:Q185)</f>
        <v>5.6827833008667281E-4</v>
      </c>
      <c r="G185" s="551">
        <v>2.8413916504333646E-4</v>
      </c>
      <c r="H185" s="552">
        <v>1.517450467033289E-4</v>
      </c>
      <c r="I185" s="553">
        <v>9.5000000000000005E-5</v>
      </c>
      <c r="J185" s="554"/>
      <c r="K185" s="555"/>
      <c r="L185" s="556">
        <v>1.3522907453041109E-5</v>
      </c>
      <c r="M185" s="556"/>
      <c r="N185" s="556">
        <v>9.4655830344319088E-9</v>
      </c>
      <c r="O185" s="556">
        <v>2.3861745303932002E-5</v>
      </c>
      <c r="P185" s="93"/>
      <c r="Q185" s="93"/>
      <c r="R185" s="148">
        <f>'Parameters, country spec'!M18</f>
        <v>1.3909861729922528E-2</v>
      </c>
      <c r="S185" s="148">
        <f>'Parameters, country spec'!L36</f>
        <v>0</v>
      </c>
    </row>
    <row r="186" spans="1:20" x14ac:dyDescent="0.35">
      <c r="A186" s="20" t="s">
        <v>224</v>
      </c>
      <c r="B186" s="15" t="s">
        <v>109</v>
      </c>
      <c r="C186" s="15" t="s">
        <v>223</v>
      </c>
      <c r="D186" s="21" t="s">
        <v>493</v>
      </c>
      <c r="E186" s="21" t="s">
        <v>495</v>
      </c>
      <c r="F186" s="118">
        <f t="shared" ref="F186:F194" si="22">SUM(G186:Q186)</f>
        <v>6.07258625743775E-4</v>
      </c>
      <c r="G186" s="557">
        <v>3.036293128718875E-4</v>
      </c>
      <c r="H186" s="558">
        <v>1.7394359364198369E-4</v>
      </c>
      <c r="I186" s="559">
        <v>9.5000000000000005E-5</v>
      </c>
      <c r="J186" s="550"/>
      <c r="K186" s="549"/>
      <c r="L186" s="560">
        <v>1.0573045105971863E-5</v>
      </c>
      <c r="M186" s="560"/>
      <c r="N186" s="560">
        <v>2.5092882000000005E-7</v>
      </c>
      <c r="O186" s="560">
        <v>2.3861745303932002E-5</v>
      </c>
      <c r="P186" s="93"/>
      <c r="Q186" s="93"/>
      <c r="R186" s="148">
        <f>'Parameters, country spec'!M19</f>
        <v>6.5309995773990038E-4</v>
      </c>
      <c r="S186" s="148">
        <f>'Parameters, country spec'!L37</f>
        <v>0</v>
      </c>
      <c r="T186" t="s">
        <v>602</v>
      </c>
    </row>
    <row r="187" spans="1:20" x14ac:dyDescent="0.35">
      <c r="A187" s="20" t="s">
        <v>225</v>
      </c>
      <c r="B187" s="15" t="s">
        <v>110</v>
      </c>
      <c r="C187" s="15" t="s">
        <v>223</v>
      </c>
      <c r="D187" s="21" t="s">
        <v>493</v>
      </c>
      <c r="E187" s="21" t="s">
        <v>495</v>
      </c>
      <c r="F187" s="118">
        <f t="shared" si="22"/>
        <v>5.3718837912778935E-4</v>
      </c>
      <c r="G187" s="557">
        <v>2.6859418956389462E-4</v>
      </c>
      <c r="H187" s="558">
        <v>1.3375750173401068E-4</v>
      </c>
      <c r="I187" s="559">
        <v>9.5000000000000005E-5</v>
      </c>
      <c r="J187" s="550"/>
      <c r="K187" s="549"/>
      <c r="L187" s="560">
        <v>1.5126746987951804E-5</v>
      </c>
      <c r="M187" s="560"/>
      <c r="N187" s="560">
        <v>8.4819553800015236E-7</v>
      </c>
      <c r="O187" s="560">
        <v>2.3861745303932002E-5</v>
      </c>
      <c r="P187" s="93"/>
      <c r="Q187" s="93"/>
      <c r="R187" s="148">
        <f>'Parameters, country spec'!M20</f>
        <v>1.5338046639374065E-3</v>
      </c>
      <c r="S187" s="148">
        <f>'Parameters, country spec'!L38</f>
        <v>0</v>
      </c>
    </row>
    <row r="188" spans="1:20" x14ac:dyDescent="0.35">
      <c r="A188" s="20" t="s">
        <v>226</v>
      </c>
      <c r="B188" s="15" t="s">
        <v>111</v>
      </c>
      <c r="C188" s="15" t="s">
        <v>223</v>
      </c>
      <c r="D188" s="21" t="s">
        <v>493</v>
      </c>
      <c r="E188" s="21" t="s">
        <v>495</v>
      </c>
      <c r="F188" s="118">
        <f t="shared" si="22"/>
        <v>5.3374126816477501E-4</v>
      </c>
      <c r="G188" s="557">
        <v>2.6687063408238751E-4</v>
      </c>
      <c r="H188" s="558">
        <v>1.1783427532322465E-4</v>
      </c>
      <c r="I188" s="559">
        <v>9.5000000000000005E-5</v>
      </c>
      <c r="J188" s="549"/>
      <c r="K188" s="549"/>
      <c r="L188" s="560">
        <v>3.0174613455230867E-5</v>
      </c>
      <c r="M188" s="560"/>
      <c r="N188" s="560">
        <v>0</v>
      </c>
      <c r="O188" s="560">
        <v>2.3861745303932002E-5</v>
      </c>
      <c r="P188" s="93"/>
      <c r="Q188" s="93"/>
      <c r="R188" s="148">
        <f>'Parameters, country spec'!M21</f>
        <v>7.2745448066960375E-5</v>
      </c>
      <c r="S188" s="148">
        <f>'Parameters, country spec'!L39</f>
        <v>0</v>
      </c>
    </row>
    <row r="189" spans="1:20" x14ac:dyDescent="0.35">
      <c r="A189" s="20" t="s">
        <v>227</v>
      </c>
      <c r="B189" s="15" t="s">
        <v>112</v>
      </c>
      <c r="C189" s="15" t="s">
        <v>223</v>
      </c>
      <c r="D189" s="21" t="s">
        <v>493</v>
      </c>
      <c r="E189" s="21" t="s">
        <v>495</v>
      </c>
      <c r="F189" s="118">
        <f t="shared" si="22"/>
        <v>6.07258625743775E-4</v>
      </c>
      <c r="G189" s="557">
        <v>3.036293128718875E-4</v>
      </c>
      <c r="H189" s="558">
        <v>1.7394359364198369E-4</v>
      </c>
      <c r="I189" s="559">
        <v>9.5000000000000005E-5</v>
      </c>
      <c r="J189" s="549"/>
      <c r="K189" s="549"/>
      <c r="L189" s="560">
        <v>1.0573045105971863E-5</v>
      </c>
      <c r="M189" s="560"/>
      <c r="N189" s="560">
        <v>2.5092882000000005E-7</v>
      </c>
      <c r="O189" s="560">
        <v>2.3861745303932002E-5</v>
      </c>
      <c r="P189" s="93"/>
      <c r="Q189" s="93"/>
      <c r="R189" s="148">
        <f>'Parameters, country spec'!M22</f>
        <v>2.0790459475885831E-2</v>
      </c>
      <c r="S189" s="148">
        <f>'Parameters, country spec'!L40</f>
        <v>0.29571303587051617</v>
      </c>
    </row>
    <row r="190" spans="1:20" x14ac:dyDescent="0.35">
      <c r="A190" s="20" t="s">
        <v>228</v>
      </c>
      <c r="B190" s="15" t="s">
        <v>113</v>
      </c>
      <c r="C190" s="15" t="s">
        <v>229</v>
      </c>
      <c r="D190" s="21" t="s">
        <v>493</v>
      </c>
      <c r="E190" s="21" t="s">
        <v>495</v>
      </c>
      <c r="F190" s="118">
        <f t="shared" si="22"/>
        <v>2.8174738313527058E-4</v>
      </c>
      <c r="G190" s="557">
        <v>1.4087369156763529E-4</v>
      </c>
      <c r="H190" s="558">
        <v>0</v>
      </c>
      <c r="I190" s="559">
        <v>9.5000000000000005E-5</v>
      </c>
      <c r="J190" s="550"/>
      <c r="K190" s="549"/>
      <c r="L190" s="560">
        <v>2.2011946263703292E-5</v>
      </c>
      <c r="M190" s="560"/>
      <c r="N190" s="560">
        <v>0</v>
      </c>
      <c r="O190" s="560">
        <v>2.3861745303932002E-5</v>
      </c>
      <c r="P190" s="93"/>
      <c r="Q190" s="93"/>
      <c r="R190" s="148">
        <f>'Parameters, country spec'!M23</f>
        <v>6.5340906393272433E-4</v>
      </c>
      <c r="S190" s="148">
        <f>'Parameters, country spec'!L41</f>
        <v>0</v>
      </c>
    </row>
    <row r="191" spans="1:20" x14ac:dyDescent="0.35">
      <c r="A191" s="20" t="s">
        <v>230</v>
      </c>
      <c r="B191" s="15" t="s">
        <v>114</v>
      </c>
      <c r="C191" s="15" t="s">
        <v>229</v>
      </c>
      <c r="D191" s="21" t="s">
        <v>493</v>
      </c>
      <c r="E191" s="21" t="s">
        <v>495</v>
      </c>
      <c r="F191" s="118">
        <f t="shared" si="22"/>
        <v>2.9578237261965846E-4</v>
      </c>
      <c r="G191" s="557">
        <v>1.4789118630982926E-4</v>
      </c>
      <c r="H191" s="558">
        <v>7.474739889190413E-6</v>
      </c>
      <c r="I191" s="559">
        <v>9.5000000000000005E-5</v>
      </c>
      <c r="J191" s="550"/>
      <c r="K191" s="549"/>
      <c r="L191" s="560">
        <v>2.1554701116706817E-5</v>
      </c>
      <c r="M191" s="560"/>
      <c r="N191" s="560">
        <v>0</v>
      </c>
      <c r="O191" s="560">
        <v>2.3861745303932002E-5</v>
      </c>
      <c r="P191" s="93"/>
      <c r="Q191" s="93"/>
      <c r="R191" s="148">
        <f>'Parameters, country spec'!M24</f>
        <v>6.4186302502542813E-4</v>
      </c>
      <c r="S191" s="148">
        <f>'Parameters, country spec'!L42</f>
        <v>9.3321668124817739E-3</v>
      </c>
    </row>
    <row r="192" spans="1:20" x14ac:dyDescent="0.35">
      <c r="B192" s="16" t="s">
        <v>115</v>
      </c>
      <c r="C192" s="15" t="s">
        <v>231</v>
      </c>
      <c r="D192" s="21" t="s">
        <v>493</v>
      </c>
      <c r="E192" s="21" t="s">
        <v>495</v>
      </c>
      <c r="F192" s="118">
        <f t="shared" si="22"/>
        <v>4.6478527325651394E-4</v>
      </c>
      <c r="G192" s="27">
        <v>3.0425509539765719E-4</v>
      </c>
      <c r="H192" s="27">
        <v>4.5862068965517246E-5</v>
      </c>
      <c r="I192" s="27"/>
      <c r="J192" s="27"/>
      <c r="K192" s="27">
        <v>1.0936279334641699E-5</v>
      </c>
      <c r="L192" s="27"/>
      <c r="M192" s="27">
        <v>6.4606960551724142E-7</v>
      </c>
      <c r="N192" s="27">
        <v>2.1884761697575221E-5</v>
      </c>
      <c r="O192" s="27"/>
      <c r="P192" s="27">
        <v>5.7027085212127035E-5</v>
      </c>
      <c r="Q192" s="27">
        <v>2.4173913043478263E-5</v>
      </c>
      <c r="R192" s="148">
        <f>'Parameters, country spec'!M25</f>
        <v>1.0151950508744787E-2</v>
      </c>
      <c r="S192" s="148">
        <f>'Parameters, country spec'!L43</f>
        <v>2.3038786818314377E-2</v>
      </c>
    </row>
    <row r="193" spans="1:20" x14ac:dyDescent="0.35">
      <c r="B193" s="16" t="s">
        <v>232</v>
      </c>
      <c r="C193" s="15" t="s">
        <v>231</v>
      </c>
      <c r="D193" s="21" t="s">
        <v>493</v>
      </c>
      <c r="E193" s="21" t="s">
        <v>495</v>
      </c>
      <c r="F193" s="118">
        <f t="shared" si="22"/>
        <v>4.7266553697523981E-4</v>
      </c>
      <c r="G193" s="27">
        <v>1.5603516238625262E-5</v>
      </c>
      <c r="H193" s="27">
        <v>7.5304878048780503E-5</v>
      </c>
      <c r="I193" s="27"/>
      <c r="J193" s="27"/>
      <c r="K193" s="27">
        <v>1.908459074435586E-5</v>
      </c>
      <c r="L193" s="27"/>
      <c r="M193" s="27">
        <v>5.9672097439024396E-7</v>
      </c>
      <c r="N193" s="27">
        <v>2.3084271612619523E-5</v>
      </c>
      <c r="O193" s="27"/>
      <c r="P193" s="27">
        <v>1.2899155935646844E-4</v>
      </c>
      <c r="Q193" s="27">
        <v>2.1000000000000001E-4</v>
      </c>
      <c r="R193" s="148">
        <f>'Parameters, country spec'!M26</f>
        <v>1.9990823703774308E-2</v>
      </c>
      <c r="S193" s="148">
        <f>'Parameters, country spec'!L44</f>
        <v>0</v>
      </c>
    </row>
    <row r="194" spans="1:20" x14ac:dyDescent="0.35">
      <c r="B194" s="15" t="s">
        <v>117</v>
      </c>
      <c r="C194" s="15" t="s">
        <v>233</v>
      </c>
      <c r="D194" s="21" t="s">
        <v>493</v>
      </c>
      <c r="E194" s="21" t="s">
        <v>495</v>
      </c>
      <c r="F194" s="579">
        <f t="shared" si="22"/>
        <v>6.523832252484027E-4</v>
      </c>
      <c r="G194" s="93">
        <v>8.4554222784766103E-5</v>
      </c>
      <c r="H194" s="93">
        <v>4.7537999999999998E-5</v>
      </c>
      <c r="I194" s="42"/>
      <c r="J194" s="42"/>
      <c r="K194" s="93">
        <v>1.7594966226416302E-5</v>
      </c>
      <c r="L194" s="42"/>
      <c r="M194" s="42"/>
      <c r="N194" s="93"/>
      <c r="O194" s="93"/>
      <c r="P194" s="93">
        <v>4.7636352423280299E-4</v>
      </c>
      <c r="Q194" s="93">
        <v>2.6332512004417299E-5</v>
      </c>
      <c r="R194" s="148">
        <f>'Parameters, country spec'!M27</f>
        <v>8.0060070909469844E-2</v>
      </c>
      <c r="S194" s="148">
        <f>'Parameters, country spec'!L45</f>
        <v>0</v>
      </c>
      <c r="T194" t="s">
        <v>610</v>
      </c>
    </row>
    <row r="195" spans="1:20" x14ac:dyDescent="0.35">
      <c r="A195" s="75"/>
      <c r="B195" s="15" t="s">
        <v>234</v>
      </c>
      <c r="C195" s="76" t="s">
        <v>235</v>
      </c>
      <c r="D195" s="21" t="s">
        <v>493</v>
      </c>
      <c r="E195" s="21" t="s">
        <v>495</v>
      </c>
      <c r="F195" s="118">
        <f t="shared" ref="F195" si="23">SUM(G195:Q195)</f>
        <v>3.6330627291493217E-5</v>
      </c>
      <c r="G195" s="74">
        <f>SUMPRODUCT(G185:G193,$R185:$R193)</f>
        <v>1.4482298202634692E-5</v>
      </c>
      <c r="H195" s="74">
        <f t="shared" ref="H195:P195" si="24">SUMPRODUCT(H185:H193,$R185:$R193)</f>
        <v>8.0302459479870565E-6</v>
      </c>
      <c r="I195" s="74">
        <f t="shared" si="24"/>
        <v>3.6342481196285243E-6</v>
      </c>
      <c r="J195" s="74">
        <f t="shared" si="24"/>
        <v>0</v>
      </c>
      <c r="K195" s="74">
        <f t="shared" si="24"/>
        <v>4.9254125558419173E-7</v>
      </c>
      <c r="L195" s="74">
        <f t="shared" si="24"/>
        <v>4.6844000570481585E-7</v>
      </c>
      <c r="M195" s="74">
        <f t="shared" si="24"/>
        <v>1.8487810459795092E-8</v>
      </c>
      <c r="N195" s="74">
        <f t="shared" si="24"/>
        <v>6.9046006007597309E-7</v>
      </c>
      <c r="O195" s="74">
        <f t="shared" si="24"/>
        <v>9.1283687370389084E-7</v>
      </c>
      <c r="P195" s="74">
        <f t="shared" si="24"/>
        <v>3.1575836691015851E-6</v>
      </c>
      <c r="Q195" s="74">
        <f>SUMPRODUCT(Q185:Q193,$R185:$R193)</f>
        <v>4.4434853466126961E-6</v>
      </c>
      <c r="R195" s="148">
        <f>'Parameters, country spec'!M28</f>
        <v>2.9821896428745772E-2</v>
      </c>
      <c r="S195" s="148">
        <f>'Parameters, country spec'!L46</f>
        <v>0</v>
      </c>
    </row>
    <row r="196" spans="1:20" x14ac:dyDescent="0.35">
      <c r="A196" s="321"/>
      <c r="B196" s="322" t="s">
        <v>541</v>
      </c>
      <c r="C196" s="323"/>
      <c r="D196" s="324"/>
      <c r="E196" s="324"/>
      <c r="F196" s="327">
        <f>SUMPRODUCT(F182:F184,R182:R184)+SUMPRODUCT(F185:F195,R185:R195)/0.87</f>
        <v>2.8508114710351911E-4</v>
      </c>
      <c r="G196" s="327">
        <f>SUMPRODUCT(G182:G184,R182:R184)+SUMPRODUCT(G185:G195,R185:R195)/0.87</f>
        <v>1.2209352742307246E-4</v>
      </c>
      <c r="H196" s="327">
        <f>SUMPRODUCT(H182:H184,R182:R184)+SUMPRODUCT(H185:H195,R185:R195)/0.87</f>
        <v>9.1943422998384621E-5</v>
      </c>
      <c r="I196" s="327">
        <f>SUMPRODUCT(I182:I184,R182:R184)+SUMPRODUCT(I185:I195,R185:R195)/0.87</f>
        <v>4.3018715984464947E-6</v>
      </c>
      <c r="J196" s="327">
        <f>SUMPRODUCT(J182:J184,R182:R184)+SUMPRODUCT(J185:J195,R185:R195)/0.87</f>
        <v>0</v>
      </c>
      <c r="K196" s="327">
        <f>SUMPRODUCT(K182:K184,R182:R184)+SUMPRODUCT(K185:K195,R185:R195)/0.87</f>
        <v>7.5048802367457767E-6</v>
      </c>
      <c r="L196" s="327">
        <f>SUMPRODUCT(L182:L184,R182:R184)+SUMPRODUCT(L185:L195,R185:R195)/0.87</f>
        <v>5.5449399429658157E-7</v>
      </c>
      <c r="M196" s="327">
        <f>SUMPRODUCT(M182:M184,R182:R184)+SUMPRODUCT(M185:M195,R185:R195)/0.87</f>
        <v>1.5280796978679868E-6</v>
      </c>
      <c r="N196" s="327">
        <f>SUMPRODUCT(N182:N184,R182:R184)+SUMPRODUCT(N185:N195,R185:R195)/0.87</f>
        <v>8.1729987181120033E-7</v>
      </c>
      <c r="O196" s="327">
        <f>SUMPRODUCT(O182:O184,R182:R184)+SUMPRODUCT(O185:O195,R185:R195)/0.87</f>
        <v>1.0805280464457798E-6</v>
      </c>
      <c r="P196" s="327">
        <f>SUMPRODUCT(P182:P184,R182:R184)+SUMPRODUCT(P185:P195,R185:R195)/0.87</f>
        <v>4.7574076242539994E-5</v>
      </c>
      <c r="Q196" s="327">
        <f>SUMPRODUCT(Q182:Q184,R182:R184)+SUMPRODUCT(Q185:Q195,R185:R195)/0.87</f>
        <v>7.6829669939082124E-6</v>
      </c>
      <c r="R196" s="328"/>
      <c r="S196" s="328"/>
    </row>
    <row r="197" spans="1:20" x14ac:dyDescent="0.35">
      <c r="A197" s="147"/>
      <c r="B197" s="23" t="s">
        <v>428</v>
      </c>
      <c r="C197" s="24"/>
      <c r="D197" s="94"/>
      <c r="E197" s="94"/>
      <c r="F197" s="28">
        <f>SUMPRODUCT(F182:F184,S182:S184)+SUMPRODUCT(F185:F195,S185:S195)/0.87</f>
        <v>3.1618165699974271E-4</v>
      </c>
      <c r="G197" s="28">
        <f>SUMPRODUCT(G182:G184,S182:S184)+SUMPRODUCT(G185:G195,S185:S195)/0.87</f>
        <v>1.3620416166298019E-4</v>
      </c>
      <c r="H197" s="28">
        <f>SUMPRODUCT(H182:H184,S182:S184)+SUMPRODUCT(H185:H195,S185:S195)/0.87</f>
        <v>1.2425012455549904E-4</v>
      </c>
      <c r="I197" s="28">
        <f>SUMPRODUCT(I182:I184,S182:S184)+SUMPRODUCT(I185:I195,S185:S195)/0.87</f>
        <v>3.3309533626304374E-5</v>
      </c>
      <c r="J197" s="28">
        <f>SUMPRODUCT(J182:J184,S182:S184)+SUMPRODUCT(J185:J195,S185:S195)/0.87</f>
        <v>0</v>
      </c>
      <c r="K197" s="28">
        <f>SUMPRODUCT(K182:K184,S182:S184)+SUMPRODUCT(K185:K195,S185:S195)/0.87</f>
        <v>4.6182300311607528E-6</v>
      </c>
      <c r="L197" s="28">
        <f>SUMPRODUCT(L182:L184,S182:S184)+SUMPRODUCT(L185:L195,S185:S195)/0.87</f>
        <v>3.8249877391921133E-6</v>
      </c>
      <c r="M197" s="28">
        <f>SUMPRODUCT(M182:M184,S182:S184)+SUMPRODUCT(M185:M195,S185:S195)/0.87</f>
        <v>2.7929128290626815E-6</v>
      </c>
      <c r="N197" s="28">
        <f>SUMPRODUCT(N182:N184,S182:S184)+SUMPRODUCT(N185:N195,S185:S195)/0.87</f>
        <v>6.6482906030994676E-7</v>
      </c>
      <c r="O197" s="28">
        <f>SUMPRODUCT(O182:O184,S182:S184)+SUMPRODUCT(O185:O195,S185:S195)/0.87</f>
        <v>8.3665642903540364E-6</v>
      </c>
      <c r="P197" s="28">
        <f>SUMPRODUCT(P182:P184,S182:S184)+SUMPRODUCT(P185:P195,S185:S195)/0.87</f>
        <v>1.5101550104276356E-6</v>
      </c>
      <c r="Q197" s="28">
        <f>SUMPRODUCT(Q182:Q184,S182:S184)+SUMPRODUCT(Q185:Q195,S185:S195)/0.87</f>
        <v>6.4015819445191378E-7</v>
      </c>
      <c r="R197" s="149"/>
      <c r="S197" s="149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5">
    <tabColor theme="4" tint="0.79998168889431442"/>
  </sheetPr>
  <dimension ref="A1:U197"/>
  <sheetViews>
    <sheetView topLeftCell="C67" zoomScale="70" zoomScaleNormal="70" workbookViewId="0">
      <selection activeCell="T195" sqref="T195"/>
    </sheetView>
  </sheetViews>
  <sheetFormatPr defaultColWidth="8.7265625" defaultRowHeight="14.5" x14ac:dyDescent="0.35"/>
  <cols>
    <col min="1" max="1" width="8.7265625" customWidth="1"/>
    <col min="2" max="2" width="30.453125" customWidth="1"/>
    <col min="3" max="3" width="19" customWidth="1"/>
    <col min="4" max="5" width="12.7265625" customWidth="1"/>
    <col min="6" max="6" width="12.7265625" style="15" customWidth="1"/>
    <col min="7" max="10" width="12.7265625" customWidth="1"/>
    <col min="11" max="11" width="14.453125" customWidth="1"/>
    <col min="12" max="12" width="15" customWidth="1"/>
    <col min="13" max="17" width="12.7265625" customWidth="1"/>
    <col min="19" max="19" width="8.7265625" style="3"/>
  </cols>
  <sheetData>
    <row r="1" spans="1:21" x14ac:dyDescent="0.35">
      <c r="F1" s="6"/>
    </row>
    <row r="2" spans="1:21" ht="21" x14ac:dyDescent="0.5">
      <c r="A2" s="2" t="s">
        <v>237</v>
      </c>
      <c r="F2" t="s">
        <v>427</v>
      </c>
      <c r="O2" t="s">
        <v>214</v>
      </c>
    </row>
    <row r="3" spans="1:21" x14ac:dyDescent="0.35">
      <c r="H3" s="7"/>
      <c r="I3" s="7"/>
      <c r="J3" s="7"/>
      <c r="K3" s="7"/>
      <c r="L3" s="7"/>
      <c r="M3" s="7"/>
      <c r="N3" s="7"/>
    </row>
    <row r="4" spans="1:21" ht="29" x14ac:dyDescent="0.35">
      <c r="A4" s="150" t="s">
        <v>215</v>
      </c>
      <c r="B4" s="142"/>
      <c r="C4" s="142"/>
      <c r="D4" s="142"/>
      <c r="E4" s="142"/>
      <c r="F4" s="290" t="s">
        <v>60</v>
      </c>
      <c r="G4" s="143" t="s">
        <v>61</v>
      </c>
      <c r="H4" s="144"/>
      <c r="I4" s="143" t="s">
        <v>62</v>
      </c>
      <c r="J4" s="95"/>
      <c r="K4" s="143" t="s">
        <v>63</v>
      </c>
      <c r="L4" s="95"/>
      <c r="M4" s="95"/>
      <c r="N4" s="95"/>
      <c r="O4" s="96" t="s">
        <v>64</v>
      </c>
      <c r="P4" s="96" t="s">
        <v>291</v>
      </c>
      <c r="Q4" s="145" t="s">
        <v>65</v>
      </c>
      <c r="R4" s="143" t="s">
        <v>216</v>
      </c>
      <c r="S4" s="347" t="s">
        <v>216</v>
      </c>
    </row>
    <row r="5" spans="1:21" ht="55.5" customHeight="1" x14ac:dyDescent="0.35">
      <c r="A5" s="89" t="s">
        <v>14</v>
      </c>
      <c r="B5" s="89" t="s">
        <v>215</v>
      </c>
      <c r="C5" s="89" t="s">
        <v>217</v>
      </c>
      <c r="D5" s="89" t="s">
        <v>17</v>
      </c>
      <c r="E5" s="146" t="s">
        <v>18</v>
      </c>
      <c r="F5" s="291"/>
      <c r="G5" s="90" t="s">
        <v>218</v>
      </c>
      <c r="H5" s="90" t="s">
        <v>71</v>
      </c>
      <c r="I5" s="90" t="s">
        <v>219</v>
      </c>
      <c r="J5" s="90" t="s">
        <v>220</v>
      </c>
      <c r="K5" s="90" t="s">
        <v>72</v>
      </c>
      <c r="L5" s="90" t="s">
        <v>73</v>
      </c>
      <c r="M5" s="90" t="s">
        <v>74</v>
      </c>
      <c r="N5" s="90" t="s">
        <v>75</v>
      </c>
      <c r="O5" s="90" t="s">
        <v>76</v>
      </c>
      <c r="P5" s="90" t="s">
        <v>291</v>
      </c>
      <c r="Q5" s="146" t="s">
        <v>221</v>
      </c>
      <c r="R5" s="90" t="s">
        <v>542</v>
      </c>
      <c r="S5" s="90" t="s">
        <v>278</v>
      </c>
    </row>
    <row r="6" spans="1:21" x14ac:dyDescent="0.35">
      <c r="B6" s="16" t="s">
        <v>285</v>
      </c>
      <c r="C6" s="15" t="s">
        <v>288</v>
      </c>
      <c r="D6" s="21" t="s">
        <v>85</v>
      </c>
      <c r="E6" s="21" t="s">
        <v>35</v>
      </c>
      <c r="F6" s="118">
        <f>SUM(G6:Q6)</f>
        <v>1.2517562993822904E-4</v>
      </c>
      <c r="G6" s="27">
        <f>'Forage crops, CF'!F11</f>
        <v>1.7737636000089721E-5</v>
      </c>
      <c r="H6" s="27">
        <f>'Forage crops, CF'!G11</f>
        <v>1.1000000000000001E-6</v>
      </c>
      <c r="I6" s="27">
        <f>'Forage crops, CF'!H11</f>
        <v>9.6423621504873331E-5</v>
      </c>
      <c r="J6" s="27">
        <f>'Forage crops, CF'!I11</f>
        <v>9.6423621504873331E-6</v>
      </c>
      <c r="K6" s="27">
        <f>'Forage crops, CF'!J11</f>
        <v>2.720102827786762E-7</v>
      </c>
      <c r="L6" s="27">
        <f>'Forage crops, CF'!K11</f>
        <v>0</v>
      </c>
      <c r="M6" s="27">
        <f>'Forage crops, CF'!L11</f>
        <v>0</v>
      </c>
      <c r="N6" s="27">
        <f>'Forage crops, CF'!M11</f>
        <v>0</v>
      </c>
      <c r="O6" s="27">
        <f>'Forage crops, CF'!N11</f>
        <v>0</v>
      </c>
      <c r="P6" s="27">
        <f>'Forage crops, CF'!O11</f>
        <v>0</v>
      </c>
      <c r="Q6" s="27">
        <f>'Forage crops, CF'!P11</f>
        <v>0</v>
      </c>
      <c r="R6" s="148">
        <f>'Parameters, country spec'!B15</f>
        <v>1.3213875800981024E-2</v>
      </c>
      <c r="S6" s="148">
        <f>'Parameters, country spec'!B33</f>
        <v>1.3213875800981E-2</v>
      </c>
      <c r="U6" s="148"/>
    </row>
    <row r="7" spans="1:21" x14ac:dyDescent="0.35">
      <c r="B7" s="16" t="s">
        <v>286</v>
      </c>
      <c r="C7" s="15" t="s">
        <v>288</v>
      </c>
      <c r="D7" s="21" t="s">
        <v>85</v>
      </c>
      <c r="E7" s="21" t="s">
        <v>35</v>
      </c>
      <c r="F7" s="118">
        <f>SUM(G7:Q7)</f>
        <v>1.9153570715459384E-4</v>
      </c>
      <c r="G7" s="27">
        <f>'Forage crops, CF'!F76</f>
        <v>1.9849248903347439E-5</v>
      </c>
      <c r="H7" s="27">
        <f>'Forage crops, CF'!G76</f>
        <v>1.1000000000000001E-6</v>
      </c>
      <c r="I7" s="27">
        <f>'Forage crops, CF'!H76</f>
        <v>9.2670829535701108E-5</v>
      </c>
      <c r="J7" s="27">
        <f>'Forage crops, CF'!I76</f>
        <v>9.2670829535701108E-6</v>
      </c>
      <c r="K7" s="27">
        <f>'Forage crops, CF'!J76</f>
        <v>4.2403560178305126E-7</v>
      </c>
      <c r="L7" s="27"/>
      <c r="M7" s="27">
        <f>'Forage crops, CF'!L76</f>
        <v>1.2451016019215161E-7</v>
      </c>
      <c r="N7" s="27">
        <f>'Forage crops, CF'!M76</f>
        <v>0</v>
      </c>
      <c r="O7" s="27"/>
      <c r="P7" s="27">
        <f>'Forage crops, CF'!O76</f>
        <v>6.8099999999999988E-5</v>
      </c>
      <c r="Q7" s="27"/>
      <c r="R7" s="148">
        <f>'Parameters, country spec'!B16</f>
        <v>0.2760369962266197</v>
      </c>
      <c r="S7" s="148">
        <f>'Parameters, country spec'!B34</f>
        <v>0.2760369962266197</v>
      </c>
    </row>
    <row r="8" spans="1:21" x14ac:dyDescent="0.35">
      <c r="B8" s="16" t="s">
        <v>287</v>
      </c>
      <c r="C8" s="15" t="s">
        <v>288</v>
      </c>
      <c r="D8" s="21" t="s">
        <v>85</v>
      </c>
      <c r="E8" s="21" t="s">
        <v>35</v>
      </c>
      <c r="F8" s="118">
        <f>SUM(G8:Q8)</f>
        <v>1.9323356233416498E-4</v>
      </c>
      <c r="G8" s="27">
        <f>'Forage crops, CF'!F141*'Forage, input data per ha'!$E$78+'Forage crops, CF'!F206*'Forage, input data per ha'!$G$78</f>
        <v>1.7729535094390275E-5</v>
      </c>
      <c r="H8" s="27">
        <f>'Forage crops, CF'!G141*'Forage, input data per ha'!$E$78+'Forage crops, CF'!G206*'Forage, input data per ha'!$G$78</f>
        <v>1.1000000000000001E-6</v>
      </c>
      <c r="I8" s="27">
        <f>'Forage crops, CF'!H141*'Forage, input data per ha'!$E$78+'Forage crops, CF'!H206*'Forage, input data per ha'!$G$78</f>
        <v>9.6392745297314405E-5</v>
      </c>
      <c r="J8" s="27">
        <f>'Forage crops, CF'!I141*'Forage, input data per ha'!$E$78+'Forage crops, CF'!I206*'Forage, input data per ha'!$G$78</f>
        <v>9.6392745297314405E-6</v>
      </c>
      <c r="K8" s="27">
        <f>'Forage crops, CF'!J141*'Forage, input data per ha'!$E$78+'Forage crops, CF'!J206*'Forage, input data per ha'!$G$78</f>
        <v>2.7200741272884463E-7</v>
      </c>
      <c r="L8" s="27"/>
      <c r="M8" s="27">
        <f>'Forage crops, CF'!L141*'Forage, input data per ha'!$E$78+'Forage crops, CF'!L206*'Forage, input data per ha'!$G$78</f>
        <v>0</v>
      </c>
      <c r="N8" s="27">
        <f>'Forage crops, CF'!M141*'Forage, input data per ha'!$E$78+'Forage crops, CF'!M206*'Forage, input data per ha'!$G$78</f>
        <v>0</v>
      </c>
      <c r="O8" s="27"/>
      <c r="P8" s="27">
        <f>'Forage crops, CF'!O141*'Forage, input data per ha'!$E$78+'Forage crops, CF'!O206*'Forage, input data per ha'!$G$78</f>
        <v>6.8099999999999988E-5</v>
      </c>
      <c r="Q8" s="27"/>
      <c r="R8" s="148">
        <f>'Parameters, country spec'!B17</f>
        <v>0.61590538837145792</v>
      </c>
      <c r="S8" s="148">
        <f>'Parameters, country spec'!B35</f>
        <v>0.61590538837145792</v>
      </c>
    </row>
    <row r="9" spans="1:21" x14ac:dyDescent="0.35">
      <c r="A9" s="20" t="s">
        <v>222</v>
      </c>
      <c r="B9" s="15" t="s">
        <v>108</v>
      </c>
      <c r="C9" s="15" t="s">
        <v>223</v>
      </c>
      <c r="D9" s="21" t="s">
        <v>85</v>
      </c>
      <c r="E9" s="21" t="s">
        <v>35</v>
      </c>
      <c r="F9" s="118">
        <f>SUM(G9:Q9)</f>
        <v>8.1663199999999997E-4</v>
      </c>
      <c r="G9" s="91">
        <v>1.3999999999999999E-4</v>
      </c>
      <c r="H9" s="92">
        <v>9.9999999999999995E-7</v>
      </c>
      <c r="I9" s="93">
        <v>6.1200000000000002E-4</v>
      </c>
      <c r="J9" s="93">
        <v>6.1199999999999997E-5</v>
      </c>
      <c r="K9" s="93">
        <v>8.8199999999999998E-7</v>
      </c>
      <c r="L9" s="93"/>
      <c r="M9" s="93">
        <v>0</v>
      </c>
      <c r="N9" s="93">
        <v>1.55E-6</v>
      </c>
      <c r="O9" s="93"/>
      <c r="P9" s="93"/>
      <c r="Q9" s="12"/>
      <c r="R9" s="148">
        <f>'Parameters, country spec'!B18</f>
        <v>5.1639112390513857E-3</v>
      </c>
      <c r="S9" s="148">
        <f>'Parameters, country spec'!B36</f>
        <v>5.1639112390513857E-3</v>
      </c>
    </row>
    <row r="10" spans="1:21" x14ac:dyDescent="0.35">
      <c r="A10" s="20" t="s">
        <v>224</v>
      </c>
      <c r="B10" s="15" t="s">
        <v>109</v>
      </c>
      <c r="C10" s="15" t="s">
        <v>223</v>
      </c>
      <c r="D10" s="21" t="s">
        <v>85</v>
      </c>
      <c r="E10" s="21" t="s">
        <v>35</v>
      </c>
      <c r="F10" s="118">
        <f t="shared" ref="F10:F19" si="0">SUM(G10:Q10)</f>
        <v>7.6922700000000004E-4</v>
      </c>
      <c r="G10" s="91">
        <v>1.2999999999999999E-4</v>
      </c>
      <c r="H10" s="92">
        <v>9.9999999999999995E-7</v>
      </c>
      <c r="I10" s="93">
        <v>5.7799999999999995E-4</v>
      </c>
      <c r="J10" s="93">
        <v>5.7800000000000002E-5</v>
      </c>
      <c r="K10" s="93">
        <v>7.2600000000000002E-7</v>
      </c>
      <c r="L10" s="93"/>
      <c r="M10" s="93">
        <v>1.5099999999999999E-7</v>
      </c>
      <c r="N10" s="93">
        <v>1.55E-6</v>
      </c>
      <c r="O10" s="93"/>
      <c r="P10" s="93"/>
      <c r="Q10" s="12"/>
      <c r="R10" s="148">
        <f>'Parameters, country spec'!B19</f>
        <v>3.1075970320211814E-4</v>
      </c>
      <c r="S10" s="148">
        <f>'Parameters, country spec'!B37</f>
        <v>3.1075970320211814E-4</v>
      </c>
    </row>
    <row r="11" spans="1:21" x14ac:dyDescent="0.35">
      <c r="A11" s="20" t="s">
        <v>225</v>
      </c>
      <c r="B11" s="15" t="s">
        <v>110</v>
      </c>
      <c r="C11" s="15" t="s">
        <v>223</v>
      </c>
      <c r="D11" s="21" t="s">
        <v>85</v>
      </c>
      <c r="E11" s="21" t="s">
        <v>35</v>
      </c>
      <c r="F11" s="118">
        <f t="shared" si="0"/>
        <v>7.4175999999999995E-4</v>
      </c>
      <c r="G11" s="91">
        <v>1.2E-4</v>
      </c>
      <c r="H11" s="92">
        <v>9.9999999999999995E-7</v>
      </c>
      <c r="I11" s="93">
        <v>5.62E-4</v>
      </c>
      <c r="J11" s="93">
        <v>5.6199999999999997E-5</v>
      </c>
      <c r="K11" s="93">
        <v>1.0100000000000001E-6</v>
      </c>
      <c r="L11" s="93"/>
      <c r="M11" s="93">
        <v>0</v>
      </c>
      <c r="N11" s="93">
        <v>1.55E-6</v>
      </c>
      <c r="O11" s="93"/>
      <c r="P11" s="93"/>
      <c r="Q11" s="12"/>
      <c r="R11" s="148">
        <f>'Parameters, country spec'!B20</f>
        <v>8.6733359151412953E-5</v>
      </c>
      <c r="S11" s="148">
        <f>'Parameters, country spec'!B38</f>
        <v>8.6733359151412953E-5</v>
      </c>
    </row>
    <row r="12" spans="1:21" x14ac:dyDescent="0.35">
      <c r="A12" s="20" t="s">
        <v>226</v>
      </c>
      <c r="B12" s="15" t="s">
        <v>111</v>
      </c>
      <c r="C12" s="15" t="s">
        <v>223</v>
      </c>
      <c r="D12" s="21" t="s">
        <v>85</v>
      </c>
      <c r="E12" s="21" t="s">
        <v>35</v>
      </c>
      <c r="F12" s="118">
        <f t="shared" si="0"/>
        <v>6.6777399999999999E-4</v>
      </c>
      <c r="G12" s="91">
        <v>1.1E-4</v>
      </c>
      <c r="H12" s="92">
        <v>9.9999999999999995E-7</v>
      </c>
      <c r="I12" s="93">
        <v>5.04E-4</v>
      </c>
      <c r="J12" s="93">
        <v>5.0399999999999999E-5</v>
      </c>
      <c r="K12" s="93">
        <v>8.2399999999999997E-7</v>
      </c>
      <c r="L12" s="93"/>
      <c r="M12" s="93">
        <v>0</v>
      </c>
      <c r="N12" s="93">
        <v>1.55E-6</v>
      </c>
      <c r="O12" s="93"/>
      <c r="P12" s="93"/>
      <c r="Q12" s="12"/>
      <c r="R12" s="148">
        <f>'Parameters, country spec'!B21</f>
        <v>6.2924072151971947E-5</v>
      </c>
      <c r="S12" s="148">
        <f>'Parameters, country spec'!B39</f>
        <v>6.2924072151971947E-5</v>
      </c>
    </row>
    <row r="13" spans="1:21" x14ac:dyDescent="0.35">
      <c r="A13" s="20" t="s">
        <v>227</v>
      </c>
      <c r="B13" s="15" t="s">
        <v>112</v>
      </c>
      <c r="C13" s="15" t="s">
        <v>223</v>
      </c>
      <c r="D13" s="21" t="s">
        <v>85</v>
      </c>
      <c r="E13" s="21" t="s">
        <v>35</v>
      </c>
      <c r="F13" s="118">
        <f t="shared" si="0"/>
        <v>9.2223750000000008E-4</v>
      </c>
      <c r="G13" s="91">
        <v>1.6000000000000001E-4</v>
      </c>
      <c r="H13" s="92">
        <v>9.9999999999999995E-7</v>
      </c>
      <c r="I13" s="93">
        <v>6.8999999999999997E-4</v>
      </c>
      <c r="J13" s="93">
        <v>6.8999999999999997E-5</v>
      </c>
      <c r="K13" s="93">
        <v>6.6899999999999997E-7</v>
      </c>
      <c r="L13" s="93"/>
      <c r="M13" s="93">
        <v>1.85E-8</v>
      </c>
      <c r="N13" s="93">
        <v>1.55E-6</v>
      </c>
      <c r="O13" s="93"/>
      <c r="P13" s="93"/>
      <c r="Q13" s="12"/>
      <c r="R13" s="148">
        <f>'Parameters, country spec'!B22</f>
        <v>5.3306026591199238E-3</v>
      </c>
      <c r="S13" s="148">
        <f>'Parameters, country spec'!B40</f>
        <v>5.3306026591199238E-3</v>
      </c>
    </row>
    <row r="14" spans="1:21" x14ac:dyDescent="0.35">
      <c r="A14" s="20" t="s">
        <v>228</v>
      </c>
      <c r="B14" s="15" t="s">
        <v>113</v>
      </c>
      <c r="C14" s="15" t="s">
        <v>229</v>
      </c>
      <c r="D14" s="21" t="s">
        <v>85</v>
      </c>
      <c r="E14" s="21" t="s">
        <v>35</v>
      </c>
      <c r="F14" s="118">
        <f t="shared" si="0"/>
        <v>2.0725309000000001E-4</v>
      </c>
      <c r="G14" s="91">
        <v>0</v>
      </c>
      <c r="H14" s="92">
        <v>9.9999999999999995E-7</v>
      </c>
      <c r="I14" s="93">
        <v>1.85E-4</v>
      </c>
      <c r="J14" s="93">
        <v>1.8499999999999999E-5</v>
      </c>
      <c r="K14" s="93">
        <v>1.1999999999999999E-6</v>
      </c>
      <c r="L14" s="93"/>
      <c r="M14" s="93">
        <v>3.0899999999999999E-9</v>
      </c>
      <c r="N14" s="93">
        <v>1.55E-6</v>
      </c>
      <c r="O14" s="93"/>
      <c r="P14" s="93"/>
      <c r="Q14" s="12"/>
      <c r="R14" s="148">
        <f>'Parameters, country spec'!B23</f>
        <v>2.439015630520557E-4</v>
      </c>
      <c r="S14" s="148">
        <f>'Parameters, country spec'!B41</f>
        <v>2.439015630520557E-4</v>
      </c>
    </row>
    <row r="15" spans="1:21" x14ac:dyDescent="0.35">
      <c r="A15" s="20" t="s">
        <v>230</v>
      </c>
      <c r="B15" s="15" t="s">
        <v>114</v>
      </c>
      <c r="C15" s="15" t="s">
        <v>229</v>
      </c>
      <c r="D15" s="21" t="s">
        <v>85</v>
      </c>
      <c r="E15" s="21" t="s">
        <v>35</v>
      </c>
      <c r="F15" s="118">
        <f t="shared" si="0"/>
        <v>2.3858199999999999E-4</v>
      </c>
      <c r="G15" s="91">
        <v>6.7000000000000002E-6</v>
      </c>
      <c r="H15" s="92">
        <v>9.9999999999999995E-7</v>
      </c>
      <c r="I15" s="93">
        <v>2.0699999999999999E-4</v>
      </c>
      <c r="J15" s="93">
        <v>2.0699999999999998E-5</v>
      </c>
      <c r="K15" s="93">
        <v>1.28E-6</v>
      </c>
      <c r="L15" s="93"/>
      <c r="M15" s="93">
        <v>3.5199999999999998E-7</v>
      </c>
      <c r="N15" s="93">
        <v>1.55E-6</v>
      </c>
      <c r="O15" s="93"/>
      <c r="P15" s="93"/>
      <c r="Q15" s="12"/>
      <c r="R15" s="148">
        <f>'Parameters, country spec'!B24</f>
        <v>2.3959170998341588E-4</v>
      </c>
      <c r="S15" s="148">
        <f>'Parameters, country spec'!B42</f>
        <v>2.3959170998341588E-4</v>
      </c>
    </row>
    <row r="16" spans="1:21" x14ac:dyDescent="0.35">
      <c r="B16" s="16" t="s">
        <v>115</v>
      </c>
      <c r="C16" s="15" t="s">
        <v>231</v>
      </c>
      <c r="D16" s="21" t="s">
        <v>85</v>
      </c>
      <c r="E16" s="21" t="s">
        <v>35</v>
      </c>
      <c r="F16" s="118">
        <f t="shared" si="0"/>
        <v>1.5426052012212825E-3</v>
      </c>
      <c r="G16" s="32">
        <f>'Off-farm feed'!$F$77</f>
        <v>3.5160526410462907E-4</v>
      </c>
      <c r="H16" s="32">
        <f>'Off-farm feed'!$G$77</f>
        <v>5.3103448275862083E-7</v>
      </c>
      <c r="I16" s="32">
        <f>'Off-farm feed'!$H$77</f>
        <v>1.0756102664162708E-3</v>
      </c>
      <c r="J16" s="32">
        <f>'Off-farm feed'!$I$77</f>
        <v>1.0756102664162706E-4</v>
      </c>
      <c r="K16" s="32">
        <f>'Off-farm feed'!$J$77</f>
        <v>6.6339607025480414E-7</v>
      </c>
      <c r="L16" s="32"/>
      <c r="M16" s="32">
        <f>'Off-farm feed'!$L$77</f>
        <v>7.9511067188965511E-9</v>
      </c>
      <c r="N16" s="32">
        <f>'Off-farm feed'!$M$77</f>
        <v>1.2789681892721844E-6</v>
      </c>
      <c r="O16" s="32"/>
      <c r="P16" s="32">
        <f>'Off-farm feed'!$O$77</f>
        <v>4.8776996151562902E-6</v>
      </c>
      <c r="Q16" s="32">
        <f>'Off-farm feed'!$P$77</f>
        <v>4.6959459459459463E-7</v>
      </c>
      <c r="R16" s="148">
        <f>'Parameters, country spec'!B25</f>
        <v>1.5312279516773717E-2</v>
      </c>
      <c r="S16" s="148">
        <f>'Parameters, country spec'!B43</f>
        <v>1.5312279516773717E-2</v>
      </c>
    </row>
    <row r="17" spans="1:20" x14ac:dyDescent="0.35">
      <c r="B17" s="16" t="s">
        <v>232</v>
      </c>
      <c r="C17" s="15" t="s">
        <v>231</v>
      </c>
      <c r="D17" s="21" t="s">
        <v>85</v>
      </c>
      <c r="E17" s="21" t="s">
        <v>35</v>
      </c>
      <c r="F17" s="118">
        <f t="shared" si="0"/>
        <v>1.8866346644602505E-4</v>
      </c>
      <c r="G17" s="32">
        <f>'Off-farm feed'!$F$26</f>
        <v>1.6332109719061441E-5</v>
      </c>
      <c r="H17" s="32">
        <f>'Off-farm feed'!$G$26</f>
        <v>8.7195121951219526E-7</v>
      </c>
      <c r="I17" s="32">
        <f>'Off-farm feed'!$H$26</f>
        <v>1.3333449845358202E-4</v>
      </c>
      <c r="J17" s="32">
        <f>'Off-farm feed'!$I$26</f>
        <v>1.3333449845358203E-5</v>
      </c>
      <c r="K17" s="32">
        <f>'Off-farm feed'!$J$26</f>
        <v>1.1576736579983931E-6</v>
      </c>
      <c r="L17" s="32"/>
      <c r="M17" s="32">
        <f>'Off-farm feed'!$L$26</f>
        <v>7.3437786087804866E-9</v>
      </c>
      <c r="N17" s="32">
        <f>'Off-farm feed'!$M$26</f>
        <v>1.1195281639512197E-6</v>
      </c>
      <c r="O17" s="32"/>
      <c r="P17" s="32">
        <f>'Off-farm feed'!$O$26</f>
        <v>1.3419073770114991E-5</v>
      </c>
      <c r="Q17" s="32">
        <f>'Off-farm feed'!$P$26</f>
        <v>9.087837837837838E-6</v>
      </c>
      <c r="R17" s="148">
        <f>'Parameters, country spec'!B26</f>
        <v>3.7726798982461625E-2</v>
      </c>
      <c r="S17" s="148">
        <f>'Parameters, country spec'!B44</f>
        <v>3.7726798982461625E-2</v>
      </c>
    </row>
    <row r="18" spans="1:20" x14ac:dyDescent="0.35">
      <c r="B18" s="15" t="s">
        <v>117</v>
      </c>
      <c r="C18" s="15" t="s">
        <v>233</v>
      </c>
      <c r="D18" s="21" t="s">
        <v>85</v>
      </c>
      <c r="E18" s="21" t="s">
        <v>35</v>
      </c>
      <c r="F18" s="579">
        <f t="shared" si="0"/>
        <v>4.1534401534079949E-4</v>
      </c>
      <c r="G18" s="93">
        <v>1.0007435690198499E-4</v>
      </c>
      <c r="H18" s="93">
        <v>5.5044E-7</v>
      </c>
      <c r="I18" s="93">
        <v>2.8937314609885501E-4</v>
      </c>
      <c r="K18" s="93">
        <v>1.1474806386195299E-6</v>
      </c>
      <c r="N18" s="12"/>
      <c r="O18" s="12"/>
      <c r="P18" s="93">
        <v>2.3492890101997999E-5</v>
      </c>
      <c r="Q18" s="93">
        <v>7.0570159934197997E-7</v>
      </c>
      <c r="R18" s="148">
        <f>'Parameters, country spec'!B27</f>
        <v>1.6611298610472246E-2</v>
      </c>
      <c r="S18" s="148">
        <f>'Parameters, country spec'!B45</f>
        <v>1.6611298610472246E-2</v>
      </c>
      <c r="T18" t="s">
        <v>403</v>
      </c>
    </row>
    <row r="19" spans="1:20" x14ac:dyDescent="0.35">
      <c r="A19" s="75"/>
      <c r="B19" s="15" t="s">
        <v>234</v>
      </c>
      <c r="C19" s="76" t="s">
        <v>235</v>
      </c>
      <c r="D19" s="21" t="s">
        <v>85</v>
      </c>
      <c r="E19" s="21" t="s">
        <v>35</v>
      </c>
      <c r="F19" s="118">
        <f t="shared" si="0"/>
        <v>4.0324678303888001E-5</v>
      </c>
      <c r="G19" s="74">
        <f>SUMPRODUCT(G9:G17,$R9:$R17)</f>
        <v>7.6352139797040955E-6</v>
      </c>
      <c r="H19" s="74">
        <f t="shared" ref="H19:P19" si="1">SUMPRODUCT(H9:H17,$R9:$R17)</f>
        <v>5.2465701119806499E-8</v>
      </c>
      <c r="I19" s="74">
        <f t="shared" si="1"/>
        <v>2.8693552645944921E-5</v>
      </c>
      <c r="J19" s="74">
        <f t="shared" si="1"/>
        <v>2.8693552645944917E-6</v>
      </c>
      <c r="K19" s="74">
        <f t="shared" si="1"/>
        <v>6.2918591269623896E-8</v>
      </c>
      <c r="L19" s="74">
        <f t="shared" si="1"/>
        <v>0</v>
      </c>
      <c r="M19" s="74">
        <f t="shared" si="1"/>
        <v>6.2943763001383629E-10</v>
      </c>
      <c r="N19" s="74">
        <f t="shared" si="1"/>
        <v>7.954969007764368E-8</v>
      </c>
      <c r="O19" s="74">
        <f t="shared" si="1"/>
        <v>0</v>
      </c>
      <c r="P19" s="74">
        <f t="shared" si="1"/>
        <v>5.8094739856208451E-7</v>
      </c>
      <c r="Q19" s="74">
        <f>SUMPRODUCT(Q9:Q17,$R9:$R17)</f>
        <v>3.5004559498531525E-7</v>
      </c>
      <c r="R19" s="148">
        <f>'Parameters, country spec'!B28</f>
        <v>1.3754938185521381E-2</v>
      </c>
      <c r="S19" s="148">
        <f>'Parameters, country spec'!B46</f>
        <v>1.3754938185521381E-2</v>
      </c>
    </row>
    <row r="20" spans="1:20" x14ac:dyDescent="0.35">
      <c r="A20" s="321"/>
      <c r="B20" s="322" t="s">
        <v>541</v>
      </c>
      <c r="C20" s="323"/>
      <c r="D20" s="324"/>
      <c r="E20" s="324"/>
      <c r="F20" s="327">
        <f>SUMPRODUCT(F6:F8,R6:R8)+SUMPRODUCT(F9:F19,R9:R19)/0.87</f>
        <v>2.2845668671739124E-4</v>
      </c>
      <c r="G20" s="327">
        <f>SUMPRODUCT(G6:G8,R6:R8)+SUMPRODUCT(G9:G19,R9:R19)/0.87</f>
        <v>2.7440813405121573E-5</v>
      </c>
      <c r="H20" s="327">
        <f>SUMPRODUCT(H6:H8,R6:R8)+SUMPRODUCT(H9:H19,R9:R19)/0.87</f>
        <v>1.0673165839133529E-6</v>
      </c>
      <c r="I20" s="327">
        <f>SUMPRODUCT(I6:I8,R6:R8)+SUMPRODUCT(I9:I19,R9:R19)/0.87</f>
        <v>1.2518339706382161E-4</v>
      </c>
      <c r="J20" s="327">
        <f>SUMPRODUCT(J6:J8,R6:R8)+SUMPRODUCT(J9:J19,R9:R19)/0.87</f>
        <v>1.1965826632853437E-5</v>
      </c>
      <c r="K20" s="327">
        <f>SUMPRODUCT(K6:K8,R6:R8)+SUMPRODUCT(K9:K19,R9:R19)/0.87</f>
        <v>3.833989954713135E-7</v>
      </c>
      <c r="L20" s="327">
        <f>SUMPRODUCT(L6:L8,R6:R8)+SUMPRODUCT(L9:L19,R9:R19)/0.87</f>
        <v>0</v>
      </c>
      <c r="M20" s="327">
        <f>SUMPRODUCT(M6:M8,R6:R8)+SUMPRODUCT(M9:M19,R9:R19)/0.87</f>
        <v>3.5102853729144029E-8</v>
      </c>
      <c r="N20" s="327">
        <f>SUMPRODUCT(N6:N8,R6:R8)+SUMPRODUCT(N9:N19,R9:R19)/0.87</f>
        <v>9.2694127755562131E-8</v>
      </c>
      <c r="O20" s="327">
        <f>SUMPRODUCT(O6:O8,R6:R8)+SUMPRODUCT(O9:O19,R9:R19)/0.87</f>
        <v>0</v>
      </c>
      <c r="P20" s="327">
        <f>SUMPRODUCT(P6:P8,R6:R8)+SUMPRODUCT(P9:P19,R9:R19)/0.87</f>
        <v>6.186677720357234E-5</v>
      </c>
      <c r="Q20" s="327">
        <f>SUMPRODUCT(Q6:Q8,R6:R8)+SUMPRODUCT(Q9:Q19,R9:R19)/0.87</f>
        <v>4.2135985115288479E-7</v>
      </c>
      <c r="R20" s="328"/>
      <c r="S20" s="328"/>
    </row>
    <row r="21" spans="1:20" x14ac:dyDescent="0.35">
      <c r="A21" s="147"/>
      <c r="B21" s="23" t="s">
        <v>428</v>
      </c>
      <c r="C21" s="24"/>
      <c r="D21" s="94"/>
      <c r="E21" s="94"/>
      <c r="F21" s="28">
        <f>SUMPRODUCT(F6:F8,S6:S8)+SUMPRODUCT(F9:F19,S9:S19)/0.87</f>
        <v>2.2845668671739124E-4</v>
      </c>
      <c r="G21" s="28">
        <f>SUMPRODUCT(G6:G8,S6:S8)+SUMPRODUCT(G9:G19,S9:S19)/0.87</f>
        <v>2.7440813405121573E-5</v>
      </c>
      <c r="H21" s="28">
        <f>SUMPRODUCT(H6:H8,S6:S8)+SUMPRODUCT(H9:H19,S9:S19)/0.87</f>
        <v>1.0673165839133529E-6</v>
      </c>
      <c r="I21" s="28">
        <f>SUMPRODUCT(I6:I8,S6:S8)+SUMPRODUCT(I9:I19,S9:S19)/0.87</f>
        <v>1.2518339706382161E-4</v>
      </c>
      <c r="J21" s="28">
        <f>SUMPRODUCT(J6:J8,S6:S8)+SUMPRODUCT(J9:J19,S9:S19)/0.87</f>
        <v>1.1965826632853437E-5</v>
      </c>
      <c r="K21" s="28">
        <f>SUMPRODUCT(K6:K8,S6:S8)+SUMPRODUCT(K9:K19,S9:S19)/0.87</f>
        <v>3.833989954713135E-7</v>
      </c>
      <c r="L21" s="28">
        <f>SUMPRODUCT(L6:L8,S6:S8)+SUMPRODUCT(L9:L19,S9:S19)/0.87</f>
        <v>0</v>
      </c>
      <c r="M21" s="28">
        <f>SUMPRODUCT(M6:M8,S6:S8)+SUMPRODUCT(M9:M19,S9:S19)/0.87</f>
        <v>3.5102853729144029E-8</v>
      </c>
      <c r="N21" s="28">
        <f>SUMPRODUCT(N6:N8,S6:S8)+SUMPRODUCT(N9:N19,S9:S19)/0.87</f>
        <v>9.2694127755562131E-8</v>
      </c>
      <c r="O21" s="28">
        <f>SUMPRODUCT(O6:O8,S6:S8)+SUMPRODUCT(O9:O19,S9:S19)/0.87</f>
        <v>0</v>
      </c>
      <c r="P21" s="28">
        <f>SUMPRODUCT(P6:P8,S6:S8)+SUMPRODUCT(P9:P19,S9:S19)/0.87</f>
        <v>6.186677720357234E-5</v>
      </c>
      <c r="Q21" s="28">
        <f>SUMPRODUCT(Q6:Q8,S6:S8)+SUMPRODUCT(Q9:Q19,S9:S19)/0.87</f>
        <v>4.2135985115288479E-7</v>
      </c>
      <c r="R21" s="149"/>
      <c r="S21" s="149"/>
    </row>
    <row r="22" spans="1:20" x14ac:dyDescent="0.35">
      <c r="B22" s="16" t="s">
        <v>285</v>
      </c>
      <c r="C22" s="15" t="s">
        <v>288</v>
      </c>
      <c r="D22" s="21" t="s">
        <v>36</v>
      </c>
      <c r="E22" s="21" t="s">
        <v>37</v>
      </c>
      <c r="F22" s="118">
        <f>SUM(G22:Q22)</f>
        <v>2.0524375665426878E-4</v>
      </c>
      <c r="G22" s="27">
        <f>'Forage crops, CF'!F16</f>
        <v>3.9622270994168309E-5</v>
      </c>
      <c r="H22" s="27">
        <f>'Forage crops, CF'!G16</f>
        <v>1.1000000000000001E-6</v>
      </c>
      <c r="I22" s="27">
        <f>'Forage crops, CF'!H16</f>
        <v>1.492448690828462E-4</v>
      </c>
      <c r="J22" s="27">
        <f>'Forage crops, CF'!I16</f>
        <v>1.4924486908284621E-5</v>
      </c>
      <c r="K22" s="27">
        <f>'Forage crops, CF'!J16</f>
        <v>3.521296689696708E-7</v>
      </c>
      <c r="L22" s="27">
        <f>'Forage crops, CF'!K16</f>
        <v>0</v>
      </c>
      <c r="M22" s="27">
        <f>'Forage crops, CF'!L16</f>
        <v>0</v>
      </c>
      <c r="N22" s="27">
        <f>'Forage crops, CF'!M16</f>
        <v>0</v>
      </c>
      <c r="O22" s="27">
        <f>'Forage crops, CF'!N16</f>
        <v>0</v>
      </c>
      <c r="P22" s="27">
        <f>'Forage crops, CF'!O16</f>
        <v>0</v>
      </c>
      <c r="Q22" s="27">
        <f>'Forage crops, CF'!P16</f>
        <v>0</v>
      </c>
      <c r="R22" s="148">
        <f>'Parameters, country spec'!C15</f>
        <v>0.18889688285610365</v>
      </c>
      <c r="S22" s="148">
        <f>'Parameters, country spec'!C33</f>
        <v>0.18889688285610365</v>
      </c>
    </row>
    <row r="23" spans="1:20" x14ac:dyDescent="0.35">
      <c r="B23" s="16" t="s">
        <v>286</v>
      </c>
      <c r="C23" s="15" t="s">
        <v>288</v>
      </c>
      <c r="D23" s="21" t="s">
        <v>36</v>
      </c>
      <c r="E23" s="21" t="s">
        <v>37</v>
      </c>
      <c r="F23" s="118">
        <f>SUM(G23:Q23)</f>
        <v>2.6318615090141582E-4</v>
      </c>
      <c r="G23" s="27">
        <f>'Forage crops, CF'!F81</f>
        <v>4.0187053386844723E-5</v>
      </c>
      <c r="H23" s="27">
        <f>'Forage crops, CF'!G81</f>
        <v>1.1000000000000001E-6</v>
      </c>
      <c r="I23" s="27">
        <f>'Forage crops, CF'!H81</f>
        <v>1.3916035917453407E-4</v>
      </c>
      <c r="J23" s="27">
        <f>'Forage crops, CF'!I81</f>
        <v>1.3916035917453407E-5</v>
      </c>
      <c r="K23" s="27">
        <f>'Forage crops, CF'!J81</f>
        <v>4.4168049448757817E-7</v>
      </c>
      <c r="L23" s="27"/>
      <c r="M23" s="27">
        <f>'Forage crops, CF'!L81</f>
        <v>2.8102192809599998E-7</v>
      </c>
      <c r="N23" s="27">
        <f>'Forage crops, CF'!M81</f>
        <v>0</v>
      </c>
      <c r="O23" s="27"/>
      <c r="P23" s="27">
        <f>'Forage crops, CF'!O81</f>
        <v>6.8099999999999988E-5</v>
      </c>
      <c r="Q23" s="27"/>
      <c r="R23" s="148">
        <f>'Parameters, country spec'!C16</f>
        <v>0.36965765773619236</v>
      </c>
      <c r="S23" s="148">
        <f>'Parameters, country spec'!C34</f>
        <v>0.36965765773619236</v>
      </c>
    </row>
    <row r="24" spans="1:20" x14ac:dyDescent="0.35">
      <c r="B24" s="16" t="s">
        <v>287</v>
      </c>
      <c r="C24" s="15" t="s">
        <v>288</v>
      </c>
      <c r="D24" s="21" t="s">
        <v>36</v>
      </c>
      <c r="E24" s="21" t="s">
        <v>37</v>
      </c>
      <c r="F24" s="118">
        <f>SUM(G24:Q24)</f>
        <v>2.5718974685190465E-4</v>
      </c>
      <c r="G24" s="27">
        <f>'Forage crops, CF'!F146*'Forage, input data per ha'!$E$79+'Forage crops, CF'!F211*'Forage, input data per ha'!$G$79</f>
        <v>3.5903158953308976E-5</v>
      </c>
      <c r="H24" s="27">
        <f>'Forage crops, CF'!G146*'Forage, input data per ha'!$E$79+'Forage crops, CF'!G211*'Forage, input data per ha'!$G$79</f>
        <v>1.1000000000000001E-6</v>
      </c>
      <c r="I24" s="27">
        <f>'Forage crops, CF'!H146*'Forage, input data per ha'!$E$79+'Forage crops, CF'!H211*'Forage, input data per ha'!$G$79</f>
        <v>1.3794105129811811E-4</v>
      </c>
      <c r="J24" s="27">
        <f>'Forage crops, CF'!I146*'Forage, input data per ha'!$E$79+'Forage crops, CF'!I211*'Forage, input data per ha'!$G$79</f>
        <v>1.3794105129811812E-5</v>
      </c>
      <c r="K24" s="27">
        <f>'Forage crops, CF'!J146*'Forage, input data per ha'!$E$79+'Forage crops, CF'!J211*'Forage, input data per ha'!$G$79</f>
        <v>3.5143147066577134E-7</v>
      </c>
      <c r="L24" s="27"/>
      <c r="M24" s="27">
        <f>'Forage crops, CF'!L146*'Forage, input data per ha'!$E$79+'Forage crops, CF'!L211*'Forage, input data per ha'!$G$79</f>
        <v>0</v>
      </c>
      <c r="N24" s="27">
        <f>'Forage crops, CF'!M146*'Forage, input data per ha'!$E$79+'Forage crops, CF'!M211*'Forage, input data per ha'!$G$79</f>
        <v>0</v>
      </c>
      <c r="O24" s="27"/>
      <c r="P24" s="27">
        <f>'Forage crops, CF'!O146*'Forage, input data per ha'!$E$79+'Forage crops, CF'!O211*'Forage, input data per ha'!$G$79</f>
        <v>6.8099999999999988E-5</v>
      </c>
      <c r="Q24" s="27"/>
      <c r="R24" s="148">
        <f>'Parameters, country spec'!C17</f>
        <v>0.23243726980023638</v>
      </c>
      <c r="S24" s="148">
        <f>'Parameters, country spec'!C35</f>
        <v>0.23243726980023638</v>
      </c>
    </row>
    <row r="25" spans="1:20" x14ac:dyDescent="0.35">
      <c r="A25" s="20" t="s">
        <v>222</v>
      </c>
      <c r="B25" s="15" t="s">
        <v>108</v>
      </c>
      <c r="C25" s="15" t="s">
        <v>223</v>
      </c>
      <c r="D25" s="21" t="s">
        <v>36</v>
      </c>
      <c r="E25" s="21" t="s">
        <v>37</v>
      </c>
      <c r="F25" s="118">
        <f>SUM(G25:Q25)</f>
        <v>6.9794440000000017E-4</v>
      </c>
      <c r="G25" s="91">
        <v>1.8000000000000001E-4</v>
      </c>
      <c r="H25" s="92">
        <v>9.9999999999999995E-7</v>
      </c>
      <c r="I25" s="93">
        <v>4.6799999999999999E-4</v>
      </c>
      <c r="J25" s="93">
        <v>4.6799999999999999E-5</v>
      </c>
      <c r="K25" s="93">
        <v>8.0200000000000001E-7</v>
      </c>
      <c r="L25" s="93"/>
      <c r="M25" s="93">
        <v>1.24E-8</v>
      </c>
      <c r="N25" s="93">
        <v>1.33E-6</v>
      </c>
      <c r="O25" s="93"/>
      <c r="P25" s="93"/>
      <c r="Q25" s="12"/>
      <c r="R25" s="148">
        <f>'Parameters, country spec'!C18</f>
        <v>9.8050025013408561E-3</v>
      </c>
      <c r="S25" s="148">
        <f>'Parameters, country spec'!C36</f>
        <v>9.8050025013408561E-3</v>
      </c>
    </row>
    <row r="26" spans="1:20" x14ac:dyDescent="0.35">
      <c r="A26" s="20" t="s">
        <v>224</v>
      </c>
      <c r="B26" s="15" t="s">
        <v>109</v>
      </c>
      <c r="C26" s="15" t="s">
        <v>223</v>
      </c>
      <c r="D26" s="21" t="s">
        <v>36</v>
      </c>
      <c r="E26" s="21" t="s">
        <v>37</v>
      </c>
      <c r="F26" s="118">
        <f t="shared" ref="F26:F35" si="2">SUM(G26:Q26)</f>
        <v>6.5715800000000003E-4</v>
      </c>
      <c r="G26" s="91">
        <v>1.7000000000000001E-4</v>
      </c>
      <c r="H26" s="92">
        <v>9.9999999999999995E-7</v>
      </c>
      <c r="I26" s="93">
        <v>4.4000000000000002E-4</v>
      </c>
      <c r="J26" s="93">
        <v>4.3999999999999999E-5</v>
      </c>
      <c r="K26" s="93">
        <v>5.4700000000000001E-7</v>
      </c>
      <c r="L26" s="93"/>
      <c r="M26" s="93">
        <v>2.8099999999999999E-7</v>
      </c>
      <c r="N26" s="93">
        <v>1.33E-6</v>
      </c>
      <c r="O26" s="93"/>
      <c r="P26" s="93"/>
      <c r="Q26" s="12"/>
      <c r="R26" s="148">
        <f>'Parameters, country spec'!C19</f>
        <v>1.6126916347682995E-2</v>
      </c>
      <c r="S26" s="148">
        <f>'Parameters, country spec'!C37</f>
        <v>1.6126916347682995E-2</v>
      </c>
    </row>
    <row r="27" spans="1:20" x14ac:dyDescent="0.35">
      <c r="A27" s="20" t="s">
        <v>225</v>
      </c>
      <c r="B27" s="15" t="s">
        <v>110</v>
      </c>
      <c r="C27" s="15" t="s">
        <v>223</v>
      </c>
      <c r="D27" s="21" t="s">
        <v>36</v>
      </c>
      <c r="E27" s="21" t="s">
        <v>37</v>
      </c>
      <c r="F27" s="118">
        <f t="shared" si="2"/>
        <v>6.6289399999999992E-4</v>
      </c>
      <c r="G27" s="91">
        <v>1.4999999999999999E-4</v>
      </c>
      <c r="H27" s="92">
        <v>9.9999999999999995E-7</v>
      </c>
      <c r="I27" s="93">
        <v>4.6299999999999998E-4</v>
      </c>
      <c r="J27" s="93">
        <v>4.6300000000000001E-5</v>
      </c>
      <c r="K27" s="93">
        <v>1.1000000000000001E-6</v>
      </c>
      <c r="L27" s="93"/>
      <c r="M27" s="93">
        <v>1.6400000000000001E-7</v>
      </c>
      <c r="N27" s="93">
        <v>1.33E-6</v>
      </c>
      <c r="O27" s="93"/>
      <c r="P27" s="93"/>
      <c r="Q27" s="12"/>
      <c r="R27" s="148">
        <f>'Parameters, country spec'!C20</f>
        <v>1.1110741938309403E-3</v>
      </c>
      <c r="S27" s="148">
        <f>'Parameters, country spec'!C38</f>
        <v>1.1110741938309403E-3</v>
      </c>
    </row>
    <row r="28" spans="1:20" x14ac:dyDescent="0.35">
      <c r="A28" s="20" t="s">
        <v>226</v>
      </c>
      <c r="B28" s="15" t="s">
        <v>111</v>
      </c>
      <c r="C28" s="15" t="s">
        <v>223</v>
      </c>
      <c r="D28" s="21" t="s">
        <v>36</v>
      </c>
      <c r="E28" s="21" t="s">
        <v>37</v>
      </c>
      <c r="F28" s="118">
        <f t="shared" si="2"/>
        <v>6.0983308999999991E-4</v>
      </c>
      <c r="G28" s="91">
        <v>1.3999999999999999E-4</v>
      </c>
      <c r="H28" s="92">
        <v>9.9999999999999995E-7</v>
      </c>
      <c r="I28" s="93">
        <v>4.2400000000000001E-4</v>
      </c>
      <c r="J28" s="93">
        <v>4.2400000000000001E-5</v>
      </c>
      <c r="K28" s="93">
        <v>1.1000000000000001E-6</v>
      </c>
      <c r="L28" s="93"/>
      <c r="M28" s="93">
        <v>3.0899999999999999E-9</v>
      </c>
      <c r="N28" s="93">
        <v>1.33E-6</v>
      </c>
      <c r="O28" s="93"/>
      <c r="P28" s="93"/>
      <c r="Q28" s="12"/>
      <c r="R28" s="148">
        <f>'Parameters, country spec'!C21</f>
        <v>1.7062794715375247E-4</v>
      </c>
      <c r="S28" s="148">
        <f>'Parameters, country spec'!C39</f>
        <v>1.7062794715375247E-4</v>
      </c>
    </row>
    <row r="29" spans="1:20" x14ac:dyDescent="0.35">
      <c r="A29" s="20" t="s">
        <v>227</v>
      </c>
      <c r="B29" s="15" t="s">
        <v>112</v>
      </c>
      <c r="C29" s="15" t="s">
        <v>223</v>
      </c>
      <c r="D29" s="21" t="s">
        <v>36</v>
      </c>
      <c r="E29" s="21" t="s">
        <v>37</v>
      </c>
      <c r="F29" s="118">
        <f t="shared" si="2"/>
        <v>7.9156026000000001E-4</v>
      </c>
      <c r="G29" s="91">
        <v>2.0000000000000001E-4</v>
      </c>
      <c r="H29" s="92">
        <v>9.9999999999999995E-7</v>
      </c>
      <c r="I29" s="93">
        <v>5.3499999999999999E-4</v>
      </c>
      <c r="J29" s="93">
        <v>5.3499999999999999E-5</v>
      </c>
      <c r="K29" s="93">
        <v>7.2099999999999996E-7</v>
      </c>
      <c r="L29" s="93"/>
      <c r="M29" s="93">
        <v>9.2599999999999999E-9</v>
      </c>
      <c r="N29" s="93">
        <v>1.33E-6</v>
      </c>
      <c r="O29" s="93"/>
      <c r="P29" s="93"/>
      <c r="Q29" s="12"/>
      <c r="R29" s="148">
        <f>'Parameters, country spec'!C22</f>
        <v>2.3886940717374589E-2</v>
      </c>
      <c r="S29" s="148">
        <f>'Parameters, country spec'!C40</f>
        <v>2.3886940717374589E-2</v>
      </c>
    </row>
    <row r="30" spans="1:20" x14ac:dyDescent="0.35">
      <c r="A30" s="20" t="s">
        <v>228</v>
      </c>
      <c r="B30" s="15" t="s">
        <v>113</v>
      </c>
      <c r="C30" s="15" t="s">
        <v>229</v>
      </c>
      <c r="D30" s="21" t="s">
        <v>36</v>
      </c>
      <c r="E30" s="21" t="s">
        <v>37</v>
      </c>
      <c r="F30" s="118">
        <f t="shared" si="2"/>
        <v>3.4258030000000004E-4</v>
      </c>
      <c r="G30" s="91">
        <v>0</v>
      </c>
      <c r="H30" s="92">
        <v>9.9999999999999995E-7</v>
      </c>
      <c r="I30" s="93">
        <v>3.0800000000000001E-4</v>
      </c>
      <c r="J30" s="93">
        <v>3.0800000000000003E-5</v>
      </c>
      <c r="K30" s="93">
        <v>1.37E-6</v>
      </c>
      <c r="L30" s="93"/>
      <c r="M30" s="93">
        <v>8.0299999999999998E-8</v>
      </c>
      <c r="N30" s="93">
        <v>1.33E-6</v>
      </c>
      <c r="O30" s="93"/>
      <c r="P30" s="93"/>
      <c r="Q30" s="12"/>
      <c r="R30" s="148">
        <f>'Parameters, country spec'!C23</f>
        <v>0</v>
      </c>
      <c r="S30" s="148">
        <f>'Parameters, country spec'!C41</f>
        <v>0</v>
      </c>
    </row>
    <row r="31" spans="1:20" x14ac:dyDescent="0.35">
      <c r="A31" s="20" t="s">
        <v>230</v>
      </c>
      <c r="B31" s="15" t="s">
        <v>114</v>
      </c>
      <c r="C31" s="15" t="s">
        <v>229</v>
      </c>
      <c r="D31" s="21" t="s">
        <v>36</v>
      </c>
      <c r="E31" s="21" t="s">
        <v>37</v>
      </c>
      <c r="F31" s="118">
        <f t="shared" si="2"/>
        <v>3.6272900000000006E-4</v>
      </c>
      <c r="G31" s="91">
        <v>8.6000000000000007E-6</v>
      </c>
      <c r="H31" s="92">
        <v>9.9999999999999995E-7</v>
      </c>
      <c r="I31" s="93">
        <v>3.1799999999999998E-4</v>
      </c>
      <c r="J31" s="93">
        <v>3.18E-5</v>
      </c>
      <c r="K31" s="93">
        <v>1.86E-6</v>
      </c>
      <c r="L31" s="93"/>
      <c r="M31" s="93">
        <v>1.3899999999999999E-7</v>
      </c>
      <c r="N31" s="93">
        <v>1.33E-6</v>
      </c>
      <c r="O31" s="93"/>
      <c r="P31" s="93"/>
      <c r="Q31" s="12"/>
      <c r="R31" s="148">
        <f>'Parameters, country spec'!C24</f>
        <v>0</v>
      </c>
      <c r="S31" s="148">
        <f>'Parameters, country spec'!C42</f>
        <v>0</v>
      </c>
    </row>
    <row r="32" spans="1:20" x14ac:dyDescent="0.35">
      <c r="B32" s="16" t="s">
        <v>115</v>
      </c>
      <c r="C32" s="15" t="s">
        <v>231</v>
      </c>
      <c r="D32" s="21" t="s">
        <v>36</v>
      </c>
      <c r="E32" s="21" t="s">
        <v>37</v>
      </c>
      <c r="F32" s="118">
        <f t="shared" si="2"/>
        <v>1.5426052012212825E-3</v>
      </c>
      <c r="G32" s="32">
        <f>'Off-farm feed'!$F$77</f>
        <v>3.5160526410462907E-4</v>
      </c>
      <c r="H32" s="32">
        <f>'Off-farm feed'!$G$77</f>
        <v>5.3103448275862083E-7</v>
      </c>
      <c r="I32" s="32">
        <f>'Off-farm feed'!$H$77</f>
        <v>1.0756102664162708E-3</v>
      </c>
      <c r="J32" s="32">
        <f>'Off-farm feed'!$I$77</f>
        <v>1.0756102664162706E-4</v>
      </c>
      <c r="K32" s="32">
        <f>'Off-farm feed'!$J$77</f>
        <v>6.6339607025480414E-7</v>
      </c>
      <c r="L32" s="32"/>
      <c r="M32" s="32">
        <f>'Off-farm feed'!$L$77</f>
        <v>7.9511067188965511E-9</v>
      </c>
      <c r="N32" s="32">
        <f>'Off-farm feed'!$M$77</f>
        <v>1.2789681892721844E-6</v>
      </c>
      <c r="O32" s="32"/>
      <c r="P32" s="32">
        <f>'Off-farm feed'!$O$77</f>
        <v>4.8776996151562902E-6</v>
      </c>
      <c r="Q32" s="32">
        <f>'Off-farm feed'!$P$77</f>
        <v>4.6959459459459463E-7</v>
      </c>
      <c r="R32" s="148">
        <f>'Parameters, country spec'!C25</f>
        <v>3.0917251771110446E-2</v>
      </c>
      <c r="S32" s="148">
        <f>'Parameters, country spec'!C43</f>
        <v>3.0917251771110446E-2</v>
      </c>
    </row>
    <row r="33" spans="1:19" x14ac:dyDescent="0.35">
      <c r="B33" s="16" t="s">
        <v>232</v>
      </c>
      <c r="C33" s="15" t="s">
        <v>231</v>
      </c>
      <c r="D33" s="21" t="s">
        <v>36</v>
      </c>
      <c r="E33" s="21" t="s">
        <v>37</v>
      </c>
      <c r="F33" s="118">
        <f t="shared" si="2"/>
        <v>1.8866346644602505E-4</v>
      </c>
      <c r="G33" s="32">
        <f>'Off-farm feed'!$F$26</f>
        <v>1.6332109719061441E-5</v>
      </c>
      <c r="H33" s="32">
        <f>'Off-farm feed'!$G$26</f>
        <v>8.7195121951219526E-7</v>
      </c>
      <c r="I33" s="32">
        <f>'Off-farm feed'!$H$26</f>
        <v>1.3333449845358202E-4</v>
      </c>
      <c r="J33" s="32">
        <f>'Off-farm feed'!$I$26</f>
        <v>1.3333449845358203E-5</v>
      </c>
      <c r="K33" s="32">
        <f>'Off-farm feed'!$J$26</f>
        <v>1.1576736579983931E-6</v>
      </c>
      <c r="L33" s="32"/>
      <c r="M33" s="32">
        <f>'Off-farm feed'!$L$26</f>
        <v>7.3437786087804866E-9</v>
      </c>
      <c r="N33" s="32">
        <f>'Off-farm feed'!$M$26</f>
        <v>1.1195281639512197E-6</v>
      </c>
      <c r="O33" s="32"/>
      <c r="P33" s="32">
        <f>'Off-farm feed'!$O$26</f>
        <v>1.3419073770114991E-5</v>
      </c>
      <c r="Q33" s="32">
        <f>'Off-farm feed'!$P$26</f>
        <v>9.087837837837838E-6</v>
      </c>
      <c r="R33" s="148">
        <f>'Parameters, country spec'!C26</f>
        <v>2.7855163642864746E-2</v>
      </c>
      <c r="S33" s="148">
        <f>'Parameters, country spec'!C44</f>
        <v>2.7855163642864746E-2</v>
      </c>
    </row>
    <row r="34" spans="1:19" x14ac:dyDescent="0.35">
      <c r="B34" s="15" t="s">
        <v>117</v>
      </c>
      <c r="C34" s="15" t="s">
        <v>233</v>
      </c>
      <c r="D34" s="21" t="s">
        <v>36</v>
      </c>
      <c r="E34" s="21" t="s">
        <v>37</v>
      </c>
      <c r="F34" s="579">
        <f t="shared" si="2"/>
        <v>4.044373029707777E-4</v>
      </c>
      <c r="G34" s="93">
        <v>1.0053425703773099E-4</v>
      </c>
      <c r="H34" s="93">
        <v>5.5044E-7</v>
      </c>
      <c r="I34" s="93">
        <v>2.9265964297051902E-4</v>
      </c>
      <c r="K34" s="93">
        <v>1.0413866086089199E-6</v>
      </c>
      <c r="N34" s="12"/>
      <c r="O34" s="12"/>
      <c r="P34" s="93">
        <v>9.3385316151342001E-6</v>
      </c>
      <c r="Q34" s="93">
        <v>3.1304473878454498E-7</v>
      </c>
      <c r="R34" s="148">
        <f>'Parameters, country spec'!C27</f>
        <v>5.6499694118849607E-2</v>
      </c>
      <c r="S34" s="148">
        <f>'Parameters, country spec'!C45</f>
        <v>5.6499694118849607E-2</v>
      </c>
    </row>
    <row r="35" spans="1:19" x14ac:dyDescent="0.35">
      <c r="A35" s="75"/>
      <c r="B35" s="15" t="s">
        <v>234</v>
      </c>
      <c r="C35" s="76" t="s">
        <v>235</v>
      </c>
      <c r="D35" s="21" t="s">
        <v>36</v>
      </c>
      <c r="E35" s="21" t="s">
        <v>37</v>
      </c>
      <c r="F35" s="118">
        <f t="shared" si="2"/>
        <v>9.0138175791622656E-5</v>
      </c>
      <c r="G35" s="74">
        <f>SUMPRODUCT(G25:G33,$R25:$R33)</f>
        <v>2.0800015477726828E-5</v>
      </c>
      <c r="H35" s="74">
        <f t="shared" ref="H35:P35" si="3">SUMPRODUCT(H25:H33,$R25:$R33)</f>
        <v>9.1807032418080487E-8</v>
      </c>
      <c r="I35" s="74">
        <f t="shared" si="3"/>
        <v>6.2019838936787217E-5</v>
      </c>
      <c r="J35" s="74">
        <f t="shared" si="3"/>
        <v>6.2019838936787207E-6</v>
      </c>
      <c r="K35" s="74">
        <f t="shared" si="3"/>
        <v>8.8074964377180332E-8</v>
      </c>
      <c r="L35" s="74">
        <f t="shared" si="3"/>
        <v>0</v>
      </c>
      <c r="M35" s="74">
        <f t="shared" si="3"/>
        <v>5.5075705270950595E-9</v>
      </c>
      <c r="N35" s="74">
        <f t="shared" si="3"/>
        <v>1.3869056879544608E-7</v>
      </c>
      <c r="O35" s="74">
        <f t="shared" si="3"/>
        <v>0</v>
      </c>
      <c r="P35" s="74">
        <f t="shared" si="3"/>
        <v>5.2459556286786257E-7</v>
      </c>
      <c r="Q35" s="74">
        <f>SUMPRODUCT(Q25:Q33,$R25:$R33)</f>
        <v>2.676617844442247E-7</v>
      </c>
      <c r="R35" s="148">
        <f>'Parameters, country spec'!C28</f>
        <v>4.2635518367259616E-2</v>
      </c>
      <c r="S35" s="148">
        <f>'Parameters, country spec'!C46</f>
        <v>4.2635518367259616E-2</v>
      </c>
    </row>
    <row r="36" spans="1:19" x14ac:dyDescent="0.35">
      <c r="A36" s="321"/>
      <c r="B36" s="322" t="s">
        <v>541</v>
      </c>
      <c r="C36" s="323"/>
      <c r="D36" s="324"/>
      <c r="E36" s="324"/>
      <c r="F36" s="327">
        <f>SUMPRODUCT(F22:F24,R22:R24)+SUMPRODUCT(F25:F35,R25:R35)/0.87</f>
        <v>3.3012864446906032E-4</v>
      </c>
      <c r="G36" s="327">
        <f>SUMPRODUCT(G22:G24,R22:R24)+SUMPRODUCT(G25:G35,R25:R35)/0.87</f>
        <v>6.214151774247388E-5</v>
      </c>
      <c r="H36" s="327">
        <f>SUMPRODUCT(H22:H24,R22:R24)+SUMPRODUCT(H25:H35,R25:R35)/0.87</f>
        <v>1.0158622149556531E-6</v>
      </c>
      <c r="I36" s="327">
        <f>SUMPRODUCT(I22:I24,R22:R24)+SUMPRODUCT(I25:I35,R25:R35)/0.87</f>
        <v>2.0502871539760693E-4</v>
      </c>
      <c r="J36" s="327">
        <f>SUMPRODUCT(J22:J24,R22:R24)+SUMPRODUCT(J25:J35,R25:R35)/0.87</f>
        <v>1.8602276101971492E-5</v>
      </c>
      <c r="K36" s="327">
        <f>SUMPRODUCT(K22:K24,R22:R24)+SUMPRODUCT(K25:K35,R25:R35)/0.87</f>
        <v>4.8465428221673261E-7</v>
      </c>
      <c r="L36" s="327">
        <f>SUMPRODUCT(L22:L24,R22:R24)+SUMPRODUCT(L25:L35,R25:R35)/0.87</f>
        <v>0</v>
      </c>
      <c r="M36" s="327">
        <f>SUMPRODUCT(M22:M24,R22:R24)+SUMPRODUCT(M25:M35,R25:R35)/0.87</f>
        <v>1.104823544382944E-7</v>
      </c>
      <c r="N36" s="327">
        <f>SUMPRODUCT(N22:N24,R22:R24)+SUMPRODUCT(N25:N35,R25:R35)/0.87</f>
        <v>1.6621116446975861E-7</v>
      </c>
      <c r="O36" s="327">
        <f>SUMPRODUCT(O22:O24,R22:R24)+SUMPRODUCT(O25:O35,R25:R35)/0.87</f>
        <v>0</v>
      </c>
      <c r="P36" s="327">
        <f>SUMPRODUCT(P22:P24,R22:R24)+SUMPRODUCT(P25:P35,R25:R35)/0.87</f>
        <v>4.223782105534365E-5</v>
      </c>
      <c r="Q36" s="327">
        <f>SUMPRODUCT(Q22:Q24,R22:R24)+SUMPRODUCT(Q25:Q35,R25:R35)/0.87</f>
        <v>3.411041555838527E-7</v>
      </c>
      <c r="R36" s="328"/>
      <c r="S36" s="329"/>
    </row>
    <row r="37" spans="1:19" x14ac:dyDescent="0.35">
      <c r="A37" s="147"/>
      <c r="B37" s="23" t="s">
        <v>428</v>
      </c>
      <c r="C37" s="24"/>
      <c r="D37" s="94"/>
      <c r="E37" s="94"/>
      <c r="F37" s="28">
        <f>SUMPRODUCT(F22:F24,S22:S24)+SUMPRODUCT(F25:F35,S25:S35)/0.87</f>
        <v>3.3012864446906032E-4</v>
      </c>
      <c r="G37" s="28">
        <f>SUMPRODUCT(G22:G24,S22:S24)+SUMPRODUCT(G25:G35,S25:S35)/0.87</f>
        <v>6.214151774247388E-5</v>
      </c>
      <c r="H37" s="28">
        <f>SUMPRODUCT(H22:H24,S22:S24)+SUMPRODUCT(H25:H35,S25:S35)/0.87</f>
        <v>1.0158622149556531E-6</v>
      </c>
      <c r="I37" s="28">
        <f>SUMPRODUCT(I22:I24,S22:S24)+SUMPRODUCT(I25:I35,S25:S35)/0.87</f>
        <v>2.0502871539760693E-4</v>
      </c>
      <c r="J37" s="28">
        <f>SUMPRODUCT(J22:J24,S22:S24)+SUMPRODUCT(J25:J35,S25:S35)/0.87</f>
        <v>1.8602276101971492E-5</v>
      </c>
      <c r="K37" s="28">
        <f>SUMPRODUCT(K22:K24,S22:S24)+SUMPRODUCT(K25:K35,S25:S35)/0.87</f>
        <v>4.8465428221673261E-7</v>
      </c>
      <c r="L37" s="28">
        <f>SUMPRODUCT(L22:L24,S22:S24)+SUMPRODUCT(L25:L35,S25:S35)/0.87</f>
        <v>0</v>
      </c>
      <c r="M37" s="28">
        <f>SUMPRODUCT(M22:M24,S22:S24)+SUMPRODUCT(M25:M35,S25:S35)/0.87</f>
        <v>1.104823544382944E-7</v>
      </c>
      <c r="N37" s="28">
        <f>SUMPRODUCT(N22:N24,S22:S24)+SUMPRODUCT(N25:N35,S25:S35)/0.87</f>
        <v>1.6621116446975861E-7</v>
      </c>
      <c r="O37" s="28">
        <f>SUMPRODUCT(O22:O24,S22:S24)+SUMPRODUCT(O25:O35,S25:S35)/0.87</f>
        <v>0</v>
      </c>
      <c r="P37" s="28">
        <f>SUMPRODUCT(P22:P24,S22:S24)+SUMPRODUCT(P25:P35,S25:S35)/0.87</f>
        <v>4.223782105534365E-5</v>
      </c>
      <c r="Q37" s="28">
        <f>SUMPRODUCT(Q22:Q24,S22:S24)+SUMPRODUCT(Q25:Q35,S25:S35)/0.87</f>
        <v>3.411041555838527E-7</v>
      </c>
      <c r="R37" s="149"/>
      <c r="S37" s="149"/>
    </row>
    <row r="38" spans="1:19" x14ac:dyDescent="0.35">
      <c r="B38" s="16" t="s">
        <v>285</v>
      </c>
      <c r="C38" s="15" t="s">
        <v>288</v>
      </c>
      <c r="D38" s="21" t="s">
        <v>38</v>
      </c>
      <c r="E38" s="21" t="s">
        <v>39</v>
      </c>
      <c r="F38" s="118">
        <f>SUM(G38:Q38)</f>
        <v>2.348214170658229E-4</v>
      </c>
      <c r="G38" s="27">
        <f>'Forage crops, CF'!F21</f>
        <v>4.6431822132832091E-5</v>
      </c>
      <c r="H38" s="27">
        <f>'Forage crops, CF'!G21</f>
        <v>1.1000000000000001E-6</v>
      </c>
      <c r="I38" s="27">
        <f>'Forage crops, CF'!H21</f>
        <v>1.6994172478968788E-4</v>
      </c>
      <c r="J38" s="27">
        <f>'Forage crops, CF'!I21</f>
        <v>1.6994172478968787E-5</v>
      </c>
      <c r="K38" s="27">
        <f>'Forage crops, CF'!J21</f>
        <v>3.5369766433412225E-7</v>
      </c>
      <c r="L38" s="27">
        <f>'Forage crops, CF'!K21</f>
        <v>0</v>
      </c>
      <c r="M38" s="27">
        <f>'Forage crops, CF'!L21</f>
        <v>0</v>
      </c>
      <c r="N38" s="27">
        <f>'Forage crops, CF'!M21</f>
        <v>0</v>
      </c>
      <c r="O38" s="27">
        <f>'Forage crops, CF'!N21</f>
        <v>0</v>
      </c>
      <c r="P38" s="27">
        <f>'Forage crops, CF'!O21</f>
        <v>0</v>
      </c>
      <c r="Q38" s="27">
        <f>'Forage crops, CF'!P21</f>
        <v>0</v>
      </c>
      <c r="R38" s="148">
        <f>'Parameters, country spec'!D15</f>
        <v>0.26457370102986028</v>
      </c>
      <c r="S38" s="148">
        <f>'Parameters, country spec'!D33</f>
        <v>0.26457370102986028</v>
      </c>
    </row>
    <row r="39" spans="1:19" x14ac:dyDescent="0.35">
      <c r="B39" s="16" t="s">
        <v>286</v>
      </c>
      <c r="C39" s="15" t="s">
        <v>288</v>
      </c>
      <c r="D39" s="21" t="s">
        <v>38</v>
      </c>
      <c r="E39" s="21" t="s">
        <v>39</v>
      </c>
      <c r="F39" s="118">
        <f>SUM(G39:Q39)</f>
        <v>2.0525580539015881E-4</v>
      </c>
      <c r="G39" s="27">
        <f>'Forage crops, CF'!F86</f>
        <v>2.691792179512361E-5</v>
      </c>
      <c r="H39" s="27">
        <f>'Forage crops, CF'!G86</f>
        <v>1.1000000000000001E-6</v>
      </c>
      <c r="I39" s="27">
        <f>'Forage crops, CF'!H86</f>
        <v>9.8830343830404321E-5</v>
      </c>
      <c r="J39" s="27">
        <f>'Forage crops, CF'!I86</f>
        <v>9.8830343830404331E-6</v>
      </c>
      <c r="K39" s="27">
        <f>'Forage crops, CF'!J86</f>
        <v>3.5965416741445745E-7</v>
      </c>
      <c r="L39" s="27"/>
      <c r="M39" s="27">
        <f>'Forage crops, CF'!L86</f>
        <v>6.4851214175999985E-8</v>
      </c>
      <c r="N39" s="27">
        <f>'Forage crops, CF'!M86</f>
        <v>0</v>
      </c>
      <c r="O39" s="27"/>
      <c r="P39" s="27">
        <f>'Forage crops, CF'!O86</f>
        <v>6.8099999999999988E-5</v>
      </c>
      <c r="Q39" s="27"/>
      <c r="R39" s="148">
        <f>'Parameters, country spec'!D16</f>
        <v>0.47771254487501524</v>
      </c>
      <c r="S39" s="148">
        <f>'Parameters, country spec'!D34</f>
        <v>0.47771254487501524</v>
      </c>
    </row>
    <row r="40" spans="1:19" x14ac:dyDescent="0.35">
      <c r="B40" s="16" t="s">
        <v>287</v>
      </c>
      <c r="C40" s="15" t="s">
        <v>288</v>
      </c>
      <c r="D40" s="21" t="s">
        <v>38</v>
      </c>
      <c r="E40" s="21" t="s">
        <v>39</v>
      </c>
      <c r="F40" s="118">
        <f>SUM(G40:Q40)</f>
        <v>2.7558574482487621E-4</v>
      </c>
      <c r="G40" s="27">
        <f>'Forage crops, CF'!F151*'Forage, input data per ha'!$E$80+'Forage crops, CF'!F216*'Forage, input data per ha'!$G$80</f>
        <v>4.0134967983783636E-5</v>
      </c>
      <c r="H40" s="27">
        <f>'Forage crops, CF'!G151*'Forage, input data per ha'!$E$80+'Forage crops, CF'!G216*'Forage, input data per ha'!$G$80</f>
        <v>1.1000000000000001E-6</v>
      </c>
      <c r="I40" s="27">
        <f>'Forage crops, CF'!H151*'Forage, input data per ha'!$E$80+'Forage crops, CF'!H216*'Forage, input data per ha'!$G$80</f>
        <v>1.5080315323393381E-4</v>
      </c>
      <c r="J40" s="27">
        <f>'Forage crops, CF'!I151*'Forage, input data per ha'!$E$80+'Forage crops, CF'!I216*'Forage, input data per ha'!$G$80</f>
        <v>1.5080315323393381E-5</v>
      </c>
      <c r="K40" s="27">
        <f>'Forage crops, CF'!J151*'Forage, input data per ha'!$E$80+'Forage crops, CF'!J216*'Forage, input data per ha'!$G$80</f>
        <v>3.6730828376537743E-7</v>
      </c>
      <c r="L40" s="27"/>
      <c r="M40" s="27">
        <f>'Forage crops, CF'!L151*'Forage, input data per ha'!$E$80+'Forage crops, CF'!L216*'Forage, input data per ha'!$G$80</f>
        <v>0</v>
      </c>
      <c r="N40" s="27">
        <f>'Forage crops, CF'!M151*'Forage, input data per ha'!$E$80+'Forage crops, CF'!M216*'Forage, input data per ha'!$G$80</f>
        <v>0</v>
      </c>
      <c r="O40" s="27"/>
      <c r="P40" s="27">
        <f>'Forage crops, CF'!O151*'Forage, input data per ha'!$E$80+'Forage crops, CF'!O216*'Forage, input data per ha'!$G$80</f>
        <v>6.8099999999999975E-5</v>
      </c>
      <c r="Q40" s="27"/>
      <c r="R40" s="148">
        <f>'Parameters, country spec'!D17</f>
        <v>0.13883749692306407</v>
      </c>
      <c r="S40" s="148">
        <f>'Parameters, country spec'!D35</f>
        <v>0.13883749692306407</v>
      </c>
    </row>
    <row r="41" spans="1:19" x14ac:dyDescent="0.35">
      <c r="A41" s="20" t="s">
        <v>222</v>
      </c>
      <c r="B41" s="15" t="s">
        <v>108</v>
      </c>
      <c r="C41" s="15" t="s">
        <v>223</v>
      </c>
      <c r="D41" s="21" t="s">
        <v>38</v>
      </c>
      <c r="E41" s="21" t="s">
        <v>39</v>
      </c>
      <c r="F41" s="118">
        <f>SUM(G41:Q41)</f>
        <v>6.9154900000000007E-4</v>
      </c>
      <c r="G41" s="91">
        <v>1.8000000000000001E-4</v>
      </c>
      <c r="H41" s="92">
        <v>9.9999999999999995E-7</v>
      </c>
      <c r="I41" s="93">
        <v>4.6200000000000001E-4</v>
      </c>
      <c r="J41" s="93">
        <v>4.6199999999999998E-5</v>
      </c>
      <c r="K41" s="93">
        <v>7.6899999999999996E-7</v>
      </c>
      <c r="L41" s="93"/>
      <c r="M41" s="93">
        <v>0</v>
      </c>
      <c r="N41" s="93">
        <v>1.5799999999999999E-6</v>
      </c>
      <c r="O41" s="93"/>
      <c r="P41" s="93"/>
      <c r="Q41" s="12"/>
      <c r="R41" s="148">
        <f>'Parameters, country spec'!D18</f>
        <v>1.298916356294802E-3</v>
      </c>
      <c r="S41" s="148">
        <f>'Parameters, country spec'!D36</f>
        <v>1.298916356294802E-3</v>
      </c>
    </row>
    <row r="42" spans="1:19" x14ac:dyDescent="0.35">
      <c r="A42" s="20" t="s">
        <v>224</v>
      </c>
      <c r="B42" s="15" t="s">
        <v>109</v>
      </c>
      <c r="C42" s="15" t="s">
        <v>223</v>
      </c>
      <c r="D42" s="21" t="s">
        <v>38</v>
      </c>
      <c r="E42" s="21" t="s">
        <v>39</v>
      </c>
      <c r="F42" s="118">
        <f t="shared" ref="F42:F51" si="4">SUM(G42:Q42)</f>
        <v>6.5716690000000003E-4</v>
      </c>
      <c r="G42" s="91">
        <v>1.7000000000000001E-4</v>
      </c>
      <c r="H42" s="92">
        <v>9.9999999999999995E-7</v>
      </c>
      <c r="I42" s="93">
        <v>4.4000000000000002E-4</v>
      </c>
      <c r="J42" s="93">
        <v>4.3999999999999999E-5</v>
      </c>
      <c r="K42" s="93">
        <v>5.2200000000000004E-7</v>
      </c>
      <c r="L42" s="93"/>
      <c r="M42" s="93">
        <v>6.4900000000000005E-8</v>
      </c>
      <c r="N42" s="93">
        <v>1.5799999999999999E-6</v>
      </c>
      <c r="O42" s="93"/>
      <c r="P42" s="93"/>
      <c r="Q42" s="12"/>
      <c r="R42" s="148">
        <f>'Parameters, country spec'!D19</f>
        <v>1.9338522642940996E-3</v>
      </c>
      <c r="S42" s="148">
        <f>'Parameters, country spec'!D37</f>
        <v>1.9338522642940996E-3</v>
      </c>
    </row>
    <row r="43" spans="1:19" x14ac:dyDescent="0.35">
      <c r="A43" s="20" t="s">
        <v>225</v>
      </c>
      <c r="B43" s="15" t="s">
        <v>110</v>
      </c>
      <c r="C43" s="15" t="s">
        <v>223</v>
      </c>
      <c r="D43" s="21" t="s">
        <v>38</v>
      </c>
      <c r="E43" s="21" t="s">
        <v>39</v>
      </c>
      <c r="F43" s="118">
        <f t="shared" si="4"/>
        <v>6.6303239999999995E-4</v>
      </c>
      <c r="G43" s="91">
        <v>1.4999999999999999E-4</v>
      </c>
      <c r="H43" s="92">
        <v>9.9999999999999995E-7</v>
      </c>
      <c r="I43" s="93">
        <v>4.6299999999999998E-4</v>
      </c>
      <c r="J43" s="93">
        <v>4.6300000000000001E-5</v>
      </c>
      <c r="K43" s="93">
        <v>1.1400000000000001E-6</v>
      </c>
      <c r="L43" s="93"/>
      <c r="M43" s="93">
        <v>1.24E-8</v>
      </c>
      <c r="N43" s="93">
        <v>1.5799999999999999E-6</v>
      </c>
      <c r="O43" s="93"/>
      <c r="P43" s="93"/>
      <c r="Q43" s="12"/>
      <c r="R43" s="148">
        <f>'Parameters, country spec'!D20</f>
        <v>2.5855421185781316E-7</v>
      </c>
      <c r="S43" s="148">
        <f>'Parameters, country spec'!D38</f>
        <v>2.5855421185781316E-7</v>
      </c>
    </row>
    <row r="44" spans="1:19" x14ac:dyDescent="0.35">
      <c r="A44" s="20" t="s">
        <v>226</v>
      </c>
      <c r="B44" s="15" t="s">
        <v>111</v>
      </c>
      <c r="C44" s="15" t="s">
        <v>223</v>
      </c>
      <c r="D44" s="21" t="s">
        <v>38</v>
      </c>
      <c r="E44" s="21" t="s">
        <v>39</v>
      </c>
      <c r="F44" s="118">
        <f t="shared" si="4"/>
        <v>6.0995899999999998E-4</v>
      </c>
      <c r="G44" s="91">
        <v>1.3999999999999999E-4</v>
      </c>
      <c r="H44" s="92">
        <v>9.9999999999999995E-7</v>
      </c>
      <c r="I44" s="93">
        <v>4.2400000000000001E-4</v>
      </c>
      <c r="J44" s="93">
        <v>4.2400000000000001E-5</v>
      </c>
      <c r="K44" s="93">
        <v>9.7900000000000007E-7</v>
      </c>
      <c r="L44" s="93"/>
      <c r="M44" s="93">
        <v>0</v>
      </c>
      <c r="N44" s="93">
        <v>1.5799999999999999E-6</v>
      </c>
      <c r="O44" s="93"/>
      <c r="P44" s="93"/>
      <c r="Q44" s="12"/>
      <c r="R44" s="148">
        <f>'Parameters, country spec'!D21</f>
        <v>2.1217635552166355E-4</v>
      </c>
      <c r="S44" s="148">
        <f>'Parameters, country spec'!D39</f>
        <v>2.1217635552166355E-4</v>
      </c>
    </row>
    <row r="45" spans="1:19" x14ac:dyDescent="0.35">
      <c r="A45" s="20" t="s">
        <v>227</v>
      </c>
      <c r="B45" s="15" t="s">
        <v>112</v>
      </c>
      <c r="C45" s="15" t="s">
        <v>223</v>
      </c>
      <c r="D45" s="21" t="s">
        <v>38</v>
      </c>
      <c r="E45" s="21" t="s">
        <v>39</v>
      </c>
      <c r="F45" s="118">
        <f t="shared" si="4"/>
        <v>7.9177509000000017E-4</v>
      </c>
      <c r="G45" s="91">
        <v>2.0000000000000001E-4</v>
      </c>
      <c r="H45" s="92">
        <v>9.9999999999999995E-7</v>
      </c>
      <c r="I45" s="93">
        <v>5.3499999999999999E-4</v>
      </c>
      <c r="J45" s="93">
        <v>5.3499999999999999E-5</v>
      </c>
      <c r="K45" s="93">
        <v>6.92E-7</v>
      </c>
      <c r="L45" s="93"/>
      <c r="M45" s="93">
        <v>3.0899999999999999E-9</v>
      </c>
      <c r="N45" s="93">
        <v>1.5799999999999999E-6</v>
      </c>
      <c r="O45" s="93"/>
      <c r="P45" s="93"/>
      <c r="Q45" s="12"/>
      <c r="R45" s="148">
        <f>'Parameters, country spec'!D22</f>
        <v>4.3386015699034622E-3</v>
      </c>
      <c r="S45" s="148">
        <f>'Parameters, country spec'!D40</f>
        <v>4.3386015699034622E-3</v>
      </c>
    </row>
    <row r="46" spans="1:19" x14ac:dyDescent="0.35">
      <c r="A46" s="20" t="s">
        <v>228</v>
      </c>
      <c r="B46" s="15" t="s">
        <v>113</v>
      </c>
      <c r="C46" s="15" t="s">
        <v>229</v>
      </c>
      <c r="D46" s="21" t="s">
        <v>38</v>
      </c>
      <c r="E46" s="21" t="s">
        <v>39</v>
      </c>
      <c r="F46" s="118">
        <f t="shared" si="4"/>
        <v>3.4280618000000006E-4</v>
      </c>
      <c r="G46" s="91">
        <v>0</v>
      </c>
      <c r="H46" s="92">
        <v>9.9999999999999995E-7</v>
      </c>
      <c r="I46" s="93">
        <v>3.0800000000000001E-4</v>
      </c>
      <c r="J46" s="93">
        <v>3.0800000000000003E-5</v>
      </c>
      <c r="K46" s="93">
        <v>1.42E-6</v>
      </c>
      <c r="L46" s="93"/>
      <c r="M46" s="93">
        <v>6.1799999999999998E-9</v>
      </c>
      <c r="N46" s="93">
        <v>1.5799999999999999E-6</v>
      </c>
      <c r="O46" s="93"/>
      <c r="P46" s="93"/>
      <c r="Q46" s="12"/>
      <c r="R46" s="148">
        <f>'Parameters, country spec'!D23</f>
        <v>2.7051994141606358E-4</v>
      </c>
      <c r="S46" s="148">
        <f>'Parameters, country spec'!D41</f>
        <v>2.7051994141606358E-4</v>
      </c>
    </row>
    <row r="47" spans="1:19" x14ac:dyDescent="0.35">
      <c r="A47" s="20" t="s">
        <v>230</v>
      </c>
      <c r="B47" s="15" t="s">
        <v>114</v>
      </c>
      <c r="C47" s="15" t="s">
        <v>229</v>
      </c>
      <c r="D47" s="21" t="s">
        <v>38</v>
      </c>
      <c r="E47" s="21" t="s">
        <v>39</v>
      </c>
      <c r="F47" s="118">
        <f t="shared" si="4"/>
        <v>3.6247300000000004E-4</v>
      </c>
      <c r="G47" s="91">
        <v>8.6000000000000007E-6</v>
      </c>
      <c r="H47" s="92">
        <v>9.9999999999999995E-7</v>
      </c>
      <c r="I47" s="93">
        <v>3.1799999999999998E-4</v>
      </c>
      <c r="J47" s="93">
        <v>3.18E-5</v>
      </c>
      <c r="K47" s="93">
        <v>1.24E-6</v>
      </c>
      <c r="L47" s="93"/>
      <c r="M47" s="93">
        <v>2.53E-7</v>
      </c>
      <c r="N47" s="93">
        <v>1.5799999999999999E-6</v>
      </c>
      <c r="O47" s="93"/>
      <c r="P47" s="93"/>
      <c r="Q47" s="12"/>
      <c r="R47" s="148">
        <f>'Parameters, country spec'!D24</f>
        <v>2.6573972962751311E-4</v>
      </c>
      <c r="S47" s="148">
        <f>'Parameters, country spec'!D42</f>
        <v>2.6573972962751311E-4</v>
      </c>
    </row>
    <row r="48" spans="1:19" x14ac:dyDescent="0.35">
      <c r="B48" s="16" t="s">
        <v>115</v>
      </c>
      <c r="C48" s="15" t="s">
        <v>231</v>
      </c>
      <c r="D48" s="21" t="s">
        <v>38</v>
      </c>
      <c r="E48" s="21" t="s">
        <v>39</v>
      </c>
      <c r="F48" s="118">
        <f t="shared" si="4"/>
        <v>1.5426052012212825E-3</v>
      </c>
      <c r="G48" s="32">
        <f>'Off-farm feed'!$F$77</f>
        <v>3.5160526410462907E-4</v>
      </c>
      <c r="H48" s="32">
        <f>'Off-farm feed'!$G$77</f>
        <v>5.3103448275862083E-7</v>
      </c>
      <c r="I48" s="32">
        <f>'Off-farm feed'!$H$77</f>
        <v>1.0756102664162708E-3</v>
      </c>
      <c r="J48" s="32">
        <f>'Off-farm feed'!$I$77</f>
        <v>1.0756102664162706E-4</v>
      </c>
      <c r="K48" s="32">
        <f>'Off-farm feed'!$J$77</f>
        <v>6.6339607025480414E-7</v>
      </c>
      <c r="L48" s="32"/>
      <c r="M48" s="32">
        <f>'Off-farm feed'!$L$77</f>
        <v>7.9511067188965511E-9</v>
      </c>
      <c r="N48" s="32">
        <f>'Off-farm feed'!$M$77</f>
        <v>1.2789681892721844E-6</v>
      </c>
      <c r="O48" s="32"/>
      <c r="P48" s="32">
        <f>'Off-farm feed'!$O$77</f>
        <v>4.8776996151562902E-6</v>
      </c>
      <c r="Q48" s="32">
        <f>'Off-farm feed'!$P$77</f>
        <v>4.6959459459459463E-7</v>
      </c>
      <c r="R48" s="148">
        <f>'Parameters, country spec'!D25</f>
        <v>2.7355781220453596E-2</v>
      </c>
      <c r="S48" s="148">
        <f>'Parameters, country spec'!D43</f>
        <v>2.7355781220453596E-2</v>
      </c>
    </row>
    <row r="49" spans="1:19" x14ac:dyDescent="0.35">
      <c r="B49" s="16" t="s">
        <v>232</v>
      </c>
      <c r="C49" s="15" t="s">
        <v>231</v>
      </c>
      <c r="D49" s="21" t="s">
        <v>38</v>
      </c>
      <c r="E49" s="21" t="s">
        <v>39</v>
      </c>
      <c r="F49" s="118">
        <f t="shared" si="4"/>
        <v>1.8866346644602505E-4</v>
      </c>
      <c r="G49" s="32">
        <f>'Off-farm feed'!$F$26</f>
        <v>1.6332109719061441E-5</v>
      </c>
      <c r="H49" s="32">
        <f>'Off-farm feed'!$G$26</f>
        <v>8.7195121951219526E-7</v>
      </c>
      <c r="I49" s="32">
        <f>'Off-farm feed'!$H$26</f>
        <v>1.3333449845358202E-4</v>
      </c>
      <c r="J49" s="32">
        <f>'Off-farm feed'!$I$26</f>
        <v>1.3333449845358203E-5</v>
      </c>
      <c r="K49" s="32">
        <f>'Off-farm feed'!$J$26</f>
        <v>1.1576736579983931E-6</v>
      </c>
      <c r="L49" s="32"/>
      <c r="M49" s="32">
        <f>'Off-farm feed'!$L$26</f>
        <v>7.3437786087804866E-9</v>
      </c>
      <c r="N49" s="32">
        <f>'Off-farm feed'!$M$26</f>
        <v>1.1195281639512197E-6</v>
      </c>
      <c r="O49" s="32"/>
      <c r="P49" s="32">
        <f>'Off-farm feed'!$O$26</f>
        <v>1.3419073770114991E-5</v>
      </c>
      <c r="Q49" s="32">
        <f>'Off-farm feed'!$P$26</f>
        <v>9.087837837837838E-6</v>
      </c>
      <c r="R49" s="148">
        <f>'Parameters, country spec'!D26</f>
        <v>2.6285117627784533E-2</v>
      </c>
      <c r="S49" s="148">
        <f>'Parameters, country spec'!D44</f>
        <v>2.6285117627784533E-2</v>
      </c>
    </row>
    <row r="50" spans="1:19" x14ac:dyDescent="0.35">
      <c r="B50" s="15" t="s">
        <v>117</v>
      </c>
      <c r="C50" s="15" t="s">
        <v>233</v>
      </c>
      <c r="D50" s="21" t="s">
        <v>38</v>
      </c>
      <c r="E50" s="21" t="s">
        <v>39</v>
      </c>
      <c r="F50" s="579">
        <f t="shared" si="4"/>
        <v>4.1534401534079949E-4</v>
      </c>
      <c r="G50" s="93">
        <v>1.0007435690198499E-4</v>
      </c>
      <c r="H50" s="93">
        <v>5.5044E-7</v>
      </c>
      <c r="I50" s="93">
        <v>2.8937314609885501E-4</v>
      </c>
      <c r="K50" s="93">
        <v>1.1474806386195299E-6</v>
      </c>
      <c r="N50" s="12"/>
      <c r="O50" s="12"/>
      <c r="P50" s="93">
        <v>2.3492890101997999E-5</v>
      </c>
      <c r="Q50" s="93">
        <v>7.0570159934197997E-7</v>
      </c>
      <c r="R50" s="148">
        <f>'Parameters, country spec'!D27</f>
        <v>4.2051693837096289E-2</v>
      </c>
      <c r="S50" s="148">
        <f>'Parameters, country spec'!D45</f>
        <v>4.2051693837096289E-2</v>
      </c>
    </row>
    <row r="51" spans="1:19" x14ac:dyDescent="0.35">
      <c r="A51" s="75"/>
      <c r="B51" s="15" t="s">
        <v>234</v>
      </c>
      <c r="C51" s="76" t="s">
        <v>235</v>
      </c>
      <c r="D51" s="21" t="s">
        <v>38</v>
      </c>
      <c r="E51" s="21" t="s">
        <v>39</v>
      </c>
      <c r="F51" s="118">
        <f t="shared" si="4"/>
        <v>5.3081186147295639E-5</v>
      </c>
      <c r="G51" s="74">
        <f>SUMPRODUCT(G41:G49,$R41:$R49)</f>
        <v>1.1510037083504814E-5</v>
      </c>
      <c r="H51" s="74">
        <f t="shared" ref="H51:P51" si="5">SUMPRODUCT(H41:H49,$R41:$R49)</f>
        <v>4.5766268272699253E-8</v>
      </c>
      <c r="I51" s="74">
        <f t="shared" si="5"/>
        <v>3.6958926156366294E-5</v>
      </c>
      <c r="J51" s="74">
        <f t="shared" si="5"/>
        <v>3.6958926156366292E-6</v>
      </c>
      <c r="K51" s="74">
        <f t="shared" si="5"/>
        <v>5.4509626867206019E-8</v>
      </c>
      <c r="L51" s="74">
        <f t="shared" si="5"/>
        <v>0</v>
      </c>
      <c r="M51" s="74">
        <f t="shared" si="5"/>
        <v>6.1836128213644357E-10</v>
      </c>
      <c r="N51" s="74">
        <f t="shared" si="5"/>
        <v>7.7559805789330768E-8</v>
      </c>
      <c r="O51" s="74">
        <f t="shared" si="5"/>
        <v>0</v>
      </c>
      <c r="P51" s="74">
        <f t="shared" si="5"/>
        <v>4.8615521603469676E-7</v>
      </c>
      <c r="Q51" s="74">
        <f>SUMPRODUCT(Q41:Q49,$R41:$R49)</f>
        <v>2.5172101354183597E-7</v>
      </c>
      <c r="R51" s="148">
        <f>'Parameters, country spec'!D28</f>
        <v>1.4863599715456545E-2</v>
      </c>
      <c r="S51" s="148">
        <f>'Parameters, country spec'!D46</f>
        <v>1.4863599715456545E-2</v>
      </c>
    </row>
    <row r="52" spans="1:19" x14ac:dyDescent="0.35">
      <c r="A52" s="321"/>
      <c r="B52" s="322" t="s">
        <v>541</v>
      </c>
      <c r="C52" s="323"/>
      <c r="D52" s="324"/>
      <c r="E52" s="324"/>
      <c r="F52" s="327">
        <f>SUMPRODUCT(F38:F40,R38:R40)+SUMPRODUCT(F41:F51,R41:R51)/0.87</f>
        <v>2.8043797726169737E-4</v>
      </c>
      <c r="G52" s="327">
        <f>SUMPRODUCT(G38:G40,R38:R40)+SUMPRODUCT(G41:G51,R41:R51)/0.87</f>
        <v>4.8979600565166574E-5</v>
      </c>
      <c r="H52" s="327">
        <f>SUMPRODUCT(H38:H40,R38:R40)+SUMPRODUCT(H41:H51,R41:R51)/0.87</f>
        <v>1.0492285931112695E-6</v>
      </c>
      <c r="I52" s="327">
        <f>SUMPRODUCT(I38:I40,R38:R40)+SUMPRODUCT(I41:I51,R41:R51)/0.87</f>
        <v>1.7021162328265842E-4</v>
      </c>
      <c r="J52" s="327">
        <f>SUMPRODUCT(J38:J40,R38:R40)+SUMPRODUCT(J41:J51,R41:R51)/0.87</f>
        <v>1.5622469116262811E-5</v>
      </c>
      <c r="K52" s="327">
        <f>SUMPRODUCT(K38:K40,R38:R40)+SUMPRODUCT(K41:K51,R41:R51)/0.87</f>
        <v>4.354363872345852E-7</v>
      </c>
      <c r="L52" s="327">
        <f>SUMPRODUCT(L38:L40,R38:R40)+SUMPRODUCT(L41:L51,R41:R51)/0.87</f>
        <v>0</v>
      </c>
      <c r="M52" s="327">
        <f>SUMPRODUCT(M38:M40,R38:R40)+SUMPRODUCT(M41:M51,R41:R51)/0.87</f>
        <v>3.1701563110198349E-8</v>
      </c>
      <c r="N52" s="327">
        <f>SUMPRODUCT(N38:N40,R38:R40)+SUMPRODUCT(N41:N51,R41:R51)/0.87</f>
        <v>9.0474280111025217E-8</v>
      </c>
      <c r="O52" s="327">
        <f>SUMPRODUCT(O38:O40,R38:R40)+SUMPRODUCT(O41:O51,R41:R51)/0.87</f>
        <v>0</v>
      </c>
      <c r="P52" s="327">
        <f>SUMPRODUCT(P38:P40,R38:R40)+SUMPRODUCT(P41:P51,R41:R51)/0.87</f>
        <v>4.3689698138958605E-5</v>
      </c>
      <c r="Q52" s="327">
        <f>SUMPRODUCT(Q38:Q40,R38:R40)+SUMPRODUCT(Q41:Q51,R41:R51)/0.87</f>
        <v>3.2774533508387238E-7</v>
      </c>
      <c r="R52" s="328"/>
      <c r="S52" s="329"/>
    </row>
    <row r="53" spans="1:19" x14ac:dyDescent="0.35">
      <c r="A53" s="147"/>
      <c r="B53" s="23" t="s">
        <v>428</v>
      </c>
      <c r="C53" s="24"/>
      <c r="D53" s="94"/>
      <c r="E53" s="94"/>
      <c r="F53" s="28">
        <f>SUMPRODUCT(F38:F40,S38:S40)+SUMPRODUCT(F41:F51,S41:S51)/0.87</f>
        <v>2.8043797726169737E-4</v>
      </c>
      <c r="G53" s="28">
        <f>SUMPRODUCT(G38:G40,S38:S40)+SUMPRODUCT(G41:G51,S41:S51)/0.87</f>
        <v>4.8979600565166574E-5</v>
      </c>
      <c r="H53" s="28">
        <f>SUMPRODUCT(H38:H40,S38:S40)+SUMPRODUCT(H41:H51,S41:S51)/0.87</f>
        <v>1.0492285931112695E-6</v>
      </c>
      <c r="I53" s="28">
        <f>SUMPRODUCT(I38:I40,S38:S40)+SUMPRODUCT(I41:I51,S41:S51)/0.87</f>
        <v>1.7021162328265842E-4</v>
      </c>
      <c r="J53" s="28">
        <f>SUMPRODUCT(J38:J40,S38:S40)+SUMPRODUCT(J41:J51,S41:S51)/0.87</f>
        <v>1.5622469116262811E-5</v>
      </c>
      <c r="K53" s="28">
        <f>SUMPRODUCT(K38:K40,S38:S40)+SUMPRODUCT(K41:K51,S41:S51)/0.87</f>
        <v>4.354363872345852E-7</v>
      </c>
      <c r="L53" s="28">
        <f>SUMPRODUCT(L38:L40,S38:S40)+SUMPRODUCT(L41:L51,S41:S51)/0.87</f>
        <v>0</v>
      </c>
      <c r="M53" s="28">
        <f>SUMPRODUCT(M38:M40,S38:S40)+SUMPRODUCT(M41:M51,S41:S51)/0.87</f>
        <v>3.1701563110198349E-8</v>
      </c>
      <c r="N53" s="28">
        <f>SUMPRODUCT(N38:N40,S38:S40)+SUMPRODUCT(N41:N51,S41:S51)/0.87</f>
        <v>9.0474280111025217E-8</v>
      </c>
      <c r="O53" s="28">
        <f>SUMPRODUCT(O38:O40,S38:S40)+SUMPRODUCT(O41:O51,S41:S51)/0.87</f>
        <v>0</v>
      </c>
      <c r="P53" s="28">
        <f>SUMPRODUCT(P38:P40,S38:S40)+SUMPRODUCT(P41:P51,S41:S51)/0.87</f>
        <v>4.3689698138958605E-5</v>
      </c>
      <c r="Q53" s="28">
        <f>SUMPRODUCT(Q38:Q40,S38:S40)+SUMPRODUCT(Q41:Q51,S41:S51)/0.87</f>
        <v>3.2774533508387238E-7</v>
      </c>
      <c r="R53" s="149"/>
      <c r="S53" s="149"/>
    </row>
    <row r="54" spans="1:19" x14ac:dyDescent="0.35">
      <c r="B54" s="16" t="s">
        <v>285</v>
      </c>
      <c r="C54" s="15" t="s">
        <v>288</v>
      </c>
      <c r="D54" s="21" t="s">
        <v>40</v>
      </c>
      <c r="E54" s="21" t="s">
        <v>41</v>
      </c>
      <c r="F54" s="118">
        <f>SUM(G54:Q54)</f>
        <v>2.412429127614697E-4</v>
      </c>
      <c r="G54" s="27">
        <f>'Forage crops, CF'!F26</f>
        <v>4.7791180802654265E-5</v>
      </c>
      <c r="H54" s="27">
        <f>'Forage crops, CF'!G26</f>
        <v>1.1000000000000001E-6</v>
      </c>
      <c r="I54" s="27">
        <f>'Forage crops, CF'!H26</f>
        <v>1.7407334076117382E-4</v>
      </c>
      <c r="J54" s="27">
        <f>'Forage crops, CF'!I26</f>
        <v>1.7407334076117384E-5</v>
      </c>
      <c r="K54" s="27">
        <f>'Forage crops, CF'!J26</f>
        <v>8.7105712152424362E-7</v>
      </c>
      <c r="L54" s="27">
        <f>'Forage crops, CF'!K26</f>
        <v>0</v>
      </c>
      <c r="M54" s="27">
        <f>'Forage crops, CF'!L26</f>
        <v>0</v>
      </c>
      <c r="N54" s="27">
        <f>'Forage crops, CF'!M26</f>
        <v>0</v>
      </c>
      <c r="O54" s="27">
        <f>'Forage crops, CF'!N26</f>
        <v>0</v>
      </c>
      <c r="P54" s="27">
        <f>'Forage crops, CF'!O26</f>
        <v>0</v>
      </c>
      <c r="Q54" s="27">
        <f>'Forage crops, CF'!P26</f>
        <v>0</v>
      </c>
      <c r="R54" s="148">
        <f>'Parameters, country spec'!E15</f>
        <v>0.3707697249953647</v>
      </c>
      <c r="S54" s="148">
        <f>'Parameters, country spec'!E33</f>
        <v>0.3707697249953647</v>
      </c>
    </row>
    <row r="55" spans="1:19" x14ac:dyDescent="0.35">
      <c r="B55" s="16" t="s">
        <v>286</v>
      </c>
      <c r="C55" s="15" t="s">
        <v>288</v>
      </c>
      <c r="D55" s="21" t="s">
        <v>40</v>
      </c>
      <c r="E55" s="21" t="s">
        <v>41</v>
      </c>
      <c r="F55" s="118">
        <f>SUM(G55:Q55)</f>
        <v>1.0428937458682038E-3</v>
      </c>
      <c r="G55" s="27">
        <f>'Forage crops, CF'!F91</f>
        <v>2.1953423334417359E-4</v>
      </c>
      <c r="H55" s="27">
        <f>'Forage crops, CF'!G91</f>
        <v>1.1000000000000001E-6</v>
      </c>
      <c r="I55" s="27">
        <f>'Forage crops, CF'!H91</f>
        <v>6.842657015707418E-4</v>
      </c>
      <c r="J55" s="27">
        <f>'Forage crops, CF'!I91</f>
        <v>6.842657015707418E-5</v>
      </c>
      <c r="K55" s="27">
        <f>'Forage crops, CF'!J91</f>
        <v>8.3108126667827814E-7</v>
      </c>
      <c r="L55" s="27"/>
      <c r="M55" s="27">
        <f>'Forage crops, CF'!L91</f>
        <v>6.3615952953599989E-7</v>
      </c>
      <c r="N55" s="27">
        <f>'Forage crops, CF'!M91</f>
        <v>0</v>
      </c>
      <c r="O55" s="27"/>
      <c r="P55" s="27">
        <f>'Forage crops, CF'!O91</f>
        <v>6.8099999999999988E-5</v>
      </c>
      <c r="Q55" s="27"/>
      <c r="R55" s="148">
        <f>'Parameters, country spec'!E16</f>
        <v>0.13544388222799708</v>
      </c>
      <c r="S55" s="148">
        <f>'Parameters, country spec'!E34</f>
        <v>0.13544388222799708</v>
      </c>
    </row>
    <row r="56" spans="1:19" x14ac:dyDescent="0.35">
      <c r="B56" s="16" t="s">
        <v>287</v>
      </c>
      <c r="C56" s="15" t="s">
        <v>288</v>
      </c>
      <c r="D56" s="21" t="s">
        <v>40</v>
      </c>
      <c r="E56" s="21" t="s">
        <v>41</v>
      </c>
      <c r="F56" s="118">
        <f>SUM(G56:Q56)</f>
        <v>1.8893065914416004E-4</v>
      </c>
      <c r="G56" s="27">
        <f>'Forage crops, CF'!F156*'Forage, input data per ha'!$E$81+'Forage crops, CF'!F221*'Forage, input data per ha'!$G$81</f>
        <v>2.0089368845286376E-5</v>
      </c>
      <c r="H56" s="27">
        <f>'Forage crops, CF'!G156*'Forage, input data per ha'!$E$81+'Forage crops, CF'!G221*'Forage, input data per ha'!$G$81</f>
        <v>1.1000000000000001E-6</v>
      </c>
      <c r="I56" s="27">
        <f>'Forage crops, CF'!H156*'Forage, input data per ha'!$E$81+'Forage crops, CF'!H221*'Forage, input data per ha'!$G$81</f>
        <v>8.9876835995338403E-5</v>
      </c>
      <c r="J56" s="27">
        <f>'Forage crops, CF'!I156*'Forage, input data per ha'!$E$81+'Forage crops, CF'!I221*'Forage, input data per ha'!$G$81</f>
        <v>8.9876835995338424E-6</v>
      </c>
      <c r="K56" s="27">
        <f>'Forage crops, CF'!J156*'Forage, input data per ha'!$E$81+'Forage crops, CF'!J221*'Forage, input data per ha'!$G$81</f>
        <v>7.7677070400142466E-7</v>
      </c>
      <c r="L56" s="27"/>
      <c r="M56" s="27">
        <f>'Forage crops, CF'!L156*'Forage, input data per ha'!$E$81+'Forage crops, CF'!L221*'Forage, input data per ha'!$G$81</f>
        <v>0</v>
      </c>
      <c r="N56" s="27">
        <f>'Forage crops, CF'!M156*'Forage, input data per ha'!$E$81+'Forage crops, CF'!M221*'Forage, input data per ha'!$G$81</f>
        <v>0</v>
      </c>
      <c r="O56" s="27"/>
      <c r="P56" s="27">
        <f>'Forage crops, CF'!O156*'Forage, input data per ha'!$E$81+'Forage crops, CF'!O221*'Forage, input data per ha'!$G$81</f>
        <v>6.8099999999999988E-5</v>
      </c>
      <c r="Q56" s="27"/>
      <c r="R56" s="148">
        <f>'Parameters, country spec'!E17</f>
        <v>3.5518223853143398E-2</v>
      </c>
      <c r="S56" s="148">
        <f>'Parameters, country spec'!E35</f>
        <v>3.5518223853143398E-2</v>
      </c>
    </row>
    <row r="57" spans="1:19" x14ac:dyDescent="0.35">
      <c r="A57" s="20" t="s">
        <v>222</v>
      </c>
      <c r="B57" s="15" t="s">
        <v>108</v>
      </c>
      <c r="C57" s="15" t="s">
        <v>223</v>
      </c>
      <c r="D57" s="21" t="s">
        <v>40</v>
      </c>
      <c r="E57" s="21" t="s">
        <v>41</v>
      </c>
      <c r="F57" s="118">
        <f>SUM(G57:Q57)</f>
        <v>5.3860780000000003E-4</v>
      </c>
      <c r="G57" s="93">
        <v>1.8000000000000001E-4</v>
      </c>
      <c r="H57" s="93">
        <v>9.9999999999999995E-7</v>
      </c>
      <c r="I57" s="93">
        <v>3.2200000000000002E-4</v>
      </c>
      <c r="J57" s="93">
        <v>3.2199999999999997E-5</v>
      </c>
      <c r="K57" s="93">
        <v>1.77E-6</v>
      </c>
      <c r="L57" s="93"/>
      <c r="M57" s="93">
        <v>2.7800000000000001E-8</v>
      </c>
      <c r="N57" s="93">
        <v>1.61E-6</v>
      </c>
      <c r="O57" s="93"/>
      <c r="P57" s="93"/>
      <c r="Q57" s="93"/>
      <c r="R57" s="148">
        <f>'Parameters, country spec'!E18</f>
        <v>6.7240073264057107E-2</v>
      </c>
      <c r="S57" s="148">
        <f>'Parameters, country spec'!E36</f>
        <v>6.7240073264057107E-2</v>
      </c>
    </row>
    <row r="58" spans="1:19" x14ac:dyDescent="0.35">
      <c r="A58" s="20" t="s">
        <v>224</v>
      </c>
      <c r="B58" s="15" t="s">
        <v>109</v>
      </c>
      <c r="C58" s="15" t="s">
        <v>223</v>
      </c>
      <c r="D58" s="21" t="s">
        <v>40</v>
      </c>
      <c r="E58" s="21" t="s">
        <v>41</v>
      </c>
      <c r="F58" s="118">
        <f t="shared" ref="F58:F67" si="6">SUM(G58:Q58)</f>
        <v>4.1570499999999999E-4</v>
      </c>
      <c r="G58" s="93">
        <v>1.7000000000000001E-4</v>
      </c>
      <c r="H58" s="93">
        <v>9.9999999999999995E-7</v>
      </c>
      <c r="I58" s="93">
        <v>2.2000000000000001E-4</v>
      </c>
      <c r="J58" s="93">
        <v>2.1999999999999999E-5</v>
      </c>
      <c r="K58" s="93">
        <v>4.5900000000000002E-7</v>
      </c>
      <c r="L58" s="93"/>
      <c r="M58" s="93">
        <v>6.3600000000000003E-7</v>
      </c>
      <c r="N58" s="93">
        <v>1.61E-6</v>
      </c>
      <c r="O58" s="93"/>
      <c r="P58" s="93"/>
      <c r="Q58" s="93"/>
      <c r="R58" s="148">
        <f>'Parameters, country spec'!E19</f>
        <v>0.20110909949687941</v>
      </c>
      <c r="S58" s="148">
        <f>'Parameters, country spec'!E37</f>
        <v>0.20110909949687941</v>
      </c>
    </row>
    <row r="59" spans="1:19" x14ac:dyDescent="0.35">
      <c r="A59" s="20" t="s">
        <v>225</v>
      </c>
      <c r="B59" s="15" t="s">
        <v>110</v>
      </c>
      <c r="C59" s="15" t="s">
        <v>223</v>
      </c>
      <c r="D59" s="21" t="s">
        <v>40</v>
      </c>
      <c r="E59" s="21" t="s">
        <v>41</v>
      </c>
      <c r="F59" s="118">
        <f t="shared" si="6"/>
        <v>4.1096199999999996E-4</v>
      </c>
      <c r="G59" s="93">
        <v>1.4999999999999999E-4</v>
      </c>
      <c r="H59" s="93">
        <v>9.9999999999999995E-7</v>
      </c>
      <c r="I59" s="93">
        <v>2.31E-4</v>
      </c>
      <c r="J59" s="93">
        <v>2.3099999999999999E-5</v>
      </c>
      <c r="K59" s="93">
        <v>3.7299999999999999E-6</v>
      </c>
      <c r="L59" s="93"/>
      <c r="M59" s="93">
        <v>5.2200000000000004E-7</v>
      </c>
      <c r="N59" s="93">
        <v>1.61E-6</v>
      </c>
      <c r="O59" s="93"/>
      <c r="P59" s="93"/>
      <c r="Q59" s="93"/>
      <c r="R59" s="148">
        <f>'Parameters, country spec'!E20</f>
        <v>1.8273719871874414E-2</v>
      </c>
      <c r="S59" s="148">
        <f>'Parameters, country spec'!E38</f>
        <v>1.8273719871874414E-2</v>
      </c>
    </row>
    <row r="60" spans="1:19" x14ac:dyDescent="0.35">
      <c r="A60" s="20" t="s">
        <v>226</v>
      </c>
      <c r="B60" s="15" t="s">
        <v>111</v>
      </c>
      <c r="C60" s="15" t="s">
        <v>223</v>
      </c>
      <c r="D60" s="21" t="s">
        <v>40</v>
      </c>
      <c r="E60" s="21" t="s">
        <v>41</v>
      </c>
      <c r="F60" s="118">
        <f t="shared" si="6"/>
        <v>3.7824308999999997E-4</v>
      </c>
      <c r="G60" s="93">
        <v>1.3999999999999999E-4</v>
      </c>
      <c r="H60" s="93">
        <v>9.9999999999999995E-7</v>
      </c>
      <c r="I60" s="93">
        <v>2.12E-4</v>
      </c>
      <c r="J60" s="93">
        <v>2.12E-5</v>
      </c>
      <c r="K60" s="93">
        <v>2.43E-6</v>
      </c>
      <c r="L60" s="93"/>
      <c r="M60" s="93">
        <v>3.0899999999999999E-9</v>
      </c>
      <c r="N60" s="93">
        <v>1.61E-6</v>
      </c>
      <c r="O60" s="93"/>
      <c r="P60" s="93"/>
      <c r="Q60" s="93"/>
      <c r="R60" s="148">
        <f>'Parameters, country spec'!E21</f>
        <v>4.0305382311056149E-3</v>
      </c>
      <c r="S60" s="148">
        <f>'Parameters, country spec'!E39</f>
        <v>4.0305382311056149E-3</v>
      </c>
    </row>
    <row r="61" spans="1:19" x14ac:dyDescent="0.35">
      <c r="A61" s="20" t="s">
        <v>227</v>
      </c>
      <c r="B61" s="15" t="s">
        <v>112</v>
      </c>
      <c r="C61" s="15" t="s">
        <v>223</v>
      </c>
      <c r="D61" s="21" t="s">
        <v>40</v>
      </c>
      <c r="E61" s="21" t="s">
        <v>41</v>
      </c>
      <c r="F61" s="118">
        <f t="shared" si="6"/>
        <v>4.992703E-4</v>
      </c>
      <c r="G61" s="93">
        <v>2.0000000000000001E-4</v>
      </c>
      <c r="H61" s="93">
        <v>9.9999999999999995E-7</v>
      </c>
      <c r="I61" s="93">
        <v>2.6800000000000001E-4</v>
      </c>
      <c r="J61" s="93">
        <v>2.6800000000000001E-5</v>
      </c>
      <c r="K61" s="93">
        <v>1.7799999999999999E-6</v>
      </c>
      <c r="L61" s="93"/>
      <c r="M61" s="93">
        <v>8.0299999999999998E-8</v>
      </c>
      <c r="N61" s="93">
        <v>1.61E-6</v>
      </c>
      <c r="O61" s="93"/>
      <c r="P61" s="93"/>
      <c r="Q61" s="93"/>
      <c r="R61" s="148">
        <f>'Parameters, country spec'!E22</f>
        <v>2.8904067051552513E-3</v>
      </c>
      <c r="S61" s="148">
        <f>'Parameters, country spec'!E40</f>
        <v>2.8904067051552513E-3</v>
      </c>
    </row>
    <row r="62" spans="1:19" x14ac:dyDescent="0.35">
      <c r="A62" s="20" t="s">
        <v>228</v>
      </c>
      <c r="B62" s="15" t="s">
        <v>113</v>
      </c>
      <c r="C62" s="15" t="s">
        <v>229</v>
      </c>
      <c r="D62" s="21" t="s">
        <v>40</v>
      </c>
      <c r="E62" s="21" t="s">
        <v>41</v>
      </c>
      <c r="F62" s="118">
        <f t="shared" si="6"/>
        <v>1.7493699999999998E-4</v>
      </c>
      <c r="G62" s="93">
        <v>0</v>
      </c>
      <c r="H62" s="93">
        <v>9.9999999999999995E-7</v>
      </c>
      <c r="I62" s="93">
        <v>1.54E-4</v>
      </c>
      <c r="J62" s="93">
        <v>1.5400000000000002E-5</v>
      </c>
      <c r="K62" s="93">
        <v>2.7999999999999999E-6</v>
      </c>
      <c r="L62" s="93"/>
      <c r="M62" s="93">
        <v>1.2700000000000001E-7</v>
      </c>
      <c r="N62" s="93">
        <v>1.61E-6</v>
      </c>
      <c r="O62" s="93"/>
      <c r="P62" s="93"/>
      <c r="Q62" s="93"/>
      <c r="R62" s="148">
        <f>'Parameters, country spec'!E23</f>
        <v>2.7727022810161413E-4</v>
      </c>
      <c r="S62" s="148">
        <f>'Parameters, country spec'!E41</f>
        <v>2.7727022810161413E-4</v>
      </c>
    </row>
    <row r="63" spans="1:19" x14ac:dyDescent="0.35">
      <c r="A63" s="20" t="s">
        <v>230</v>
      </c>
      <c r="B63" s="15" t="s">
        <v>114</v>
      </c>
      <c r="C63" s="15" t="s">
        <v>229</v>
      </c>
      <c r="D63" s="21" t="s">
        <v>40</v>
      </c>
      <c r="E63" s="21" t="s">
        <v>41</v>
      </c>
      <c r="F63" s="118">
        <f t="shared" si="6"/>
        <v>1.8877999999999999E-4</v>
      </c>
      <c r="G63" s="93">
        <v>8.6000000000000007E-6</v>
      </c>
      <c r="H63" s="93">
        <v>9.9999999999999995E-7</v>
      </c>
      <c r="I63" s="93">
        <v>1.5899999999999999E-4</v>
      </c>
      <c r="J63" s="93">
        <v>1.59E-5</v>
      </c>
      <c r="K63" s="93">
        <v>1.7400000000000001E-6</v>
      </c>
      <c r="L63" s="93"/>
      <c r="M63" s="93">
        <v>9.2999999999999999E-7</v>
      </c>
      <c r="N63" s="93">
        <v>1.61E-6</v>
      </c>
      <c r="O63" s="93"/>
      <c r="P63" s="93"/>
      <c r="Q63" s="93"/>
      <c r="R63" s="148">
        <f>'Parameters, country spec'!E24</f>
        <v>2.7237073543292042E-4</v>
      </c>
      <c r="S63" s="148">
        <f>'Parameters, country spec'!E42</f>
        <v>2.7237073543292042E-4</v>
      </c>
    </row>
    <row r="64" spans="1:19" x14ac:dyDescent="0.35">
      <c r="B64" s="16" t="s">
        <v>115</v>
      </c>
      <c r="C64" s="15" t="s">
        <v>231</v>
      </c>
      <c r="D64" s="21" t="s">
        <v>40</v>
      </c>
      <c r="E64" s="21" t="s">
        <v>41</v>
      </c>
      <c r="F64" s="118">
        <f t="shared" si="6"/>
        <v>1.5426052012212825E-3</v>
      </c>
      <c r="G64" s="27">
        <f>'Off-farm feed'!$F$77</f>
        <v>3.5160526410462907E-4</v>
      </c>
      <c r="H64" s="27">
        <f>'Off-farm feed'!$G$77</f>
        <v>5.3103448275862083E-7</v>
      </c>
      <c r="I64" s="27">
        <f>'Off-farm feed'!$H$77</f>
        <v>1.0756102664162708E-3</v>
      </c>
      <c r="J64" s="27">
        <f>'Off-farm feed'!$I$77</f>
        <v>1.0756102664162706E-4</v>
      </c>
      <c r="K64" s="27">
        <f>'Off-farm feed'!$J$77</f>
        <v>6.6339607025480414E-7</v>
      </c>
      <c r="L64" s="27"/>
      <c r="M64" s="27">
        <f>'Off-farm feed'!$L$77</f>
        <v>7.9511067188965511E-9</v>
      </c>
      <c r="N64" s="27">
        <f>'Off-farm feed'!$M$77</f>
        <v>1.2789681892721844E-6</v>
      </c>
      <c r="O64" s="27"/>
      <c r="P64" s="27">
        <f>'Off-farm feed'!$O$77</f>
        <v>4.8776996151562902E-6</v>
      </c>
      <c r="Q64" s="27">
        <f>'Off-farm feed'!$P$77</f>
        <v>4.6959459459459463E-7</v>
      </c>
      <c r="R64" s="148">
        <f>'Parameters, country spec'!E25</f>
        <v>3.0258775338687637E-4</v>
      </c>
      <c r="S64" s="148">
        <f>'Parameters, country spec'!E43</f>
        <v>3.0258775338687637E-4</v>
      </c>
    </row>
    <row r="65" spans="1:19" x14ac:dyDescent="0.35">
      <c r="B65" s="16" t="s">
        <v>232</v>
      </c>
      <c r="C65" s="15" t="s">
        <v>231</v>
      </c>
      <c r="D65" s="21" t="s">
        <v>40</v>
      </c>
      <c r="E65" s="21" t="s">
        <v>41</v>
      </c>
      <c r="F65" s="118">
        <f t="shared" si="6"/>
        <v>1.8866346644602505E-4</v>
      </c>
      <c r="G65" s="27">
        <f>'Off-farm feed'!$F$26</f>
        <v>1.6332109719061441E-5</v>
      </c>
      <c r="H65" s="27">
        <f>'Off-farm feed'!$G$26</f>
        <v>8.7195121951219526E-7</v>
      </c>
      <c r="I65" s="27">
        <f>'Off-farm feed'!$H$26</f>
        <v>1.3333449845358202E-4</v>
      </c>
      <c r="J65" s="27">
        <f>'Off-farm feed'!$I$26</f>
        <v>1.3333449845358203E-5</v>
      </c>
      <c r="K65" s="27">
        <f>'Off-farm feed'!$J$26</f>
        <v>1.1576736579983931E-6</v>
      </c>
      <c r="L65" s="27"/>
      <c r="M65" s="27">
        <f>'Off-farm feed'!$L$26</f>
        <v>7.3437786087804866E-9</v>
      </c>
      <c r="N65" s="27">
        <f>'Off-farm feed'!$M$26</f>
        <v>1.1195281639512197E-6</v>
      </c>
      <c r="O65" s="27"/>
      <c r="P65" s="27">
        <f>'Off-farm feed'!$O$26</f>
        <v>1.3419073770114991E-5</v>
      </c>
      <c r="Q65" s="27">
        <f>'Off-farm feed'!$P$26</f>
        <v>9.087837837837838E-6</v>
      </c>
      <c r="R65" s="148">
        <f>'Parameters, country spec'!E26</f>
        <v>5.3317910590755316E-2</v>
      </c>
      <c r="S65" s="148">
        <f>'Parameters, country spec'!E44</f>
        <v>5.3317910590755316E-2</v>
      </c>
    </row>
    <row r="66" spans="1:19" x14ac:dyDescent="0.35">
      <c r="B66" s="15" t="s">
        <v>117</v>
      </c>
      <c r="C66" s="15" t="s">
        <v>233</v>
      </c>
      <c r="D66" s="21" t="s">
        <v>40</v>
      </c>
      <c r="E66" s="21" t="s">
        <v>41</v>
      </c>
      <c r="F66" s="579">
        <f t="shared" si="6"/>
        <v>3.0269258054285058E-4</v>
      </c>
      <c r="G66" s="93">
        <v>1.0009381421542E-4</v>
      </c>
      <c r="H66" s="93">
        <v>5.5044E-7</v>
      </c>
      <c r="I66" s="93">
        <v>1.7345242549902899E-4</v>
      </c>
      <c r="K66" s="93">
        <v>1.53492112232045E-6</v>
      </c>
      <c r="N66" s="12"/>
      <c r="O66" s="12"/>
      <c r="P66" s="93">
        <v>2.4913162191712101E-5</v>
      </c>
      <c r="Q66" s="93">
        <v>2.14781751436908E-6</v>
      </c>
      <c r="R66" s="148">
        <f>'Parameters, country spec'!E27</f>
        <v>4.6947510766466367E-2</v>
      </c>
      <c r="S66" s="148">
        <f>'Parameters, country spec'!E45</f>
        <v>4.6947510766466367E-2</v>
      </c>
    </row>
    <row r="67" spans="1:19" x14ac:dyDescent="0.35">
      <c r="A67" s="75"/>
      <c r="B67" s="15" t="s">
        <v>234</v>
      </c>
      <c r="C67" s="76" t="s">
        <v>235</v>
      </c>
      <c r="D67" s="21" t="s">
        <v>40</v>
      </c>
      <c r="E67" s="21" t="s">
        <v>41</v>
      </c>
      <c r="F67" s="118">
        <f t="shared" si="6"/>
        <v>1.4092134630986958E-4</v>
      </c>
      <c r="G67" s="74">
        <f>SUMPRODUCT(G57:G65,$R57:$R65)</f>
        <v>5.1154702577195246E-5</v>
      </c>
      <c r="H67" s="74">
        <f t="shared" ref="H67:P67" si="7">SUMPRODUCT(H57:H65,$R57:$R65)</f>
        <v>3.407447802251665E-7</v>
      </c>
      <c r="I67" s="74">
        <f t="shared" si="7"/>
        <v>7.9266227796026396E-5</v>
      </c>
      <c r="J67" s="74">
        <f t="shared" si="7"/>
        <v>7.9266227796026379E-6</v>
      </c>
      <c r="K67" s="74">
        <f t="shared" si="7"/>
        <v>3.5759987114057611E-7</v>
      </c>
      <c r="L67" s="74">
        <f t="shared" si="7"/>
        <v>0</v>
      </c>
      <c r="M67" s="74">
        <f t="shared" si="7"/>
        <v>1.4024057605313442E-7</v>
      </c>
      <c r="N67" s="74">
        <f t="shared" si="7"/>
        <v>5.3356840309792485E-7</v>
      </c>
      <c r="O67" s="74">
        <f t="shared" si="7"/>
        <v>0</v>
      </c>
      <c r="P67" s="74">
        <f t="shared" si="7"/>
        <v>7.1695290765398718E-7</v>
      </c>
      <c r="Q67" s="74">
        <f>SUMPRODUCT(Q57:Q65,$R57:$R65)</f>
        <v>4.8468661887450196E-7</v>
      </c>
      <c r="R67" s="148">
        <f>'Parameters, country spec'!E28</f>
        <v>6.3606681280279728E-2</v>
      </c>
      <c r="S67" s="148">
        <f>'Parameters, country spec'!E46</f>
        <v>6.3606681280279728E-2</v>
      </c>
    </row>
    <row r="68" spans="1:19" x14ac:dyDescent="0.35">
      <c r="A68" s="321"/>
      <c r="B68" s="322" t="s">
        <v>541</v>
      </c>
      <c r="C68" s="323"/>
      <c r="D68" s="324"/>
      <c r="E68" s="324"/>
      <c r="F68" s="327">
        <f>SUMPRODUCT(F54:F56,R54:R56)+SUMPRODUCT(F57:F67,R57:R67)/0.87</f>
        <v>4.2602520072323742E-4</v>
      </c>
      <c r="G68" s="327">
        <f>SUMPRODUCT(G54:G56,R54:R56)+SUMPRODUCT(G57:G67,R57:R67)/0.87</f>
        <v>1.1610744529143722E-4</v>
      </c>
      <c r="H68" s="327">
        <f>SUMPRODUCT(H54:H56,R54:R56)+SUMPRODUCT(H57:H67,R57:R67)/0.87</f>
        <v>1.042181120718824E-6</v>
      </c>
      <c r="I68" s="327">
        <f>SUMPRODUCT(I54:I56,R54:R56)+SUMPRODUCT(I57:I67,R57:R67)/0.87</f>
        <v>2.6667879691948701E-4</v>
      </c>
      <c r="J68" s="327">
        <f>SUMPRODUCT(J54:J56,R54:R56)+SUMPRODUCT(J57:J67,R57:R67)/0.87</f>
        <v>2.5731884334065328E-5</v>
      </c>
      <c r="K68" s="327">
        <f>SUMPRODUCT(K54:K56,R54:R56)+SUMPRODUCT(K57:K67,R57:R67)/0.87</f>
        <v>9.8312328351215829E-7</v>
      </c>
      <c r="L68" s="327">
        <f>SUMPRODUCT(L54:L56,R54:R56)+SUMPRODUCT(L57:L67,R57:R67)/0.87</f>
        <v>0</v>
      </c>
      <c r="M68" s="327">
        <f>SUMPRODUCT(M54:M56,R54:R56)+SUMPRODUCT(M57:M67,R57:R67)/0.87</f>
        <v>2.5761312751934597E-7</v>
      </c>
      <c r="N68" s="327">
        <f>SUMPRODUCT(N54:N56,R54:R56)+SUMPRODUCT(N57:N67,R57:R67)/0.87</f>
        <v>6.5230680282184175E-7</v>
      </c>
      <c r="O68" s="327">
        <f>SUMPRODUCT(O54:O56,R54:R56)+SUMPRODUCT(O57:O67,R57:R67)/0.87</f>
        <v>0</v>
      </c>
      <c r="P68" s="327">
        <f>SUMPRODUCT(P54:P56,R54:R56)+SUMPRODUCT(P57:P67,R57:R67)/0.87</f>
        <v>1.3863400864316734E-5</v>
      </c>
      <c r="Q68" s="327">
        <f>SUMPRODUCT(Q54:Q56,R54:R56)+SUMPRODUCT(Q57:Q67,R57:R67)/0.87</f>
        <v>7.0844897935898418E-7</v>
      </c>
      <c r="R68" s="328"/>
      <c r="S68" s="329"/>
    </row>
    <row r="69" spans="1:19" x14ac:dyDescent="0.35">
      <c r="A69" s="147"/>
      <c r="B69" s="23" t="s">
        <v>428</v>
      </c>
      <c r="C69" s="24"/>
      <c r="D69" s="94"/>
      <c r="E69" s="94"/>
      <c r="F69" s="28">
        <f>SUMPRODUCT(F54:F56,S54:S56)+SUMPRODUCT(F57:F67,S57:S67)/0.87</f>
        <v>4.2602520072323742E-4</v>
      </c>
      <c r="G69" s="28">
        <f>SUMPRODUCT(G54:G56,S54:S56)+SUMPRODUCT(G57:G67,S57:S67)/0.87</f>
        <v>1.1610744529143722E-4</v>
      </c>
      <c r="H69" s="28">
        <f>SUMPRODUCT(H54:H56,S54:S56)+SUMPRODUCT(H57:H67,S57:S67)/0.87</f>
        <v>1.042181120718824E-6</v>
      </c>
      <c r="I69" s="28">
        <f>SUMPRODUCT(I54:I56,S54:S56)+SUMPRODUCT(I57:I67,S57:S67)/0.87</f>
        <v>2.6667879691948701E-4</v>
      </c>
      <c r="J69" s="28">
        <f>SUMPRODUCT(J54:J56,S54:S56)+SUMPRODUCT(J57:J67,S57:S67)/0.87</f>
        <v>2.5731884334065328E-5</v>
      </c>
      <c r="K69" s="28">
        <f>SUMPRODUCT(K54:K56,S54:S56)+SUMPRODUCT(K57:K67,S57:S67)/0.87</f>
        <v>9.8312328351215829E-7</v>
      </c>
      <c r="L69" s="28">
        <f>SUMPRODUCT(L54:L56,S54:S56)+SUMPRODUCT(L57:L67,S57:S67)/0.87</f>
        <v>0</v>
      </c>
      <c r="M69" s="28">
        <f>SUMPRODUCT(M54:M56,S54:S56)+SUMPRODUCT(M57:M67,S57:S67)/0.87</f>
        <v>2.5761312751934597E-7</v>
      </c>
      <c r="N69" s="28">
        <f>SUMPRODUCT(N54:N56,S54:S56)+SUMPRODUCT(N57:N67,S57:S67)/0.87</f>
        <v>6.5230680282184175E-7</v>
      </c>
      <c r="O69" s="28">
        <f>SUMPRODUCT(O54:O56,S54:S56)+SUMPRODUCT(O57:O67,S57:S67)/0.87</f>
        <v>0</v>
      </c>
      <c r="P69" s="28">
        <f>SUMPRODUCT(P54:P56,S54:S56)+SUMPRODUCT(P57:P67,S57:S67)/0.87</f>
        <v>1.3863400864316734E-5</v>
      </c>
      <c r="Q69" s="28">
        <f>SUMPRODUCT(Q54:Q56,S54:S56)+SUMPRODUCT(Q57:Q67,S57:S67)/0.87</f>
        <v>7.0844897935898418E-7</v>
      </c>
      <c r="R69" s="149"/>
      <c r="S69" s="149"/>
    </row>
    <row r="70" spans="1:19" x14ac:dyDescent="0.35">
      <c r="B70" s="16" t="s">
        <v>285</v>
      </c>
      <c r="C70" s="15" t="s">
        <v>288</v>
      </c>
      <c r="D70" s="21" t="s">
        <v>91</v>
      </c>
      <c r="E70" s="21" t="s">
        <v>43</v>
      </c>
      <c r="F70" s="118">
        <f>SUM(G70:Q70)</f>
        <v>2.4168039479153511E-4</v>
      </c>
      <c r="G70" s="27">
        <f>'Forage crops, CF'!F31</f>
        <v>4.7791180802654265E-5</v>
      </c>
      <c r="H70" s="27">
        <f>'Forage crops, CF'!G31</f>
        <v>1.1000000000000001E-6</v>
      </c>
      <c r="I70" s="27">
        <f>'Forage crops, CF'!H31</f>
        <v>1.7407334076117385E-4</v>
      </c>
      <c r="J70" s="27">
        <f>'Forage crops, CF'!I31</f>
        <v>1.7407334076117384E-5</v>
      </c>
      <c r="K70" s="27">
        <f>'Forage crops, CF'!J31</f>
        <v>1.3085391515895945E-6</v>
      </c>
      <c r="L70" s="27">
        <f>'Forage crops, CF'!K31</f>
        <v>0</v>
      </c>
      <c r="M70" s="27">
        <f>'Forage crops, CF'!L31</f>
        <v>0</v>
      </c>
      <c r="N70" s="27">
        <f>'Forage crops, CF'!M31</f>
        <v>0</v>
      </c>
      <c r="O70" s="27">
        <f>'Forage crops, CF'!N31</f>
        <v>0</v>
      </c>
      <c r="P70" s="27">
        <f>'Forage crops, CF'!O31</f>
        <v>0</v>
      </c>
      <c r="Q70" s="27">
        <f>'Forage crops, CF'!P31</f>
        <v>0</v>
      </c>
      <c r="R70" s="148">
        <f>'Parameters, country spec'!F15</f>
        <v>7.7439143939213403E-2</v>
      </c>
      <c r="S70" s="148">
        <f>'Parameters, country spec'!F33</f>
        <v>7.7439143939213403E-2</v>
      </c>
    </row>
    <row r="71" spans="1:19" x14ac:dyDescent="0.35">
      <c r="B71" s="16" t="s">
        <v>286</v>
      </c>
      <c r="C71" s="15" t="s">
        <v>288</v>
      </c>
      <c r="D71" s="21" t="s">
        <v>91</v>
      </c>
      <c r="E71" s="21" t="s">
        <v>43</v>
      </c>
      <c r="F71" s="118">
        <f>SUM(G71:Q71)</f>
        <v>5.2940112441992693E-4</v>
      </c>
      <c r="G71" s="27">
        <f>'Forage crops, CF'!F96</f>
        <v>1.0151185038431108E-4</v>
      </c>
      <c r="H71" s="27">
        <f>'Forage crops, CF'!G96</f>
        <v>1.1000000000000001E-6</v>
      </c>
      <c r="I71" s="27">
        <f>'Forage crops, CF'!H96</f>
        <v>3.2555010041627146E-4</v>
      </c>
      <c r="J71" s="27">
        <f>'Forage crops, CF'!I96</f>
        <v>3.2555010041627146E-5</v>
      </c>
      <c r="K71" s="27">
        <f>'Forage crops, CF'!J96</f>
        <v>5.7798727160526391E-7</v>
      </c>
      <c r="L71" s="27"/>
      <c r="M71" s="27">
        <f>'Forage crops, CF'!L96</f>
        <v>6.1763061119999986E-9</v>
      </c>
      <c r="N71" s="27">
        <f>'Forage crops, CF'!M96</f>
        <v>0</v>
      </c>
      <c r="O71" s="27">
        <f>'Forage crops, CF'!N96</f>
        <v>0</v>
      </c>
      <c r="P71" s="27">
        <f>'Forage crops, CF'!O96</f>
        <v>6.8099999999999988E-5</v>
      </c>
      <c r="Q71" s="27"/>
      <c r="R71" s="148">
        <f>'Parameters, country spec'!F16</f>
        <v>0.38082943222890436</v>
      </c>
      <c r="S71" s="148">
        <f>'Parameters, country spec'!F34</f>
        <v>0.38082943222890436</v>
      </c>
    </row>
    <row r="72" spans="1:19" x14ac:dyDescent="0.35">
      <c r="B72" s="16" t="s">
        <v>287</v>
      </c>
      <c r="C72" s="15" t="s">
        <v>288</v>
      </c>
      <c r="D72" s="21" t="s">
        <v>91</v>
      </c>
      <c r="E72" s="21" t="s">
        <v>43</v>
      </c>
      <c r="F72" s="118">
        <f>SUM(G72:Q72)</f>
        <v>1.3562863037717965E-4</v>
      </c>
      <c r="G72" s="27">
        <f>'Forage crops, CF'!F161*'Forage, input data per ha'!$E$82+'Forage crops, CF'!F226*'Forage, input data per ha'!$G$82</f>
        <v>7.8038856610645942E-6</v>
      </c>
      <c r="H72" s="27">
        <f>'Forage crops, CF'!G161*'Forage, input data per ha'!$E$82+'Forage crops, CF'!G226*'Forage, input data per ha'!$G$82</f>
        <v>1.1000000000000001E-6</v>
      </c>
      <c r="I72" s="27">
        <f>'Forage crops, CF'!H161*'Forage, input data per ha'!$E$82+'Forage crops, CF'!H226*'Forage, input data per ha'!$G$82</f>
        <v>5.2536508039072698E-5</v>
      </c>
      <c r="J72" s="27">
        <f>'Forage crops, CF'!I161*'Forage, input data per ha'!$E$82+'Forage crops, CF'!I226*'Forage, input data per ha'!$G$82</f>
        <v>5.2536508039072694E-6</v>
      </c>
      <c r="K72" s="27">
        <f>'Forage crops, CF'!J161*'Forage, input data per ha'!$E$82+'Forage crops, CF'!J226*'Forage, input data per ha'!$G$82</f>
        <v>8.3458587313510728E-7</v>
      </c>
      <c r="L72" s="27"/>
      <c r="M72" s="27">
        <f>'Forage crops, CF'!L161*'Forage, input data per ha'!$E$82+'Forage crops, CF'!L226*'Forage, input data per ha'!$G$82</f>
        <v>0</v>
      </c>
      <c r="N72" s="27">
        <f>'Forage crops, CF'!M161*'Forage, input data per ha'!$E$82+'Forage crops, CF'!M226*'Forage, input data per ha'!$G$82</f>
        <v>0</v>
      </c>
      <c r="O72" s="27">
        <f>'Forage crops, CF'!N161*'Forage, input data per ha'!$E$82+'Forage crops, CF'!N226*'Forage, input data per ha'!$G$82</f>
        <v>0</v>
      </c>
      <c r="P72" s="27">
        <f>'Forage crops, CF'!O161*'Forage, input data per ha'!$E$82+'Forage crops, CF'!O226*'Forage, input data per ha'!$G$82</f>
        <v>6.8099999999999988E-5</v>
      </c>
      <c r="Q72" s="27"/>
      <c r="R72" s="148">
        <f>'Parameters, country spec'!F17</f>
        <v>0.18201404564523588</v>
      </c>
      <c r="S72" s="148">
        <f>'Parameters, country spec'!F35</f>
        <v>0.18201404564523588</v>
      </c>
    </row>
    <row r="73" spans="1:19" x14ac:dyDescent="0.35">
      <c r="A73" s="20" t="s">
        <v>222</v>
      </c>
      <c r="B73" s="15" t="s">
        <v>108</v>
      </c>
      <c r="C73" s="15" t="s">
        <v>223</v>
      </c>
      <c r="D73" s="21" t="s">
        <v>91</v>
      </c>
      <c r="E73" s="21" t="s">
        <v>43</v>
      </c>
      <c r="F73" s="118">
        <f>SUM(G73:Q73)</f>
        <v>4.5179309000000005E-4</v>
      </c>
      <c r="G73" s="93">
        <v>1.8000000000000001E-4</v>
      </c>
      <c r="H73" s="93">
        <v>9.9999999999999995E-7</v>
      </c>
      <c r="I73" s="93">
        <v>2.4399999999999999E-4</v>
      </c>
      <c r="J73" s="93">
        <v>2.44E-5</v>
      </c>
      <c r="K73" s="93">
        <v>9.0999999999999997E-7</v>
      </c>
      <c r="L73" s="93"/>
      <c r="M73" s="93">
        <v>3.0899999999999999E-9</v>
      </c>
      <c r="N73" s="93">
        <v>1.48E-6</v>
      </c>
      <c r="O73" s="93"/>
      <c r="P73" s="93"/>
      <c r="Q73" s="93"/>
      <c r="R73" s="148">
        <f>'Parameters, country spec'!F18</f>
        <v>1.3777713958130216E-2</v>
      </c>
      <c r="S73" s="148">
        <f>'Parameters, country spec'!F36</f>
        <v>1.3777713958130216E-2</v>
      </c>
    </row>
    <row r="74" spans="1:19" x14ac:dyDescent="0.35">
      <c r="A74" s="20" t="s">
        <v>224</v>
      </c>
      <c r="B74" s="15" t="s">
        <v>109</v>
      </c>
      <c r="C74" s="15" t="s">
        <v>223</v>
      </c>
      <c r="D74" s="21" t="s">
        <v>91</v>
      </c>
      <c r="E74" s="21" t="s">
        <v>43</v>
      </c>
      <c r="F74" s="118">
        <f t="shared" ref="F74:F83" si="8">SUM(G74:Q74)</f>
        <v>4.1514018000000003E-4</v>
      </c>
      <c r="G74" s="93">
        <v>1.7000000000000001E-4</v>
      </c>
      <c r="H74" s="93">
        <v>9.9999999999999995E-7</v>
      </c>
      <c r="I74" s="93">
        <v>2.2000000000000001E-4</v>
      </c>
      <c r="J74" s="93">
        <v>2.1999999999999999E-5</v>
      </c>
      <c r="K74" s="93">
        <v>6.5400000000000001E-7</v>
      </c>
      <c r="L74" s="93"/>
      <c r="M74" s="93">
        <v>6.1799999999999998E-9</v>
      </c>
      <c r="N74" s="93">
        <v>1.48E-6</v>
      </c>
      <c r="O74" s="93"/>
      <c r="P74" s="93"/>
      <c r="Q74" s="93"/>
      <c r="R74" s="148">
        <f>'Parameters, country spec'!F19</f>
        <v>8.1721304315358359E-2</v>
      </c>
      <c r="S74" s="148">
        <f>'Parameters, country spec'!F37</f>
        <v>8.1721304315358359E-2</v>
      </c>
    </row>
    <row r="75" spans="1:19" x14ac:dyDescent="0.35">
      <c r="A75" s="20" t="s">
        <v>225</v>
      </c>
      <c r="B75" s="15" t="s">
        <v>110</v>
      </c>
      <c r="C75" s="15" t="s">
        <v>223</v>
      </c>
      <c r="D75" s="21" t="s">
        <v>91</v>
      </c>
      <c r="E75" s="21" t="s">
        <v>43</v>
      </c>
      <c r="F75" s="118">
        <f t="shared" si="8"/>
        <v>4.0830779999999995E-4</v>
      </c>
      <c r="G75" s="93">
        <v>1.4999999999999999E-4</v>
      </c>
      <c r="H75" s="93">
        <v>9.9999999999999995E-7</v>
      </c>
      <c r="I75" s="93">
        <v>2.31E-4</v>
      </c>
      <c r="J75" s="93">
        <v>2.3099999999999999E-5</v>
      </c>
      <c r="K75" s="93">
        <v>1.7E-6</v>
      </c>
      <c r="L75" s="93"/>
      <c r="M75" s="93">
        <v>2.7800000000000001E-8</v>
      </c>
      <c r="N75" s="93">
        <v>1.48E-6</v>
      </c>
      <c r="O75" s="93"/>
      <c r="P75" s="93"/>
      <c r="Q75" s="93"/>
      <c r="R75" s="148">
        <f>'Parameters, country spec'!F20</f>
        <v>7.3794391499110061E-3</v>
      </c>
      <c r="S75" s="148">
        <f>'Parameters, country spec'!F38</f>
        <v>7.3794391499110061E-3</v>
      </c>
    </row>
    <row r="76" spans="1:19" x14ac:dyDescent="0.35">
      <c r="A76" s="20" t="s">
        <v>226</v>
      </c>
      <c r="B76" s="15" t="s">
        <v>111</v>
      </c>
      <c r="C76" s="15" t="s">
        <v>223</v>
      </c>
      <c r="D76" s="21" t="s">
        <v>91</v>
      </c>
      <c r="E76" s="21" t="s">
        <v>43</v>
      </c>
      <c r="F76" s="118">
        <f t="shared" si="8"/>
        <v>3.7715999999999997E-4</v>
      </c>
      <c r="G76" s="93">
        <v>1.3999999999999999E-4</v>
      </c>
      <c r="H76" s="93">
        <v>9.9999999999999995E-7</v>
      </c>
      <c r="I76" s="93">
        <v>2.12E-4</v>
      </c>
      <c r="J76" s="93">
        <v>2.12E-5</v>
      </c>
      <c r="K76" s="93">
        <v>1.48E-6</v>
      </c>
      <c r="L76" s="93"/>
      <c r="M76" s="93">
        <v>0</v>
      </c>
      <c r="N76" s="93">
        <v>1.48E-6</v>
      </c>
      <c r="O76" s="93"/>
      <c r="P76" s="93"/>
      <c r="Q76" s="93"/>
      <c r="R76" s="148">
        <f>'Parameters, country spec'!F21</f>
        <v>2.8681330795635538E-3</v>
      </c>
      <c r="S76" s="148">
        <f>'Parameters, country spec'!F39</f>
        <v>2.8681330795635538E-3</v>
      </c>
    </row>
    <row r="77" spans="1:19" x14ac:dyDescent="0.35">
      <c r="A77" s="20" t="s">
        <v>227</v>
      </c>
      <c r="B77" s="15" t="s">
        <v>112</v>
      </c>
      <c r="C77" s="15" t="s">
        <v>223</v>
      </c>
      <c r="D77" s="21" t="s">
        <v>91</v>
      </c>
      <c r="E77" s="21" t="s">
        <v>43</v>
      </c>
      <c r="F77" s="118">
        <f t="shared" si="8"/>
        <v>4.9822218000000003E-4</v>
      </c>
      <c r="G77" s="93">
        <v>2.0000000000000001E-4</v>
      </c>
      <c r="H77" s="93">
        <v>9.9999999999999995E-7</v>
      </c>
      <c r="I77" s="93">
        <v>2.6800000000000001E-4</v>
      </c>
      <c r="J77" s="93">
        <v>2.6800000000000001E-5</v>
      </c>
      <c r="K77" s="93">
        <v>9.3600000000000002E-7</v>
      </c>
      <c r="L77" s="93"/>
      <c r="M77" s="93">
        <v>6.1799999999999998E-9</v>
      </c>
      <c r="N77" s="93">
        <v>1.48E-6</v>
      </c>
      <c r="O77" s="93"/>
      <c r="P77" s="93"/>
      <c r="Q77" s="93"/>
      <c r="R77" s="148">
        <f>'Parameters, country spec'!F22</f>
        <v>1.2902756316192223E-2</v>
      </c>
      <c r="S77" s="148">
        <f>'Parameters, country spec'!F40</f>
        <v>1.2902756316192223E-2</v>
      </c>
    </row>
    <row r="78" spans="1:19" x14ac:dyDescent="0.35">
      <c r="A78" s="20" t="s">
        <v>228</v>
      </c>
      <c r="B78" s="15" t="s">
        <v>113</v>
      </c>
      <c r="C78" s="15" t="s">
        <v>229</v>
      </c>
      <c r="D78" s="21" t="s">
        <v>91</v>
      </c>
      <c r="E78" s="21" t="s">
        <v>43</v>
      </c>
      <c r="F78" s="118">
        <f t="shared" si="8"/>
        <v>1.7401899999999997E-4</v>
      </c>
      <c r="G78" s="93">
        <v>0</v>
      </c>
      <c r="H78" s="93">
        <v>9.9999999999999995E-7</v>
      </c>
      <c r="I78" s="93">
        <v>1.54E-4</v>
      </c>
      <c r="J78" s="93">
        <v>1.5400000000000002E-5</v>
      </c>
      <c r="K78" s="93">
        <v>1.9099999999999999E-6</v>
      </c>
      <c r="L78" s="93"/>
      <c r="M78" s="93">
        <v>2.29E-7</v>
      </c>
      <c r="N78" s="93">
        <v>1.48E-6</v>
      </c>
      <c r="O78" s="93"/>
      <c r="P78" s="93"/>
      <c r="Q78" s="93"/>
      <c r="R78" s="148">
        <f>'Parameters, country spec'!F23</f>
        <v>9.2331122908701521E-4</v>
      </c>
      <c r="S78" s="148">
        <f>'Parameters, country spec'!F41</f>
        <v>9.2331122908701521E-4</v>
      </c>
    </row>
    <row r="79" spans="1:19" x14ac:dyDescent="0.35">
      <c r="A79" s="20" t="s">
        <v>230</v>
      </c>
      <c r="B79" s="15" t="s">
        <v>114</v>
      </c>
      <c r="C79" s="15" t="s">
        <v>229</v>
      </c>
      <c r="D79" s="21" t="s">
        <v>91</v>
      </c>
      <c r="E79" s="21" t="s">
        <v>43</v>
      </c>
      <c r="F79" s="118">
        <f t="shared" si="8"/>
        <v>1.8870699999999998E-4</v>
      </c>
      <c r="G79" s="93">
        <v>8.6000000000000007E-6</v>
      </c>
      <c r="H79" s="93">
        <v>9.9999999999999995E-7</v>
      </c>
      <c r="I79" s="93">
        <v>1.5899999999999999E-4</v>
      </c>
      <c r="J79" s="93">
        <v>1.59E-5</v>
      </c>
      <c r="K79" s="93">
        <v>2.39E-6</v>
      </c>
      <c r="L79" s="93"/>
      <c r="M79" s="93">
        <v>3.3700000000000001E-7</v>
      </c>
      <c r="N79" s="93">
        <v>1.48E-6</v>
      </c>
      <c r="O79" s="93"/>
      <c r="P79" s="93"/>
      <c r="Q79" s="93"/>
      <c r="R79" s="148">
        <f>'Parameters, country spec'!F24</f>
        <v>9.0699589423403552E-4</v>
      </c>
      <c r="S79" s="148">
        <f>'Parameters, country spec'!F42</f>
        <v>9.0699589423403552E-4</v>
      </c>
    </row>
    <row r="80" spans="1:19" x14ac:dyDescent="0.35">
      <c r="B80" s="16" t="s">
        <v>115</v>
      </c>
      <c r="C80" s="15" t="s">
        <v>231</v>
      </c>
      <c r="D80" s="21" t="s">
        <v>91</v>
      </c>
      <c r="E80" s="21" t="s">
        <v>43</v>
      </c>
      <c r="F80" s="118">
        <f t="shared" si="8"/>
        <v>1.5426052012212825E-3</v>
      </c>
      <c r="G80" s="27">
        <f>'Off-farm feed'!$F$77</f>
        <v>3.5160526410462907E-4</v>
      </c>
      <c r="H80" s="27">
        <f>'Off-farm feed'!$G$77</f>
        <v>5.3103448275862083E-7</v>
      </c>
      <c r="I80" s="27">
        <f>'Off-farm feed'!$H$77</f>
        <v>1.0756102664162708E-3</v>
      </c>
      <c r="J80" s="27">
        <f>'Off-farm feed'!$I$77</f>
        <v>1.0756102664162706E-4</v>
      </c>
      <c r="K80" s="27">
        <f>'Off-farm feed'!$J$77</f>
        <v>6.6339607025480414E-7</v>
      </c>
      <c r="L80" s="27"/>
      <c r="M80" s="27">
        <f>'Off-farm feed'!$L$77</f>
        <v>7.9511067188965511E-9</v>
      </c>
      <c r="N80" s="27">
        <f>'Off-farm feed'!$M$77</f>
        <v>1.2789681892721844E-6</v>
      </c>
      <c r="O80" s="27"/>
      <c r="P80" s="27">
        <f>'Off-farm feed'!$O$77</f>
        <v>4.8776996151562902E-6</v>
      </c>
      <c r="Q80" s="27">
        <f>'Off-farm feed'!$P$77</f>
        <v>4.6959459459459463E-7</v>
      </c>
      <c r="R80" s="148">
        <f>'Parameters, country spec'!F25</f>
        <v>3.9849321881062677E-4</v>
      </c>
      <c r="S80" s="148">
        <f>'Parameters, country spec'!F43</f>
        <v>3.9849321881062677E-4</v>
      </c>
    </row>
    <row r="81" spans="1:19" x14ac:dyDescent="0.35">
      <c r="B81" s="16" t="s">
        <v>232</v>
      </c>
      <c r="C81" s="15" t="s">
        <v>231</v>
      </c>
      <c r="D81" s="21" t="s">
        <v>91</v>
      </c>
      <c r="E81" s="21" t="s">
        <v>43</v>
      </c>
      <c r="F81" s="118">
        <f t="shared" si="8"/>
        <v>1.8866346644602505E-4</v>
      </c>
      <c r="G81" s="27">
        <f>'Off-farm feed'!$F$26</f>
        <v>1.6332109719061441E-5</v>
      </c>
      <c r="H81" s="27">
        <f>'Off-farm feed'!$G$26</f>
        <v>8.7195121951219526E-7</v>
      </c>
      <c r="I81" s="27">
        <f>'Off-farm feed'!$H$26</f>
        <v>1.3333449845358202E-4</v>
      </c>
      <c r="J81" s="27">
        <f>'Off-farm feed'!$I$26</f>
        <v>1.3333449845358203E-5</v>
      </c>
      <c r="K81" s="27">
        <f>'Off-farm feed'!$J$26</f>
        <v>1.1576736579983931E-6</v>
      </c>
      <c r="L81" s="27"/>
      <c r="M81" s="27">
        <f>'Off-farm feed'!$L$26</f>
        <v>7.3437786087804866E-9</v>
      </c>
      <c r="N81" s="27">
        <f>'Off-farm feed'!$M$26</f>
        <v>1.1195281639512197E-6</v>
      </c>
      <c r="O81" s="27"/>
      <c r="P81" s="27">
        <f>'Off-farm feed'!$O$26</f>
        <v>1.3419073770114991E-5</v>
      </c>
      <c r="Q81" s="27">
        <f>'Off-farm feed'!$P$26</f>
        <v>9.087837837837838E-6</v>
      </c>
      <c r="R81" s="148">
        <f>'Parameters, country spec'!F26</f>
        <v>7.5984876674379837E-2</v>
      </c>
      <c r="S81" s="148">
        <f>'Parameters, country spec'!F44</f>
        <v>7.5984876674379837E-2</v>
      </c>
    </row>
    <row r="82" spans="1:19" x14ac:dyDescent="0.35">
      <c r="B82" s="15" t="s">
        <v>117</v>
      </c>
      <c r="C82" s="15" t="s">
        <v>233</v>
      </c>
      <c r="D82" s="21" t="s">
        <v>91</v>
      </c>
      <c r="E82" s="21" t="s">
        <v>43</v>
      </c>
      <c r="F82" s="579">
        <f t="shared" si="8"/>
        <v>2.7233578633188921E-4</v>
      </c>
      <c r="G82" s="93">
        <v>1.00470578557397E-4</v>
      </c>
      <c r="H82" s="93">
        <v>5.5044E-7</v>
      </c>
      <c r="I82" s="93">
        <v>1.5251629312989701E-4</v>
      </c>
      <c r="K82" s="93">
        <v>1.2096981783282799E-6</v>
      </c>
      <c r="N82" s="12"/>
      <c r="O82" s="12"/>
      <c r="P82" s="93">
        <v>1.7376008471844101E-5</v>
      </c>
      <c r="Q82" s="93">
        <v>2.1276799442287201E-7</v>
      </c>
      <c r="R82" s="148">
        <f>'Parameters, country spec'!F27</f>
        <v>9.4871367549450719E-2</v>
      </c>
      <c r="S82" s="148">
        <f>'Parameters, country spec'!F45</f>
        <v>9.4871367549450719E-2</v>
      </c>
    </row>
    <row r="83" spans="1:19" x14ac:dyDescent="0.35">
      <c r="A83" s="75"/>
      <c r="B83" s="15" t="s">
        <v>234</v>
      </c>
      <c r="C83" s="76" t="s">
        <v>235</v>
      </c>
      <c r="D83" s="21" t="s">
        <v>91</v>
      </c>
      <c r="E83" s="21" t="s">
        <v>43</v>
      </c>
      <c r="F83" s="118">
        <f t="shared" si="8"/>
        <v>6.5955858076115317E-5</v>
      </c>
      <c r="G83" s="74">
        <f>SUMPRODUCT(G73:G81,$R73:$R81)</f>
        <v>2.1850521833907905E-5</v>
      </c>
      <c r="H83" s="74">
        <f t="shared" ref="H83:P83" si="9">SUMPRODUCT(H73:H81,$R73:$R81)</f>
        <v>1.869463734635196E-7</v>
      </c>
      <c r="I83" s="74">
        <f t="shared" si="9"/>
        <v>3.7957513599547348E-5</v>
      </c>
      <c r="J83" s="74">
        <f t="shared" si="9"/>
        <v>3.7957513599547353E-6</v>
      </c>
      <c r="K83" s="74">
        <f t="shared" si="9"/>
        <v>1.8701160975104534E-7</v>
      </c>
      <c r="L83" s="74">
        <f t="shared" si="9"/>
        <v>0</v>
      </c>
      <c r="M83" s="74">
        <f t="shared" si="9"/>
        <v>1.9107787010405815E-9</v>
      </c>
      <c r="N83" s="74">
        <f t="shared" si="9"/>
        <v>2.6388675745669291E-7</v>
      </c>
      <c r="O83" s="74">
        <f t="shared" si="9"/>
        <v>0</v>
      </c>
      <c r="P83" s="74">
        <f t="shared" si="9"/>
        <v>1.0215903957266279E-6</v>
      </c>
      <c r="Q83" s="74">
        <f>SUMPRODUCT(Q73:Q81,$R73:$R81)</f>
        <v>6.907253676064069E-7</v>
      </c>
      <c r="R83" s="148">
        <f>'Parameters, country spec'!F28</f>
        <v>6.7982986801529061E-2</v>
      </c>
      <c r="S83" s="148">
        <f>'Parameters, country spec'!F46</f>
        <v>6.7982986801529061E-2</v>
      </c>
    </row>
    <row r="84" spans="1:19" x14ac:dyDescent="0.35">
      <c r="A84" s="321"/>
      <c r="B84" s="322" t="s">
        <v>541</v>
      </c>
      <c r="C84" s="323"/>
      <c r="D84" s="324"/>
      <c r="E84" s="324"/>
      <c r="F84" s="327">
        <f>SUMPRODUCT(F70:F72,R70:R72)+SUMPRODUCT(F73:F83,R73:R83)/0.87</f>
        <v>3.5567613005831365E-4</v>
      </c>
      <c r="G84" s="327">
        <f>SUMPRODUCT(G70:G72,R70:R72)+SUMPRODUCT(G73:G83,R73:R83)/0.87</f>
        <v>8.1559067526572383E-5</v>
      </c>
      <c r="H84" s="327">
        <f>SUMPRODUCT(H70:H72,R70:R72)+SUMPRODUCT(H73:H83,R73:R83)/0.87</f>
        <v>9.9382415049722174E-7</v>
      </c>
      <c r="I84" s="327">
        <f>SUMPRODUCT(I70:I72,R70:R72)+SUMPRODUCT(I73:I83,R73:R83)/0.87</f>
        <v>2.1024843856981147E-4</v>
      </c>
      <c r="J84" s="327">
        <f>SUMPRODUCT(J70:J72,R70:R72)+SUMPRODUCT(J73:J83,R73:R83)/0.87</f>
        <v>1.9361691063555145E-5</v>
      </c>
      <c r="K84" s="327">
        <f>SUMPRODUCT(K70:K72,R70:R72)+SUMPRODUCT(K73:K83,R73:R83)/0.87</f>
        <v>8.3483690423612427E-7</v>
      </c>
      <c r="L84" s="327">
        <f>SUMPRODUCT(L70:L72,R70:R72)+SUMPRODUCT(L73:L83,R73:R83)/0.87</f>
        <v>0</v>
      </c>
      <c r="M84" s="327">
        <f>SUMPRODUCT(M70:M72,R70:R72)+SUMPRODUCT(M73:M83,R73:R83)/0.87</f>
        <v>4.6977273616911541E-9</v>
      </c>
      <c r="N84" s="327">
        <f>SUMPRODUCT(N70:N72,R70:R72)+SUMPRODUCT(N73:N83,R73:R83)/0.87</f>
        <v>3.2393858322525239E-7</v>
      </c>
      <c r="O84" s="327">
        <f>SUMPRODUCT(O70:O72,R70:R72)+SUMPRODUCT(O73:O83,R73:R83)/0.87</f>
        <v>0</v>
      </c>
      <c r="P84" s="327">
        <f>SUMPRODUCT(P70:P72,R70:R72)+SUMPRODUCT(P73:P83,R73:R83)/0.87</f>
        <v>4.1478522278160639E-5</v>
      </c>
      <c r="Q84" s="327">
        <f>SUMPRODUCT(Q70:Q72,R70:R72)+SUMPRODUCT(Q73:Q83,R73:R83)/0.87</f>
        <v>8.7111325489370851E-7</v>
      </c>
      <c r="R84" s="328"/>
      <c r="S84" s="329"/>
    </row>
    <row r="85" spans="1:19" x14ac:dyDescent="0.35">
      <c r="A85" s="147"/>
      <c r="B85" s="23" t="s">
        <v>428</v>
      </c>
      <c r="C85" s="24"/>
      <c r="D85" s="94"/>
      <c r="E85" s="94"/>
      <c r="F85" s="28">
        <f>SUMPRODUCT(F70:F72,S70:S72)+SUMPRODUCT(F73:F83,S73:S83)/0.87</f>
        <v>3.5567613005831365E-4</v>
      </c>
      <c r="G85" s="28">
        <f>SUMPRODUCT(G70:G72,S70:S72)+SUMPRODUCT(G73:G83,S73:S83)/0.87</f>
        <v>8.1559067526572383E-5</v>
      </c>
      <c r="H85" s="28">
        <f>SUMPRODUCT(H70:H72,S70:S72)+SUMPRODUCT(H73:H83,S73:S83)/0.87</f>
        <v>9.9382415049722174E-7</v>
      </c>
      <c r="I85" s="28">
        <f>SUMPRODUCT(I70:I72,S70:S72)+SUMPRODUCT(I73:I83,S73:S83)/0.87</f>
        <v>2.1024843856981147E-4</v>
      </c>
      <c r="J85" s="28">
        <f>SUMPRODUCT(J70:J72,S70:S72)+SUMPRODUCT(J73:J83,S73:S83)/0.87</f>
        <v>1.9361691063555145E-5</v>
      </c>
      <c r="K85" s="28">
        <f>SUMPRODUCT(K70:K72,S70:S72)+SUMPRODUCT(K73:K83,S73:S83)/0.87</f>
        <v>8.3483690423612427E-7</v>
      </c>
      <c r="L85" s="28">
        <f>SUMPRODUCT(L70:L72,S70:S72)+SUMPRODUCT(L73:L83,S73:S83)/0.87</f>
        <v>0</v>
      </c>
      <c r="M85" s="28">
        <f>SUMPRODUCT(M70:M72,S70:S72)+SUMPRODUCT(M73:M83,S73:S83)/0.87</f>
        <v>4.6977273616911541E-9</v>
      </c>
      <c r="N85" s="28">
        <f>SUMPRODUCT(N70:N72,S70:S72)+SUMPRODUCT(N73:N83,S73:S83)/0.87</f>
        <v>3.2393858322525239E-7</v>
      </c>
      <c r="O85" s="28">
        <f>SUMPRODUCT(O70:O72,S70:S72)+SUMPRODUCT(O73:O83,S73:S83)/0.87</f>
        <v>0</v>
      </c>
      <c r="P85" s="28">
        <f>SUMPRODUCT(P70:P72,S70:S72)+SUMPRODUCT(P73:P83,S73:S83)/0.87</f>
        <v>4.1478522278160639E-5</v>
      </c>
      <c r="Q85" s="28">
        <f>SUMPRODUCT(Q70:Q72,S70:S72)+SUMPRODUCT(Q73:Q83,S73:S83)/0.87</f>
        <v>8.7111325489370851E-7</v>
      </c>
      <c r="R85" s="149"/>
      <c r="S85" s="149"/>
    </row>
    <row r="86" spans="1:19" x14ac:dyDescent="0.35">
      <c r="B86" s="16" t="s">
        <v>285</v>
      </c>
      <c r="C86" s="15" t="s">
        <v>288</v>
      </c>
      <c r="D86" s="21" t="s">
        <v>44</v>
      </c>
      <c r="E86" s="21" t="s">
        <v>45</v>
      </c>
      <c r="F86" s="118">
        <f>SUM(G86:Q86)</f>
        <v>2.4076715964597344E-4</v>
      </c>
      <c r="G86" s="27">
        <f>'Forage crops, CF'!F36</f>
        <v>4.7791180802654258E-5</v>
      </c>
      <c r="H86" s="27">
        <f>'Forage crops, CF'!G36</f>
        <v>1.1000000000000001E-6</v>
      </c>
      <c r="I86" s="27">
        <f>'Forage crops, CF'!H36</f>
        <v>1.7407334076117385E-4</v>
      </c>
      <c r="J86" s="27">
        <f>'Forage crops, CF'!I36</f>
        <v>1.7407334076117384E-5</v>
      </c>
      <c r="K86" s="27">
        <f>'Forage crops, CF'!J36</f>
        <v>3.9530400602795185E-7</v>
      </c>
      <c r="L86" s="27">
        <f>'Forage crops, CF'!K36</f>
        <v>0</v>
      </c>
      <c r="M86" s="27">
        <f>'Forage crops, CF'!L36</f>
        <v>0</v>
      </c>
      <c r="N86" s="27">
        <f>'Forage crops, CF'!M36</f>
        <v>0</v>
      </c>
      <c r="O86" s="27">
        <f>'Forage crops, CF'!N36</f>
        <v>0</v>
      </c>
      <c r="P86" s="27">
        <f>'Forage crops, CF'!O36</f>
        <v>0</v>
      </c>
      <c r="Q86" s="27">
        <f>'Forage crops, CF'!P36</f>
        <v>0</v>
      </c>
      <c r="R86" s="148">
        <f>'Parameters, country spec'!G15</f>
        <v>0.75114991922794239</v>
      </c>
      <c r="S86" s="148">
        <f>'Parameters, country spec'!G33</f>
        <v>0.75114991922794239</v>
      </c>
    </row>
    <row r="87" spans="1:19" x14ac:dyDescent="0.35">
      <c r="B87" s="16" t="s">
        <v>286</v>
      </c>
      <c r="C87" s="15" t="s">
        <v>288</v>
      </c>
      <c r="D87" s="21" t="s">
        <v>44</v>
      </c>
      <c r="E87" s="21" t="s">
        <v>45</v>
      </c>
      <c r="F87" s="118">
        <f>SUM(G87:Q87)</f>
        <v>4.0012090119890626E-4</v>
      </c>
      <c r="G87" s="27">
        <f>'Forage crops, CF'!F101</f>
        <v>7.1738829245087782E-5</v>
      </c>
      <c r="H87" s="27">
        <f>'Forage crops, CF'!G101</f>
        <v>1.1000000000000001E-6</v>
      </c>
      <c r="I87" s="27">
        <f>'Forage crops, CF'!H101</f>
        <v>2.3505839106167088E-4</v>
      </c>
      <c r="J87" s="27">
        <f>'Forage crops, CF'!I101</f>
        <v>2.350583910616709E-5</v>
      </c>
      <c r="K87" s="27">
        <f>'Forage crops, CF'!J101</f>
        <v>3.4917247010855983E-7</v>
      </c>
      <c r="L87" s="27"/>
      <c r="M87" s="27">
        <f>'Forage crops, CF'!L101</f>
        <v>2.6866931587199997E-7</v>
      </c>
      <c r="N87" s="27">
        <f>'Forage crops, CF'!M101</f>
        <v>0</v>
      </c>
      <c r="O87" s="27">
        <f>'Forage crops, CF'!N101</f>
        <v>0</v>
      </c>
      <c r="P87" s="27">
        <f>'Forage crops, CF'!O101</f>
        <v>6.8099999999999988E-5</v>
      </c>
      <c r="Q87" s="27"/>
      <c r="R87" s="148">
        <f>'Parameters, country spec'!G16</f>
        <v>1.9608947623101922E-2</v>
      </c>
      <c r="S87" s="148">
        <f>'Parameters, country spec'!G34</f>
        <v>1.9608947623101922E-2</v>
      </c>
    </row>
    <row r="88" spans="1:19" x14ac:dyDescent="0.35">
      <c r="B88" s="16" t="s">
        <v>287</v>
      </c>
      <c r="C88" s="15" t="s">
        <v>288</v>
      </c>
      <c r="D88" s="21" t="s">
        <v>44</v>
      </c>
      <c r="E88" s="21" t="s">
        <v>45</v>
      </c>
      <c r="F88" s="118">
        <f>SUM(G88:Q88)</f>
        <v>3.088495045615278E-4</v>
      </c>
      <c r="G88" s="27">
        <f>'Forage crops, CF'!F166*'Forage, input data per ha'!$E$83+'Forage crops, CF'!F231*'Forage, input data per ha'!$G$83</f>
        <v>4.7787115803330238E-5</v>
      </c>
      <c r="H88" s="27">
        <f>'Forage crops, CF'!G166*'Forage, input data per ha'!$E$83+'Forage crops, CF'!G231*'Forage, input data per ha'!$G$83</f>
        <v>1.1000000000000001E-6</v>
      </c>
      <c r="I88" s="27">
        <f>'Forage crops, CF'!H166*'Forage, input data per ha'!$E$83+'Forage crops, CF'!H231*'Forage, input data per ha'!$G$83</f>
        <v>1.7406098565835658E-4</v>
      </c>
      <c r="J88" s="27">
        <f>'Forage crops, CF'!I166*'Forage, input data per ha'!$E$83+'Forage crops, CF'!I231*'Forage, input data per ha'!$G$83</f>
        <v>1.7406098565835658E-5</v>
      </c>
      <c r="K88" s="27">
        <f>'Forage crops, CF'!J166*'Forage, input data per ha'!$E$83+'Forage crops, CF'!J231*'Forage, input data per ha'!$G$83</f>
        <v>3.9530453400534217E-7</v>
      </c>
      <c r="L88" s="27"/>
      <c r="M88" s="27">
        <f>'Forage crops, CF'!L166*'Forage, input data per ha'!$E$83+'Forage crops, CF'!L231*'Forage, input data per ha'!$G$83</f>
        <v>0</v>
      </c>
      <c r="N88" s="27">
        <f>'Forage crops, CF'!M166*'Forage, input data per ha'!$E$83+'Forage crops, CF'!M231*'Forage, input data per ha'!$G$83</f>
        <v>0</v>
      </c>
      <c r="O88" s="27">
        <f>'Forage crops, CF'!N166*'Forage, input data per ha'!$E$83+'Forage crops, CF'!N231*'Forage, input data per ha'!$G$83</f>
        <v>0</v>
      </c>
      <c r="P88" s="27">
        <f>'Forage crops, CF'!O166*'Forage, input data per ha'!$E$83+'Forage crops, CF'!O231*'Forage, input data per ha'!$G$83</f>
        <v>6.8099999999999988E-5</v>
      </c>
      <c r="Q88" s="27"/>
      <c r="R88" s="148">
        <f>'Parameters, country spec'!G17</f>
        <v>4.011237421254237E-4</v>
      </c>
      <c r="S88" s="148">
        <f>'Parameters, country spec'!G35</f>
        <v>4.011237421254237E-4</v>
      </c>
    </row>
    <row r="89" spans="1:19" x14ac:dyDescent="0.35">
      <c r="A89" s="20" t="s">
        <v>222</v>
      </c>
      <c r="B89" s="15" t="s">
        <v>108</v>
      </c>
      <c r="C89" s="15" t="s">
        <v>223</v>
      </c>
      <c r="D89" s="21" t="s">
        <v>44</v>
      </c>
      <c r="E89" s="21" t="s">
        <v>45</v>
      </c>
      <c r="F89" s="118">
        <f>SUM(G89:Q89)</f>
        <v>8.2882825999999992E-4</v>
      </c>
      <c r="G89" s="93">
        <v>1.8000000000000001E-4</v>
      </c>
      <c r="H89" s="93">
        <v>9.9999999999999995E-7</v>
      </c>
      <c r="I89" s="93">
        <v>5.8699999999999996E-4</v>
      </c>
      <c r="J89" s="93">
        <v>5.8699999999999997E-5</v>
      </c>
      <c r="K89" s="93">
        <v>6.5899999999999996E-7</v>
      </c>
      <c r="L89" s="93"/>
      <c r="M89" s="93">
        <v>9.2599999999999999E-9</v>
      </c>
      <c r="N89" s="93">
        <v>1.46E-6</v>
      </c>
      <c r="O89" s="93"/>
      <c r="P89" s="93"/>
      <c r="Q89" s="93"/>
      <c r="R89" s="148">
        <f>'Parameters, country spec'!G18</f>
        <v>9.7140944486754449E-2</v>
      </c>
      <c r="S89" s="148">
        <f>'Parameters, country spec'!G36</f>
        <v>9.7140944486754449E-2</v>
      </c>
    </row>
    <row r="90" spans="1:19" x14ac:dyDescent="0.35">
      <c r="A90" s="20" t="s">
        <v>224</v>
      </c>
      <c r="B90" s="15" t="s">
        <v>109</v>
      </c>
      <c r="C90" s="15" t="s">
        <v>223</v>
      </c>
      <c r="D90" s="21" t="s">
        <v>44</v>
      </c>
      <c r="E90" s="21" t="s">
        <v>45</v>
      </c>
      <c r="F90" s="118"/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148">
        <f>'Parameters, country spec'!G19</f>
        <v>2.6773939262145888E-2</v>
      </c>
      <c r="S90" s="148">
        <f>'Parameters, country spec'!G37</f>
        <v>2.6773939262145888E-2</v>
      </c>
    </row>
    <row r="91" spans="1:19" x14ac:dyDescent="0.35">
      <c r="A91" s="20" t="s">
        <v>225</v>
      </c>
      <c r="B91" s="15" t="s">
        <v>110</v>
      </c>
      <c r="C91" s="15" t="s">
        <v>223</v>
      </c>
      <c r="D91" s="21" t="s">
        <v>44</v>
      </c>
      <c r="E91" s="21" t="s">
        <v>45</v>
      </c>
      <c r="F91" s="118">
        <f t="shared" ref="F91:F99" si="10">SUM(G91:Q91)</f>
        <v>7.7130299999999998E-4</v>
      </c>
      <c r="G91" s="93">
        <v>1.4999999999999999E-4</v>
      </c>
      <c r="H91" s="93">
        <v>9.9999999999999995E-7</v>
      </c>
      <c r="I91" s="93">
        <v>5.62E-4</v>
      </c>
      <c r="J91" s="93">
        <v>5.6199999999999997E-5</v>
      </c>
      <c r="K91" s="93">
        <v>6.4300000000000003E-7</v>
      </c>
      <c r="L91" s="93"/>
      <c r="M91" s="93">
        <v>0</v>
      </c>
      <c r="N91" s="93">
        <v>1.46E-6</v>
      </c>
      <c r="O91" s="93"/>
      <c r="P91" s="93"/>
      <c r="Q91" s="93"/>
      <c r="R91" s="148">
        <f>'Parameters, country spec'!G20</f>
        <v>5.5992035288690246E-3</v>
      </c>
      <c r="S91" s="148">
        <f>'Parameters, country spec'!G38</f>
        <v>5.5992035288690246E-3</v>
      </c>
    </row>
    <row r="92" spans="1:19" x14ac:dyDescent="0.35">
      <c r="A92" s="20" t="s">
        <v>226</v>
      </c>
      <c r="B92" s="15" t="s">
        <v>111</v>
      </c>
      <c r="C92" s="15" t="s">
        <v>223</v>
      </c>
      <c r="D92" s="21" t="s">
        <v>44</v>
      </c>
      <c r="E92" s="21" t="s">
        <v>45</v>
      </c>
      <c r="F92" s="118">
        <f t="shared" si="10"/>
        <v>6.9834925999999996E-4</v>
      </c>
      <c r="G92" s="93">
        <v>1.3999999999999999E-4</v>
      </c>
      <c r="H92" s="93">
        <v>9.9999999999999995E-7</v>
      </c>
      <c r="I92" s="93">
        <v>5.04E-4</v>
      </c>
      <c r="J92" s="93">
        <v>5.0399999999999999E-5</v>
      </c>
      <c r="K92" s="93">
        <v>1.48E-6</v>
      </c>
      <c r="L92" s="93"/>
      <c r="M92" s="93">
        <v>9.2599999999999999E-9</v>
      </c>
      <c r="N92" s="93">
        <v>1.46E-6</v>
      </c>
      <c r="O92" s="93"/>
      <c r="P92" s="93"/>
      <c r="Q92" s="93"/>
      <c r="R92" s="148">
        <f>'Parameters, country spec'!G21</f>
        <v>0</v>
      </c>
      <c r="S92" s="148">
        <f>'Parameters, country spec'!G39</f>
        <v>0</v>
      </c>
    </row>
    <row r="93" spans="1:19" x14ac:dyDescent="0.35">
      <c r="A93" s="20" t="s">
        <v>227</v>
      </c>
      <c r="B93" s="15" t="s">
        <v>112</v>
      </c>
      <c r="C93" s="15" t="s">
        <v>223</v>
      </c>
      <c r="D93" s="21" t="s">
        <v>44</v>
      </c>
      <c r="E93" s="21" t="s">
        <v>45</v>
      </c>
      <c r="F93" s="118">
        <f t="shared" si="10"/>
        <v>9.6202008999999992E-4</v>
      </c>
      <c r="G93" s="93">
        <v>2.0000000000000001E-4</v>
      </c>
      <c r="H93" s="93">
        <v>9.9999999999999995E-7</v>
      </c>
      <c r="I93" s="93">
        <v>6.8999999999999997E-4</v>
      </c>
      <c r="J93" s="93">
        <v>6.8999999999999997E-5</v>
      </c>
      <c r="K93" s="93">
        <v>5.5700000000000002E-7</v>
      </c>
      <c r="L93" s="93"/>
      <c r="M93" s="93">
        <v>3.0899999999999999E-9</v>
      </c>
      <c r="N93" s="93">
        <v>1.46E-6</v>
      </c>
      <c r="O93" s="93"/>
      <c r="P93" s="93"/>
      <c r="Q93" s="93"/>
      <c r="R93" s="148">
        <f>'Parameters, country spec'!G22</f>
        <v>4.1722075562431273E-2</v>
      </c>
      <c r="S93" s="148">
        <f>'Parameters, country spec'!G40</f>
        <v>4.1722075562431273E-2</v>
      </c>
    </row>
    <row r="94" spans="1:19" x14ac:dyDescent="0.35">
      <c r="A94" s="20" t="s">
        <v>228</v>
      </c>
      <c r="B94" s="15" t="s">
        <v>113</v>
      </c>
      <c r="C94" s="15" t="s">
        <v>229</v>
      </c>
      <c r="D94" s="21" t="s">
        <v>44</v>
      </c>
      <c r="E94" s="21" t="s">
        <v>45</v>
      </c>
      <c r="F94" s="118">
        <f t="shared" si="10"/>
        <v>2.0718159999999998E-4</v>
      </c>
      <c r="G94" s="93">
        <v>0</v>
      </c>
      <c r="H94" s="93">
        <v>9.9999999999999995E-7</v>
      </c>
      <c r="I94" s="93">
        <v>1.85E-4</v>
      </c>
      <c r="J94" s="93">
        <v>1.8499999999999999E-5</v>
      </c>
      <c r="K94" s="93">
        <v>1.1999999999999999E-6</v>
      </c>
      <c r="L94" s="93"/>
      <c r="M94" s="93">
        <v>2.1600000000000002E-8</v>
      </c>
      <c r="N94" s="93">
        <v>1.46E-6</v>
      </c>
      <c r="O94" s="93"/>
      <c r="P94" s="93"/>
      <c r="Q94" s="93"/>
      <c r="R94" s="148">
        <f>'Parameters, country spec'!G23</f>
        <v>8.7938670638632881E-5</v>
      </c>
      <c r="S94" s="148">
        <f>'Parameters, country spec'!G41</f>
        <v>8.7938670638632881E-5</v>
      </c>
    </row>
    <row r="95" spans="1:19" x14ac:dyDescent="0.35">
      <c r="A95" s="20" t="s">
        <v>230</v>
      </c>
      <c r="B95" s="15" t="s">
        <v>114</v>
      </c>
      <c r="C95" s="15" t="s">
        <v>229</v>
      </c>
      <c r="D95" s="21" t="s">
        <v>44</v>
      </c>
      <c r="E95" s="21" t="s">
        <v>45</v>
      </c>
      <c r="F95" s="118">
        <f t="shared" si="10"/>
        <v>2.3970699999999997E-4</v>
      </c>
      <c r="G95" s="93">
        <v>8.6000000000000007E-6</v>
      </c>
      <c r="H95" s="93">
        <v>9.9999999999999995E-7</v>
      </c>
      <c r="I95" s="93">
        <v>2.0699999999999999E-4</v>
      </c>
      <c r="J95" s="93">
        <v>2.0699999999999998E-5</v>
      </c>
      <c r="K95" s="93">
        <v>9.47E-7</v>
      </c>
      <c r="L95" s="93"/>
      <c r="M95" s="93">
        <v>0</v>
      </c>
      <c r="N95" s="93">
        <v>1.46E-6</v>
      </c>
      <c r="O95" s="93"/>
      <c r="P95" s="93"/>
      <c r="Q95" s="93"/>
      <c r="R95" s="148">
        <f>'Parameters, country spec'!G24</f>
        <v>8.6384753409677397E-5</v>
      </c>
      <c r="S95" s="148">
        <f>'Parameters, country spec'!G42</f>
        <v>8.6384753409677397E-5</v>
      </c>
    </row>
    <row r="96" spans="1:19" x14ac:dyDescent="0.35">
      <c r="B96" s="16" t="s">
        <v>115</v>
      </c>
      <c r="C96" s="15" t="s">
        <v>231</v>
      </c>
      <c r="D96" s="21" t="s">
        <v>44</v>
      </c>
      <c r="E96" s="21" t="s">
        <v>45</v>
      </c>
      <c r="F96" s="118">
        <f t="shared" si="10"/>
        <v>1.5426052012212825E-3</v>
      </c>
      <c r="G96" s="27">
        <f>'Off-farm feed'!$F$77</f>
        <v>3.5160526410462907E-4</v>
      </c>
      <c r="H96" s="27">
        <f>'Off-farm feed'!$G$77</f>
        <v>5.3103448275862083E-7</v>
      </c>
      <c r="I96" s="27">
        <f>'Off-farm feed'!$H$77</f>
        <v>1.0756102664162708E-3</v>
      </c>
      <c r="J96" s="27">
        <f>'Off-farm feed'!$I$77</f>
        <v>1.0756102664162706E-4</v>
      </c>
      <c r="K96" s="27">
        <f>'Off-farm feed'!$J$77</f>
        <v>6.6339607025480414E-7</v>
      </c>
      <c r="L96" s="27"/>
      <c r="M96" s="27">
        <f>'Off-farm feed'!$L$77</f>
        <v>7.9511067188965511E-9</v>
      </c>
      <c r="N96" s="27">
        <f>'Off-farm feed'!$M$77</f>
        <v>1.2789681892721844E-6</v>
      </c>
      <c r="O96" s="27"/>
      <c r="P96" s="27">
        <f>'Off-farm feed'!$O$77</f>
        <v>4.8776996151562902E-6</v>
      </c>
      <c r="Q96" s="27">
        <f>'Off-farm feed'!$P$77</f>
        <v>4.6959459459459463E-7</v>
      </c>
      <c r="R96" s="148">
        <f>'Parameters, country spec'!G25</f>
        <v>4.7080431031984718E-3</v>
      </c>
      <c r="S96" s="148">
        <f>'Parameters, country spec'!G43</f>
        <v>4.7080431031984718E-3</v>
      </c>
    </row>
    <row r="97" spans="1:19" x14ac:dyDescent="0.35">
      <c r="B97" s="16" t="s">
        <v>232</v>
      </c>
      <c r="C97" s="15" t="s">
        <v>231</v>
      </c>
      <c r="D97" s="21" t="s">
        <v>44</v>
      </c>
      <c r="E97" s="21" t="s">
        <v>45</v>
      </c>
      <c r="F97" s="118">
        <f t="shared" si="10"/>
        <v>1.8866346644602505E-4</v>
      </c>
      <c r="G97" s="27">
        <f>'Off-farm feed'!$F$26</f>
        <v>1.6332109719061441E-5</v>
      </c>
      <c r="H97" s="27">
        <f>'Off-farm feed'!$G$26</f>
        <v>8.7195121951219526E-7</v>
      </c>
      <c r="I97" s="27">
        <f>'Off-farm feed'!$H$26</f>
        <v>1.3333449845358202E-4</v>
      </c>
      <c r="J97" s="27">
        <f>'Off-farm feed'!$I$26</f>
        <v>1.3333449845358203E-5</v>
      </c>
      <c r="K97" s="27">
        <f>'Off-farm feed'!$J$26</f>
        <v>1.1576736579983931E-6</v>
      </c>
      <c r="L97" s="27"/>
      <c r="M97" s="27">
        <f>'Off-farm feed'!$L$26</f>
        <v>7.3437786087804866E-9</v>
      </c>
      <c r="N97" s="27">
        <f>'Off-farm feed'!$M$26</f>
        <v>1.1195281639512197E-6</v>
      </c>
      <c r="O97" s="27"/>
      <c r="P97" s="27">
        <f>'Off-farm feed'!$O$26</f>
        <v>1.3419073770114991E-5</v>
      </c>
      <c r="Q97" s="27">
        <f>'Off-farm feed'!$P$26</f>
        <v>9.087837837837838E-6</v>
      </c>
      <c r="R97" s="148">
        <f>'Parameters, country spec'!G26</f>
        <v>8.9589881795904755E-3</v>
      </c>
      <c r="S97" s="148">
        <f>'Parameters, country spec'!G44</f>
        <v>8.9589881795904755E-3</v>
      </c>
    </row>
    <row r="98" spans="1:19" x14ac:dyDescent="0.35">
      <c r="B98" s="15" t="s">
        <v>117</v>
      </c>
      <c r="C98" s="15" t="s">
        <v>233</v>
      </c>
      <c r="D98" s="21" t="s">
        <v>44</v>
      </c>
      <c r="E98" s="21" t="s">
        <v>45</v>
      </c>
      <c r="F98" s="579">
        <f t="shared" si="10"/>
        <v>4.5715519794178817E-4</v>
      </c>
      <c r="G98" s="93">
        <v>9.9179320483956193E-5</v>
      </c>
      <c r="H98" s="93">
        <v>5.5044E-7</v>
      </c>
      <c r="I98" s="93">
        <v>3.3829968297888798E-4</v>
      </c>
      <c r="K98" s="93">
        <v>1.0721164806119101E-6</v>
      </c>
      <c r="N98" s="12"/>
      <c r="O98" s="12"/>
      <c r="P98" s="93">
        <v>1.6341912215219399E-5</v>
      </c>
      <c r="Q98" s="93">
        <v>1.71172578311269E-6</v>
      </c>
      <c r="R98" s="148">
        <f>'Parameters, country spec'!G27</f>
        <v>1.7413738591251369E-2</v>
      </c>
      <c r="S98" s="148">
        <f>'Parameters, country spec'!G45</f>
        <v>1.7413738591251369E-2</v>
      </c>
    </row>
    <row r="99" spans="1:19" x14ac:dyDescent="0.35">
      <c r="A99" s="75"/>
      <c r="B99" s="15" t="s">
        <v>234</v>
      </c>
      <c r="C99" s="76" t="s">
        <v>235</v>
      </c>
      <c r="D99" s="21" t="s">
        <v>44</v>
      </c>
      <c r="E99" s="21" t="s">
        <v>45</v>
      </c>
      <c r="F99" s="118">
        <f t="shared" si="10"/>
        <v>1.3396112920964631E-4</v>
      </c>
      <c r="G99" s="74">
        <f>SUMPRODUCT(G89:G97,$R89:$R97)</f>
        <v>2.8472100474948658E-5</v>
      </c>
      <c r="H99" s="74">
        <f t="shared" ref="H99:P99" si="11">SUMPRODUCT(H89:H97,$R89:$R97)</f>
        <v>1.5494848090500464E-7</v>
      </c>
      <c r="I99" s="74">
        <f t="shared" si="11"/>
        <v>9.5249430925158643E-5</v>
      </c>
      <c r="J99" s="74">
        <f t="shared" si="11"/>
        <v>9.5249430925158643E-6</v>
      </c>
      <c r="K99" s="74">
        <f t="shared" si="11"/>
        <v>1.0453758105143647E-7</v>
      </c>
      <c r="L99" s="74">
        <f t="shared" si="11"/>
        <v>0</v>
      </c>
      <c r="M99" s="74">
        <f t="shared" si="11"/>
        <v>1.1335728136213431E-9</v>
      </c>
      <c r="N99" s="74">
        <f t="shared" si="11"/>
        <v>2.2722063557334119E-7</v>
      </c>
      <c r="O99" s="74">
        <f t="shared" si="11"/>
        <v>0</v>
      </c>
      <c r="P99" s="74">
        <f t="shared" si="11"/>
        <v>1.431857433201232E-7</v>
      </c>
      <c r="Q99" s="74">
        <f>SUMPRODUCT(Q89:Q97,$R89:$R97)</f>
        <v>8.3628703359604617E-8</v>
      </c>
      <c r="R99" s="148">
        <f>'Parameters, country spec'!G28</f>
        <v>2.6348753268541039E-2</v>
      </c>
      <c r="S99" s="148">
        <f>'Parameters, country spec'!G46</f>
        <v>2.6348753268541039E-2</v>
      </c>
    </row>
    <row r="100" spans="1:19" x14ac:dyDescent="0.35">
      <c r="A100" s="321"/>
      <c r="B100" s="322" t="s">
        <v>541</v>
      </c>
      <c r="C100" s="323"/>
      <c r="D100" s="324"/>
      <c r="E100" s="324"/>
      <c r="F100" s="327">
        <f>SUMPRODUCT(F86:F88,R86:R88)+SUMPRODUCT(F89:F99,R89:R99)/0.87</f>
        <v>3.5600783822269577E-4</v>
      </c>
      <c r="G100" s="327">
        <f>SUMPRODUCT(G86:G88,R86:R88)+SUMPRODUCT(G89:G99,R89:R99)/0.87</f>
        <v>7.2898241811148584E-5</v>
      </c>
      <c r="H100" s="327">
        <f>SUMPRODUCT(H86:H88,R86:R88)+SUMPRODUCT(H89:H99,R89:R99)/0.87</f>
        <v>1.042087941914411E-6</v>
      </c>
      <c r="I100" s="327">
        <f>SUMPRODUCT(I86:I88,R86:R88)+SUMPRODUCT(I89:I99,R89:R99)/0.87</f>
        <v>2.5457240090956884E-4</v>
      </c>
      <c r="J100" s="327">
        <f>SUMPRODUCT(J86:J88,R86:R88)+SUMPRODUCT(J89:J99,R89:R99)/0.87</f>
        <v>2.4780106499589346E-5</v>
      </c>
      <c r="K100" s="327">
        <f>SUMPRODUCT(K86:K88,R86:R88)+SUMPRODUCT(K89:K99,R89:R99)/0.87</f>
        <v>4.4872145913380242E-7</v>
      </c>
      <c r="L100" s="327">
        <f>SUMPRODUCT(L86:L88,R86:R88)+SUMPRODUCT(L89:L99,R89:R99)/0.87</f>
        <v>0</v>
      </c>
      <c r="M100" s="327">
        <f>SUMPRODUCT(M86:M88,R86:R88)+SUMPRODUCT(M89:M99,R89:R99)/0.87</f>
        <v>6.6056110991897971E-9</v>
      </c>
      <c r="N100" s="327">
        <f>SUMPRODUCT(N86:N88,R86:R88)+SUMPRODUCT(N89:N99,R89:R99)/0.87</f>
        <v>2.6805473107768306E-7</v>
      </c>
      <c r="O100" s="327">
        <f>SUMPRODUCT(O86:O88,R86:R88)+SUMPRODUCT(O89:O99,R89:R99)/0.87</f>
        <v>0</v>
      </c>
      <c r="P100" s="327">
        <f>SUMPRODUCT(P86:P88,R86:R88)+SUMPRODUCT(P89:P99,R89:R99)/0.87</f>
        <v>1.8586999939253682E-6</v>
      </c>
      <c r="Q100" s="327">
        <f>SUMPRODUCT(Q86:Q88,R86:R88)+SUMPRODUCT(Q89:Q99,R89:R99)/0.87</f>
        <v>1.3291926523864858E-7</v>
      </c>
      <c r="R100" s="328"/>
      <c r="S100" s="329"/>
    </row>
    <row r="101" spans="1:19" x14ac:dyDescent="0.35">
      <c r="A101" s="147"/>
      <c r="B101" s="23" t="s">
        <v>428</v>
      </c>
      <c r="C101" s="24"/>
      <c r="D101" s="94"/>
      <c r="E101" s="94"/>
      <c r="F101" s="28">
        <f>SUMPRODUCT(F86:F88,S86:S88)+SUMPRODUCT(F89:F99,S89:S99)/0.87</f>
        <v>3.5600783822269577E-4</v>
      </c>
      <c r="G101" s="28">
        <f>SUMPRODUCT(G86:G88,S86:S88)+SUMPRODUCT(G89:G99,S89:S99)/0.87</f>
        <v>7.2898241811148584E-5</v>
      </c>
      <c r="H101" s="28">
        <f>SUMPRODUCT(H86:H88,S86:S88)+SUMPRODUCT(H89:H99,S89:S99)/0.87</f>
        <v>1.042087941914411E-6</v>
      </c>
      <c r="I101" s="28">
        <f>SUMPRODUCT(I86:I88,S86:S88)+SUMPRODUCT(I89:I99,S89:S99)/0.87</f>
        <v>2.5457240090956884E-4</v>
      </c>
      <c r="J101" s="28">
        <f>SUMPRODUCT(J86:J88,S86:S88)+SUMPRODUCT(J89:J99,S89:S99)/0.87</f>
        <v>2.4780106499589346E-5</v>
      </c>
      <c r="K101" s="28">
        <f>SUMPRODUCT(K86:K88,S86:S88)+SUMPRODUCT(K89:K99,S89:S99)/0.87</f>
        <v>4.4872145913380242E-7</v>
      </c>
      <c r="L101" s="28">
        <f>SUMPRODUCT(L86:L88,S86:S88)+SUMPRODUCT(L89:L99,S89:S99)/0.87</f>
        <v>0</v>
      </c>
      <c r="M101" s="28">
        <f>SUMPRODUCT(M86:M88,S86:S88)+SUMPRODUCT(M89:M99,S89:S99)/0.87</f>
        <v>6.6056110991897971E-9</v>
      </c>
      <c r="N101" s="28">
        <f>SUMPRODUCT(N86:N88,S86:S88)+SUMPRODUCT(N89:N99,S89:S99)/0.87</f>
        <v>2.6805473107768306E-7</v>
      </c>
      <c r="O101" s="28">
        <f>SUMPRODUCT(O86:O88,S86:S88)+SUMPRODUCT(O89:O99,S89:S99)/0.87</f>
        <v>0</v>
      </c>
      <c r="P101" s="28">
        <f>SUMPRODUCT(P86:P88,S86:S88)+SUMPRODUCT(P89:P99,S89:S99)/0.87</f>
        <v>1.8586999939253682E-6</v>
      </c>
      <c r="Q101" s="28">
        <f>SUMPRODUCT(Q86:Q88,S86:S88)+SUMPRODUCT(Q89:Q99,S89:S99)/0.87</f>
        <v>1.3291926523864858E-7</v>
      </c>
      <c r="R101" s="149"/>
      <c r="S101" s="149"/>
    </row>
    <row r="102" spans="1:19" x14ac:dyDescent="0.35">
      <c r="B102" s="16" t="s">
        <v>285</v>
      </c>
      <c r="C102" s="15" t="s">
        <v>288</v>
      </c>
      <c r="D102" s="21" t="s">
        <v>46</v>
      </c>
      <c r="E102" s="21" t="s">
        <v>47</v>
      </c>
      <c r="F102" s="118">
        <f>SUM(G102:Q102)</f>
        <v>2.8728599685336193E-4</v>
      </c>
      <c r="G102" s="27">
        <f>'Forage crops, CF'!F41</f>
        <v>5.8517599747666185E-5</v>
      </c>
      <c r="H102" s="27">
        <f>'Forage crops, CF'!G41</f>
        <v>1.1000000000000001E-6</v>
      </c>
      <c r="I102" s="27">
        <f>'Forage crops, CF'!H41</f>
        <v>2.0667507039582464E-4</v>
      </c>
      <c r="J102" s="27">
        <f>'Forage crops, CF'!I41</f>
        <v>2.0667507039582464E-5</v>
      </c>
      <c r="K102" s="27">
        <f>'Forage crops, CF'!J41</f>
        <v>3.2581967028863559E-7</v>
      </c>
      <c r="L102" s="27">
        <f>'Forage crops, CF'!K41</f>
        <v>0</v>
      </c>
      <c r="M102" s="27">
        <f>'Forage crops, CF'!L41</f>
        <v>0</v>
      </c>
      <c r="N102" s="27">
        <f>'Forage crops, CF'!M41</f>
        <v>0</v>
      </c>
      <c r="O102" s="27">
        <f>'Forage crops, CF'!N41</f>
        <v>0</v>
      </c>
      <c r="P102" s="27">
        <f>'Forage crops, CF'!O41</f>
        <v>0</v>
      </c>
      <c r="Q102" s="27">
        <f>'Forage crops, CF'!P41</f>
        <v>0</v>
      </c>
      <c r="R102" s="148">
        <f>'Parameters, country spec'!H15</f>
        <v>0.40067105954621879</v>
      </c>
      <c r="S102" s="148">
        <f>'Parameters, country spec'!H33</f>
        <v>0.40067105954621879</v>
      </c>
    </row>
    <row r="103" spans="1:19" x14ac:dyDescent="0.35">
      <c r="B103" s="16" t="s">
        <v>286</v>
      </c>
      <c r="C103" s="15" t="s">
        <v>288</v>
      </c>
      <c r="D103" s="21" t="s">
        <v>46</v>
      </c>
      <c r="E103" s="21" t="s">
        <v>47</v>
      </c>
      <c r="F103" s="118">
        <f>SUM(G103:Q103)</f>
        <v>4.2442322630608601E-4</v>
      </c>
      <c r="G103" s="27">
        <f>'Forage crops, CF'!F106</f>
        <v>7.7338539092990867E-5</v>
      </c>
      <c r="H103" s="27">
        <f>'Forage crops, CF'!G106</f>
        <v>1.1000000000000001E-6</v>
      </c>
      <c r="I103" s="27">
        <f>'Forage crops, CF'!H106</f>
        <v>2.5207807185445986E-4</v>
      </c>
      <c r="J103" s="27">
        <f>'Forage crops, CF'!I106</f>
        <v>2.5207807185445987E-5</v>
      </c>
      <c r="K103" s="27">
        <f>'Forage crops, CF'!J106</f>
        <v>2.8999286758927875E-7</v>
      </c>
      <c r="L103" s="27"/>
      <c r="M103" s="27">
        <f>'Forage crops, CF'!L106</f>
        <v>3.0881530559999997E-7</v>
      </c>
      <c r="N103" s="27">
        <f>'Forage crops, CF'!M106</f>
        <v>0</v>
      </c>
      <c r="O103" s="27">
        <f>'Forage crops, CF'!N106</f>
        <v>0</v>
      </c>
      <c r="P103" s="27">
        <f>'Forage crops, CF'!O106</f>
        <v>6.8099999999999988E-5</v>
      </c>
      <c r="Q103" s="27"/>
      <c r="R103" s="148">
        <f>'Parameters, country spec'!H16</f>
        <v>0.27744597499526535</v>
      </c>
      <c r="S103" s="148">
        <f>'Parameters, country spec'!H34</f>
        <v>0.27744597499526535</v>
      </c>
    </row>
    <row r="104" spans="1:19" x14ac:dyDescent="0.35">
      <c r="B104" s="16" t="s">
        <v>287</v>
      </c>
      <c r="C104" s="15" t="s">
        <v>288</v>
      </c>
      <c r="D104" s="21" t="s">
        <v>46</v>
      </c>
      <c r="E104" s="21" t="s">
        <v>47</v>
      </c>
      <c r="F104" s="118">
        <f>SUM(G104:Q104)</f>
        <v>2.3909884752481718E-4</v>
      </c>
      <c r="G104" s="27">
        <f>'Forage crops, CF'!F171*'Forage, input data per ha'!$E$84+'Forage crops, CF'!F236*'Forage, input data per ha'!$G$84</f>
        <v>3.1733390805029183E-5</v>
      </c>
      <c r="H104" s="27">
        <f>'Forage crops, CF'!G171*'Forage, input data per ha'!$E$84+'Forage crops, CF'!G236*'Forage, input data per ha'!$G$84</f>
        <v>1.1000000000000001E-6</v>
      </c>
      <c r="I104" s="27">
        <f>'Forage crops, CF'!H171*'Forage, input data per ha'!$E$84+'Forage crops, CF'!H236*'Forage, input data per ha'!$G$84</f>
        <v>1.2526751556300562E-4</v>
      </c>
      <c r="J104" s="27">
        <f>'Forage crops, CF'!I171*'Forage, input data per ha'!$E$84+'Forage crops, CF'!I236*'Forage, input data per ha'!$G$84</f>
        <v>1.2526751556300561E-5</v>
      </c>
      <c r="K104" s="27">
        <f>'Forage crops, CF'!J171*'Forage, input data per ha'!$E$84+'Forage crops, CF'!J236*'Forage, input data per ha'!$G$84</f>
        <v>3.7118960048178393E-7</v>
      </c>
      <c r="L104" s="27"/>
      <c r="M104" s="27">
        <f>'Forage crops, CF'!L171*'Forage, input data per ha'!$E$84+'Forage crops, CF'!L236*'Forage, input data per ha'!$G$84</f>
        <v>0</v>
      </c>
      <c r="N104" s="27">
        <f>'Forage crops, CF'!M171*'Forage, input data per ha'!$E$84+'Forage crops, CF'!M236*'Forage, input data per ha'!$G$84</f>
        <v>0</v>
      </c>
      <c r="O104" s="27">
        <f>'Forage crops, CF'!N171*'Forage, input data per ha'!$E$84+'Forage crops, CF'!N236*'Forage, input data per ha'!$G$84</f>
        <v>0</v>
      </c>
      <c r="P104" s="27">
        <f>'Forage crops, CF'!O171*'Forage, input data per ha'!$E$84+'Forage crops, CF'!O236*'Forage, input data per ha'!$G$84</f>
        <v>6.8099999999999988E-5</v>
      </c>
      <c r="Q104" s="27"/>
      <c r="R104" s="148">
        <f>'Parameters, country spec'!H17</f>
        <v>7.1895313213819118E-2</v>
      </c>
      <c r="S104" s="148">
        <f>'Parameters, country spec'!H35</f>
        <v>7.1895313213819118E-2</v>
      </c>
    </row>
    <row r="105" spans="1:19" x14ac:dyDescent="0.35">
      <c r="A105" s="20" t="s">
        <v>222</v>
      </c>
      <c r="B105" s="15" t="s">
        <v>108</v>
      </c>
      <c r="C105" s="15" t="s">
        <v>223</v>
      </c>
      <c r="D105" s="21" t="s">
        <v>46</v>
      </c>
      <c r="E105" s="21" t="s">
        <v>47</v>
      </c>
      <c r="F105" s="118">
        <f>SUM(G105:Q105)</f>
        <v>4.8181926000000002E-4</v>
      </c>
      <c r="G105" s="93">
        <v>1.8000000000000001E-4</v>
      </c>
      <c r="H105" s="93">
        <v>9.9999999999999995E-7</v>
      </c>
      <c r="I105" s="93">
        <v>2.7099999999999997E-4</v>
      </c>
      <c r="J105" s="93">
        <v>2.7100000000000001E-5</v>
      </c>
      <c r="K105" s="93">
        <v>1.2100000000000001E-6</v>
      </c>
      <c r="L105" s="93"/>
      <c r="M105" s="93">
        <v>9.2599999999999999E-9</v>
      </c>
      <c r="N105" s="93">
        <v>1.5E-6</v>
      </c>
      <c r="O105" s="93"/>
      <c r="P105" s="93"/>
      <c r="Q105" s="93"/>
      <c r="R105" s="148">
        <f>'Parameters, country spec'!H18</f>
        <v>3.0038264722936558E-3</v>
      </c>
      <c r="S105" s="148">
        <f>'Parameters, country spec'!H36</f>
        <v>3.0038264722936558E-3</v>
      </c>
    </row>
    <row r="106" spans="1:19" x14ac:dyDescent="0.35">
      <c r="A106" s="20" t="s">
        <v>224</v>
      </c>
      <c r="B106" s="15" t="s">
        <v>109</v>
      </c>
      <c r="C106" s="15" t="s">
        <v>223</v>
      </c>
      <c r="D106" s="21" t="s">
        <v>46</v>
      </c>
      <c r="E106" s="21" t="s">
        <v>47</v>
      </c>
      <c r="F106" s="118">
        <f t="shared" ref="F106:F115" si="12">SUM(G106:Q106)</f>
        <v>4.1529099999999998E-4</v>
      </c>
      <c r="G106" s="93">
        <v>1.7000000000000001E-4</v>
      </c>
      <c r="H106" s="93">
        <v>9.9999999999999995E-7</v>
      </c>
      <c r="I106" s="93">
        <v>2.2000000000000001E-4</v>
      </c>
      <c r="J106" s="93">
        <v>2.1999999999999999E-5</v>
      </c>
      <c r="K106" s="93">
        <v>4.82E-7</v>
      </c>
      <c r="L106" s="93"/>
      <c r="M106" s="93">
        <v>3.0899999999999997E-7</v>
      </c>
      <c r="N106" s="93">
        <v>1.5E-6</v>
      </c>
      <c r="O106" s="93"/>
      <c r="P106" s="93"/>
      <c r="Q106" s="93"/>
      <c r="R106" s="148">
        <f>'Parameters, country spec'!H19</f>
        <v>1.964163410545296E-2</v>
      </c>
      <c r="S106" s="148">
        <f>'Parameters, country spec'!H37</f>
        <v>1.964163410545296E-2</v>
      </c>
    </row>
    <row r="107" spans="1:19" x14ac:dyDescent="0.35">
      <c r="A107" s="20" t="s">
        <v>225</v>
      </c>
      <c r="B107" s="15" t="s">
        <v>110</v>
      </c>
      <c r="C107" s="15" t="s">
        <v>223</v>
      </c>
      <c r="D107" s="21" t="s">
        <v>46</v>
      </c>
      <c r="E107" s="21" t="s">
        <v>47</v>
      </c>
      <c r="F107" s="118">
        <f t="shared" si="12"/>
        <v>4.0906299999999993E-4</v>
      </c>
      <c r="G107" s="93">
        <v>1.4999999999999999E-4</v>
      </c>
      <c r="H107" s="93">
        <v>9.9999999999999995E-7</v>
      </c>
      <c r="I107" s="93">
        <v>2.31E-4</v>
      </c>
      <c r="J107" s="93">
        <v>2.3099999999999999E-5</v>
      </c>
      <c r="K107" s="93">
        <v>2.12E-6</v>
      </c>
      <c r="L107" s="93"/>
      <c r="M107" s="93">
        <v>3.4299999999999999E-7</v>
      </c>
      <c r="N107" s="93">
        <v>1.5E-6</v>
      </c>
      <c r="O107" s="93"/>
      <c r="P107" s="93"/>
      <c r="Q107" s="93"/>
      <c r="R107" s="148">
        <f>'Parameters, country spec'!H20</f>
        <v>6.238152652520509E-4</v>
      </c>
      <c r="S107" s="148">
        <f>'Parameters, country spec'!H38</f>
        <v>6.238152652520509E-4</v>
      </c>
    </row>
    <row r="108" spans="1:19" x14ac:dyDescent="0.35">
      <c r="A108" s="20" t="s">
        <v>226</v>
      </c>
      <c r="B108" s="15" t="s">
        <v>111</v>
      </c>
      <c r="C108" s="15" t="s">
        <v>223</v>
      </c>
      <c r="D108" s="21" t="s">
        <v>46</v>
      </c>
      <c r="E108" s="21" t="s">
        <v>47</v>
      </c>
      <c r="F108" s="118">
        <f t="shared" si="12"/>
        <v>3.7724239999999999E-4</v>
      </c>
      <c r="G108" s="93">
        <v>1.3999999999999999E-4</v>
      </c>
      <c r="H108" s="93">
        <v>9.9999999999999995E-7</v>
      </c>
      <c r="I108" s="93">
        <v>2.12E-4</v>
      </c>
      <c r="J108" s="93">
        <v>2.12E-5</v>
      </c>
      <c r="K108" s="93">
        <v>1.53E-6</v>
      </c>
      <c r="L108" s="93"/>
      <c r="M108" s="93">
        <v>1.24E-8</v>
      </c>
      <c r="N108" s="93">
        <v>1.5E-6</v>
      </c>
      <c r="O108" s="93"/>
      <c r="P108" s="93"/>
      <c r="Q108" s="93"/>
      <c r="R108" s="148">
        <f>'Parameters, country spec'!H21</f>
        <v>4.9703321891174883E-5</v>
      </c>
      <c r="S108" s="148">
        <f>'Parameters, country spec'!H39</f>
        <v>4.9703321891174883E-5</v>
      </c>
    </row>
    <row r="109" spans="1:19" x14ac:dyDescent="0.35">
      <c r="A109" s="20" t="s">
        <v>227</v>
      </c>
      <c r="B109" s="15" t="s">
        <v>112</v>
      </c>
      <c r="C109" s="15" t="s">
        <v>223</v>
      </c>
      <c r="D109" s="21" t="s">
        <v>46</v>
      </c>
      <c r="E109" s="21" t="s">
        <v>47</v>
      </c>
      <c r="F109" s="118">
        <f t="shared" si="12"/>
        <v>4.9865180000000008E-4</v>
      </c>
      <c r="G109" s="93">
        <v>2.0000000000000001E-4</v>
      </c>
      <c r="H109" s="93">
        <v>9.9999999999999995E-7</v>
      </c>
      <c r="I109" s="93">
        <v>2.6800000000000001E-4</v>
      </c>
      <c r="J109" s="93">
        <v>2.6800000000000001E-5</v>
      </c>
      <c r="K109" s="93">
        <v>1.2899999999999999E-6</v>
      </c>
      <c r="L109" s="93"/>
      <c r="M109" s="93">
        <v>6.1799999999999998E-8</v>
      </c>
      <c r="N109" s="93">
        <v>1.5E-6</v>
      </c>
      <c r="O109" s="93"/>
      <c r="P109" s="93"/>
      <c r="Q109" s="93"/>
      <c r="R109" s="148">
        <f>'Parameters, country spec'!H22</f>
        <v>2.8451429826063719E-3</v>
      </c>
      <c r="S109" s="148">
        <f>'Parameters, country spec'!H40</f>
        <v>2.8451429826063719E-3</v>
      </c>
    </row>
    <row r="110" spans="1:19" x14ac:dyDescent="0.35">
      <c r="A110" s="20" t="s">
        <v>228</v>
      </c>
      <c r="B110" s="15" t="s">
        <v>113</v>
      </c>
      <c r="C110" s="15" t="s">
        <v>229</v>
      </c>
      <c r="D110" s="21" t="s">
        <v>46</v>
      </c>
      <c r="E110" s="21" t="s">
        <v>47</v>
      </c>
      <c r="F110" s="118">
        <f t="shared" si="12"/>
        <v>1.7349010000000003E-4</v>
      </c>
      <c r="G110" s="93">
        <v>0</v>
      </c>
      <c r="H110" s="93">
        <v>9.9999999999999995E-7</v>
      </c>
      <c r="I110" s="93">
        <v>1.54E-4</v>
      </c>
      <c r="J110" s="93">
        <v>1.5400000000000002E-5</v>
      </c>
      <c r="K110" s="93">
        <v>1.55E-6</v>
      </c>
      <c r="L110" s="93"/>
      <c r="M110" s="93">
        <v>4.0100000000000002E-8</v>
      </c>
      <c r="N110" s="93">
        <v>1.5E-6</v>
      </c>
      <c r="O110" s="93"/>
      <c r="P110" s="93"/>
      <c r="Q110" s="93"/>
      <c r="R110" s="148">
        <f>'Parameters, country spec'!H23</f>
        <v>7.8267619629308958E-4</v>
      </c>
      <c r="S110" s="148">
        <f>'Parameters, country spec'!H41</f>
        <v>7.8267619629308958E-4</v>
      </c>
    </row>
    <row r="111" spans="1:19" x14ac:dyDescent="0.35">
      <c r="A111" s="20" t="s">
        <v>230</v>
      </c>
      <c r="B111" s="15" t="s">
        <v>114</v>
      </c>
      <c r="C111" s="15" t="s">
        <v>229</v>
      </c>
      <c r="D111" s="21" t="s">
        <v>46</v>
      </c>
      <c r="E111" s="21" t="s">
        <v>47</v>
      </c>
      <c r="F111" s="118">
        <f t="shared" si="12"/>
        <v>1.8834240000000001E-4</v>
      </c>
      <c r="G111" s="93">
        <v>8.6000000000000007E-6</v>
      </c>
      <c r="H111" s="93">
        <v>9.9999999999999995E-7</v>
      </c>
      <c r="I111" s="93">
        <v>1.5899999999999999E-4</v>
      </c>
      <c r="J111" s="93">
        <v>1.59E-5</v>
      </c>
      <c r="K111" s="93">
        <v>2.3300000000000001E-6</v>
      </c>
      <c r="L111" s="93"/>
      <c r="M111" s="93">
        <v>1.24E-8</v>
      </c>
      <c r="N111" s="93">
        <v>1.5E-6</v>
      </c>
      <c r="O111" s="93"/>
      <c r="P111" s="93"/>
      <c r="Q111" s="93"/>
      <c r="R111" s="148">
        <f>'Parameters, country spec'!H24</f>
        <v>7.6884594730627475E-4</v>
      </c>
      <c r="S111" s="148">
        <f>'Parameters, country spec'!H42</f>
        <v>7.6884594730627475E-4</v>
      </c>
    </row>
    <row r="112" spans="1:19" x14ac:dyDescent="0.35">
      <c r="B112" s="16" t="s">
        <v>115</v>
      </c>
      <c r="C112" s="15" t="s">
        <v>231</v>
      </c>
      <c r="D112" s="21" t="s">
        <v>46</v>
      </c>
      <c r="E112" s="21" t="s">
        <v>47</v>
      </c>
      <c r="F112" s="118">
        <f t="shared" si="12"/>
        <v>1.5426052012212825E-3</v>
      </c>
      <c r="G112" s="27">
        <f>'Off-farm feed'!$F$77</f>
        <v>3.5160526410462907E-4</v>
      </c>
      <c r="H112" s="27">
        <f>'Off-farm feed'!$G$77</f>
        <v>5.3103448275862083E-7</v>
      </c>
      <c r="I112" s="27">
        <f>'Off-farm feed'!$H$77</f>
        <v>1.0756102664162708E-3</v>
      </c>
      <c r="J112" s="27">
        <f>'Off-farm feed'!$I$77</f>
        <v>1.0756102664162706E-4</v>
      </c>
      <c r="K112" s="27">
        <f>'Off-farm feed'!$J$77</f>
        <v>6.6339607025480414E-7</v>
      </c>
      <c r="L112" s="27"/>
      <c r="M112" s="27">
        <f>'Off-farm feed'!$L$77</f>
        <v>7.9511067188965511E-9</v>
      </c>
      <c r="N112" s="27">
        <f>'Off-farm feed'!$M$77</f>
        <v>1.2789681892721844E-6</v>
      </c>
      <c r="O112" s="27"/>
      <c r="P112" s="27">
        <f>'Off-farm feed'!$O$77</f>
        <v>4.8776996151562902E-6</v>
      </c>
      <c r="Q112" s="27">
        <f>'Off-farm feed'!$P$77</f>
        <v>4.6959459459459463E-7</v>
      </c>
      <c r="R112" s="148">
        <f>'Parameters, country spec'!H25</f>
        <v>1.3183641649379223E-3</v>
      </c>
      <c r="S112" s="148">
        <f>'Parameters, country spec'!H43</f>
        <v>1.3183641649379223E-3</v>
      </c>
    </row>
    <row r="113" spans="1:19" x14ac:dyDescent="0.35">
      <c r="B113" s="16" t="s">
        <v>232</v>
      </c>
      <c r="C113" s="15" t="s">
        <v>231</v>
      </c>
      <c r="D113" s="21" t="s">
        <v>46</v>
      </c>
      <c r="E113" s="21" t="s">
        <v>47</v>
      </c>
      <c r="F113" s="118">
        <f t="shared" si="12"/>
        <v>1.8866346644602505E-4</v>
      </c>
      <c r="G113" s="27">
        <f>'Off-farm feed'!$F$26</f>
        <v>1.6332109719061441E-5</v>
      </c>
      <c r="H113" s="27">
        <f>'Off-farm feed'!$G$26</f>
        <v>8.7195121951219526E-7</v>
      </c>
      <c r="I113" s="27">
        <f>'Off-farm feed'!$H$26</f>
        <v>1.3333449845358202E-4</v>
      </c>
      <c r="J113" s="27">
        <f>'Off-farm feed'!$I$26</f>
        <v>1.3333449845358203E-5</v>
      </c>
      <c r="K113" s="27">
        <f>'Off-farm feed'!$J$26</f>
        <v>1.1576736579983931E-6</v>
      </c>
      <c r="L113" s="27"/>
      <c r="M113" s="27">
        <f>'Off-farm feed'!$L$26</f>
        <v>7.3437786087804866E-9</v>
      </c>
      <c r="N113" s="27">
        <f>'Off-farm feed'!$M$26</f>
        <v>1.1195281639512197E-6</v>
      </c>
      <c r="O113" s="27"/>
      <c r="P113" s="27">
        <f>'Off-farm feed'!$O$26</f>
        <v>1.3419073770114991E-5</v>
      </c>
      <c r="Q113" s="27">
        <f>'Off-farm feed'!$P$26</f>
        <v>9.087837837837838E-6</v>
      </c>
      <c r="R113" s="148">
        <f>'Parameters, country spec'!H26</f>
        <v>3.2548889626891842E-2</v>
      </c>
      <c r="S113" s="148">
        <f>'Parameters, country spec'!H44</f>
        <v>3.2548889626891842E-2</v>
      </c>
    </row>
    <row r="114" spans="1:19" x14ac:dyDescent="0.35">
      <c r="B114" s="15" t="s">
        <v>117</v>
      </c>
      <c r="C114" s="15" t="s">
        <v>233</v>
      </c>
      <c r="D114" s="21" t="s">
        <v>46</v>
      </c>
      <c r="E114" s="21" t="s">
        <v>47</v>
      </c>
      <c r="F114" s="579">
        <f t="shared" si="12"/>
        <v>3.3417879443169461E-4</v>
      </c>
      <c r="G114" s="93">
        <v>1.0458801320869801E-4</v>
      </c>
      <c r="H114" s="93">
        <v>5.7637696335078501E-7</v>
      </c>
      <c r="I114" s="93">
        <v>2.0689750580614601E-4</v>
      </c>
      <c r="K114" s="93">
        <v>1.3687022202079601E-6</v>
      </c>
      <c r="N114" s="12"/>
      <c r="O114" s="12"/>
      <c r="P114" s="93">
        <v>1.8648447718521899E-5</v>
      </c>
      <c r="Q114" s="93">
        <v>2.0997485147699699E-6</v>
      </c>
      <c r="R114" s="148">
        <f>'Parameters, country spec'!H27</f>
        <v>7.1183592363716075E-2</v>
      </c>
      <c r="S114" s="148">
        <f>'Parameters, country spec'!H45</f>
        <v>7.1183592363716075E-2</v>
      </c>
    </row>
    <row r="115" spans="1:19" x14ac:dyDescent="0.35">
      <c r="A115" s="75"/>
      <c r="B115" s="15" t="s">
        <v>234</v>
      </c>
      <c r="C115" s="76" t="s">
        <v>235</v>
      </c>
      <c r="D115" s="21" t="s">
        <v>46</v>
      </c>
      <c r="E115" s="21" t="s">
        <v>47</v>
      </c>
      <c r="F115" s="118">
        <f t="shared" si="12"/>
        <v>1.9752055557582559E-5</v>
      </c>
      <c r="G115" s="74">
        <f>SUMPRODUCT(G105:G113,$R105:$R113)</f>
        <v>5.5510738064796376E-6</v>
      </c>
      <c r="H115" s="74">
        <f t="shared" ref="H115:P115" si="13">SUMPRODUCT(H105:H113,$R105:$R113)</f>
        <v>5.6796785127447069E-8</v>
      </c>
      <c r="I115" s="74">
        <f t="shared" si="13"/>
        <v>1.205304777119989E-5</v>
      </c>
      <c r="J115" s="74">
        <f t="shared" si="13"/>
        <v>1.205304777119989E-6</v>
      </c>
      <c r="K115" s="74">
        <f t="shared" si="13"/>
        <v>5.9730815448506021E-8</v>
      </c>
      <c r="L115" s="74">
        <f t="shared" si="13"/>
        <v>0</v>
      </c>
      <c r="M115" s="74">
        <f t="shared" si="13"/>
        <v>6.7779284639856479E-9</v>
      </c>
      <c r="N115" s="74">
        <f t="shared" si="13"/>
        <v>7.9699010908120488E-8</v>
      </c>
      <c r="O115" s="74">
        <f t="shared" si="13"/>
        <v>0</v>
      </c>
      <c r="P115" s="74">
        <f t="shared" si="13"/>
        <v>4.4320653541854581E-7</v>
      </c>
      <c r="Q115" s="74">
        <f>SUMPRODUCT(Q105:Q113,$R105:$R113)</f>
        <v>2.9641812741643728E-7</v>
      </c>
      <c r="R115" s="148">
        <f>'Parameters, country spec'!H28</f>
        <v>0.11722116179805527</v>
      </c>
      <c r="S115" s="148">
        <f>'Parameters, country spec'!H46</f>
        <v>0.11722116179805527</v>
      </c>
    </row>
    <row r="116" spans="1:19" x14ac:dyDescent="0.35">
      <c r="A116" s="321"/>
      <c r="B116" s="322" t="s">
        <v>541</v>
      </c>
      <c r="C116" s="323"/>
      <c r="D116" s="324"/>
      <c r="E116" s="324"/>
      <c r="F116" s="327">
        <f>SUMPRODUCT(F102:F104,R102:R104)+SUMPRODUCT(F105:F115,R105:R115)/0.87</f>
        <v>3.0275921417145991E-4</v>
      </c>
      <c r="G116" s="327">
        <f>SUMPRODUCT(G102:G104,R102:R104)+SUMPRODUCT(G105:G115,R105:R115)/0.87</f>
        <v>6.2870950970249012E-5</v>
      </c>
      <c r="H116" s="327">
        <f>SUMPRODUCT(H102:H104,R102:R104)+SUMPRODUCT(H105:H115,R105:R115)/0.87</f>
        <v>9.4510916077621268E-7</v>
      </c>
      <c r="I116" s="327">
        <f>SUMPRODUCT(I102:I104,R102:R104)+SUMPRODUCT(I105:I115,R105:R115)/0.87</f>
        <v>1.9415938180125252E-4</v>
      </c>
      <c r="J116" s="327">
        <f>SUMPRODUCT(J102:J104,R102:R104)+SUMPRODUCT(J105:J115,R105:R115)/0.87</f>
        <v>1.7723098212955797E-5</v>
      </c>
      <c r="K116" s="327">
        <f>SUMPRODUCT(K102:K104,R102:R104)+SUMPRODUCT(K105:K115,R105:R115)/0.87</f>
        <v>4.2638223593769585E-7</v>
      </c>
      <c r="L116" s="327">
        <f>SUMPRODUCT(L102:L104,R102:R104)+SUMPRODUCT(L105:L115,R105:R115)/0.87</f>
        <v>0</v>
      </c>
      <c r="M116" s="327">
        <f>SUMPRODUCT(M102:M104,R102:R104)+SUMPRODUCT(M105:M115,R105:R115)/0.87</f>
        <v>9.4383523455788624E-8</v>
      </c>
      <c r="N116" s="327">
        <f>SUMPRODUCT(N102:N104,R102:R104)+SUMPRODUCT(N105:N115,R105:R115)/0.87</f>
        <v>1.0234646156428304E-7</v>
      </c>
      <c r="O116" s="327">
        <f>SUMPRODUCT(O102:O104,R102:R104)+SUMPRODUCT(O105:O115,R105:R115)/0.87</f>
        <v>0</v>
      </c>
      <c r="P116" s="327">
        <f>SUMPRODUCT(P102:P104,R102:R104)+SUMPRODUCT(P105:P115,R105:R115)/0.87</f>
        <v>2.5885110946611212E-5</v>
      </c>
      <c r="Q116" s="327">
        <f>SUMPRODUCT(Q102:Q104,R102:R104)+SUMPRODUCT(Q105:Q115,R105:R115)/0.87</f>
        <v>5.5245085865735605E-7</v>
      </c>
      <c r="R116" s="328"/>
      <c r="S116" s="329"/>
    </row>
    <row r="117" spans="1:19" x14ac:dyDescent="0.35">
      <c r="A117" s="147"/>
      <c r="B117" s="23" t="s">
        <v>428</v>
      </c>
      <c r="C117" s="24"/>
      <c r="D117" s="94"/>
      <c r="E117" s="94"/>
      <c r="F117" s="28">
        <f>SUMPRODUCT(F102:F104,S102:S104)+SUMPRODUCT(F105:F115,S105:S115)/0.87</f>
        <v>3.0275921417145991E-4</v>
      </c>
      <c r="G117" s="28">
        <f>SUMPRODUCT(G102:G104,S102:S104)+SUMPRODUCT(G105:G115,S105:S115)/0.87</f>
        <v>6.2870950970249012E-5</v>
      </c>
      <c r="H117" s="28">
        <f>SUMPRODUCT(H102:H104,S102:S104)+SUMPRODUCT(H105:H115,S105:S115)/0.87</f>
        <v>9.4510916077621268E-7</v>
      </c>
      <c r="I117" s="28">
        <f>SUMPRODUCT(I102:I104,S102:S104)+SUMPRODUCT(I105:I115,S105:S115)/0.87</f>
        <v>1.9415938180125252E-4</v>
      </c>
      <c r="J117" s="28">
        <f>SUMPRODUCT(J102:J104,S102:S104)+SUMPRODUCT(J105:J115,S105:S115)/0.87</f>
        <v>1.7723098212955797E-5</v>
      </c>
      <c r="K117" s="28">
        <f>SUMPRODUCT(K102:K104,S102:S104)+SUMPRODUCT(K105:K115,S105:S115)/0.87</f>
        <v>4.2638223593769585E-7</v>
      </c>
      <c r="L117" s="28">
        <f>SUMPRODUCT(L102:L104,S102:S104)+SUMPRODUCT(L105:L115,S105:S115)/0.87</f>
        <v>0</v>
      </c>
      <c r="M117" s="28">
        <f>SUMPRODUCT(M102:M104,S102:S104)+SUMPRODUCT(M105:M115,S105:S115)/0.87</f>
        <v>9.4383523455788624E-8</v>
      </c>
      <c r="N117" s="28">
        <f>SUMPRODUCT(N102:N104,S102:S104)+SUMPRODUCT(N105:N115,S105:S115)/0.87</f>
        <v>1.0234646156428304E-7</v>
      </c>
      <c r="O117" s="28">
        <f>SUMPRODUCT(O102:O104,S102:S104)+SUMPRODUCT(O105:O115,S105:S115)/0.87</f>
        <v>0</v>
      </c>
      <c r="P117" s="28">
        <f>SUMPRODUCT(P102:P104,S102:S104)+SUMPRODUCT(P105:P115,S105:S115)/0.87</f>
        <v>2.5885110946611212E-5</v>
      </c>
      <c r="Q117" s="28">
        <f>SUMPRODUCT(Q102:Q104,S102:S104)+SUMPRODUCT(Q105:Q115,S105:S115)/0.87</f>
        <v>5.5245085865735605E-7</v>
      </c>
      <c r="R117" s="149"/>
      <c r="S117" s="149"/>
    </row>
    <row r="118" spans="1:19" x14ac:dyDescent="0.35">
      <c r="B118" s="16" t="s">
        <v>285</v>
      </c>
      <c r="C118" s="15" t="s">
        <v>288</v>
      </c>
      <c r="D118" s="21" t="s">
        <v>48</v>
      </c>
      <c r="E118" s="21" t="s">
        <v>49</v>
      </c>
      <c r="F118" s="118">
        <f>SUM(G118:Q118)</f>
        <v>9.6094274791355889E-4</v>
      </c>
      <c r="G118" s="27">
        <f>'Forage crops, CF'!F46</f>
        <v>2.1356678801743158E-4</v>
      </c>
      <c r="H118" s="27">
        <f>'Forage crops, CF'!G46</f>
        <v>1.1000000000000001E-6</v>
      </c>
      <c r="I118" s="27">
        <f>'Forage crops, CF'!H46</f>
        <v>6.7792943235542443E-4</v>
      </c>
      <c r="J118" s="27">
        <f>'Forage crops, CF'!I46</f>
        <v>6.7792943235542451E-5</v>
      </c>
      <c r="K118" s="27">
        <f>'Forage crops, CF'!J46</f>
        <v>5.5358430516045113E-7</v>
      </c>
      <c r="L118" s="27">
        <f>'Forage crops, CF'!K46</f>
        <v>0</v>
      </c>
      <c r="M118" s="27">
        <f>'Forage crops, CF'!L46</f>
        <v>0</v>
      </c>
      <c r="N118" s="27">
        <f>'Forage crops, CF'!M46</f>
        <v>0</v>
      </c>
      <c r="O118" s="27">
        <f>'Forage crops, CF'!N46</f>
        <v>0</v>
      </c>
      <c r="P118" s="27">
        <f>'Forage crops, CF'!O46</f>
        <v>0</v>
      </c>
      <c r="Q118" s="27">
        <f>'Forage crops, CF'!P46</f>
        <v>0</v>
      </c>
      <c r="R118" s="148">
        <f>'Parameters, country spec'!I15</f>
        <v>0.47949543012015922</v>
      </c>
      <c r="S118" s="148">
        <f>'Parameters, country spec'!I33</f>
        <v>0.47949543012015922</v>
      </c>
    </row>
    <row r="119" spans="1:19" x14ac:dyDescent="0.35">
      <c r="B119" s="16" t="s">
        <v>286</v>
      </c>
      <c r="C119" s="15" t="s">
        <v>288</v>
      </c>
      <c r="D119" s="21" t="s">
        <v>48</v>
      </c>
      <c r="E119" s="21" t="s">
        <v>49</v>
      </c>
      <c r="F119" s="118">
        <f>SUM(G119:Q119)</f>
        <v>4.5646296901282141E-4</v>
      </c>
      <c r="G119" s="27">
        <f>'Forage crops, CF'!F111</f>
        <v>8.472950463371495E-5</v>
      </c>
      <c r="H119" s="27">
        <f>'Forage crops, CF'!G111</f>
        <v>1.1000000000000001E-6</v>
      </c>
      <c r="I119" s="27">
        <f>'Forage crops, CF'!H111</f>
        <v>2.7454207046694734E-4</v>
      </c>
      <c r="J119" s="27">
        <f>'Forage crops, CF'!I111</f>
        <v>2.7454207046694736E-5</v>
      </c>
      <c r="K119" s="27">
        <f>'Forage crops, CF'!J111</f>
        <v>3.466766452157641E-7</v>
      </c>
      <c r="L119" s="27"/>
      <c r="M119" s="27">
        <f>'Forage crops, CF'!L111</f>
        <v>1.905102202486717E-7</v>
      </c>
      <c r="N119" s="27">
        <f>'Forage crops, CF'!M111</f>
        <v>0</v>
      </c>
      <c r="O119" s="27">
        <f>'Forage crops, CF'!N111</f>
        <v>0</v>
      </c>
      <c r="P119" s="27">
        <f>'Forage crops, CF'!O111</f>
        <v>6.8099999999999988E-5</v>
      </c>
      <c r="Q119" s="27"/>
      <c r="R119" s="148">
        <f>'Parameters, country spec'!I16</f>
        <v>0.16379583021525312</v>
      </c>
      <c r="S119" s="148">
        <f>'Parameters, country spec'!I34</f>
        <v>0.16379583021525312</v>
      </c>
    </row>
    <row r="120" spans="1:19" x14ac:dyDescent="0.35">
      <c r="B120" s="16" t="s">
        <v>287</v>
      </c>
      <c r="C120" s="15" t="s">
        <v>288</v>
      </c>
      <c r="D120" s="21" t="s">
        <v>48</v>
      </c>
      <c r="E120" s="21" t="s">
        <v>49</v>
      </c>
      <c r="F120" s="118">
        <f>SUM(G120:Q120)</f>
        <v>9.0323206495958579E-4</v>
      </c>
      <c r="G120" s="27">
        <f>'Forage crops, CF'!F176*'Forage, input data per ha'!$E$85+'Forage crops, CF'!F241*'Forage, input data per ha'!$G$85</f>
        <v>1.846039161452204E-4</v>
      </c>
      <c r="H120" s="27">
        <f>'Forage crops, CF'!G176*'Forage, input data per ha'!$E$85+'Forage crops, CF'!G241*'Forage, input data per ha'!$G$85</f>
        <v>1.1000000000000001E-6</v>
      </c>
      <c r="I120" s="27">
        <f>'Forage crops, CF'!H176*'Forage, input data per ha'!$E$85+'Forage crops, CF'!H241*'Forage, input data per ha'!$G$85</f>
        <v>5.8990007949670932E-4</v>
      </c>
      <c r="J120" s="27">
        <f>'Forage crops, CF'!I176*'Forage, input data per ha'!$E$85+'Forage crops, CF'!I241*'Forage, input data per ha'!$G$85</f>
        <v>5.8990007949670947E-5</v>
      </c>
      <c r="K120" s="27">
        <f>'Forage crops, CF'!J176*'Forage, input data per ha'!$E$85+'Forage crops, CF'!J241*'Forage, input data per ha'!$G$85</f>
        <v>5.3806136798514423E-7</v>
      </c>
      <c r="L120" s="27"/>
      <c r="M120" s="27">
        <f>'Forage crops, CF'!L176*'Forage, input data per ha'!$E$85+'Forage crops, CF'!L241*'Forage, input data per ha'!$G$85</f>
        <v>0</v>
      </c>
      <c r="N120" s="27">
        <f>'Forage crops, CF'!M176*'Forage, input data per ha'!$E$85+'Forage crops, CF'!M241*'Forage, input data per ha'!$G$85</f>
        <v>0</v>
      </c>
      <c r="O120" s="27">
        <f>'Forage crops, CF'!N176*'Forage, input data per ha'!$E$85+'Forage crops, CF'!N241*'Forage, input data per ha'!$G$85</f>
        <v>0</v>
      </c>
      <c r="P120" s="27">
        <f>'Forage crops, CF'!O176*'Forage, input data per ha'!$E$85+'Forage crops, CF'!O241*'Forage, input data per ha'!$G$85</f>
        <v>6.8099999999999975E-5</v>
      </c>
      <c r="Q120" s="27"/>
      <c r="R120" s="148">
        <f>'Parameters, country spec'!I17</f>
        <v>0.1711074910334601</v>
      </c>
      <c r="S120" s="148">
        <f>'Parameters, country spec'!I35</f>
        <v>0.1711074910334601</v>
      </c>
    </row>
    <row r="121" spans="1:19" x14ac:dyDescent="0.35">
      <c r="A121" s="20" t="s">
        <v>222</v>
      </c>
      <c r="B121" s="15" t="s">
        <v>108</v>
      </c>
      <c r="C121" s="15" t="s">
        <v>223</v>
      </c>
      <c r="D121" s="21" t="s">
        <v>48</v>
      </c>
      <c r="E121" s="21" t="s">
        <v>49</v>
      </c>
      <c r="F121" s="118">
        <f>SUM(G121:Q121)</f>
        <v>8.3892959999999996E-4</v>
      </c>
      <c r="G121" s="93">
        <v>1.8000000000000001E-4</v>
      </c>
      <c r="H121" s="93">
        <v>9.9999999999999995E-7</v>
      </c>
      <c r="I121" s="93">
        <v>5.9599999999999996E-4</v>
      </c>
      <c r="J121" s="93">
        <v>5.9599999999999999E-5</v>
      </c>
      <c r="K121" s="93">
        <v>7.3799999999999996E-7</v>
      </c>
      <c r="L121" s="93"/>
      <c r="M121" s="93">
        <v>2.1600000000000002E-8</v>
      </c>
      <c r="N121" s="93">
        <v>1.57E-6</v>
      </c>
      <c r="O121" s="93"/>
      <c r="P121" s="93"/>
      <c r="Q121" s="93"/>
      <c r="R121" s="148">
        <f>'Parameters, country spec'!I18</f>
        <v>3.7649623151768418E-3</v>
      </c>
      <c r="S121" s="148">
        <f>'Parameters, country spec'!I36</f>
        <v>3.7649623151768418E-3</v>
      </c>
    </row>
    <row r="122" spans="1:19" x14ac:dyDescent="0.35">
      <c r="A122" s="20" t="s">
        <v>224</v>
      </c>
      <c r="B122" s="15" t="s">
        <v>109</v>
      </c>
      <c r="C122" s="15" t="s">
        <v>223</v>
      </c>
      <c r="D122" s="21" t="s">
        <v>48</v>
      </c>
      <c r="E122" s="21" t="s">
        <v>49</v>
      </c>
      <c r="F122" s="118">
        <f t="shared" ref="F122:F131" si="14">SUM(G122:Q122)</f>
        <v>8.0910399999999994E-4</v>
      </c>
      <c r="G122" s="93">
        <v>1.7000000000000001E-4</v>
      </c>
      <c r="H122" s="93">
        <v>9.9999999999999995E-7</v>
      </c>
      <c r="I122" s="93">
        <v>5.7799999999999995E-4</v>
      </c>
      <c r="J122" s="93">
        <v>5.7800000000000002E-5</v>
      </c>
      <c r="K122" s="93">
        <v>5.3600000000000004E-7</v>
      </c>
      <c r="L122" s="93"/>
      <c r="M122" s="93">
        <v>1.98E-7</v>
      </c>
      <c r="N122" s="93">
        <v>1.57E-6</v>
      </c>
      <c r="O122" s="93"/>
      <c r="P122" s="93"/>
      <c r="Q122" s="93"/>
      <c r="R122" s="148">
        <f>'Parameters, country spec'!I19</f>
        <v>1.1306927408010266E-2</v>
      </c>
      <c r="S122" s="148">
        <f>'Parameters, country spec'!I37</f>
        <v>1.1306927408010266E-2</v>
      </c>
    </row>
    <row r="123" spans="1:19" x14ac:dyDescent="0.35">
      <c r="A123" s="20" t="s">
        <v>225</v>
      </c>
      <c r="B123" s="15" t="s">
        <v>110</v>
      </c>
      <c r="C123" s="15" t="s">
        <v>223</v>
      </c>
      <c r="D123" s="21" t="s">
        <v>48</v>
      </c>
      <c r="E123" s="21" t="s">
        <v>49</v>
      </c>
      <c r="F123" s="118">
        <f t="shared" si="14"/>
        <v>7.7184899999999991E-4</v>
      </c>
      <c r="G123" s="93">
        <v>1.4999999999999999E-4</v>
      </c>
      <c r="H123" s="93">
        <v>9.9999999999999995E-7</v>
      </c>
      <c r="I123" s="93">
        <v>5.62E-4</v>
      </c>
      <c r="J123" s="93">
        <v>5.6199999999999997E-5</v>
      </c>
      <c r="K123" s="93">
        <v>9.6800000000000009E-7</v>
      </c>
      <c r="L123" s="93"/>
      <c r="M123" s="93">
        <v>1.11E-7</v>
      </c>
      <c r="N123" s="93">
        <v>1.57E-6</v>
      </c>
      <c r="O123" s="93"/>
      <c r="P123" s="93"/>
      <c r="Q123" s="93"/>
      <c r="R123" s="148">
        <f>'Parameters, country spec'!I20</f>
        <v>1.2367044164683077E-4</v>
      </c>
      <c r="S123" s="148">
        <f>'Parameters, country spec'!I38</f>
        <v>1.2367044164683077E-4</v>
      </c>
    </row>
    <row r="124" spans="1:19" x14ac:dyDescent="0.35">
      <c r="A124" s="20" t="s">
        <v>226</v>
      </c>
      <c r="B124" s="15" t="s">
        <v>111</v>
      </c>
      <c r="C124" s="15" t="s">
        <v>223</v>
      </c>
      <c r="D124" s="21" t="s">
        <v>48</v>
      </c>
      <c r="E124" s="21" t="s">
        <v>49</v>
      </c>
      <c r="F124" s="118">
        <f t="shared" si="14"/>
        <v>6.9837999999999996E-4</v>
      </c>
      <c r="G124" s="93">
        <v>1.3999999999999999E-4</v>
      </c>
      <c r="H124" s="93">
        <v>9.9999999999999995E-7</v>
      </c>
      <c r="I124" s="93">
        <v>5.04E-4</v>
      </c>
      <c r="J124" s="93">
        <v>5.0399999999999999E-5</v>
      </c>
      <c r="K124" s="93">
        <v>1.4100000000000001E-6</v>
      </c>
      <c r="L124" s="93"/>
      <c r="M124" s="93">
        <v>0</v>
      </c>
      <c r="N124" s="93">
        <v>1.57E-6</v>
      </c>
      <c r="O124" s="93"/>
      <c r="P124" s="93"/>
      <c r="Q124" s="93"/>
      <c r="R124" s="148">
        <f>'Parameters, country spec'!I21</f>
        <v>4.6537012747958835E-4</v>
      </c>
      <c r="S124" s="148">
        <f>'Parameters, country spec'!I39</f>
        <v>4.6537012747958835E-4</v>
      </c>
    </row>
    <row r="125" spans="1:19" x14ac:dyDescent="0.35">
      <c r="A125" s="20" t="s">
        <v>227</v>
      </c>
      <c r="B125" s="15" t="s">
        <v>112</v>
      </c>
      <c r="C125" s="15" t="s">
        <v>223</v>
      </c>
      <c r="D125" s="21" t="s">
        <v>48</v>
      </c>
      <c r="E125" s="21" t="s">
        <v>49</v>
      </c>
      <c r="F125" s="118">
        <f t="shared" si="14"/>
        <v>9.6220029999999985E-4</v>
      </c>
      <c r="G125" s="93">
        <v>2.0000000000000001E-4</v>
      </c>
      <c r="H125" s="93">
        <v>9.9999999999999995E-7</v>
      </c>
      <c r="I125" s="93">
        <v>6.8999999999999997E-4</v>
      </c>
      <c r="J125" s="93">
        <v>6.8999999999999997E-5</v>
      </c>
      <c r="K125" s="93">
        <v>5.8400000000000004E-7</v>
      </c>
      <c r="L125" s="93"/>
      <c r="M125" s="93">
        <v>4.6299999999999998E-8</v>
      </c>
      <c r="N125" s="93">
        <v>1.57E-6</v>
      </c>
      <c r="O125" s="93"/>
      <c r="P125" s="93"/>
      <c r="Q125" s="93"/>
      <c r="R125" s="148">
        <f>'Parameters, country spec'!I22</f>
        <v>1.2739490248206042E-2</v>
      </c>
      <c r="S125" s="148">
        <f>'Parameters, country spec'!I40</f>
        <v>1.2739490248206042E-2</v>
      </c>
    </row>
    <row r="126" spans="1:19" x14ac:dyDescent="0.35">
      <c r="A126" s="20" t="s">
        <v>228</v>
      </c>
      <c r="B126" s="15" t="s">
        <v>113</v>
      </c>
      <c r="C126" s="15" t="s">
        <v>229</v>
      </c>
      <c r="D126" s="21" t="s">
        <v>48</v>
      </c>
      <c r="E126" s="21" t="s">
        <v>49</v>
      </c>
      <c r="F126" s="118">
        <f t="shared" si="14"/>
        <v>2.0703569999999999E-4</v>
      </c>
      <c r="G126" s="93">
        <v>0</v>
      </c>
      <c r="H126" s="93">
        <v>9.9999999999999995E-7</v>
      </c>
      <c r="I126" s="93">
        <v>1.85E-4</v>
      </c>
      <c r="J126" s="93">
        <v>1.8499999999999999E-5</v>
      </c>
      <c r="K126" s="93">
        <v>9.0699999999999996E-7</v>
      </c>
      <c r="L126" s="93"/>
      <c r="M126" s="93">
        <v>5.8700000000000003E-8</v>
      </c>
      <c r="N126" s="93">
        <v>1.57E-6</v>
      </c>
      <c r="O126" s="93"/>
      <c r="P126" s="93"/>
      <c r="Q126" s="93"/>
      <c r="R126" s="148">
        <f>'Parameters, country spec'!I23</f>
        <v>0</v>
      </c>
      <c r="S126" s="148">
        <f>'Parameters, country spec'!I41</f>
        <v>0</v>
      </c>
    </row>
    <row r="127" spans="1:19" x14ac:dyDescent="0.35">
      <c r="A127" s="20" t="s">
        <v>230</v>
      </c>
      <c r="B127" s="15" t="s">
        <v>114</v>
      </c>
      <c r="C127" s="15" t="s">
        <v>229</v>
      </c>
      <c r="D127" s="21" t="s">
        <v>48</v>
      </c>
      <c r="E127" s="21" t="s">
        <v>49</v>
      </c>
      <c r="F127" s="118">
        <f t="shared" si="14"/>
        <v>2.3980779999999995E-4</v>
      </c>
      <c r="G127" s="93">
        <v>8.6000000000000007E-6</v>
      </c>
      <c r="H127" s="93">
        <v>9.9999999999999995E-7</v>
      </c>
      <c r="I127" s="93">
        <v>2.0699999999999999E-4</v>
      </c>
      <c r="J127" s="93">
        <v>2.0699999999999998E-5</v>
      </c>
      <c r="K127" s="93">
        <v>9.0999999999999997E-7</v>
      </c>
      <c r="L127" s="93"/>
      <c r="M127" s="93">
        <v>2.7800000000000001E-8</v>
      </c>
      <c r="N127" s="93">
        <v>1.57E-6</v>
      </c>
      <c r="O127" s="93"/>
      <c r="P127" s="93"/>
      <c r="Q127" s="93"/>
      <c r="R127" s="148">
        <f>'Parameters, country spec'!I24</f>
        <v>0</v>
      </c>
      <c r="S127" s="148">
        <f>'Parameters, country spec'!I42</f>
        <v>0</v>
      </c>
    </row>
    <row r="128" spans="1:19" x14ac:dyDescent="0.35">
      <c r="B128" s="16" t="s">
        <v>115</v>
      </c>
      <c r="C128" s="15" t="s">
        <v>231</v>
      </c>
      <c r="D128" s="21" t="s">
        <v>48</v>
      </c>
      <c r="E128" s="21" t="s">
        <v>49</v>
      </c>
      <c r="F128" s="118">
        <f t="shared" si="14"/>
        <v>1.5426052012212825E-3</v>
      </c>
      <c r="G128" s="27">
        <f>'Off-farm feed'!$F$77</f>
        <v>3.5160526410462907E-4</v>
      </c>
      <c r="H128" s="27">
        <f>'Off-farm feed'!$G$77</f>
        <v>5.3103448275862083E-7</v>
      </c>
      <c r="I128" s="27">
        <f>'Off-farm feed'!$H$77</f>
        <v>1.0756102664162708E-3</v>
      </c>
      <c r="J128" s="27">
        <f>'Off-farm feed'!$I$77</f>
        <v>1.0756102664162706E-4</v>
      </c>
      <c r="K128" s="27">
        <f>'Off-farm feed'!$J$77</f>
        <v>6.6339607025480414E-7</v>
      </c>
      <c r="L128" s="27"/>
      <c r="M128" s="27">
        <f>'Off-farm feed'!$L$77</f>
        <v>7.9511067188965511E-9</v>
      </c>
      <c r="N128" s="27">
        <f>'Off-farm feed'!$M$77</f>
        <v>1.2789681892721844E-6</v>
      </c>
      <c r="O128" s="27"/>
      <c r="P128" s="27">
        <f>'Off-farm feed'!$O$77</f>
        <v>4.8776996151562902E-6</v>
      </c>
      <c r="Q128" s="27">
        <f>'Off-farm feed'!$P$77</f>
        <v>4.6959459459459463E-7</v>
      </c>
      <c r="R128" s="148">
        <f>'Parameters, country spec'!I25</f>
        <v>4.3197597637154396E-2</v>
      </c>
      <c r="S128" s="148">
        <f>'Parameters, country spec'!I43</f>
        <v>4.3197597637154396E-2</v>
      </c>
    </row>
    <row r="129" spans="1:20" x14ac:dyDescent="0.35">
      <c r="B129" s="16" t="s">
        <v>232</v>
      </c>
      <c r="C129" s="15" t="s">
        <v>231</v>
      </c>
      <c r="D129" s="21" t="s">
        <v>48</v>
      </c>
      <c r="E129" s="21" t="s">
        <v>49</v>
      </c>
      <c r="F129" s="118">
        <f t="shared" si="14"/>
        <v>1.8866346644602505E-4</v>
      </c>
      <c r="G129" s="27">
        <f>'Off-farm feed'!$F$26</f>
        <v>1.6332109719061441E-5</v>
      </c>
      <c r="H129" s="27">
        <f>'Off-farm feed'!$G$26</f>
        <v>8.7195121951219526E-7</v>
      </c>
      <c r="I129" s="27">
        <f>'Off-farm feed'!$H$26</f>
        <v>1.3333449845358202E-4</v>
      </c>
      <c r="J129" s="27">
        <f>'Off-farm feed'!$I$26</f>
        <v>1.3333449845358203E-5</v>
      </c>
      <c r="K129" s="27">
        <f>'Off-farm feed'!$J$26</f>
        <v>1.1576736579983931E-6</v>
      </c>
      <c r="L129" s="27"/>
      <c r="M129" s="27">
        <f>'Off-farm feed'!$L$26</f>
        <v>7.3437786087804866E-9</v>
      </c>
      <c r="N129" s="27">
        <f>'Off-farm feed'!$M$26</f>
        <v>1.1195281639512197E-6</v>
      </c>
      <c r="O129" s="27"/>
      <c r="P129" s="27">
        <f>'Off-farm feed'!$O$26</f>
        <v>1.3419073770114991E-5</v>
      </c>
      <c r="Q129" s="27">
        <f>'Off-farm feed'!$P$26</f>
        <v>9.087837837837838E-6</v>
      </c>
      <c r="R129" s="148">
        <f>'Parameters, country spec'!I26</f>
        <v>5.5787586237705654E-2</v>
      </c>
      <c r="S129" s="148">
        <f>'Parameters, country spec'!I44</f>
        <v>5.5787586237705654E-2</v>
      </c>
    </row>
    <row r="130" spans="1:20" x14ac:dyDescent="0.35">
      <c r="B130" s="15" t="s">
        <v>117</v>
      </c>
      <c r="C130" s="15" t="s">
        <v>233</v>
      </c>
      <c r="D130" s="21" t="s">
        <v>48</v>
      </c>
      <c r="E130" s="21" t="s">
        <v>49</v>
      </c>
      <c r="F130" s="579">
        <f t="shared" si="14"/>
        <v>4.1534401534079949E-4</v>
      </c>
      <c r="G130" s="93">
        <v>1.0007435690198499E-4</v>
      </c>
      <c r="H130" s="93">
        <v>5.5044E-7</v>
      </c>
      <c r="I130" s="93">
        <v>2.8937314609885501E-4</v>
      </c>
      <c r="K130" s="93">
        <v>1.1474806386195299E-6</v>
      </c>
      <c r="N130" s="12"/>
      <c r="O130" s="12"/>
      <c r="P130" s="93">
        <v>2.3492890101997999E-5</v>
      </c>
      <c r="Q130" s="93">
        <v>7.0570159934197997E-7</v>
      </c>
      <c r="R130" s="148">
        <f>'Parameters, country spec'!I27</f>
        <v>3.963187482955613E-2</v>
      </c>
      <c r="S130" s="148">
        <f>'Parameters, country spec'!I45</f>
        <v>3.963187482955613E-2</v>
      </c>
      <c r="T130" t="s">
        <v>403</v>
      </c>
    </row>
    <row r="131" spans="1:20" x14ac:dyDescent="0.35">
      <c r="A131" s="75"/>
      <c r="B131" s="15" t="s">
        <v>234</v>
      </c>
      <c r="C131" s="76" t="s">
        <v>235</v>
      </c>
      <c r="D131" s="21" t="s">
        <v>48</v>
      </c>
      <c r="E131" s="21" t="s">
        <v>49</v>
      </c>
      <c r="F131" s="118">
        <f t="shared" si="14"/>
        <v>1.0214733815723259E-4</v>
      </c>
      <c r="G131" s="74">
        <f>SUMPRODUCT(G121:G129,$R121:$R129)</f>
        <v>2.1331103015121935E-5</v>
      </c>
      <c r="H131" s="74">
        <f t="shared" ref="H131:P131" si="15">SUMPRODUCT(H121:H129,$R121:$R129)</f>
        <v>9.9983888311790083E-8</v>
      </c>
      <c r="I131" s="74">
        <f t="shared" si="15"/>
        <v>7.1775808519375687E-5</v>
      </c>
      <c r="J131" s="74">
        <f t="shared" si="15"/>
        <v>7.177580851937567E-6</v>
      </c>
      <c r="K131" s="74">
        <f t="shared" si="15"/>
        <v>1.1029573799914864E-7</v>
      </c>
      <c r="L131" s="74">
        <f t="shared" si="15"/>
        <v>0</v>
      </c>
      <c r="M131" s="74">
        <f t="shared" si="15"/>
        <v>3.6768210215695183E-9</v>
      </c>
      <c r="N131" s="74">
        <f t="shared" si="15"/>
        <v>1.6229278747148443E-7</v>
      </c>
      <c r="O131" s="74">
        <f t="shared" si="15"/>
        <v>0</v>
      </c>
      <c r="P131" s="74">
        <f t="shared" si="15"/>
        <v>9.5932264055084822E-7</v>
      </c>
      <c r="Q131" s="74">
        <f>SUMPRODUCT(Q121:Q129,$R121:$R129)</f>
        <v>5.2727389544254282E-7</v>
      </c>
      <c r="R131" s="148">
        <f>'Parameters, country spec'!I28</f>
        <v>1.8583769386191842E-2</v>
      </c>
      <c r="S131" s="148">
        <f>'Parameters, country spec'!I46</f>
        <v>1.8583769386191842E-2</v>
      </c>
    </row>
    <row r="132" spans="1:20" x14ac:dyDescent="0.35">
      <c r="A132" s="321"/>
      <c r="B132" s="322" t="s">
        <v>541</v>
      </c>
      <c r="C132" s="323"/>
      <c r="D132" s="324"/>
      <c r="E132" s="324"/>
      <c r="F132" s="327">
        <f>SUMPRODUCT(F118:F120,R118:R120)+SUMPRODUCT(F121:F131,R121:R131)/0.87</f>
        <v>8.2859735823472718E-4</v>
      </c>
      <c r="G132" s="327">
        <f>SUMPRODUCT(G118:G120,R118:R120)+SUMPRODUCT(G121:G131,R121:R131)/0.87</f>
        <v>1.7740268205202064E-4</v>
      </c>
      <c r="H132" s="327">
        <f>SUMPRODUCT(H118:H120,R118:R120)+SUMPRODUCT(H121:H131,R121:R131)/0.87</f>
        <v>1.0379730345697735E-6</v>
      </c>
      <c r="I132" s="327">
        <f>SUMPRODUCT(I118:I120,R118:R120)+SUMPRODUCT(I121:I131,R121:R131)/0.87</f>
        <v>5.6818541057647811E-4</v>
      </c>
      <c r="J132" s="327">
        <f>SUMPRODUCT(J118:J120,R118:R120)+SUMPRODUCT(J121:J131,R121:R131)/0.87</f>
        <v>5.5500334126012794E-5</v>
      </c>
      <c r="K132" s="327">
        <f>SUMPRODUCT(K118:K120,R118:R120)+SUMPRODUCT(K121:K131,R121:R131)/0.87</f>
        <v>5.9569655791824901E-7</v>
      </c>
      <c r="L132" s="327">
        <f>SUMPRODUCT(L118:L120,R118:R120)+SUMPRODUCT(L121:L131,R121:R131)/0.87</f>
        <v>0</v>
      </c>
      <c r="M132" s="327">
        <f>SUMPRODUCT(M118:M120,R118:R120)+SUMPRODUCT(M121:M131,R121:R131)/0.87</f>
        <v>3.5509550052775546E-8</v>
      </c>
      <c r="N132" s="327">
        <f>SUMPRODUCT(N118:N120,R118:R120)+SUMPRODUCT(N121:N131,R121:R131)/0.87</f>
        <v>1.9001011403091581E-7</v>
      </c>
      <c r="O132" s="327">
        <f>SUMPRODUCT(O118:O120,R118:R120)+SUMPRODUCT(O121:O131,R121:R131)/0.87</f>
        <v>0</v>
      </c>
      <c r="P132" s="327">
        <f>SUMPRODUCT(P118:P120,R118:R120)+SUMPRODUCT(P121:P131,R121:R131)/0.87</f>
        <v>2.5000269914022076E-5</v>
      </c>
      <c r="Q132" s="327">
        <f>SUMPRODUCT(Q118:Q120,R118:R120)+SUMPRODUCT(Q121:Q131,R121:R131)/0.87</f>
        <v>6.4947230962177588E-7</v>
      </c>
      <c r="R132" s="328"/>
      <c r="S132" s="329"/>
    </row>
    <row r="133" spans="1:20" x14ac:dyDescent="0.35">
      <c r="A133" s="147"/>
      <c r="B133" s="23" t="s">
        <v>428</v>
      </c>
      <c r="C133" s="24"/>
      <c r="D133" s="94"/>
      <c r="E133" s="94"/>
      <c r="F133" s="28">
        <f>SUMPRODUCT(F118:F120,S118:S120)+SUMPRODUCT(F121:F131,S121:S131)/0.87</f>
        <v>8.2859735823472718E-4</v>
      </c>
      <c r="G133" s="28">
        <f>SUMPRODUCT(G118:G120,S118:S120)+SUMPRODUCT(G121:G131,S121:S131)/0.87</f>
        <v>1.7740268205202064E-4</v>
      </c>
      <c r="H133" s="28">
        <f>SUMPRODUCT(H118:H120,S118:S120)+SUMPRODUCT(H121:H131,S121:S131)/0.87</f>
        <v>1.0379730345697735E-6</v>
      </c>
      <c r="I133" s="28">
        <f>SUMPRODUCT(I118:I120,S118:S120)+SUMPRODUCT(I121:I131,S121:S131)/0.87</f>
        <v>5.6818541057647811E-4</v>
      </c>
      <c r="J133" s="28">
        <f>SUMPRODUCT(J118:J120,S118:S120)+SUMPRODUCT(J121:J131,S121:S131)/0.87</f>
        <v>5.5500334126012794E-5</v>
      </c>
      <c r="K133" s="28">
        <f>SUMPRODUCT(K118:K120,S118:S120)+SUMPRODUCT(K121:K131,S121:S131)/0.87</f>
        <v>5.9569655791824901E-7</v>
      </c>
      <c r="L133" s="28">
        <f>SUMPRODUCT(L118:L120,S118:S120)+SUMPRODUCT(L121:L131,S121:S131)/0.87</f>
        <v>0</v>
      </c>
      <c r="M133" s="28">
        <f>SUMPRODUCT(M118:M120,S118:S120)+SUMPRODUCT(M121:M131,S121:S131)/0.87</f>
        <v>3.5509550052775546E-8</v>
      </c>
      <c r="N133" s="28">
        <f>SUMPRODUCT(N118:N120,S118:S120)+SUMPRODUCT(N121:N131,S121:S131)/0.87</f>
        <v>1.9001011403091581E-7</v>
      </c>
      <c r="O133" s="28">
        <f>SUMPRODUCT(O118:O120,S118:S120)+SUMPRODUCT(O121:O131,S121:S131)/0.87</f>
        <v>0</v>
      </c>
      <c r="P133" s="28">
        <f>SUMPRODUCT(P118:P120,S118:S120)+SUMPRODUCT(P121:P131,S121:S131)/0.87</f>
        <v>2.5000269914022076E-5</v>
      </c>
      <c r="Q133" s="28">
        <f>SUMPRODUCT(Q118:Q120,S118:S120)+SUMPRODUCT(Q121:Q131,S121:S131)/0.87</f>
        <v>6.4947230962177588E-7</v>
      </c>
      <c r="R133" s="149"/>
      <c r="S133" s="149"/>
    </row>
    <row r="134" spans="1:20" x14ac:dyDescent="0.35">
      <c r="B134" s="16" t="s">
        <v>285</v>
      </c>
      <c r="C134" s="15" t="s">
        <v>288</v>
      </c>
      <c r="D134" s="21" t="s">
        <v>50</v>
      </c>
      <c r="E134" s="21" t="s">
        <v>51</v>
      </c>
      <c r="F134" s="118">
        <f>SUM(G134:Q134)</f>
        <v>2.4078089868235546E-4</v>
      </c>
      <c r="G134" s="27">
        <f>'Forage crops, CF'!F51</f>
        <v>4.7791180802654265E-5</v>
      </c>
      <c r="H134" s="27">
        <f>'Forage crops, CF'!G51</f>
        <v>1.1000000000000001E-6</v>
      </c>
      <c r="I134" s="27">
        <f>'Forage crops, CF'!H51</f>
        <v>1.7407334076117385E-4</v>
      </c>
      <c r="J134" s="27">
        <f>'Forage crops, CF'!I51</f>
        <v>1.7407334076117384E-5</v>
      </c>
      <c r="K134" s="27">
        <f>'Forage crops, CF'!J51</f>
        <v>4.0904304240996531E-7</v>
      </c>
      <c r="L134" s="27">
        <f>'Forage crops, CF'!K51</f>
        <v>0</v>
      </c>
      <c r="M134" s="27">
        <f>'Forage crops, CF'!L51</f>
        <v>0</v>
      </c>
      <c r="N134" s="27">
        <f>'Forage crops, CF'!M51</f>
        <v>0</v>
      </c>
      <c r="O134" s="27">
        <f>'Forage crops, CF'!N51</f>
        <v>0</v>
      </c>
      <c r="P134" s="27">
        <f>'Forage crops, CF'!O51</f>
        <v>0</v>
      </c>
      <c r="Q134" s="27">
        <f>'Forage crops, CF'!P51</f>
        <v>0</v>
      </c>
      <c r="R134" s="148">
        <f>'Parameters, country spec'!J15</f>
        <v>0.26557017524746096</v>
      </c>
      <c r="S134" s="148">
        <f>'Parameters, country spec'!J33</f>
        <v>0.26557017524746096</v>
      </c>
    </row>
    <row r="135" spans="1:20" x14ac:dyDescent="0.35">
      <c r="B135" s="16" t="s">
        <v>286</v>
      </c>
      <c r="C135" s="15" t="s">
        <v>288</v>
      </c>
      <c r="D135" s="21" t="s">
        <v>50</v>
      </c>
      <c r="E135" s="21" t="s">
        <v>51</v>
      </c>
      <c r="F135" s="118">
        <f>SUM(G135:Q135)</f>
        <v>3.9389051613317232E-4</v>
      </c>
      <c r="G135" s="27">
        <f>'Forage crops, CF'!F116</f>
        <v>7.0355840999301517E-5</v>
      </c>
      <c r="H135" s="27">
        <f>'Forage crops, CF'!G116</f>
        <v>1.1000000000000001E-6</v>
      </c>
      <c r="I135" s="27">
        <f>'Forage crops, CF'!H116</f>
        <v>2.3085495568326891E-4</v>
      </c>
      <c r="J135" s="27">
        <f>'Forage crops, CF'!I116</f>
        <v>2.3085495568326894E-5</v>
      </c>
      <c r="K135" s="27">
        <f>'Forage crops, CF'!J116</f>
        <v>3.571660456030339E-7</v>
      </c>
      <c r="L135" s="27"/>
      <c r="M135" s="27">
        <f>'Forage crops, CF'!L116</f>
        <v>3.7057836671999995E-8</v>
      </c>
      <c r="N135" s="27">
        <f>'Forage crops, CF'!M116</f>
        <v>0</v>
      </c>
      <c r="O135" s="27">
        <f>'Forage crops, CF'!N116</f>
        <v>0</v>
      </c>
      <c r="P135" s="27">
        <f>'Forage crops, CF'!O116</f>
        <v>6.8099999999999988E-5</v>
      </c>
      <c r="Q135" s="27"/>
      <c r="R135" s="148">
        <f>'Parameters, country spec'!J16</f>
        <v>0.3089723847114122</v>
      </c>
      <c r="S135" s="148">
        <f>'Parameters, country spec'!J34</f>
        <v>0.3089723847114122</v>
      </c>
    </row>
    <row r="136" spans="1:20" x14ac:dyDescent="0.35">
      <c r="B136" s="16" t="s">
        <v>287</v>
      </c>
      <c r="C136" s="15" t="s">
        <v>288</v>
      </c>
      <c r="D136" s="21" t="s">
        <v>50</v>
      </c>
      <c r="E136" s="21" t="s">
        <v>51</v>
      </c>
      <c r="F136" s="118">
        <f>SUM(G136:Q136)</f>
        <v>2.6483108324871254E-4</v>
      </c>
      <c r="G136" s="27">
        <f>'Forage crops, CF'!F181*'Forage, input data per ha'!$E$86+'Forage crops, CF'!F246*'Forage, input data per ha'!$G$86</f>
        <v>3.7649877777651236E-5</v>
      </c>
      <c r="H136" s="27">
        <f>'Forage crops, CF'!G181*'Forage, input data per ha'!$E$86+'Forage crops, CF'!G246*'Forage, input data per ha'!$G$86</f>
        <v>1.1000000000000001E-6</v>
      </c>
      <c r="I136" s="27">
        <f>'Forage crops, CF'!H181*'Forage, input data per ha'!$E$86+'Forage crops, CF'!H246*'Forage, input data per ha'!$G$86</f>
        <v>1.4325000437471246E-4</v>
      </c>
      <c r="J136" s="27">
        <f>'Forage crops, CF'!I181*'Forage, input data per ha'!$E$86+'Forage crops, CF'!I246*'Forage, input data per ha'!$G$86</f>
        <v>1.4325000437471247E-5</v>
      </c>
      <c r="K136" s="27">
        <f>'Forage crops, CF'!J181*'Forage, input data per ha'!$E$86+'Forage crops, CF'!J246*'Forage, input data per ha'!$G$86</f>
        <v>4.0620065887760901E-7</v>
      </c>
      <c r="L136" s="27"/>
      <c r="M136" s="27">
        <f>'Forage crops, CF'!L181*'Forage, input data per ha'!$E$86+'Forage crops, CF'!L246*'Forage, input data per ha'!$G$86</f>
        <v>0</v>
      </c>
      <c r="N136" s="27">
        <f>'Forage crops, CF'!M181*'Forage, input data per ha'!$E$86+'Forage crops, CF'!M246*'Forage, input data per ha'!$G$86</f>
        <v>0</v>
      </c>
      <c r="O136" s="27">
        <f>'Forage crops, CF'!N181*'Forage, input data per ha'!$E$86+'Forage crops, CF'!N246*'Forage, input data per ha'!$G$86</f>
        <v>0</v>
      </c>
      <c r="P136" s="27">
        <f>'Forage crops, CF'!O181*'Forage, input data per ha'!$E$86+'Forage crops, CF'!O246*'Forage, input data per ha'!$G$86</f>
        <v>6.8099999999999988E-5</v>
      </c>
      <c r="Q136" s="27"/>
      <c r="R136" s="148">
        <f>'Parameters, country spec'!J17</f>
        <v>0.15280804679497859</v>
      </c>
      <c r="S136" s="148">
        <f>'Parameters, country spec'!J35</f>
        <v>0.15280804679497859</v>
      </c>
    </row>
    <row r="137" spans="1:20" x14ac:dyDescent="0.35">
      <c r="A137" s="20" t="s">
        <v>222</v>
      </c>
      <c r="B137" s="15" t="s">
        <v>108</v>
      </c>
      <c r="C137" s="15" t="s">
        <v>223</v>
      </c>
      <c r="D137" s="21" t="s">
        <v>50</v>
      </c>
      <c r="E137" s="21" t="s">
        <v>51</v>
      </c>
      <c r="F137" s="118">
        <f>SUM(G137:Q137)</f>
        <v>8.031530900000001E-4</v>
      </c>
      <c r="G137" s="93">
        <v>1.8000000000000001E-4</v>
      </c>
      <c r="H137" s="93">
        <v>9.9999999999999995E-7</v>
      </c>
      <c r="I137" s="93">
        <v>5.6300000000000002E-4</v>
      </c>
      <c r="J137" s="93">
        <v>5.63E-5</v>
      </c>
      <c r="K137" s="93">
        <v>1.33E-6</v>
      </c>
      <c r="L137" s="93"/>
      <c r="M137" s="93">
        <v>3.0899999999999999E-9</v>
      </c>
      <c r="N137" s="93">
        <v>1.5200000000000001E-6</v>
      </c>
      <c r="O137" s="93"/>
      <c r="P137" s="93"/>
      <c r="Q137" s="93"/>
      <c r="R137" s="148">
        <f>'Parameters, country spec'!J18</f>
        <v>1.4852072857038275E-2</v>
      </c>
      <c r="S137" s="148">
        <f>'Parameters, country spec'!J36</f>
        <v>1.4852072857038275E-2</v>
      </c>
    </row>
    <row r="138" spans="1:20" x14ac:dyDescent="0.35">
      <c r="A138" s="20" t="s">
        <v>224</v>
      </c>
      <c r="B138" s="15" t="s">
        <v>109</v>
      </c>
      <c r="C138" s="15" t="s">
        <v>223</v>
      </c>
      <c r="D138" s="21" t="s">
        <v>50</v>
      </c>
      <c r="E138" s="21" t="s">
        <v>51</v>
      </c>
      <c r="F138" s="118">
        <f t="shared" ref="F138:F147" si="16">SUM(G138:Q138)</f>
        <v>6.5730909999999994E-4</v>
      </c>
      <c r="G138" s="93">
        <v>1.7000000000000001E-4</v>
      </c>
      <c r="H138" s="93">
        <v>9.9999999999999995E-7</v>
      </c>
      <c r="I138" s="93">
        <v>4.4000000000000002E-4</v>
      </c>
      <c r="J138" s="93">
        <v>4.3999999999999999E-5</v>
      </c>
      <c r="K138" s="93">
        <v>7.5199999999999996E-7</v>
      </c>
      <c r="L138" s="93"/>
      <c r="M138" s="93">
        <v>3.7100000000000001E-8</v>
      </c>
      <c r="N138" s="93">
        <v>1.5200000000000001E-6</v>
      </c>
      <c r="O138" s="93"/>
      <c r="P138" s="93"/>
      <c r="Q138" s="93"/>
      <c r="R138" s="148">
        <f>'Parameters, country spec'!J19</f>
        <v>2.0345709016517825E-2</v>
      </c>
      <c r="S138" s="148">
        <f>'Parameters, country spec'!J37</f>
        <v>2.0345709016517825E-2</v>
      </c>
    </row>
    <row r="139" spans="1:20" x14ac:dyDescent="0.35">
      <c r="A139" s="20" t="s">
        <v>225</v>
      </c>
      <c r="B139" s="15" t="s">
        <v>110</v>
      </c>
      <c r="C139" s="15" t="s">
        <v>223</v>
      </c>
      <c r="D139" s="21" t="s">
        <v>50</v>
      </c>
      <c r="E139" s="21" t="s">
        <v>51</v>
      </c>
      <c r="F139" s="118">
        <f t="shared" si="16"/>
        <v>6.6357308999999995E-4</v>
      </c>
      <c r="G139" s="93">
        <v>1.4999999999999999E-4</v>
      </c>
      <c r="H139" s="93">
        <v>9.9999999999999995E-7</v>
      </c>
      <c r="I139" s="93">
        <v>4.6299999999999998E-4</v>
      </c>
      <c r="J139" s="93">
        <v>4.6300000000000001E-5</v>
      </c>
      <c r="K139" s="93">
        <v>1.75E-6</v>
      </c>
      <c r="L139" s="93"/>
      <c r="M139" s="93">
        <v>3.0899999999999999E-9</v>
      </c>
      <c r="N139" s="93">
        <v>1.5200000000000001E-6</v>
      </c>
      <c r="O139" s="93"/>
      <c r="P139" s="93"/>
      <c r="Q139" s="93"/>
      <c r="R139" s="148">
        <f>'Parameters, country spec'!J20</f>
        <v>4.4481071240192398E-4</v>
      </c>
      <c r="S139" s="148">
        <f>'Parameters, country spec'!J38</f>
        <v>4.4481071240192398E-4</v>
      </c>
    </row>
    <row r="140" spans="1:20" x14ac:dyDescent="0.35">
      <c r="A140" s="20" t="s">
        <v>226</v>
      </c>
      <c r="B140" s="15" t="s">
        <v>111</v>
      </c>
      <c r="C140" s="15" t="s">
        <v>223</v>
      </c>
      <c r="D140" s="21" t="s">
        <v>50</v>
      </c>
      <c r="E140" s="21" t="s">
        <v>51</v>
      </c>
      <c r="F140" s="118">
        <f t="shared" si="16"/>
        <v>6.1058999999999983E-4</v>
      </c>
      <c r="G140" s="93">
        <v>1.3999999999999999E-4</v>
      </c>
      <c r="H140" s="93">
        <v>9.9999999999999995E-7</v>
      </c>
      <c r="I140" s="93">
        <v>4.2400000000000001E-4</v>
      </c>
      <c r="J140" s="93">
        <v>4.2400000000000001E-5</v>
      </c>
      <c r="K140" s="93">
        <v>1.6700000000000001E-6</v>
      </c>
      <c r="L140" s="93"/>
      <c r="M140" s="93">
        <v>0</v>
      </c>
      <c r="N140" s="93">
        <v>1.5200000000000001E-6</v>
      </c>
      <c r="O140" s="93"/>
      <c r="P140" s="93"/>
      <c r="Q140" s="93"/>
      <c r="R140" s="148">
        <f>'Parameters, country spec'!J21</f>
        <v>5.8075964903519491E-3</v>
      </c>
      <c r="S140" s="148">
        <f>'Parameters, country spec'!J39</f>
        <v>5.8075964903519491E-3</v>
      </c>
    </row>
    <row r="141" spans="1:20" x14ac:dyDescent="0.35">
      <c r="A141" s="20" t="s">
        <v>227</v>
      </c>
      <c r="B141" s="15" t="s">
        <v>112</v>
      </c>
      <c r="C141" s="15" t="s">
        <v>223</v>
      </c>
      <c r="D141" s="21" t="s">
        <v>50</v>
      </c>
      <c r="E141" s="21" t="s">
        <v>51</v>
      </c>
      <c r="F141" s="118">
        <f t="shared" si="16"/>
        <v>7.9211309000000007E-4</v>
      </c>
      <c r="G141" s="93">
        <v>2.0000000000000001E-4</v>
      </c>
      <c r="H141" s="93">
        <v>9.9999999999999995E-7</v>
      </c>
      <c r="I141" s="93">
        <v>5.3499999999999999E-4</v>
      </c>
      <c r="J141" s="93">
        <v>5.3499999999999999E-5</v>
      </c>
      <c r="K141" s="93">
        <v>1.0899999999999999E-6</v>
      </c>
      <c r="L141" s="93"/>
      <c r="M141" s="93">
        <v>3.0899999999999999E-9</v>
      </c>
      <c r="N141" s="93">
        <v>1.5200000000000001E-6</v>
      </c>
      <c r="O141" s="93"/>
      <c r="P141" s="93"/>
      <c r="Q141" s="93"/>
      <c r="R141" s="148">
        <f>'Parameters, country spec'!J22</f>
        <v>2.3351211772125756E-2</v>
      </c>
      <c r="S141" s="148">
        <f>'Parameters, country spec'!J40</f>
        <v>2.3351211772125756E-2</v>
      </c>
    </row>
    <row r="142" spans="1:20" x14ac:dyDescent="0.35">
      <c r="A142" s="20" t="s">
        <v>228</v>
      </c>
      <c r="B142" s="15" t="s">
        <v>113</v>
      </c>
      <c r="C142" s="15" t="s">
        <v>229</v>
      </c>
      <c r="D142" s="21" t="s">
        <v>50</v>
      </c>
      <c r="E142" s="21" t="s">
        <v>51</v>
      </c>
      <c r="F142" s="118">
        <f t="shared" si="16"/>
        <v>3.4353000000000004E-4</v>
      </c>
      <c r="G142" s="93">
        <v>0</v>
      </c>
      <c r="H142" s="93">
        <v>9.9999999999999995E-7</v>
      </c>
      <c r="I142" s="93">
        <v>3.0800000000000001E-4</v>
      </c>
      <c r="J142" s="93">
        <v>3.0800000000000003E-5</v>
      </c>
      <c r="K142" s="93">
        <v>2.21E-6</v>
      </c>
      <c r="L142" s="93"/>
      <c r="M142" s="93">
        <v>0</v>
      </c>
      <c r="N142" s="93">
        <v>1.5200000000000001E-6</v>
      </c>
      <c r="O142" s="93"/>
      <c r="P142" s="93"/>
      <c r="Q142" s="93"/>
      <c r="R142" s="148">
        <f>'Parameters, country spec'!J23</f>
        <v>2.6962503550840627E-3</v>
      </c>
      <c r="S142" s="148">
        <f>'Parameters, country spec'!J41</f>
        <v>2.6962503550840627E-3</v>
      </c>
    </row>
    <row r="143" spans="1:20" x14ac:dyDescent="0.35">
      <c r="A143" s="20" t="s">
        <v>230</v>
      </c>
      <c r="B143" s="15" t="s">
        <v>114</v>
      </c>
      <c r="C143" s="15" t="s">
        <v>229</v>
      </c>
      <c r="D143" s="21" t="s">
        <v>50</v>
      </c>
      <c r="E143" s="21" t="s">
        <v>51</v>
      </c>
      <c r="F143" s="118">
        <f t="shared" si="16"/>
        <v>3.6270000000000003E-4</v>
      </c>
      <c r="G143" s="93">
        <v>8.6000000000000007E-6</v>
      </c>
      <c r="H143" s="93">
        <v>9.9999999999999995E-7</v>
      </c>
      <c r="I143" s="93">
        <v>3.1799999999999998E-4</v>
      </c>
      <c r="J143" s="93">
        <v>3.18E-5</v>
      </c>
      <c r="K143" s="93">
        <v>1.7799999999999999E-6</v>
      </c>
      <c r="L143" s="93"/>
      <c r="M143" s="93">
        <v>0</v>
      </c>
      <c r="N143" s="93">
        <v>1.5200000000000001E-6</v>
      </c>
      <c r="O143" s="93"/>
      <c r="P143" s="93"/>
      <c r="Q143" s="93"/>
      <c r="R143" s="148">
        <f>'Parameters, country spec'!J24</f>
        <v>2.6486063692714159E-3</v>
      </c>
      <c r="S143" s="148">
        <f>'Parameters, country spec'!J42</f>
        <v>2.6486063692714159E-3</v>
      </c>
    </row>
    <row r="144" spans="1:20" x14ac:dyDescent="0.35">
      <c r="B144" s="16" t="s">
        <v>115</v>
      </c>
      <c r="C144" s="15" t="s">
        <v>231</v>
      </c>
      <c r="D144" s="21" t="s">
        <v>50</v>
      </c>
      <c r="E144" s="21" t="s">
        <v>51</v>
      </c>
      <c r="F144" s="118">
        <f t="shared" si="16"/>
        <v>1.5426052012212825E-3</v>
      </c>
      <c r="G144" s="27">
        <f>'Off-farm feed'!$F$77</f>
        <v>3.5160526410462907E-4</v>
      </c>
      <c r="H144" s="27">
        <f>'Off-farm feed'!$G$77</f>
        <v>5.3103448275862083E-7</v>
      </c>
      <c r="I144" s="27">
        <f>'Off-farm feed'!$H$77</f>
        <v>1.0756102664162708E-3</v>
      </c>
      <c r="J144" s="27">
        <f>'Off-farm feed'!$I$77</f>
        <v>1.0756102664162706E-4</v>
      </c>
      <c r="K144" s="27">
        <f>'Off-farm feed'!$J$77</f>
        <v>6.6339607025480414E-7</v>
      </c>
      <c r="L144" s="27"/>
      <c r="M144" s="27">
        <f>'Off-farm feed'!$L$77</f>
        <v>7.9511067188965511E-9</v>
      </c>
      <c r="N144" s="27">
        <f>'Off-farm feed'!$M$77</f>
        <v>1.2789681892721844E-6</v>
      </c>
      <c r="O144" s="27"/>
      <c r="P144" s="27">
        <f>'Off-farm feed'!$O$77</f>
        <v>4.8776996151562902E-6</v>
      </c>
      <c r="Q144" s="27">
        <f>'Off-farm feed'!$P$77</f>
        <v>4.6959459459459463E-7</v>
      </c>
      <c r="R144" s="148">
        <f>'Parameters, country spec'!J25</f>
        <v>1.9433337380001321E-2</v>
      </c>
      <c r="S144" s="148">
        <f>'Parameters, country spec'!J43</f>
        <v>1.9433337380001321E-2</v>
      </c>
    </row>
    <row r="145" spans="1:19" x14ac:dyDescent="0.35">
      <c r="B145" s="16" t="s">
        <v>232</v>
      </c>
      <c r="C145" s="15" t="s">
        <v>231</v>
      </c>
      <c r="D145" s="21" t="s">
        <v>50</v>
      </c>
      <c r="E145" s="21" t="s">
        <v>51</v>
      </c>
      <c r="F145" s="118">
        <f t="shared" si="16"/>
        <v>1.8866346644602505E-4</v>
      </c>
      <c r="G145" s="27">
        <f>'Off-farm feed'!$F$26</f>
        <v>1.6332109719061441E-5</v>
      </c>
      <c r="H145" s="27">
        <f>'Off-farm feed'!$G$26</f>
        <v>8.7195121951219526E-7</v>
      </c>
      <c r="I145" s="27">
        <f>'Off-farm feed'!$H$26</f>
        <v>1.3333449845358202E-4</v>
      </c>
      <c r="J145" s="27">
        <f>'Off-farm feed'!$I$26</f>
        <v>1.3333449845358203E-5</v>
      </c>
      <c r="K145" s="27">
        <f>'Off-farm feed'!$J$26</f>
        <v>1.1576736579983931E-6</v>
      </c>
      <c r="L145" s="27"/>
      <c r="M145" s="27">
        <f>'Off-farm feed'!$L$26</f>
        <v>7.3437786087804866E-9</v>
      </c>
      <c r="N145" s="27">
        <f>'Off-farm feed'!$M$26</f>
        <v>1.1195281639512197E-6</v>
      </c>
      <c r="O145" s="27"/>
      <c r="P145" s="27">
        <f>'Off-farm feed'!$O$26</f>
        <v>1.3419073770114991E-5</v>
      </c>
      <c r="Q145" s="27">
        <f>'Off-farm feed'!$P$26</f>
        <v>9.087837837837838E-6</v>
      </c>
      <c r="R145" s="148">
        <f>'Parameters, country spec'!J26</f>
        <v>6.7782810502236002E-2</v>
      </c>
      <c r="S145" s="148">
        <f>'Parameters, country spec'!J44</f>
        <v>6.7782810502236002E-2</v>
      </c>
    </row>
    <row r="146" spans="1:19" x14ac:dyDescent="0.35">
      <c r="B146" s="15" t="s">
        <v>117</v>
      </c>
      <c r="C146" s="15" t="s">
        <v>233</v>
      </c>
      <c r="D146" s="21" t="s">
        <v>50</v>
      </c>
      <c r="E146" s="21" t="s">
        <v>51</v>
      </c>
      <c r="F146" s="579">
        <f t="shared" si="16"/>
        <v>3.8798940652426048E-4</v>
      </c>
      <c r="G146" s="93">
        <v>9.7224744907034604E-5</v>
      </c>
      <c r="H146" s="93">
        <v>5.5043999999999904E-7</v>
      </c>
      <c r="I146" s="93">
        <v>2.6879135201816602E-4</v>
      </c>
      <c r="K146" s="93">
        <v>1.21772600391597E-6</v>
      </c>
      <c r="N146" s="12"/>
      <c r="O146" s="12"/>
      <c r="P146" s="93">
        <v>1.9943224185242898E-5</v>
      </c>
      <c r="Q146" s="93">
        <v>2.6191940990099401E-7</v>
      </c>
      <c r="R146" s="148">
        <f>'Parameters, country spec'!J27</f>
        <v>4.7732591070968847E-2</v>
      </c>
      <c r="S146" s="148">
        <f>'Parameters, country spec'!J45</f>
        <v>4.7732591070968847E-2</v>
      </c>
    </row>
    <row r="147" spans="1:19" x14ac:dyDescent="0.35">
      <c r="A147" s="75"/>
      <c r="B147" s="15" t="s">
        <v>234</v>
      </c>
      <c r="C147" s="76" t="s">
        <v>235</v>
      </c>
      <c r="D147" s="21" t="s">
        <v>50</v>
      </c>
      <c r="E147" s="21" t="s">
        <v>51</v>
      </c>
      <c r="F147" s="118">
        <f t="shared" si="16"/>
        <v>9.2292932891445845E-5</v>
      </c>
      <c r="G147" s="74">
        <f>SUMPRODUCT(G137:G145,$R137:$R145)</f>
        <v>1.9644849151903961E-5</v>
      </c>
      <c r="H147" s="74">
        <f t="shared" ref="H147:P147" si="17">SUMPRODUCT(H137:H145,$R137:$R145)</f>
        <v>1.3956933411604271E-7</v>
      </c>
      <c r="I147" s="74">
        <f t="shared" si="17"/>
        <v>6.4088281729163517E-5</v>
      </c>
      <c r="J147" s="74">
        <f t="shared" si="17"/>
        <v>6.4088281729163512E-6</v>
      </c>
      <c r="K147" s="74">
        <f t="shared" si="17"/>
        <v>1.7301876225289352E-7</v>
      </c>
      <c r="L147" s="74">
        <f t="shared" si="17"/>
        <v>0</v>
      </c>
      <c r="M147" s="74">
        <f t="shared" si="17"/>
        <v>1.5265469123403044E-9</v>
      </c>
      <c r="N147" s="74">
        <f t="shared" si="17"/>
        <v>2.0736169722008011E-7</v>
      </c>
      <c r="O147" s="74">
        <f t="shared" si="17"/>
        <v>0</v>
      </c>
      <c r="P147" s="74">
        <f t="shared" si="17"/>
        <v>1.0043725167348649E-6</v>
      </c>
      <c r="Q147" s="74">
        <f>SUMPRODUCT(Q137:Q145,$R137:$R145)</f>
        <v>6.2512498022579404E-7</v>
      </c>
      <c r="R147" s="148">
        <f>'Parameters, country spec'!J28</f>
        <v>6.7554396720150997E-2</v>
      </c>
      <c r="S147" s="148">
        <f>'Parameters, country spec'!J46</f>
        <v>6.7554396720150997E-2</v>
      </c>
    </row>
    <row r="148" spans="1:19" x14ac:dyDescent="0.35">
      <c r="A148" s="321"/>
      <c r="B148" s="322" t="s">
        <v>541</v>
      </c>
      <c r="C148" s="323"/>
      <c r="D148" s="324"/>
      <c r="E148" s="324"/>
      <c r="F148" s="327">
        <f>SUMPRODUCT(F134:F136,R134:R136)+SUMPRODUCT(F137:F147,R137:R147)/0.87</f>
        <v>3.6065115531976077E-4</v>
      </c>
      <c r="G148" s="327">
        <f>SUMPRODUCT(G134:G136,R134:R136)+SUMPRODUCT(G137:G147,R137:R147)/0.87</f>
        <v>6.9623052743128069E-5</v>
      </c>
      <c r="H148" s="327">
        <f>SUMPRODUCT(H134:H136,R134:R136)+SUMPRODUCT(H137:H147,R137:R147)/0.87</f>
        <v>1.0015474877878453E-6</v>
      </c>
      <c r="I148" s="327">
        <f>SUMPRODUCT(I134:I136,R134:R136)+SUMPRODUCT(I137:I147,R137:R147)/0.87</f>
        <v>2.3283456282743276E-4</v>
      </c>
      <c r="J148" s="327">
        <f>SUMPRODUCT(J134:J136,R134:R136)+SUMPRODUCT(J137:J147,R137:R147)/0.87</f>
        <v>2.180873126098512E-5</v>
      </c>
      <c r="K148" s="327">
        <f>SUMPRODUCT(K134:K136,R134:R136)+SUMPRODUCT(K137:K147,R137:R147)/0.87</f>
        <v>5.6017222928355477E-7</v>
      </c>
      <c r="L148" s="327">
        <f>SUMPRODUCT(L134:L136,R134:R136)+SUMPRODUCT(L137:L147,R137:R147)/0.87</f>
        <v>0</v>
      </c>
      <c r="M148" s="327">
        <f>SUMPRODUCT(M134:M136,R134:R136)+SUMPRODUCT(M137:M147,R137:R147)/0.87</f>
        <v>1.3323034224044968E-8</v>
      </c>
      <c r="N148" s="327">
        <f>SUMPRODUCT(N134:N136,R134:R136)+SUMPRODUCT(N137:N147,R137:R147)/0.87</f>
        <v>2.5444815123982671E-7</v>
      </c>
      <c r="O148" s="327">
        <f>SUMPRODUCT(O134:O136,R134:R136)+SUMPRODUCT(O137:O147,R137:R147)/0.87</f>
        <v>0</v>
      </c>
      <c r="P148" s="327">
        <f>SUMPRODUCT(P134:P136,R134:R136)+SUMPRODUCT(P137:P147,R137:R147)/0.87</f>
        <v>3.3773872742891007E-5</v>
      </c>
      <c r="Q148" s="327">
        <f>SUMPRODUCT(Q134:Q136,R134:R136)+SUMPRODUCT(Q137:Q147,R137:R147)/0.87</f>
        <v>7.8144484278850284E-7</v>
      </c>
      <c r="R148" s="328"/>
      <c r="S148" s="329"/>
    </row>
    <row r="149" spans="1:19" x14ac:dyDescent="0.35">
      <c r="A149" s="147"/>
      <c r="B149" s="23" t="s">
        <v>428</v>
      </c>
      <c r="C149" s="24"/>
      <c r="D149" s="94"/>
      <c r="E149" s="94"/>
      <c r="F149" s="28">
        <f>SUMPRODUCT(F134:F136,S134:S136)+SUMPRODUCT(F137:F147,S137:S147)/0.87</f>
        <v>3.6065115531976077E-4</v>
      </c>
      <c r="G149" s="28">
        <f>SUMPRODUCT(G134:G136,S134:S136)+SUMPRODUCT(G137:G147,S137:S147)/0.87</f>
        <v>6.9623052743128069E-5</v>
      </c>
      <c r="H149" s="28">
        <f>SUMPRODUCT(H134:H136,S134:S136)+SUMPRODUCT(H137:H147,S137:S147)/0.87</f>
        <v>1.0015474877878453E-6</v>
      </c>
      <c r="I149" s="28">
        <f>SUMPRODUCT(I134:I136,S134:S136)+SUMPRODUCT(I137:I147,S137:S147)/0.87</f>
        <v>2.3283456282743276E-4</v>
      </c>
      <c r="J149" s="28">
        <f>SUMPRODUCT(J134:J136,S134:S136)+SUMPRODUCT(J137:J147,S137:S147)/0.87</f>
        <v>2.180873126098512E-5</v>
      </c>
      <c r="K149" s="28">
        <f>SUMPRODUCT(K134:K136,S134:S136)+SUMPRODUCT(K137:K147,S137:S147)/0.87</f>
        <v>5.6017222928355477E-7</v>
      </c>
      <c r="L149" s="28">
        <f>SUMPRODUCT(L134:L136,S134:S136)+SUMPRODUCT(L137:L147,S137:S147)/0.87</f>
        <v>0</v>
      </c>
      <c r="M149" s="28">
        <f>SUMPRODUCT(M134:M136,S134:S136)+SUMPRODUCT(M137:M147,S137:S147)/0.87</f>
        <v>1.3323034224044968E-8</v>
      </c>
      <c r="N149" s="28">
        <f>SUMPRODUCT(N134:N136,S134:S136)+SUMPRODUCT(N137:N147,S137:S147)/0.87</f>
        <v>2.5444815123982671E-7</v>
      </c>
      <c r="O149" s="28">
        <f>SUMPRODUCT(O134:O136,S134:S136)+SUMPRODUCT(O137:O147,S137:S147)/0.87</f>
        <v>0</v>
      </c>
      <c r="P149" s="28">
        <f>SUMPRODUCT(P134:P136,S134:S136)+SUMPRODUCT(P137:P147,S137:S147)/0.87</f>
        <v>3.3773872742891007E-5</v>
      </c>
      <c r="Q149" s="28">
        <f>SUMPRODUCT(Q134:Q136,S134:S136)+SUMPRODUCT(Q137:Q147,S137:S147)/0.87</f>
        <v>7.8144484278850284E-7</v>
      </c>
      <c r="R149" s="149"/>
      <c r="S149" s="149"/>
    </row>
    <row r="150" spans="1:19" x14ac:dyDescent="0.35">
      <c r="B150" s="16" t="s">
        <v>285</v>
      </c>
      <c r="C150" s="15" t="s">
        <v>288</v>
      </c>
      <c r="D150" s="21" t="s">
        <v>52</v>
      </c>
      <c r="E150" s="21" t="s">
        <v>53</v>
      </c>
      <c r="F150" s="118">
        <f>SUM(G150:Q150)</f>
        <v>2.4096083075785839E-4</v>
      </c>
      <c r="G150" s="27">
        <f>'Forage crops, CF'!F56</f>
        <v>4.7791180802654265E-5</v>
      </c>
      <c r="H150" s="27">
        <f>'Forage crops, CF'!G56</f>
        <v>1.1000000000000001E-6</v>
      </c>
      <c r="I150" s="27">
        <f>'Forage crops, CF'!H56</f>
        <v>1.7407334076117385E-4</v>
      </c>
      <c r="J150" s="27">
        <f>'Forage crops, CF'!I56</f>
        <v>1.7407334076117384E-5</v>
      </c>
      <c r="K150" s="27">
        <f>'Forage crops, CF'!J56</f>
        <v>5.8897511791287795E-7</v>
      </c>
      <c r="L150" s="27">
        <f>'Forage crops, CF'!K56</f>
        <v>0</v>
      </c>
      <c r="M150" s="27">
        <f>'Forage crops, CF'!L56</f>
        <v>0</v>
      </c>
      <c r="N150" s="27">
        <f>'Forage crops, CF'!M56</f>
        <v>0</v>
      </c>
      <c r="O150" s="27">
        <f>'Forage crops, CF'!N56</f>
        <v>0</v>
      </c>
      <c r="P150" s="27">
        <f>'Forage crops, CF'!O56</f>
        <v>0</v>
      </c>
      <c r="Q150" s="27">
        <f>'Forage crops, CF'!P56</f>
        <v>0</v>
      </c>
      <c r="R150" s="148">
        <f>'Parameters, country spec'!K15</f>
        <v>0.42695226222969923</v>
      </c>
      <c r="S150" s="148">
        <f>'Parameters, country spec'!K33</f>
        <v>0.42695226222969923</v>
      </c>
    </row>
    <row r="151" spans="1:19" x14ac:dyDescent="0.35">
      <c r="B151" s="16" t="s">
        <v>286</v>
      </c>
      <c r="C151" s="15" t="s">
        <v>288</v>
      </c>
      <c r="D151" s="21" t="s">
        <v>52</v>
      </c>
      <c r="E151" s="21" t="s">
        <v>53</v>
      </c>
      <c r="F151" s="118">
        <f>SUM(G151:Q151)</f>
        <v>2.921638470286316E-4</v>
      </c>
      <c r="G151" s="27">
        <f>'Forage crops, CF'!F121</f>
        <v>4.6635822372013562E-5</v>
      </c>
      <c r="H151" s="27">
        <f>'Forage crops, CF'!G121</f>
        <v>1.1000000000000001E-6</v>
      </c>
      <c r="I151" s="27">
        <f>'Forage crops, CF'!H121</f>
        <v>1.58760658585603E-4</v>
      </c>
      <c r="J151" s="27">
        <f>'Forage crops, CF'!I121</f>
        <v>1.58760658585603E-5</v>
      </c>
      <c r="K151" s="27">
        <f>'Forage crops, CF'!J121</f>
        <v>5.7779089790897923E-7</v>
      </c>
      <c r="L151" s="27"/>
      <c r="M151" s="27">
        <f>'Forage crops, CF'!L121</f>
        <v>1.1135093145457642E-6</v>
      </c>
      <c r="N151" s="27">
        <f>'Forage crops, CF'!M121</f>
        <v>0</v>
      </c>
      <c r="O151" s="27">
        <f>'Forage crops, CF'!N121</f>
        <v>0</v>
      </c>
      <c r="P151" s="27">
        <f>'Forage crops, CF'!O121</f>
        <v>6.8099999999999988E-5</v>
      </c>
      <c r="Q151" s="27"/>
      <c r="R151" s="148">
        <f>'Parameters, country spec'!K16</f>
        <v>8.4238508213965613E-2</v>
      </c>
      <c r="S151" s="148">
        <f>'Parameters, country spec'!K34</f>
        <v>8.4238508213965613E-2</v>
      </c>
    </row>
    <row r="152" spans="1:19" x14ac:dyDescent="0.35">
      <c r="B152" s="16" t="s">
        <v>287</v>
      </c>
      <c r="C152" s="15" t="s">
        <v>288</v>
      </c>
      <c r="D152" s="21" t="s">
        <v>52</v>
      </c>
      <c r="E152" s="21" t="s">
        <v>53</v>
      </c>
      <c r="F152" s="118">
        <f>SUM(G152:Q152)</f>
        <v>2.0963004947692075E-4</v>
      </c>
      <c r="G152" s="27">
        <f>'Forage crops, CF'!F186*'Forage, input data per ha'!$E$87+'Forage crops, CF'!F251*'Forage, input data per ha'!$G$87</f>
        <v>2.4923477541255415E-5</v>
      </c>
      <c r="H152" s="27">
        <f>'Forage crops, CF'!G186*'Forage, input data per ha'!$E$87+'Forage crops, CF'!G251*'Forage, input data per ha'!$G$87</f>
        <v>1.1000000000000001E-6</v>
      </c>
      <c r="I152" s="27">
        <f>'Forage crops, CF'!H186*'Forage, input data per ha'!$E$87+'Forage crops, CF'!H251*'Forage, input data per ha'!$G$87</f>
        <v>1.0456955921810469E-4</v>
      </c>
      <c r="J152" s="27">
        <f>'Forage crops, CF'!I186*'Forage, input data per ha'!$E$87+'Forage crops, CF'!I251*'Forage, input data per ha'!$G$87</f>
        <v>1.045695592181047E-5</v>
      </c>
      <c r="K152" s="27">
        <f>'Forage crops, CF'!J186*'Forage, input data per ha'!$E$87+'Forage crops, CF'!J251*'Forage, input data per ha'!$G$87</f>
        <v>4.8005679575018282E-7</v>
      </c>
      <c r="L152" s="27"/>
      <c r="M152" s="27">
        <f>'Forage crops, CF'!L186*'Forage, input data per ha'!$E$87+'Forage crops, CF'!L251*'Forage, input data per ha'!$G$87</f>
        <v>0</v>
      </c>
      <c r="N152" s="27">
        <f>'Forage crops, CF'!M186*'Forage, input data per ha'!$E$87+'Forage crops, CF'!M251*'Forage, input data per ha'!$G$87</f>
        <v>0</v>
      </c>
      <c r="O152" s="27">
        <f>'Forage crops, CF'!N186*'Forage, input data per ha'!$E$87+'Forage crops, CF'!N251*'Forage, input data per ha'!$G$87</f>
        <v>0</v>
      </c>
      <c r="P152" s="27">
        <f>'Forage crops, CF'!O186*'Forage, input data per ha'!$E$87+'Forage crops, CF'!O251*'Forage, input data per ha'!$G$87</f>
        <v>6.8099999999999988E-5</v>
      </c>
      <c r="Q152" s="27"/>
      <c r="R152" s="148">
        <f>'Parameters, country spec'!K17</f>
        <v>6.2955748563960065E-2</v>
      </c>
      <c r="S152" s="148">
        <f>'Parameters, country spec'!K35</f>
        <v>6.2955748563960065E-2</v>
      </c>
    </row>
    <row r="153" spans="1:19" x14ac:dyDescent="0.35">
      <c r="A153" s="20" t="s">
        <v>222</v>
      </c>
      <c r="B153" s="15" t="s">
        <v>108</v>
      </c>
      <c r="C153" s="15" t="s">
        <v>223</v>
      </c>
      <c r="D153" s="21" t="s">
        <v>52</v>
      </c>
      <c r="E153" s="21" t="s">
        <v>53</v>
      </c>
      <c r="F153" s="118">
        <f>SUM(G153:Q153)</f>
        <v>3.3195799999999998E-4</v>
      </c>
      <c r="G153" s="93">
        <v>0</v>
      </c>
      <c r="H153" s="93">
        <v>9.9999999999999995E-7</v>
      </c>
      <c r="I153" s="93">
        <v>2.9799999999999998E-4</v>
      </c>
      <c r="J153" s="93">
        <v>2.9799999999999999E-5</v>
      </c>
      <c r="K153" s="93">
        <v>1.5099999999999999E-6</v>
      </c>
      <c r="L153" s="93"/>
      <c r="M153" s="93">
        <v>2.3799999999999999E-7</v>
      </c>
      <c r="N153" s="93">
        <v>1.4100000000000001E-6</v>
      </c>
      <c r="O153" s="93"/>
      <c r="P153" s="93"/>
      <c r="Q153" s="93"/>
      <c r="R153" s="148">
        <f>'Parameters, country spec'!K18</f>
        <v>7.4482644340220033E-2</v>
      </c>
      <c r="S153" s="148">
        <f>'Parameters, country spec'!K36</f>
        <v>7.4482644340220033E-2</v>
      </c>
    </row>
    <row r="154" spans="1:19" x14ac:dyDescent="0.35">
      <c r="A154" s="20" t="s">
        <v>224</v>
      </c>
      <c r="B154" s="15" t="s">
        <v>109</v>
      </c>
      <c r="C154" s="15" t="s">
        <v>223</v>
      </c>
      <c r="D154" s="21" t="s">
        <v>52</v>
      </c>
      <c r="E154" s="21" t="s">
        <v>53</v>
      </c>
      <c r="F154" s="118">
        <f t="shared" ref="F154:F163" si="18">SUM(G154:Q154)</f>
        <v>2.4554899999999996E-4</v>
      </c>
      <c r="G154" s="93">
        <v>0</v>
      </c>
      <c r="H154" s="93">
        <v>9.9999999999999995E-7</v>
      </c>
      <c r="I154" s="93">
        <v>2.2000000000000001E-4</v>
      </c>
      <c r="J154" s="93">
        <v>2.1999999999999999E-5</v>
      </c>
      <c r="K154" s="93">
        <v>4.1300000000000001E-7</v>
      </c>
      <c r="L154" s="93"/>
      <c r="M154" s="93">
        <v>7.2600000000000002E-7</v>
      </c>
      <c r="N154" s="93">
        <v>1.4100000000000001E-6</v>
      </c>
      <c r="O154" s="93"/>
      <c r="P154" s="93"/>
      <c r="Q154" s="93"/>
      <c r="R154" s="148">
        <f>'Parameters, country spec'!K19</f>
        <v>9.8235935846622865E-2</v>
      </c>
      <c r="S154" s="148">
        <f>'Parameters, country spec'!K37</f>
        <v>9.8235935846622865E-2</v>
      </c>
    </row>
    <row r="155" spans="1:19" x14ac:dyDescent="0.35">
      <c r="A155" s="20" t="s">
        <v>225</v>
      </c>
      <c r="B155" s="15" t="s">
        <v>110</v>
      </c>
      <c r="C155" s="15" t="s">
        <v>223</v>
      </c>
      <c r="D155" s="21" t="s">
        <v>52</v>
      </c>
      <c r="E155" s="21" t="s">
        <v>53</v>
      </c>
      <c r="F155" s="118">
        <f t="shared" si="18"/>
        <v>2.6223000000000002E-4</v>
      </c>
      <c r="G155" s="93">
        <v>0</v>
      </c>
      <c r="H155" s="93">
        <v>9.9999999999999995E-7</v>
      </c>
      <c r="I155" s="93">
        <v>2.31E-4</v>
      </c>
      <c r="J155" s="93">
        <v>2.3099999999999999E-5</v>
      </c>
      <c r="K155" s="93">
        <v>2.1900000000000002E-6</v>
      </c>
      <c r="L155" s="93"/>
      <c r="M155" s="93">
        <v>3.5300000000000001E-6</v>
      </c>
      <c r="N155" s="93">
        <v>1.4100000000000001E-6</v>
      </c>
      <c r="O155" s="93"/>
      <c r="P155" s="93"/>
      <c r="Q155" s="93"/>
      <c r="R155" s="148">
        <f>'Parameters, country spec'!K20</f>
        <v>1.1613149284971752E-2</v>
      </c>
      <c r="S155" s="148">
        <f>'Parameters, country spec'!K38</f>
        <v>1.1613149284971752E-2</v>
      </c>
    </row>
    <row r="156" spans="1:19" x14ac:dyDescent="0.35">
      <c r="A156" s="20" t="s">
        <v>226</v>
      </c>
      <c r="B156" s="15" t="s">
        <v>111</v>
      </c>
      <c r="C156" s="15" t="s">
        <v>223</v>
      </c>
      <c r="D156" s="21" t="s">
        <v>52</v>
      </c>
      <c r="E156" s="21" t="s">
        <v>53</v>
      </c>
      <c r="F156" s="118">
        <f t="shared" si="18"/>
        <v>2.3770926E-4</v>
      </c>
      <c r="G156" s="93">
        <v>0</v>
      </c>
      <c r="H156" s="93">
        <v>9.9999999999999995E-7</v>
      </c>
      <c r="I156" s="93">
        <v>2.12E-4</v>
      </c>
      <c r="J156" s="93">
        <v>2.12E-5</v>
      </c>
      <c r="K156" s="93">
        <v>2.0899999999999999E-6</v>
      </c>
      <c r="L156" s="93"/>
      <c r="M156" s="93">
        <v>9.2599999999999999E-9</v>
      </c>
      <c r="N156" s="93">
        <v>1.4100000000000001E-6</v>
      </c>
      <c r="O156" s="93"/>
      <c r="P156" s="93"/>
      <c r="Q156" s="93"/>
      <c r="R156" s="148">
        <f>'Parameters, country spec'!K21</f>
        <v>3.0653721191027461E-3</v>
      </c>
      <c r="S156" s="148">
        <f>'Parameters, country spec'!K39</f>
        <v>3.0653721191027461E-3</v>
      </c>
    </row>
    <row r="157" spans="1:19" x14ac:dyDescent="0.35">
      <c r="A157" s="20" t="s">
        <v>227</v>
      </c>
      <c r="B157" s="15" t="s">
        <v>112</v>
      </c>
      <c r="C157" s="15" t="s">
        <v>223</v>
      </c>
      <c r="D157" s="21" t="s">
        <v>52</v>
      </c>
      <c r="E157" s="21" t="s">
        <v>53</v>
      </c>
      <c r="F157" s="118">
        <f t="shared" si="18"/>
        <v>2.9875100000000004E-4</v>
      </c>
      <c r="G157" s="93">
        <v>0</v>
      </c>
      <c r="H157" s="93">
        <v>9.9999999999999995E-7</v>
      </c>
      <c r="I157" s="93">
        <v>2.6800000000000001E-4</v>
      </c>
      <c r="J157" s="93">
        <v>2.6800000000000001E-5</v>
      </c>
      <c r="K157" s="93">
        <v>1.4300000000000001E-6</v>
      </c>
      <c r="L157" s="93"/>
      <c r="M157" s="93">
        <v>1.11E-7</v>
      </c>
      <c r="N157" s="93">
        <v>1.4100000000000001E-6</v>
      </c>
      <c r="O157" s="93"/>
      <c r="P157" s="93"/>
      <c r="Q157" s="93"/>
      <c r="R157" s="148">
        <f>'Parameters, country spec'!K22</f>
        <v>6.309442770624088E-2</v>
      </c>
      <c r="S157" s="148">
        <f>'Parameters, country spec'!K40</f>
        <v>6.309442770624088E-2</v>
      </c>
    </row>
    <row r="158" spans="1:19" x14ac:dyDescent="0.35">
      <c r="A158" s="20" t="s">
        <v>228</v>
      </c>
      <c r="B158" s="15" t="s">
        <v>113</v>
      </c>
      <c r="C158" s="15" t="s">
        <v>229</v>
      </c>
      <c r="D158" s="21" t="s">
        <v>52</v>
      </c>
      <c r="E158" s="21" t="s">
        <v>53</v>
      </c>
      <c r="F158" s="118">
        <f t="shared" si="18"/>
        <v>1.7489560000000001E-4</v>
      </c>
      <c r="G158" s="93">
        <v>0</v>
      </c>
      <c r="H158" s="93">
        <v>9.9999999999999995E-7</v>
      </c>
      <c r="I158" s="93">
        <v>1.54E-4</v>
      </c>
      <c r="J158" s="93">
        <v>1.5400000000000002E-5</v>
      </c>
      <c r="K158" s="93">
        <v>3.0299999999999998E-6</v>
      </c>
      <c r="L158" s="93"/>
      <c r="M158" s="93">
        <v>5.5600000000000002E-8</v>
      </c>
      <c r="N158" s="93">
        <v>1.4100000000000001E-6</v>
      </c>
      <c r="O158" s="93"/>
      <c r="P158" s="93"/>
      <c r="Q158" s="93"/>
      <c r="R158" s="148">
        <f>'Parameters, country spec'!K23</f>
        <v>2.7198099192756071E-3</v>
      </c>
      <c r="S158" s="148">
        <f>'Parameters, country spec'!K41</f>
        <v>2.7198099192756071E-3</v>
      </c>
    </row>
    <row r="159" spans="1:19" x14ac:dyDescent="0.35">
      <c r="A159" s="20" t="s">
        <v>230</v>
      </c>
      <c r="B159" s="15" t="s">
        <v>114</v>
      </c>
      <c r="C159" s="15" t="s">
        <v>229</v>
      </c>
      <c r="D159" s="21" t="s">
        <v>52</v>
      </c>
      <c r="E159" s="21" t="s">
        <v>53</v>
      </c>
      <c r="F159" s="118">
        <f t="shared" si="18"/>
        <v>1.8147199999999999E-4</v>
      </c>
      <c r="G159" s="93">
        <v>0</v>
      </c>
      <c r="H159" s="93">
        <v>9.9999999999999995E-7</v>
      </c>
      <c r="I159" s="93">
        <v>1.5899999999999999E-4</v>
      </c>
      <c r="J159" s="93">
        <v>1.59E-5</v>
      </c>
      <c r="K159" s="93">
        <v>3.5099999999999999E-6</v>
      </c>
      <c r="L159" s="93"/>
      <c r="M159" s="93">
        <v>6.5199999999999996E-7</v>
      </c>
      <c r="N159" s="93">
        <v>1.4100000000000001E-6</v>
      </c>
      <c r="O159" s="93"/>
      <c r="P159" s="93"/>
      <c r="Q159" s="93"/>
      <c r="R159" s="148">
        <f>'Parameters, country spec'!K24</f>
        <v>2.67174962512282E-3</v>
      </c>
      <c r="S159" s="148">
        <f>'Parameters, country spec'!K42</f>
        <v>2.67174962512282E-3</v>
      </c>
    </row>
    <row r="160" spans="1:19" x14ac:dyDescent="0.35">
      <c r="B160" s="16" t="s">
        <v>115</v>
      </c>
      <c r="C160" s="15" t="s">
        <v>231</v>
      </c>
      <c r="D160" s="21" t="s">
        <v>52</v>
      </c>
      <c r="E160" s="21" t="s">
        <v>53</v>
      </c>
      <c r="F160" s="118">
        <f t="shared" si="18"/>
        <v>1.5426052012212825E-3</v>
      </c>
      <c r="G160" s="27">
        <f>'Off-farm feed'!$F$77</f>
        <v>3.5160526410462907E-4</v>
      </c>
      <c r="H160" s="27">
        <f>'Off-farm feed'!$G$77</f>
        <v>5.3103448275862083E-7</v>
      </c>
      <c r="I160" s="27">
        <f>'Off-farm feed'!$H$77</f>
        <v>1.0756102664162708E-3</v>
      </c>
      <c r="J160" s="27">
        <f>'Off-farm feed'!$I$77</f>
        <v>1.0756102664162706E-4</v>
      </c>
      <c r="K160" s="27">
        <f>'Off-farm feed'!$J$77</f>
        <v>6.6339607025480414E-7</v>
      </c>
      <c r="L160" s="27"/>
      <c r="M160" s="27">
        <f>'Off-farm feed'!$L$77</f>
        <v>7.9511067188965511E-9</v>
      </c>
      <c r="N160" s="27">
        <f>'Off-farm feed'!$M$77</f>
        <v>1.2789681892721844E-6</v>
      </c>
      <c r="O160" s="27"/>
      <c r="P160" s="27">
        <f>'Off-farm feed'!$O$77</f>
        <v>4.8776996151562902E-6</v>
      </c>
      <c r="Q160" s="27">
        <f>'Off-farm feed'!$P$77</f>
        <v>4.6959459459459463E-7</v>
      </c>
      <c r="R160" s="148">
        <f>'Parameters, country spec'!K25</f>
        <v>7.8768273776592904E-3</v>
      </c>
      <c r="S160" s="148">
        <f>'Parameters, country spec'!K43</f>
        <v>7.8768273776592904E-3</v>
      </c>
    </row>
    <row r="161" spans="1:19" x14ac:dyDescent="0.35">
      <c r="B161" s="16" t="s">
        <v>232</v>
      </c>
      <c r="C161" s="15" t="s">
        <v>231</v>
      </c>
      <c r="D161" s="21" t="s">
        <v>52</v>
      </c>
      <c r="E161" s="21" t="s">
        <v>53</v>
      </c>
      <c r="F161" s="118">
        <f t="shared" si="18"/>
        <v>1.8866346644602505E-4</v>
      </c>
      <c r="G161" s="27">
        <f>'Off-farm feed'!$F$26</f>
        <v>1.6332109719061441E-5</v>
      </c>
      <c r="H161" s="27">
        <f>'Off-farm feed'!$G$26</f>
        <v>8.7195121951219526E-7</v>
      </c>
      <c r="I161" s="27">
        <f>'Off-farm feed'!$H$26</f>
        <v>1.3333449845358202E-4</v>
      </c>
      <c r="J161" s="27">
        <f>'Off-farm feed'!$I$26</f>
        <v>1.3333449845358203E-5</v>
      </c>
      <c r="K161" s="27">
        <f>'Off-farm feed'!$J$26</f>
        <v>1.1576736579983931E-6</v>
      </c>
      <c r="L161" s="27"/>
      <c r="M161" s="27">
        <f>'Off-farm feed'!$L$26</f>
        <v>7.3437786087804866E-9</v>
      </c>
      <c r="N161" s="27">
        <f>'Off-farm feed'!$M$26</f>
        <v>1.1195281639512197E-6</v>
      </c>
      <c r="O161" s="27"/>
      <c r="P161" s="27">
        <f>'Off-farm feed'!$O$26</f>
        <v>1.3419073770114991E-5</v>
      </c>
      <c r="Q161" s="27">
        <f>'Off-farm feed'!$P$26</f>
        <v>9.087837837837838E-6</v>
      </c>
      <c r="R161" s="148">
        <f>'Parameters, country spec'!K26</f>
        <v>6.7333865050956468E-2</v>
      </c>
      <c r="S161" s="148">
        <f>'Parameters, country spec'!K44</f>
        <v>6.7333865050956468E-2</v>
      </c>
    </row>
    <row r="162" spans="1:19" x14ac:dyDescent="0.35">
      <c r="B162" s="15" t="s">
        <v>117</v>
      </c>
      <c r="C162" s="15" t="s">
        <v>233</v>
      </c>
      <c r="D162" s="21" t="s">
        <v>52</v>
      </c>
      <c r="E162" s="21" t="s">
        <v>53</v>
      </c>
      <c r="F162" s="118">
        <f t="shared" si="18"/>
        <v>3.0776258352119469E-4</v>
      </c>
      <c r="G162" s="93">
        <v>1.00088507675393E-4</v>
      </c>
      <c r="H162" s="93">
        <v>5.5044E-7</v>
      </c>
      <c r="I162" s="93">
        <v>1.8590351879845999E-4</v>
      </c>
      <c r="J162" s="93"/>
      <c r="K162" s="93">
        <v>1.3625897315771799E-6</v>
      </c>
      <c r="L162" s="93"/>
      <c r="M162" s="93"/>
      <c r="N162" s="93"/>
      <c r="O162" s="93"/>
      <c r="P162" s="93">
        <v>1.3804343589274599E-5</v>
      </c>
      <c r="Q162" s="93">
        <v>6.0531837264898599E-6</v>
      </c>
      <c r="R162" s="148">
        <f>'Parameters, country spec'!K27</f>
        <v>6.255642502619195E-2</v>
      </c>
      <c r="S162" s="148">
        <f>'Parameters, country spec'!K45</f>
        <v>6.255642502619195E-2</v>
      </c>
    </row>
    <row r="163" spans="1:19" x14ac:dyDescent="0.35">
      <c r="A163" s="75"/>
      <c r="B163" s="15" t="s">
        <v>234</v>
      </c>
      <c r="C163" s="76" t="s">
        <v>235</v>
      </c>
      <c r="D163" s="21" t="s">
        <v>52</v>
      </c>
      <c r="E163" s="21" t="s">
        <v>53</v>
      </c>
      <c r="F163" s="118">
        <f t="shared" si="18"/>
        <v>9.7285158115124686E-5</v>
      </c>
      <c r="G163" s="74">
        <f>SUMPRODUCT(G153:G161,$R153:$R161)</f>
        <v>3.8692380422491656E-6</v>
      </c>
      <c r="H163" s="74">
        <f t="shared" ref="H163:P163" si="19">SUMPRODUCT(H153:H161,$R153:$R161)</f>
        <v>3.1877780153948202E-7</v>
      </c>
      <c r="I163" s="74">
        <f t="shared" si="19"/>
        <v>8.2343519336665924E-5</v>
      </c>
      <c r="J163" s="74">
        <f t="shared" si="19"/>
        <v>8.2343519336665941E-6</v>
      </c>
      <c r="K163" s="74">
        <f t="shared" si="19"/>
        <v>3.7589965417003661E-7</v>
      </c>
      <c r="L163" s="74">
        <f t="shared" si="19"/>
        <v>0</v>
      </c>
      <c r="M163" s="74">
        <f t="shared" si="19"/>
        <v>1.3952275925477208E-7</v>
      </c>
      <c r="N163" s="74">
        <f t="shared" si="19"/>
        <v>4.4625152522724591E-7</v>
      </c>
      <c r="O163" s="74">
        <f t="shared" si="19"/>
        <v>0</v>
      </c>
      <c r="P163" s="74">
        <f t="shared" si="19"/>
        <v>9.4197890021441374E-7</v>
      </c>
      <c r="Q163" s="74">
        <f>SUMPRODUCT(Q153:Q161,$R153:$R161)</f>
        <v>6.1561816213705248E-7</v>
      </c>
      <c r="R163" s="148">
        <f>'Parameters, country spec'!K28</f>
        <v>3.220327469601051E-2</v>
      </c>
      <c r="S163" s="148">
        <f>'Parameters, country spec'!K46</f>
        <v>3.220327469601051E-2</v>
      </c>
    </row>
    <row r="164" spans="1:19" x14ac:dyDescent="0.35">
      <c r="A164" s="321"/>
      <c r="B164" s="322" t="s">
        <v>541</v>
      </c>
      <c r="C164" s="323"/>
      <c r="D164" s="324"/>
      <c r="E164" s="324"/>
      <c r="F164" s="327">
        <f>SUMPRODUCT(F150:F152,R150:R152)+SUMPRODUCT(F153:F163,R153:R163)/0.87</f>
        <v>2.7824003254897384E-4</v>
      </c>
      <c r="G164" s="327">
        <f>SUMPRODUCT(G150:G152,R150:R152)+SUMPRODUCT(G153:G163,R153:R163)/0.87</f>
        <v>3.7689539675177957E-5</v>
      </c>
      <c r="H164" s="327">
        <f>SUMPRODUCT(H150:H152,R150:R152)+SUMPRODUCT(H153:H163,R153:R163)/0.87</f>
        <v>1.049350882679497E-6</v>
      </c>
      <c r="I164" s="327">
        <f>SUMPRODUCT(I150:I152,R150:R152)+SUMPRODUCT(I153:I163,R153:R163)/0.87</f>
        <v>2.0534090743121205E-4</v>
      </c>
      <c r="J164" s="327">
        <f>SUMPRODUCT(J150:J152,R150:R152)+SUMPRODUCT(J153:J163,R153:R163)/0.87</f>
        <v>1.9197371256245214E-5</v>
      </c>
      <c r="K164" s="327">
        <f>SUMPRODUCT(K150:K152,R150:R152)+SUMPRODUCT(K153:K163,R153:R163)/0.87</f>
        <v>8.7431699397337676E-7</v>
      </c>
      <c r="L164" s="327">
        <f>SUMPRODUCT(L150:L152,R150:R152)+SUMPRODUCT(L153:L163,R153:R163)/0.87</f>
        <v>0</v>
      </c>
      <c r="M164" s="327">
        <f>SUMPRODUCT(M150:M152,R150:R152)+SUMPRODUCT(M153:M163,R153:R163)/0.87</f>
        <v>2.593358221573904E-7</v>
      </c>
      <c r="N164" s="327">
        <f>SUMPRODUCT(N150:N152,R150:R152)+SUMPRODUCT(N153:N163,R153:R163)/0.87</f>
        <v>5.294509030777615E-7</v>
      </c>
      <c r="O164" s="327">
        <f>SUMPRODUCT(O150:O152,R150:R152)+SUMPRODUCT(O153:O163,R153:R163)/0.87</f>
        <v>0</v>
      </c>
      <c r="P164" s="327">
        <f>SUMPRODUCT(P150:P152,R150:R152)+SUMPRODUCT(P153:P163,R153:R163)/0.87</f>
        <v>1.2134117496087213E-5</v>
      </c>
      <c r="Q164" s="327">
        <f>SUMPRODUCT(Q150:Q152,R150:R152)+SUMPRODUCT(Q153:Q163,R153:R163)/0.87</f>
        <v>1.1656420883633715E-6</v>
      </c>
      <c r="R164" s="328"/>
      <c r="S164" s="329"/>
    </row>
    <row r="165" spans="1:19" x14ac:dyDescent="0.35">
      <c r="A165" s="147"/>
      <c r="B165" s="23" t="s">
        <v>428</v>
      </c>
      <c r="C165" s="24"/>
      <c r="D165" s="94"/>
      <c r="E165" s="94"/>
      <c r="F165" s="28">
        <f>SUMPRODUCT(F150:F152,S150:S152)+SUMPRODUCT(F153:F163,S153:S163)/0.87</f>
        <v>2.7824003254897384E-4</v>
      </c>
      <c r="G165" s="28">
        <f>SUMPRODUCT(G150:G152,S150:S152)+SUMPRODUCT(G153:G163,S153:S163)/0.87</f>
        <v>3.7689539675177957E-5</v>
      </c>
      <c r="H165" s="28">
        <f>SUMPRODUCT(H150:H152,S150:S152)+SUMPRODUCT(H153:H163,S153:S163)/0.87</f>
        <v>1.049350882679497E-6</v>
      </c>
      <c r="I165" s="28">
        <f>SUMPRODUCT(I150:I152,S150:S152)+SUMPRODUCT(I153:I163,S153:S163)/0.87</f>
        <v>2.0534090743121205E-4</v>
      </c>
      <c r="J165" s="28">
        <f>SUMPRODUCT(J150:J152,S150:S152)+SUMPRODUCT(J153:J163,S153:S163)/0.87</f>
        <v>1.9197371256245214E-5</v>
      </c>
      <c r="K165" s="28">
        <f>SUMPRODUCT(K150:K152,S150:S152)+SUMPRODUCT(K153:K163,S153:S163)/0.87</f>
        <v>8.7431699397337676E-7</v>
      </c>
      <c r="L165" s="28">
        <f>SUMPRODUCT(L150:L152,S150:S152)+SUMPRODUCT(L153:L163,S153:S163)/0.87</f>
        <v>0</v>
      </c>
      <c r="M165" s="28">
        <f>SUMPRODUCT(M150:M152,S150:S152)+SUMPRODUCT(M153:M163,S153:S163)/0.87</f>
        <v>2.593358221573904E-7</v>
      </c>
      <c r="N165" s="28">
        <f>SUMPRODUCT(N150:N152,S150:S152)+SUMPRODUCT(N153:N163,S153:S163)/0.87</f>
        <v>5.294509030777615E-7</v>
      </c>
      <c r="O165" s="28">
        <f>SUMPRODUCT(O150:O152,S150:S152)+SUMPRODUCT(O153:O163,S153:S163)/0.87</f>
        <v>0</v>
      </c>
      <c r="P165" s="28">
        <f>SUMPRODUCT(P150:P152,S150:S152)+SUMPRODUCT(P153:P163,S153:S163)/0.87</f>
        <v>1.2134117496087213E-5</v>
      </c>
      <c r="Q165" s="28">
        <f>SUMPRODUCT(Q150:Q152,S150:S152)+SUMPRODUCT(Q153:Q163,S153:S163)/0.87</f>
        <v>1.1656420883633715E-6</v>
      </c>
      <c r="R165" s="149"/>
      <c r="S165" s="149"/>
    </row>
    <row r="166" spans="1:19" x14ac:dyDescent="0.35">
      <c r="B166" s="16" t="s">
        <v>285</v>
      </c>
      <c r="C166" s="15" t="s">
        <v>288</v>
      </c>
      <c r="D166" s="21" t="s">
        <v>54</v>
      </c>
      <c r="E166" s="21" t="s">
        <v>55</v>
      </c>
      <c r="F166" s="118">
        <f>SUM(G166:Q166)</f>
        <v>7.520505556662538E-5</v>
      </c>
      <c r="G166" s="27">
        <f>'Forage crops, CF'!F61</f>
        <v>0</v>
      </c>
      <c r="H166" s="27">
        <f>'Forage crops, CF'!G61</f>
        <v>1.1000000000000001E-6</v>
      </c>
      <c r="I166" s="27">
        <f>'Forage crops, CF'!H61</f>
        <v>6.6561147801955938E-5</v>
      </c>
      <c r="J166" s="27">
        <f>'Forage crops, CF'!I61</f>
        <v>6.6561147801955938E-6</v>
      </c>
      <c r="K166" s="27">
        <f>'Forage crops, CF'!J61</f>
        <v>8.8779298447383559E-7</v>
      </c>
      <c r="L166" s="27">
        <f>'Forage crops, CF'!K61</f>
        <v>0</v>
      </c>
      <c r="M166" s="27">
        <f>'Forage crops, CF'!L61</f>
        <v>0</v>
      </c>
      <c r="N166" s="27">
        <f>'Forage crops, CF'!M61</f>
        <v>0</v>
      </c>
      <c r="O166" s="27">
        <f>'Forage crops, CF'!N61</f>
        <v>0</v>
      </c>
      <c r="P166" s="27">
        <f>'Forage crops, CF'!O61</f>
        <v>0</v>
      </c>
      <c r="Q166" s="27">
        <f>'Forage crops, CF'!P61</f>
        <v>0</v>
      </c>
      <c r="R166" s="148">
        <f>'Parameters, country spec'!L15</f>
        <v>0.51738911290322576</v>
      </c>
      <c r="S166" s="148">
        <f>'Parameters, country spec'!L33</f>
        <v>0</v>
      </c>
    </row>
    <row r="167" spans="1:19" x14ac:dyDescent="0.35">
      <c r="B167" s="16" t="s">
        <v>286</v>
      </c>
      <c r="C167" s="15" t="s">
        <v>288</v>
      </c>
      <c r="D167" s="21" t="s">
        <v>54</v>
      </c>
      <c r="E167" s="21" t="s">
        <v>55</v>
      </c>
      <c r="F167" s="118">
        <f>SUM(G167:Q167)</f>
        <v>3.0779597131143279E-4</v>
      </c>
      <c r="G167" s="27">
        <f>'Forage crops, CF'!F126</f>
        <v>4.2215528572113299E-5</v>
      </c>
      <c r="H167" s="27">
        <f>'Forage crops, CF'!G126</f>
        <v>1.1000000000000001E-6</v>
      </c>
      <c r="I167" s="27">
        <f>'Forage crops, CF'!H126</f>
        <v>1.7791881525427124E-4</v>
      </c>
      <c r="J167" s="27">
        <f>'Forage crops, CF'!I126</f>
        <v>1.7791881525427124E-5</v>
      </c>
      <c r="K167" s="27">
        <f>'Forage crops, CF'!J126</f>
        <v>5.1533830682117992E-7</v>
      </c>
      <c r="L167" s="27"/>
      <c r="M167" s="27">
        <f>'Forage crops, CF'!L126</f>
        <v>1.5440765280000001E-7</v>
      </c>
      <c r="N167" s="27">
        <f>'Forage crops, CF'!M126</f>
        <v>0</v>
      </c>
      <c r="O167" s="27">
        <f>'Forage crops, CF'!N126</f>
        <v>0</v>
      </c>
      <c r="P167" s="27">
        <f>'Forage crops, CF'!O126</f>
        <v>6.8099999999999988E-5</v>
      </c>
      <c r="Q167" s="27"/>
      <c r="R167" s="148">
        <f>'Parameters, country spec'!L16</f>
        <v>0</v>
      </c>
      <c r="S167" s="148">
        <f>'Parameters, country spec'!L34</f>
        <v>0.12715077282006415</v>
      </c>
    </row>
    <row r="168" spans="1:19" x14ac:dyDescent="0.35">
      <c r="B168" s="16" t="s">
        <v>287</v>
      </c>
      <c r="C168" s="15" t="s">
        <v>288</v>
      </c>
      <c r="D168" s="21" t="s">
        <v>54</v>
      </c>
      <c r="E168" s="21" t="s">
        <v>55</v>
      </c>
      <c r="F168" s="118">
        <f>SUM(G168:Q168)</f>
        <v>2.5897877199340268E-4</v>
      </c>
      <c r="G168" s="27">
        <f>'Forage crops, CF'!F191*'Forage, input data per ha'!$E$88+'Forage crops, CF'!F256*'Forage, input data per ha'!$G$88</f>
        <v>3.0369195864176115E-5</v>
      </c>
      <c r="H168" s="27">
        <f>'Forage crops, CF'!G191*'Forage, input data per ha'!$E$88+'Forage crops, CF'!G256*'Forage, input data per ha'!$G$88</f>
        <v>1.1000000000000001E-6</v>
      </c>
      <c r="I168" s="27">
        <f>'Forage crops, CF'!H191*'Forage, input data per ha'!$E$88+'Forage crops, CF'!H256*'Forage, input data per ha'!$G$88</f>
        <v>1.445681967692457E-4</v>
      </c>
      <c r="J168" s="27">
        <f>'Forage crops, CF'!I191*'Forage, input data per ha'!$E$88+'Forage crops, CF'!I256*'Forage, input data per ha'!$G$88</f>
        <v>1.445681967692457E-5</v>
      </c>
      <c r="K168" s="27">
        <f>'Forage crops, CF'!J191*'Forage, input data per ha'!$E$88+'Forage crops, CF'!J256*'Forage, input data per ha'!$G$88</f>
        <v>3.845596830562845E-7</v>
      </c>
      <c r="L168" s="27"/>
      <c r="M168" s="27">
        <f>'Forage crops, CF'!L191*'Forage, input data per ha'!$E$88+'Forage crops, CF'!L256*'Forage, input data per ha'!$G$88</f>
        <v>0</v>
      </c>
      <c r="N168" s="27">
        <f>'Forage crops, CF'!M191*'Forage, input data per ha'!$E$88+'Forage crops, CF'!M256*'Forage, input data per ha'!$G$88</f>
        <v>0</v>
      </c>
      <c r="O168" s="27">
        <f>'Forage crops, CF'!N191*'Forage, input data per ha'!$E$88+'Forage crops, CF'!N256*'Forage, input data per ha'!$G$88</f>
        <v>0</v>
      </c>
      <c r="P168" s="27">
        <f>'Forage crops, CF'!O191*'Forage, input data per ha'!$E$88+'Forage crops, CF'!O256*'Forage, input data per ha'!$G$88</f>
        <v>6.8099999999999988E-5</v>
      </c>
      <c r="Q168" s="27"/>
      <c r="R168" s="148">
        <f>'Parameters, country spec'!L17</f>
        <v>0.48261088709677419</v>
      </c>
      <c r="S168" s="148">
        <f>'Parameters, country spec'!L35</f>
        <v>0.5447652376786235</v>
      </c>
    </row>
    <row r="169" spans="1:19" x14ac:dyDescent="0.35">
      <c r="A169" s="20" t="s">
        <v>222</v>
      </c>
      <c r="B169" s="15" t="s">
        <v>108</v>
      </c>
      <c r="C169" s="15" t="s">
        <v>223</v>
      </c>
      <c r="D169" s="21" t="s">
        <v>54</v>
      </c>
      <c r="E169" s="21" t="s">
        <v>55</v>
      </c>
      <c r="F169" s="118">
        <f>SUM(G169:Q169)</f>
        <v>8.4192999999999996E-4</v>
      </c>
      <c r="G169" s="93">
        <v>1.3999999999999999E-4</v>
      </c>
      <c r="H169" s="93">
        <v>9.9999999999999995E-7</v>
      </c>
      <c r="I169" s="93">
        <v>6.3500000000000004E-4</v>
      </c>
      <c r="J169" s="93">
        <v>6.3499999999999999E-5</v>
      </c>
      <c r="K169" s="93">
        <v>1.1000000000000001E-6</v>
      </c>
      <c r="L169" s="93"/>
      <c r="M169" s="93">
        <v>0</v>
      </c>
      <c r="N169" s="93">
        <v>1.33E-6</v>
      </c>
      <c r="O169" s="93"/>
      <c r="P169" s="93"/>
      <c r="Q169" s="93"/>
      <c r="R169" s="148">
        <f>'Parameters, country spec'!L18</f>
        <v>0</v>
      </c>
      <c r="S169" s="148">
        <f>'Parameters, country spec'!L36</f>
        <v>0</v>
      </c>
    </row>
    <row r="170" spans="1:19" x14ac:dyDescent="0.35">
      <c r="A170" s="20" t="s">
        <v>224</v>
      </c>
      <c r="B170" s="15" t="s">
        <v>109</v>
      </c>
      <c r="C170" s="15" t="s">
        <v>223</v>
      </c>
      <c r="D170" s="21" t="s">
        <v>54</v>
      </c>
      <c r="E170" s="21" t="s">
        <v>55</v>
      </c>
      <c r="F170" s="118">
        <f t="shared" ref="F170:F179" si="20">SUM(G170:Q170)</f>
        <v>7.6903400000000004E-4</v>
      </c>
      <c r="G170" s="93">
        <v>1.2999999999999999E-4</v>
      </c>
      <c r="H170" s="93">
        <v>9.9999999999999995E-7</v>
      </c>
      <c r="I170" s="93">
        <v>5.7799999999999995E-4</v>
      </c>
      <c r="J170" s="93">
        <v>5.7800000000000002E-5</v>
      </c>
      <c r="K170" s="93">
        <v>7.5000000000000002E-7</v>
      </c>
      <c r="L170" s="93"/>
      <c r="M170" s="93">
        <v>1.54E-7</v>
      </c>
      <c r="N170" s="93">
        <v>1.33E-6</v>
      </c>
      <c r="O170" s="93"/>
      <c r="P170" s="93"/>
      <c r="Q170" s="93"/>
      <c r="R170" s="148">
        <f>'Parameters, country spec'!L19</f>
        <v>3.1697869732220848E-4</v>
      </c>
      <c r="S170" s="148">
        <f>'Parameters, country spec'!L37</f>
        <v>0</v>
      </c>
    </row>
    <row r="171" spans="1:19" x14ac:dyDescent="0.35">
      <c r="A171" s="20" t="s">
        <v>225</v>
      </c>
      <c r="B171" s="15" t="s">
        <v>110</v>
      </c>
      <c r="C171" s="15" t="s">
        <v>223</v>
      </c>
      <c r="D171" s="21" t="s">
        <v>54</v>
      </c>
      <c r="E171" s="21" t="s">
        <v>55</v>
      </c>
      <c r="F171" s="118">
        <f t="shared" si="20"/>
        <v>7.4177999999999994E-4</v>
      </c>
      <c r="G171" s="93">
        <v>1.2E-4</v>
      </c>
      <c r="H171" s="93">
        <v>9.9999999999999995E-7</v>
      </c>
      <c r="I171" s="93">
        <v>5.62E-4</v>
      </c>
      <c r="J171" s="93">
        <v>5.6199999999999997E-5</v>
      </c>
      <c r="K171" s="93">
        <v>1.2500000000000001E-6</v>
      </c>
      <c r="L171" s="93"/>
      <c r="M171" s="93">
        <v>0</v>
      </c>
      <c r="N171" s="93">
        <v>1.33E-6</v>
      </c>
      <c r="O171" s="93"/>
      <c r="P171" s="93"/>
      <c r="Q171" s="93"/>
      <c r="R171" s="148">
        <f>'Parameters, country spec'!L20</f>
        <v>0</v>
      </c>
      <c r="S171" s="148">
        <f>'Parameters, country spec'!L38</f>
        <v>0</v>
      </c>
    </row>
    <row r="172" spans="1:19" x14ac:dyDescent="0.35">
      <c r="A172" s="20" t="s">
        <v>226</v>
      </c>
      <c r="B172" s="15" t="s">
        <v>111</v>
      </c>
      <c r="C172" s="15" t="s">
        <v>223</v>
      </c>
      <c r="D172" s="21" t="s">
        <v>54</v>
      </c>
      <c r="E172" s="21" t="s">
        <v>55</v>
      </c>
      <c r="F172" s="118">
        <f t="shared" si="20"/>
        <v>6.6755700000000005E-4</v>
      </c>
      <c r="G172" s="93">
        <v>1.1E-4</v>
      </c>
      <c r="H172" s="93">
        <v>9.9999999999999995E-7</v>
      </c>
      <c r="I172" s="93">
        <v>5.04E-4</v>
      </c>
      <c r="J172" s="93">
        <v>5.0399999999999999E-5</v>
      </c>
      <c r="K172" s="93">
        <v>8.2699999999999998E-7</v>
      </c>
      <c r="L172" s="93"/>
      <c r="M172" s="93">
        <v>0</v>
      </c>
      <c r="N172" s="93">
        <v>1.33E-6</v>
      </c>
      <c r="O172" s="93"/>
      <c r="P172" s="93"/>
      <c r="Q172" s="93"/>
      <c r="R172" s="148">
        <f>'Parameters, country spec'!L21</f>
        <v>4.9002790875207444E-6</v>
      </c>
      <c r="S172" s="148">
        <f>'Parameters, country spec'!L39</f>
        <v>0</v>
      </c>
    </row>
    <row r="173" spans="1:19" x14ac:dyDescent="0.35">
      <c r="A173" s="20" t="s">
        <v>227</v>
      </c>
      <c r="B173" s="15" t="s">
        <v>112</v>
      </c>
      <c r="C173" s="15" t="s">
        <v>223</v>
      </c>
      <c r="D173" s="21" t="s">
        <v>54</v>
      </c>
      <c r="E173" s="21" t="s">
        <v>55</v>
      </c>
      <c r="F173" s="118">
        <f t="shared" si="20"/>
        <v>9.2211918000000004E-4</v>
      </c>
      <c r="G173" s="93">
        <v>1.6000000000000001E-4</v>
      </c>
      <c r="H173" s="93">
        <v>9.9999999999999995E-7</v>
      </c>
      <c r="I173" s="93">
        <v>6.8999999999999997E-4</v>
      </c>
      <c r="J173" s="93">
        <v>6.8999999999999997E-5</v>
      </c>
      <c r="K173" s="93">
        <v>7.8299999999999996E-7</v>
      </c>
      <c r="L173" s="93"/>
      <c r="M173" s="93">
        <v>6.1799999999999998E-9</v>
      </c>
      <c r="N173" s="93">
        <v>1.33E-6</v>
      </c>
      <c r="O173" s="93"/>
      <c r="P173" s="93"/>
      <c r="Q173" s="93"/>
      <c r="R173" s="148">
        <f>'Parameters, country spec'!L22</f>
        <v>0</v>
      </c>
      <c r="S173" s="148">
        <f>'Parameters, country spec'!L40</f>
        <v>0.29571303587051617</v>
      </c>
    </row>
    <row r="174" spans="1:19" x14ac:dyDescent="0.35">
      <c r="A174" s="20" t="s">
        <v>228</v>
      </c>
      <c r="B174" s="15" t="s">
        <v>113</v>
      </c>
      <c r="C174" s="15" t="s">
        <v>229</v>
      </c>
      <c r="D174" s="21" t="s">
        <v>54</v>
      </c>
      <c r="E174" s="21" t="s">
        <v>55</v>
      </c>
      <c r="F174" s="118">
        <f t="shared" si="20"/>
        <v>2.0736308999999998E-4</v>
      </c>
      <c r="G174" s="93">
        <v>0</v>
      </c>
      <c r="H174" s="93">
        <v>9.9999999999999995E-7</v>
      </c>
      <c r="I174" s="93">
        <v>1.85E-4</v>
      </c>
      <c r="J174" s="93">
        <v>1.8499999999999999E-5</v>
      </c>
      <c r="K174" s="93">
        <v>1.53E-6</v>
      </c>
      <c r="L174" s="93"/>
      <c r="M174" s="93">
        <v>3.0899999999999999E-9</v>
      </c>
      <c r="N174" s="93">
        <v>1.33E-6</v>
      </c>
      <c r="O174" s="93"/>
      <c r="P174" s="93"/>
      <c r="Q174" s="93"/>
      <c r="R174" s="148">
        <f>'Parameters, country spec'!L23</f>
        <v>1.4784950076098704E-3</v>
      </c>
      <c r="S174" s="148">
        <f>'Parameters, country spec'!L41</f>
        <v>0</v>
      </c>
    </row>
    <row r="175" spans="1:19" x14ac:dyDescent="0.35">
      <c r="A175" s="20" t="s">
        <v>230</v>
      </c>
      <c r="B175" s="15" t="s">
        <v>114</v>
      </c>
      <c r="C175" s="15" t="s">
        <v>229</v>
      </c>
      <c r="D175" s="21" t="s">
        <v>54</v>
      </c>
      <c r="E175" s="21" t="s">
        <v>55</v>
      </c>
      <c r="F175" s="118">
        <f t="shared" si="20"/>
        <v>2.3902308999999998E-4</v>
      </c>
      <c r="G175" s="93">
        <v>6.7000000000000002E-6</v>
      </c>
      <c r="H175" s="93">
        <v>9.9999999999999995E-7</v>
      </c>
      <c r="I175" s="93">
        <v>2.0699999999999999E-4</v>
      </c>
      <c r="J175" s="93">
        <v>2.0699999999999998E-5</v>
      </c>
      <c r="K175" s="93">
        <v>2.2900000000000001E-6</v>
      </c>
      <c r="L175" s="93"/>
      <c r="M175" s="93">
        <v>3.0899999999999999E-9</v>
      </c>
      <c r="N175" s="93">
        <v>1.33E-6</v>
      </c>
      <c r="O175" s="93"/>
      <c r="P175" s="93"/>
      <c r="Q175" s="93"/>
      <c r="R175" s="148">
        <f>'Parameters, country spec'!L24</f>
        <v>1.4523693197724004E-3</v>
      </c>
      <c r="S175" s="148">
        <f>'Parameters, country spec'!L42</f>
        <v>9.3321668124817739E-3</v>
      </c>
    </row>
    <row r="176" spans="1:19" x14ac:dyDescent="0.35">
      <c r="B176" s="16" t="s">
        <v>115</v>
      </c>
      <c r="C176" s="15" t="s">
        <v>231</v>
      </c>
      <c r="D176" s="21" t="s">
        <v>54</v>
      </c>
      <c r="E176" s="21" t="s">
        <v>55</v>
      </c>
      <c r="F176" s="118">
        <f t="shared" si="20"/>
        <v>1.5426052012212825E-3</v>
      </c>
      <c r="G176" s="27">
        <f>'Off-farm feed'!$F$77</f>
        <v>3.5160526410462907E-4</v>
      </c>
      <c r="H176" s="27">
        <f>'Off-farm feed'!$G$77</f>
        <v>5.3103448275862083E-7</v>
      </c>
      <c r="I176" s="27">
        <f>'Off-farm feed'!$H$77</f>
        <v>1.0756102664162708E-3</v>
      </c>
      <c r="J176" s="27">
        <f>'Off-farm feed'!$I$77</f>
        <v>1.0756102664162706E-4</v>
      </c>
      <c r="K176" s="27">
        <f>'Off-farm feed'!$J$77</f>
        <v>6.6339607025480414E-7</v>
      </c>
      <c r="L176" s="27"/>
      <c r="M176" s="27">
        <f>'Off-farm feed'!$L$77</f>
        <v>7.9511067188965511E-9</v>
      </c>
      <c r="N176" s="27">
        <f>'Off-farm feed'!$M$77</f>
        <v>1.2789681892721844E-6</v>
      </c>
      <c r="O176" s="27"/>
      <c r="P176" s="27">
        <f>'Off-farm feed'!$O$77</f>
        <v>4.8776996151562902E-6</v>
      </c>
      <c r="Q176" s="27">
        <f>'Off-farm feed'!$P$77</f>
        <v>4.6959459459459463E-7</v>
      </c>
      <c r="R176" s="148">
        <f>'Parameters, country spec'!L25</f>
        <v>0</v>
      </c>
      <c r="S176" s="148">
        <f>'Parameters, country spec'!L43</f>
        <v>2.3038786818314377E-2</v>
      </c>
    </row>
    <row r="177" spans="1:20" x14ac:dyDescent="0.35">
      <c r="B177" s="16" t="s">
        <v>232</v>
      </c>
      <c r="C177" s="15" t="s">
        <v>231</v>
      </c>
      <c r="D177" s="21" t="s">
        <v>54</v>
      </c>
      <c r="E177" s="21" t="s">
        <v>55</v>
      </c>
      <c r="F177" s="118">
        <f t="shared" si="20"/>
        <v>1.8866346644602505E-4</v>
      </c>
      <c r="G177" s="27">
        <f>'Off-farm feed'!$F$26</f>
        <v>1.6332109719061441E-5</v>
      </c>
      <c r="H177" s="27">
        <f>'Off-farm feed'!$G$26</f>
        <v>8.7195121951219526E-7</v>
      </c>
      <c r="I177" s="27">
        <f>'Off-farm feed'!$H$26</f>
        <v>1.3333449845358202E-4</v>
      </c>
      <c r="J177" s="27">
        <f>'Off-farm feed'!$I$26</f>
        <v>1.3333449845358203E-5</v>
      </c>
      <c r="K177" s="27">
        <f>'Off-farm feed'!$J$26</f>
        <v>1.1576736579983931E-6</v>
      </c>
      <c r="L177" s="27"/>
      <c r="M177" s="27">
        <f>'Off-farm feed'!$L$26</f>
        <v>7.3437786087804866E-9</v>
      </c>
      <c r="N177" s="27">
        <f>'Off-farm feed'!$M$26</f>
        <v>1.1195281639512197E-6</v>
      </c>
      <c r="O177" s="27"/>
      <c r="P177" s="27">
        <f>'Off-farm feed'!$O$26</f>
        <v>1.3419073770114991E-5</v>
      </c>
      <c r="Q177" s="27">
        <f>'Off-farm feed'!$P$26</f>
        <v>9.087837837837838E-6</v>
      </c>
      <c r="R177" s="148">
        <f>'Parameters, country spec'!L26</f>
        <v>0</v>
      </c>
      <c r="S177" s="148">
        <f>'Parameters, country spec'!L44</f>
        <v>0</v>
      </c>
    </row>
    <row r="178" spans="1:20" x14ac:dyDescent="0.35">
      <c r="B178" s="15" t="s">
        <v>117</v>
      </c>
      <c r="C178" s="15" t="s">
        <v>233</v>
      </c>
      <c r="D178" s="21" t="s">
        <v>54</v>
      </c>
      <c r="E178" s="21" t="s">
        <v>55</v>
      </c>
      <c r="F178" s="579">
        <f t="shared" si="20"/>
        <v>4.5209651364689057E-4</v>
      </c>
      <c r="G178" s="93">
        <v>8.1710190712302194E-5</v>
      </c>
      <c r="H178" s="93">
        <v>5.5043999999999904E-7</v>
      </c>
      <c r="I178" s="93">
        <v>3.5822639957807799E-4</v>
      </c>
      <c r="J178" s="93"/>
      <c r="K178" s="93">
        <v>1.08819106688444E-6</v>
      </c>
      <c r="L178" s="93"/>
      <c r="M178" s="93"/>
      <c r="N178" s="93"/>
      <c r="O178" s="93"/>
      <c r="P178" s="93">
        <v>9.3475299429580403E-6</v>
      </c>
      <c r="Q178" s="93">
        <v>1.1737623466679099E-6</v>
      </c>
      <c r="R178" s="148">
        <f>'Parameters, country spec'!L27</f>
        <v>0</v>
      </c>
      <c r="S178" s="148">
        <f>'Parameters, country spec'!L45</f>
        <v>0</v>
      </c>
    </row>
    <row r="179" spans="1:20" x14ac:dyDescent="0.35">
      <c r="A179" s="75"/>
      <c r="B179" s="15" t="s">
        <v>234</v>
      </c>
      <c r="C179" s="76" t="s">
        <v>235</v>
      </c>
      <c r="D179" s="21" t="s">
        <v>54</v>
      </c>
      <c r="E179" s="21" t="s">
        <v>55</v>
      </c>
      <c r="F179" s="118">
        <f t="shared" si="20"/>
        <v>9.0077370708406869E-7</v>
      </c>
      <c r="G179" s="74">
        <f>SUMPRODUCT(G169:G177,$R169:$R177)</f>
        <v>5.1477135793989466E-8</v>
      </c>
      <c r="H179" s="74">
        <f t="shared" ref="H179:P179" si="21">SUMPRODUCT(H169:H177,$R169:$R177)</f>
        <v>3.2527433037919997E-9</v>
      </c>
      <c r="I179" s="74">
        <f t="shared" si="21"/>
        <v>7.5984545331305982E-7</v>
      </c>
      <c r="J179" s="74">
        <f t="shared" si="21"/>
        <v>7.5984545331305984E-8</v>
      </c>
      <c r="K179" s="74">
        <f t="shared" si="21"/>
        <v>5.8298096577189348E-9</v>
      </c>
      <c r="L179" s="74">
        <f t="shared" si="21"/>
        <v>0</v>
      </c>
      <c r="M179" s="74">
        <f t="shared" si="21"/>
        <v>5.7871090159231323E-11</v>
      </c>
      <c r="N179" s="74">
        <f t="shared" si="21"/>
        <v>4.3261485940433595E-9</v>
      </c>
      <c r="O179" s="74">
        <f t="shared" si="21"/>
        <v>0</v>
      </c>
      <c r="P179" s="74">
        <f t="shared" si="21"/>
        <v>0</v>
      </c>
      <c r="Q179" s="74">
        <f>SUMPRODUCT(Q169:Q177,$R169:$R177)</f>
        <v>0</v>
      </c>
      <c r="R179" s="148">
        <f>'Parameters, country spec'!L28</f>
        <v>0</v>
      </c>
      <c r="S179" s="148">
        <f>'Parameters, country spec'!L46</f>
        <v>0</v>
      </c>
    </row>
    <row r="180" spans="1:20" x14ac:dyDescent="0.35">
      <c r="A180" s="321"/>
      <c r="B180" s="322" t="s">
        <v>541</v>
      </c>
      <c r="C180" s="323"/>
      <c r="D180" s="324"/>
      <c r="E180" s="324"/>
      <c r="F180" s="327">
        <f>SUMPRODUCT(F166:F168,R166:R168)+SUMPRODUCT(F169:F179,R169:R179)/0.87</f>
        <v>1.649316239535315E-4</v>
      </c>
      <c r="G180" s="327">
        <f>SUMPRODUCT(G166:G168,R166:R168)+SUMPRODUCT(G169:G179,R169:R179)/0.87</f>
        <v>1.4715673678028009E-5</v>
      </c>
      <c r="H180" s="327">
        <f>SUMPRODUCT(H166:H168,R166:R168)+SUMPRODUCT(H169:H179,R169:R179)/0.87</f>
        <v>1.1037387854066574E-6</v>
      </c>
      <c r="I180" s="327">
        <f>SUMPRODUCT(I166:I168,R166:R168)+SUMPRODUCT(I169:I179,R169:R179)/0.87</f>
        <v>1.0508158448238192E-4</v>
      </c>
      <c r="J180" s="327">
        <f>SUMPRODUCT(J166:J168,R166:R168)+SUMPRODUCT(J169:J179,R169:R179)/0.87</f>
        <v>1.0508158448238191E-5</v>
      </c>
      <c r="K180" s="327">
        <f>SUMPRODUCT(K166:K168,R166:R168)+SUMPRODUCT(K169:K179,R169:R179)/0.87</f>
        <v>6.5162804510112908E-7</v>
      </c>
      <c r="L180" s="327">
        <f>SUMPRODUCT(L166:L168,R166:R168)+SUMPRODUCT(L169:L179,R169:R179)/0.87</f>
        <v>0</v>
      </c>
      <c r="M180" s="327">
        <f>SUMPRODUCT(M166:M168,R166:R168)+SUMPRODUCT(M169:M179,R169:R179)/0.87</f>
        <v>6.6518494435898078E-11</v>
      </c>
      <c r="N180" s="327">
        <f>SUMPRODUCT(N166:N168,R166:R168)+SUMPRODUCT(N169:N179,R169:R179)/0.87</f>
        <v>4.9725845908544364E-9</v>
      </c>
      <c r="O180" s="327">
        <f>SUMPRODUCT(O166:O168,R166:R168)+SUMPRODUCT(O169:O179,R169:R179)/0.87</f>
        <v>0</v>
      </c>
      <c r="P180" s="327">
        <f>SUMPRODUCT(P166:P168,R166:R168)+SUMPRODUCT(P169:P179,R169:R179)/0.87</f>
        <v>3.2865801411290314E-5</v>
      </c>
      <c r="Q180" s="327">
        <f>SUMPRODUCT(Q166:Q168,R166:R168)+SUMPRODUCT(Q169:Q179,R169:R179)/0.87</f>
        <v>0</v>
      </c>
      <c r="R180" s="328"/>
      <c r="S180" s="328"/>
    </row>
    <row r="181" spans="1:20" x14ac:dyDescent="0.35">
      <c r="A181" s="147"/>
      <c r="B181" s="23" t="s">
        <v>428</v>
      </c>
      <c r="C181" s="24"/>
      <c r="D181" s="94"/>
      <c r="E181" s="94"/>
      <c r="F181" s="28">
        <f>SUMPRODUCT(F166:F168,S166:S168)+SUMPRODUCT(F169:F179,S169:S179)/0.87</f>
        <v>5.3706167718450544E-4</v>
      </c>
      <c r="G181" s="28">
        <f>SUMPRODUCT(G166:G168,S166:S168)+SUMPRODUCT(G169:G179,S169:S179)/0.87</f>
        <v>8.567868133293918E-5</v>
      </c>
      <c r="H181" s="28">
        <f>SUMPRODUCT(H166:H168,S166:S168)+SUMPRODUCT(H169:H179,S169:S179)/0.87</f>
        <v>1.1037967988180364E-6</v>
      </c>
      <c r="I181" s="28">
        <f>SUMPRODUCT(I166:I168,S166:S168)+SUMPRODUCT(I169:I179,S169:S179)/0.87</f>
        <v>3.6661331064337746E-4</v>
      </c>
      <c r="J181" s="28">
        <f>SUMPRODUCT(J166:J168,S166:S168)+SUMPRODUCT(J169:J179,S169:S179)/0.87</f>
        <v>3.6661331064337748E-5</v>
      </c>
      <c r="K181" s="28">
        <f>SUMPRODUCT(K166:K168,S166:S168)+SUMPRODUCT(K169:K179,S169:S179)/0.87</f>
        <v>5.8329375563040416E-7</v>
      </c>
      <c r="L181" s="28">
        <f>SUMPRODUCT(L166:L168,S166:S168)+SUMPRODUCT(L169:L179,S169:S179)/0.87</f>
        <v>0</v>
      </c>
      <c r="M181" s="28">
        <f>SUMPRODUCT(M166:M168,S166:S168)+SUMPRODUCT(M169:M179,S169:S179)/0.87</f>
        <v>2.1977336072273619E-8</v>
      </c>
      <c r="N181" s="28">
        <f>SUMPRODUCT(N166:N168,S166:S168)+SUMPRODUCT(N169:N179,S169:S179)/0.87</f>
        <v>5.002022931361318E-7</v>
      </c>
      <c r="O181" s="28">
        <f>SUMPRODUCT(O166:O168,S166:S168)+SUMPRODUCT(O169:O179,S169:S179)/0.87</f>
        <v>0</v>
      </c>
      <c r="P181" s="28">
        <f>SUMPRODUCT(P166:P168,S166:S168)+SUMPRODUCT(P169:P179,S169:S179)/0.87</f>
        <v>4.58866484547277E-5</v>
      </c>
      <c r="Q181" s="28">
        <f>SUMPRODUCT(Q166:Q168,S166:S168)+SUMPRODUCT(Q169:Q179,S169:S179)/0.87</f>
        <v>1.2435505466549001E-8</v>
      </c>
      <c r="R181" s="149"/>
      <c r="S181" s="149"/>
    </row>
    <row r="182" spans="1:20" x14ac:dyDescent="0.35">
      <c r="B182" s="16" t="s">
        <v>285</v>
      </c>
      <c r="C182" s="15" t="s">
        <v>288</v>
      </c>
      <c r="D182" s="21" t="s">
        <v>493</v>
      </c>
      <c r="E182" s="21" t="s">
        <v>495</v>
      </c>
      <c r="F182" s="118">
        <f>SUM(G182:Q182)</f>
        <v>6.5958926384665874E-4</v>
      </c>
      <c r="G182" s="27">
        <f>'Forage crops, CF'!F66</f>
        <v>1.4422009698348775E-4</v>
      </c>
      <c r="H182" s="27">
        <f>'Forage crops, CF'!G66</f>
        <v>1.1000000000000001E-6</v>
      </c>
      <c r="I182" s="27">
        <f>'Forage crops, CF'!H66</f>
        <v>4.6715805714285719E-4</v>
      </c>
      <c r="J182" s="27">
        <f>'Forage crops, CF'!I66</f>
        <v>4.6715805714285725E-5</v>
      </c>
      <c r="K182" s="27">
        <f>'Forage crops, CF'!J66</f>
        <v>3.9530400602795185E-7</v>
      </c>
      <c r="L182" s="27">
        <f>'Forage crops, CF'!K66</f>
        <v>0</v>
      </c>
      <c r="M182" s="27">
        <f>'Forage crops, CF'!L66</f>
        <v>0</v>
      </c>
      <c r="N182" s="27">
        <f>'Forage crops, CF'!M66</f>
        <v>0</v>
      </c>
      <c r="O182" s="27">
        <f>'Forage crops, CF'!N66</f>
        <v>0</v>
      </c>
      <c r="P182" s="27">
        <f>'Forage crops, CF'!O66</f>
        <v>0</v>
      </c>
      <c r="Q182" s="27">
        <f>'Forage crops, CF'!P66</f>
        <v>0</v>
      </c>
      <c r="R182" s="148">
        <f>'Parameters, country spec'!M15</f>
        <v>0.74946751429338065</v>
      </c>
      <c r="S182" s="148">
        <f>'Parameters, country spec'!L33</f>
        <v>0</v>
      </c>
    </row>
    <row r="183" spans="1:20" x14ac:dyDescent="0.35">
      <c r="B183" s="16" t="s">
        <v>286</v>
      </c>
      <c r="C183" s="15" t="s">
        <v>288</v>
      </c>
      <c r="D183" s="21" t="s">
        <v>493</v>
      </c>
      <c r="E183" s="21" t="s">
        <v>495</v>
      </c>
      <c r="F183" s="118">
        <f>SUM(G183:Q183)</f>
        <v>5.3782051762126762E-4</v>
      </c>
      <c r="G183" s="27">
        <f>'Forage crops, CF'!F131</f>
        <v>1.1912179629242993E-4</v>
      </c>
      <c r="H183" s="27">
        <f>'Forage crops, CF'!G131</f>
        <v>1.1000000000000001E-6</v>
      </c>
      <c r="I183" s="27">
        <f>'Forage crops, CF'!H131</f>
        <v>3.7907352685714283E-4</v>
      </c>
      <c r="J183" s="27">
        <f>'Forage crops, CF'!I131</f>
        <v>3.7907352685714287E-5</v>
      </c>
      <c r="K183" s="27">
        <f>'Forage crops, CF'!J131</f>
        <v>3.4917247010855983E-7</v>
      </c>
      <c r="L183" s="27">
        <f>'Forage crops, CF'!K131</f>
        <v>0</v>
      </c>
      <c r="M183" s="27">
        <f>'Forage crops, CF'!L131</f>
        <v>2.6866931587199997E-7</v>
      </c>
      <c r="N183" s="27">
        <f>'Forage crops, CF'!M131</f>
        <v>0</v>
      </c>
      <c r="O183" s="27">
        <f>'Forage crops, CF'!N131</f>
        <v>0</v>
      </c>
      <c r="P183" s="27">
        <f>'Forage crops, CF'!O131</f>
        <v>0</v>
      </c>
      <c r="Q183" s="27">
        <f>'Forage crops, CF'!P131</f>
        <v>0</v>
      </c>
      <c r="R183" s="148">
        <f>'Parameters, country spec'!M16</f>
        <v>6.8994040926595557E-2</v>
      </c>
      <c r="S183" s="148">
        <f>'Parameters, country spec'!L34</f>
        <v>0.12715077282006415</v>
      </c>
    </row>
    <row r="184" spans="1:20" x14ac:dyDescent="0.35">
      <c r="B184" s="16" t="s">
        <v>287</v>
      </c>
      <c r="C184" s="15" t="s">
        <v>288</v>
      </c>
      <c r="D184" s="21" t="s">
        <v>493</v>
      </c>
      <c r="E184" s="21" t="s">
        <v>495</v>
      </c>
      <c r="F184" s="118">
        <f>SUM(G184:Q184)</f>
        <v>1.3548456226448145E-4</v>
      </c>
      <c r="G184" s="27">
        <f>'Forage crops, CF'!F196*'Forage, input data per ha'!$E$89+'Forage crops, CF'!F261*'Forage, input data per ha'!$G$89</f>
        <v>2.3549892009035224E-5</v>
      </c>
      <c r="H184" s="27">
        <f>'Forage crops, CF'!G196*'Forage, input data per ha'!$E$89+'Forage crops, CF'!G261*'Forage, input data per ha'!$G$89</f>
        <v>1.1000000000000001E-6</v>
      </c>
      <c r="I184" s="27">
        <f>'Forage crops, CF'!H196*'Forage, input data per ha'!$E$89+'Forage crops, CF'!H261*'Forage, input data per ha'!$G$89</f>
        <v>1.0039470231748596E-4</v>
      </c>
      <c r="J184" s="27">
        <f>'Forage crops, CF'!I196*'Forage, input data per ha'!$E$89+'Forage crops, CF'!I261*'Forage, input data per ha'!$G$89</f>
        <v>1.0039470231748598E-5</v>
      </c>
      <c r="K184" s="27">
        <f>'Forage crops, CF'!J196*'Forage, input data per ha'!$E$89+'Forage crops, CF'!J261*'Forage, input data per ha'!$G$89</f>
        <v>4.0049770621167794E-7</v>
      </c>
      <c r="L184" s="27">
        <f>'Forage crops, CF'!K196*'Forage, input data per ha'!$E$89+'Forage crops, CF'!K261*'Forage, input data per ha'!$G$89</f>
        <v>0</v>
      </c>
      <c r="M184" s="27">
        <f>'Forage crops, CF'!L196*'Forage, input data per ha'!$E$89+'Forage crops, CF'!L261*'Forage, input data per ha'!$G$89</f>
        <v>0</v>
      </c>
      <c r="N184" s="27">
        <f>'Forage crops, CF'!M196*'Forage, input data per ha'!$E$89+'Forage crops, CF'!M261*'Forage, input data per ha'!$G$89</f>
        <v>0</v>
      </c>
      <c r="O184" s="27">
        <f>'Forage crops, CF'!N196*'Forage, input data per ha'!$E$89+'Forage crops, CF'!N261*'Forage, input data per ha'!$G$89</f>
        <v>0</v>
      </c>
      <c r="P184" s="27">
        <f>'Forage crops, CF'!O196*'Forage, input data per ha'!$E$89+'Forage crops, CF'!O261*'Forage, input data per ha'!$G$89</f>
        <v>0</v>
      </c>
      <c r="Q184" s="27">
        <f>'Forage crops, CF'!P196*'Forage, input data per ha'!$E$89+'Forage crops, CF'!P261*'Forage, input data per ha'!$G$89</f>
        <v>0</v>
      </c>
      <c r="R184" s="148">
        <f>'Parameters, country spec'!M17</f>
        <v>3.2584598647782959E-3</v>
      </c>
      <c r="S184" s="148">
        <f>'Parameters, country spec'!L35</f>
        <v>0.5447652376786235</v>
      </c>
    </row>
    <row r="185" spans="1:20" x14ac:dyDescent="0.35">
      <c r="A185" s="20" t="s">
        <v>222</v>
      </c>
      <c r="B185" s="15" t="s">
        <v>108</v>
      </c>
      <c r="C185" s="15" t="s">
        <v>223</v>
      </c>
      <c r="D185" s="21" t="s">
        <v>493</v>
      </c>
      <c r="E185" s="21" t="s">
        <v>495</v>
      </c>
      <c r="F185" s="118">
        <f>SUM(G185:Q185)</f>
        <v>1.6880774299634633E-3</v>
      </c>
      <c r="G185" s="551">
        <v>8.4403871498173178E-4</v>
      </c>
      <c r="H185" s="558">
        <v>1.753606037491659E-4</v>
      </c>
      <c r="I185" s="559">
        <v>1.1000000000000001E-6</v>
      </c>
      <c r="J185" s="560">
        <v>6.0482560795012007E-4</v>
      </c>
      <c r="K185" s="560">
        <v>6.0482560795012012E-5</v>
      </c>
      <c r="L185" s="560">
        <v>8.2030125495699858E-7</v>
      </c>
      <c r="M185" s="560"/>
      <c r="N185" s="560">
        <v>1.1649187675852718E-10</v>
      </c>
      <c r="O185" s="560">
        <v>1.4495247406000002E-6</v>
      </c>
      <c r="P185" s="93"/>
      <c r="Q185" s="93"/>
      <c r="R185" s="148">
        <f>'Parameters, country spec'!M18</f>
        <v>1.3909861729922528E-2</v>
      </c>
      <c r="S185" s="148">
        <f>'Parameters, country spec'!L36</f>
        <v>0</v>
      </c>
      <c r="T185" s="6"/>
    </row>
    <row r="186" spans="1:20" x14ac:dyDescent="0.35">
      <c r="A186" s="20" t="s">
        <v>224</v>
      </c>
      <c r="B186" s="15" t="s">
        <v>109</v>
      </c>
      <c r="C186" s="15" t="s">
        <v>223</v>
      </c>
      <c r="D186" s="21" t="s">
        <v>493</v>
      </c>
      <c r="E186" s="21" t="s">
        <v>495</v>
      </c>
      <c r="F186" s="118">
        <f t="shared" ref="F186:F194" si="22">SUM(G186:Q186)</f>
        <v>1.9273487460322975E-3</v>
      </c>
      <c r="G186" s="557">
        <v>9.6367437301614865E-4</v>
      </c>
      <c r="H186" s="558">
        <v>2.0101383380897317E-4</v>
      </c>
      <c r="I186" s="559">
        <v>1.1000000000000001E-6</v>
      </c>
      <c r="J186" s="560">
        <v>6.9042414916085427E-4</v>
      </c>
      <c r="K186" s="560">
        <v>6.9042414916085424E-5</v>
      </c>
      <c r="L186" s="560">
        <v>6.413622365799168E-7</v>
      </c>
      <c r="M186" s="560"/>
      <c r="N186" s="560">
        <v>3.0881530559999997E-9</v>
      </c>
      <c r="O186" s="560">
        <v>1.4495247406000002E-6</v>
      </c>
      <c r="P186" s="93"/>
      <c r="Q186" s="93"/>
      <c r="R186" s="148">
        <f>'Parameters, country spec'!M19</f>
        <v>6.5309995773990038E-4</v>
      </c>
      <c r="S186" s="148">
        <f>'Parameters, country spec'!L37</f>
        <v>0</v>
      </c>
      <c r="T186" t="s">
        <v>602</v>
      </c>
    </row>
    <row r="187" spans="1:20" x14ac:dyDescent="0.35">
      <c r="A187" s="20" t="s">
        <v>225</v>
      </c>
      <c r="B187" s="15" t="s">
        <v>110</v>
      </c>
      <c r="C187" s="15" t="s">
        <v>223</v>
      </c>
      <c r="D187" s="21" t="s">
        <v>493</v>
      </c>
      <c r="E187" s="21" t="s">
        <v>495</v>
      </c>
      <c r="F187" s="118">
        <f t="shared" si="22"/>
        <v>1.5520459924724759E-3</v>
      </c>
      <c r="G187" s="557">
        <v>7.7602299623623795E-4</v>
      </c>
      <c r="H187" s="558">
        <v>1.5457371933802738E-4</v>
      </c>
      <c r="I187" s="559">
        <v>1.1000000000000001E-6</v>
      </c>
      <c r="J187" s="560">
        <v>5.6179247558917652E-4</v>
      </c>
      <c r="K187" s="560">
        <v>5.6179247558917652E-5</v>
      </c>
      <c r="L187" s="560">
        <v>9.1759036144578294E-7</v>
      </c>
      <c r="M187" s="560"/>
      <c r="N187" s="560">
        <v>1.0438648070639052E-8</v>
      </c>
      <c r="O187" s="560">
        <v>1.4495247406000002E-6</v>
      </c>
      <c r="P187" s="93"/>
      <c r="Q187" s="93"/>
      <c r="R187" s="148">
        <f>'Parameters, country spec'!M20</f>
        <v>1.5338046639374065E-3</v>
      </c>
      <c r="S187" s="148">
        <f>'Parameters, country spec'!L38</f>
        <v>0</v>
      </c>
    </row>
    <row r="188" spans="1:20" x14ac:dyDescent="0.35">
      <c r="A188" s="20" t="s">
        <v>226</v>
      </c>
      <c r="B188" s="15" t="s">
        <v>111</v>
      </c>
      <c r="C188" s="15" t="s">
        <v>223</v>
      </c>
      <c r="D188" s="21" t="s">
        <v>493</v>
      </c>
      <c r="E188" s="21" t="s">
        <v>495</v>
      </c>
      <c r="F188" s="118">
        <f t="shared" si="22"/>
        <v>1.3906609489785153E-3</v>
      </c>
      <c r="G188" s="557">
        <v>6.9533047448925754E-4</v>
      </c>
      <c r="H188" s="558">
        <v>1.3617241624647251E-4</v>
      </c>
      <c r="I188" s="559">
        <v>1.1000000000000001E-6</v>
      </c>
      <c r="J188" s="560">
        <v>5.0434376152866248E-4</v>
      </c>
      <c r="K188" s="560">
        <v>5.0434376152866252E-5</v>
      </c>
      <c r="L188" s="560">
        <v>1.8303958206562876E-6</v>
      </c>
      <c r="M188" s="560"/>
      <c r="N188" s="560">
        <v>0</v>
      </c>
      <c r="O188" s="560">
        <v>1.4495247406000002E-6</v>
      </c>
      <c r="P188" s="93"/>
      <c r="Q188" s="93"/>
      <c r="R188" s="148">
        <f>'Parameters, country spec'!M21</f>
        <v>7.2745448066960375E-5</v>
      </c>
      <c r="S188" s="148">
        <f>'Parameters, country spec'!L39</f>
        <v>0</v>
      </c>
    </row>
    <row r="189" spans="1:20" x14ac:dyDescent="0.35">
      <c r="A189" s="20" t="s">
        <v>227</v>
      </c>
      <c r="B189" s="15" t="s">
        <v>112</v>
      </c>
      <c r="C189" s="15" t="s">
        <v>223</v>
      </c>
      <c r="D189" s="21" t="s">
        <v>493</v>
      </c>
      <c r="E189" s="21" t="s">
        <v>495</v>
      </c>
      <c r="F189" s="118">
        <f t="shared" si="22"/>
        <v>1.9273487460322975E-3</v>
      </c>
      <c r="G189" s="557">
        <v>9.6367437301614865E-4</v>
      </c>
      <c r="H189" s="558">
        <v>2.0101383380897317E-4</v>
      </c>
      <c r="I189" s="559">
        <v>1.1000000000000001E-6</v>
      </c>
      <c r="J189" s="560">
        <v>6.9042414916085427E-4</v>
      </c>
      <c r="K189" s="560">
        <v>6.9042414916085424E-5</v>
      </c>
      <c r="L189" s="560">
        <v>6.413622365799168E-7</v>
      </c>
      <c r="M189" s="560"/>
      <c r="N189" s="560">
        <v>3.0881530559999997E-9</v>
      </c>
      <c r="O189" s="560">
        <v>1.4495247406000002E-6</v>
      </c>
      <c r="P189" s="93"/>
      <c r="Q189" s="93"/>
      <c r="R189" s="148">
        <f>'Parameters, country spec'!M22</f>
        <v>2.0790459475885831E-2</v>
      </c>
      <c r="S189" s="148">
        <f>'Parameters, country spec'!L40</f>
        <v>0.29571303587051617</v>
      </c>
    </row>
    <row r="190" spans="1:20" x14ac:dyDescent="0.35">
      <c r="A190" s="20" t="s">
        <v>228</v>
      </c>
      <c r="B190" s="15" t="s">
        <v>113</v>
      </c>
      <c r="C190" s="15" t="s">
        <v>229</v>
      </c>
      <c r="D190" s="21" t="s">
        <v>493</v>
      </c>
      <c r="E190" s="21" t="s">
        <v>495</v>
      </c>
      <c r="F190" s="118">
        <f t="shared" si="22"/>
        <v>4.1383005629999007E-4</v>
      </c>
      <c r="G190" s="557">
        <v>2.0691502814999504E-4</v>
      </c>
      <c r="H190" s="558">
        <v>0</v>
      </c>
      <c r="I190" s="559">
        <v>1.1000000000000001E-6</v>
      </c>
      <c r="J190" s="560">
        <v>1.8457296000000002E-4</v>
      </c>
      <c r="K190" s="560">
        <v>1.8457296000000003E-5</v>
      </c>
      <c r="L190" s="560">
        <v>1.3352474093950257E-6</v>
      </c>
      <c r="M190" s="560"/>
      <c r="N190" s="560">
        <v>0</v>
      </c>
      <c r="O190" s="560">
        <v>1.4495247406000002E-6</v>
      </c>
      <c r="P190" s="93"/>
      <c r="Q190" s="93"/>
      <c r="R190" s="148">
        <f>'Parameters, country spec'!M23</f>
        <v>6.5340906393272433E-4</v>
      </c>
      <c r="S190" s="148">
        <f>'Parameters, country spec'!L41</f>
        <v>0</v>
      </c>
    </row>
    <row r="191" spans="1:20" x14ac:dyDescent="0.35">
      <c r="A191" s="20" t="s">
        <v>230</v>
      </c>
      <c r="B191" s="15" t="s">
        <v>114</v>
      </c>
      <c r="C191" s="15" t="s">
        <v>229</v>
      </c>
      <c r="D191" s="21" t="s">
        <v>493</v>
      </c>
      <c r="E191" s="21" t="s">
        <v>495</v>
      </c>
      <c r="F191" s="118">
        <f t="shared" si="22"/>
        <v>4.7994704511448928E-4</v>
      </c>
      <c r="G191" s="557">
        <v>2.3997352255724461E-4</v>
      </c>
      <c r="H191" s="558">
        <v>8.6380078184631054E-6</v>
      </c>
      <c r="I191" s="559">
        <v>1.1000000000000001E-6</v>
      </c>
      <c r="J191" s="560">
        <v>2.067986173968254E-4</v>
      </c>
      <c r="K191" s="560">
        <v>2.0679861739682541E-5</v>
      </c>
      <c r="L191" s="560">
        <v>1.3075108616735624E-6</v>
      </c>
      <c r="M191" s="560"/>
      <c r="N191" s="560">
        <v>0</v>
      </c>
      <c r="O191" s="560">
        <v>1.4495247406000002E-6</v>
      </c>
      <c r="P191" s="93"/>
      <c r="Q191" s="93"/>
      <c r="R191" s="148">
        <f>'Parameters, country spec'!M24</f>
        <v>6.4186302502542813E-4</v>
      </c>
      <c r="S191" s="148">
        <f>'Parameters, country spec'!L42</f>
        <v>9.3321668124817739E-3</v>
      </c>
    </row>
    <row r="192" spans="1:20" x14ac:dyDescent="0.35">
      <c r="B192" s="16" t="s">
        <v>115</v>
      </c>
      <c r="C192" s="15" t="s">
        <v>231</v>
      </c>
      <c r="D192" s="21" t="s">
        <v>493</v>
      </c>
      <c r="E192" s="21" t="s">
        <v>495</v>
      </c>
      <c r="F192" s="118">
        <f t="shared" si="22"/>
        <v>1.5426052012212825E-3</v>
      </c>
      <c r="G192" s="27">
        <f>'Off-farm feed'!$F$77</f>
        <v>3.5160526410462907E-4</v>
      </c>
      <c r="H192" s="27">
        <f>'Off-farm feed'!$G$77</f>
        <v>5.3103448275862083E-7</v>
      </c>
      <c r="I192" s="27">
        <f>'Off-farm feed'!$H$77</f>
        <v>1.0756102664162708E-3</v>
      </c>
      <c r="J192" s="27">
        <f>'Off-farm feed'!$I$77</f>
        <v>1.0756102664162706E-4</v>
      </c>
      <c r="K192" s="27">
        <f>'Off-farm feed'!$J$77</f>
        <v>6.6339607025480414E-7</v>
      </c>
      <c r="L192" s="27"/>
      <c r="M192" s="27">
        <f>'Off-farm feed'!$L$77</f>
        <v>7.9511067188965511E-9</v>
      </c>
      <c r="N192" s="27">
        <f>'Off-farm feed'!$M$77</f>
        <v>1.2789681892721844E-6</v>
      </c>
      <c r="O192" s="27"/>
      <c r="P192" s="27">
        <f>'Off-farm feed'!$O$77</f>
        <v>4.8776996151562902E-6</v>
      </c>
      <c r="Q192" s="27">
        <f>'Off-farm feed'!$P$77</f>
        <v>4.6959459459459463E-7</v>
      </c>
      <c r="R192" s="148">
        <f>'Parameters, country spec'!M25</f>
        <v>1.0151950508744787E-2</v>
      </c>
      <c r="S192" s="148">
        <f>'Parameters, country spec'!L43</f>
        <v>2.3038786818314377E-2</v>
      </c>
    </row>
    <row r="193" spans="1:20" x14ac:dyDescent="0.35">
      <c r="B193" s="16" t="s">
        <v>232</v>
      </c>
      <c r="C193" s="15" t="s">
        <v>231</v>
      </c>
      <c r="D193" s="21" t="s">
        <v>493</v>
      </c>
      <c r="E193" s="21" t="s">
        <v>495</v>
      </c>
      <c r="F193" s="118">
        <f t="shared" si="22"/>
        <v>1.8866346644602505E-4</v>
      </c>
      <c r="G193" s="27">
        <f>'Off-farm feed'!$F$26</f>
        <v>1.6332109719061441E-5</v>
      </c>
      <c r="H193" s="27">
        <f>'Off-farm feed'!$G$26</f>
        <v>8.7195121951219526E-7</v>
      </c>
      <c r="I193" s="27">
        <f>'Off-farm feed'!$H$26</f>
        <v>1.3333449845358202E-4</v>
      </c>
      <c r="J193" s="27">
        <f>'Off-farm feed'!$I$26</f>
        <v>1.3333449845358203E-5</v>
      </c>
      <c r="K193" s="27">
        <f>'Off-farm feed'!$J$26</f>
        <v>1.1576736579983931E-6</v>
      </c>
      <c r="L193" s="27"/>
      <c r="M193" s="27">
        <f>'Off-farm feed'!$L$26</f>
        <v>7.3437786087804866E-9</v>
      </c>
      <c r="N193" s="27">
        <f>'Off-farm feed'!$M$26</f>
        <v>1.1195281639512197E-6</v>
      </c>
      <c r="O193" s="27"/>
      <c r="P193" s="27">
        <f>'Off-farm feed'!$O$26</f>
        <v>1.3419073770114991E-5</v>
      </c>
      <c r="Q193" s="27">
        <f>'Off-farm feed'!$P$26</f>
        <v>9.087837837837838E-6</v>
      </c>
      <c r="R193" s="148">
        <f>'Parameters, country spec'!M26</f>
        <v>1.9990823703774308E-2</v>
      </c>
      <c r="S193" s="148">
        <f>'Parameters, country spec'!L44</f>
        <v>0</v>
      </c>
    </row>
    <row r="194" spans="1:20" x14ac:dyDescent="0.35">
      <c r="B194" s="15" t="s">
        <v>117</v>
      </c>
      <c r="C194" s="15" t="s">
        <v>233</v>
      </c>
      <c r="D194" s="21" t="s">
        <v>493</v>
      </c>
      <c r="E194" s="21" t="s">
        <v>495</v>
      </c>
      <c r="F194" s="579">
        <f t="shared" si="22"/>
        <v>4.5715519794178817E-4</v>
      </c>
      <c r="G194" s="93">
        <v>9.9179320483956193E-5</v>
      </c>
      <c r="H194" s="93">
        <v>5.5044E-7</v>
      </c>
      <c r="I194" s="93">
        <v>3.3829968297888798E-4</v>
      </c>
      <c r="K194" s="93">
        <v>1.0721164806119101E-6</v>
      </c>
      <c r="N194" s="12"/>
      <c r="O194" s="12"/>
      <c r="P194" s="93">
        <v>1.6341912215219399E-5</v>
      </c>
      <c r="Q194" s="93">
        <v>1.71172578311269E-6</v>
      </c>
      <c r="R194" s="148">
        <f>'Parameters, country spec'!M27</f>
        <v>8.0060070909469844E-2</v>
      </c>
      <c r="S194" s="148">
        <f>'Parameters, country spec'!L45</f>
        <v>0</v>
      </c>
      <c r="T194" t="s">
        <v>610</v>
      </c>
    </row>
    <row r="195" spans="1:20" x14ac:dyDescent="0.35">
      <c r="A195" s="75"/>
      <c r="B195" s="15" t="s">
        <v>234</v>
      </c>
      <c r="C195" s="76" t="s">
        <v>235</v>
      </c>
      <c r="D195" s="21" t="s">
        <v>493</v>
      </c>
      <c r="E195" s="21" t="s">
        <v>495</v>
      </c>
      <c r="F195" s="118">
        <f t="shared" ref="F195" si="23">SUM(G195:Q195)</f>
        <v>8.730229098714425E-5</v>
      </c>
      <c r="G195" s="74">
        <f>SUMPRODUCT(G185:G193,$R185:$R193)</f>
        <v>3.783112218228283E-5</v>
      </c>
      <c r="H195" s="74">
        <f t="shared" ref="H195:P195" si="24">SUMPRODUCT(H185:H193,$R185:$R193)</f>
        <v>7.0250521350908557E-6</v>
      </c>
      <c r="I195" s="74">
        <f t="shared" si="24"/>
        <v>1.3627089411273466E-5</v>
      </c>
      <c r="J195" s="74">
        <f t="shared" si="24"/>
        <v>2.5728399381891099E-5</v>
      </c>
      <c r="K195" s="74">
        <f t="shared" si="24"/>
        <v>2.4668674658298569E-6</v>
      </c>
      <c r="L195" s="74">
        <f t="shared" si="24"/>
        <v>2.8415629248820232E-8</v>
      </c>
      <c r="M195" s="74">
        <f t="shared" si="24"/>
        <v>2.2752742538766558E-10</v>
      </c>
      <c r="N195" s="74">
        <f t="shared" si="24"/>
        <v>3.5448164143299909E-8</v>
      </c>
      <c r="O195" s="74">
        <f t="shared" si="24"/>
        <v>5.5451921714532375E-8</v>
      </c>
      <c r="P195" s="74">
        <f t="shared" si="24"/>
        <v>3.1777650309590096E-7</v>
      </c>
      <c r="Q195" s="74">
        <f>SUMPRODUCT(Q185:Q193,$R185:$R193)</f>
        <v>1.8644066514820411E-7</v>
      </c>
      <c r="R195" s="148">
        <f>'Parameters, country spec'!M28</f>
        <v>2.9821896428745772E-2</v>
      </c>
      <c r="S195" s="148">
        <f>'Parameters, country spec'!L46</f>
        <v>0</v>
      </c>
    </row>
    <row r="196" spans="1:20" x14ac:dyDescent="0.35">
      <c r="A196" s="321"/>
      <c r="B196" s="322" t="s">
        <v>541</v>
      </c>
      <c r="C196" s="323"/>
      <c r="D196" s="324"/>
      <c r="E196" s="324"/>
      <c r="F196" s="327">
        <f>SUMPRODUCT(F182:F184,R182:R184)+SUMPRODUCT(F185:F195,R185:R195)/0.87</f>
        <v>6.7729744511890668E-4</v>
      </c>
      <c r="G196" s="327">
        <f>SUMPRODUCT(G182:G184,R182:R184)+SUMPRODUCT(G185:G195,R185:R195)/0.87</f>
        <v>1.7029131889208894E-4</v>
      </c>
      <c r="H196" s="327">
        <f>SUMPRODUCT(H182:H184,R182:R184)+SUMPRODUCT(H185:H195,R185:R195)/0.87</f>
        <v>9.2701227955604522E-6</v>
      </c>
      <c r="I196" s="327">
        <f>SUMPRODUCT(I182:I184,R182:R184)+SUMPRODUCT(I185:I195,R185:R195)/0.87</f>
        <v>4.2386254091853523E-4</v>
      </c>
      <c r="J196" s="327">
        <f>SUMPRODUCT(J182:J184,R182:R184)+SUMPRODUCT(J185:J195,R185:R195)/0.87</f>
        <v>6.8114865444392602E-5</v>
      </c>
      <c r="K196" s="327">
        <f>SUMPRODUCT(K182:K184,R182:R184)+SUMPRODUCT(K185:K195,R185:R195)/0.87</f>
        <v>3.3403620182060305E-6</v>
      </c>
      <c r="L196" s="327">
        <f>SUMPRODUCT(L182:L184,R182:R184)+SUMPRODUCT(L185:L195,R185:R195)/0.87</f>
        <v>3.3635674943949643E-8</v>
      </c>
      <c r="M196" s="327">
        <f>SUMPRODUCT(M182:M184,R182:R184)+SUMPRODUCT(M185:M195,R185:R195)/0.87</f>
        <v>1.8805906745915351E-8</v>
      </c>
      <c r="N196" s="327">
        <f>SUMPRODUCT(N182:N184,R182:R184)+SUMPRODUCT(N185:N195,R185:R195)/0.87</f>
        <v>4.1960109911460435E-8</v>
      </c>
      <c r="O196" s="327">
        <f>SUMPRODUCT(O182:O184,R182:R184)+SUMPRODUCT(O185:O195,R185:R195)/0.87</f>
        <v>6.5638624345606988E-8</v>
      </c>
      <c r="P196" s="327">
        <f>SUMPRODUCT(P182:P184,R182:R184)+SUMPRODUCT(P185:P195,R185:R195)/0.87</f>
        <v>1.8799860365580602E-6</v>
      </c>
      <c r="Q196" s="327">
        <f>SUMPRODUCT(Q182:Q184,R182:R184)+SUMPRODUCT(Q185:Q195,R185:R195)/0.87</f>
        <v>3.7820869761831047E-7</v>
      </c>
      <c r="R196" s="328"/>
      <c r="S196" s="328"/>
    </row>
    <row r="197" spans="1:20" x14ac:dyDescent="0.35">
      <c r="A197" s="147"/>
      <c r="B197" s="23" t="s">
        <v>428</v>
      </c>
      <c r="C197" s="24"/>
      <c r="D197" s="94"/>
      <c r="E197" s="94"/>
      <c r="F197" s="28">
        <f>SUMPRODUCT(F182:F184,S182:S184)+SUMPRODUCT(F185:F195,S185:S195)/0.87</f>
        <v>8.4329599620905468E-4</v>
      </c>
      <c r="G197" s="28">
        <f>SUMPRODUCT(G182:G184,S182:S184)+SUMPRODUCT(G185:G195,S185:S195)/0.87</f>
        <v>3.674136439669487E-4</v>
      </c>
      <c r="H197" s="28">
        <f>SUMPRODUCT(H182:H184,S182:S184)+SUMPRODUCT(H185:H195,S185:S195)/0.87</f>
        <v>6.9170437229656293E-5</v>
      </c>
      <c r="I197" s="28">
        <f>SUMPRODUCT(I182:I184,S182:S184)+SUMPRODUCT(I185:I195,S185:S195)/0.87</f>
        <v>1.3176035226000754E-4</v>
      </c>
      <c r="J197" s="28">
        <f>SUMPRODUCT(J182:J184,S182:S184)+SUMPRODUCT(J185:J195,S185:S195)/0.87</f>
        <v>2.5003091500590529E-4</v>
      </c>
      <c r="K197" s="28">
        <f>SUMPRODUCT(K182:K184,S182:S184)+SUMPRODUCT(K185:K195,S185:S195)/0.87</f>
        <v>2.396948728181171E-5</v>
      </c>
      <c r="L197" s="28">
        <f>SUMPRODUCT(L182:L184,S182:S184)+SUMPRODUCT(L185:L195,S185:S195)/0.87</f>
        <v>2.3202423395634584E-7</v>
      </c>
      <c r="M197" s="28">
        <f>SUMPRODUCT(M182:M184,S182:S184)+SUMPRODUCT(M185:M195,S185:S195)/0.87</f>
        <v>3.4372067298652756E-8</v>
      </c>
      <c r="N197" s="28">
        <f>SUMPRODUCT(N182:N184,S182:S184)+SUMPRODUCT(N185:N195,S185:S195)/0.87</f>
        <v>3.4918485718931007E-8</v>
      </c>
      <c r="O197" s="28">
        <f>SUMPRODUCT(O182:O184,S182:S184)+SUMPRODUCT(O185:O195,S185:S195)/0.87</f>
        <v>5.0824203251764033E-7</v>
      </c>
      <c r="P197" s="28">
        <f>SUMPRODUCT(P182:P184,S182:S184)+SUMPRODUCT(P185:P195,S185:S195)/0.87</f>
        <v>1.2916813976708027E-7</v>
      </c>
      <c r="Q197" s="28">
        <f>SUMPRODUCT(Q182:Q184,S182:S184)+SUMPRODUCT(Q185:Q195,S185:S195)/0.87</f>
        <v>1.2435505466549001E-8</v>
      </c>
      <c r="R197" s="149"/>
      <c r="S197" s="149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9">
    <tabColor theme="4" tint="0.39997558519241921"/>
  </sheetPr>
  <dimension ref="A1:P197"/>
  <sheetViews>
    <sheetView topLeftCell="B1" zoomScale="80" zoomScaleNormal="80" workbookViewId="0">
      <selection activeCell="O18" sqref="O18"/>
    </sheetView>
  </sheetViews>
  <sheetFormatPr defaultColWidth="8.7265625" defaultRowHeight="14.5" x14ac:dyDescent="0.35"/>
  <cols>
    <col min="1" max="1" width="8.7265625" customWidth="1"/>
    <col min="2" max="2" width="30.453125" customWidth="1"/>
    <col min="3" max="3" width="19" customWidth="1"/>
    <col min="4" max="4" width="12.7265625" customWidth="1"/>
    <col min="5" max="5" width="8.7265625" customWidth="1"/>
    <col min="6" max="10" width="15.7265625" customWidth="1"/>
    <col min="11" max="11" width="15.7265625" style="42" customWidth="1"/>
    <col min="12" max="12" width="15.7265625" customWidth="1"/>
    <col min="14" max="14" width="8.7265625" style="3"/>
  </cols>
  <sheetData>
    <row r="1" spans="1:16" x14ac:dyDescent="0.35">
      <c r="D1" s="6"/>
    </row>
    <row r="2" spans="1:16" ht="21" x14ac:dyDescent="0.5">
      <c r="A2" s="2" t="s">
        <v>429</v>
      </c>
      <c r="F2" t="s">
        <v>427</v>
      </c>
      <c r="L2" t="s">
        <v>214</v>
      </c>
    </row>
    <row r="3" spans="1:16" x14ac:dyDescent="0.35">
      <c r="H3" s="7"/>
      <c r="I3" s="7"/>
      <c r="J3" s="7"/>
      <c r="K3" s="57"/>
    </row>
    <row r="4" spans="1:16" x14ac:dyDescent="0.35">
      <c r="A4" s="153" t="s">
        <v>215</v>
      </c>
      <c r="B4" s="154"/>
      <c r="C4" s="154"/>
      <c r="D4" s="154"/>
      <c r="E4" s="154"/>
      <c r="F4" s="155" t="s">
        <v>7</v>
      </c>
      <c r="G4" s="155" t="s">
        <v>238</v>
      </c>
      <c r="H4" s="155" t="s">
        <v>8</v>
      </c>
      <c r="I4" s="155" t="s">
        <v>9</v>
      </c>
      <c r="J4" s="156" t="s">
        <v>10</v>
      </c>
      <c r="K4" s="156" t="s">
        <v>11</v>
      </c>
      <c r="L4" s="156" t="s">
        <v>12</v>
      </c>
      <c r="M4" s="157" t="s">
        <v>216</v>
      </c>
      <c r="N4" s="157" t="s">
        <v>216</v>
      </c>
    </row>
    <row r="5" spans="1:16" ht="43.5" x14ac:dyDescent="0.35">
      <c r="A5" s="158" t="s">
        <v>14</v>
      </c>
      <c r="B5" s="158" t="s">
        <v>215</v>
      </c>
      <c r="C5" s="158" t="s">
        <v>217</v>
      </c>
      <c r="D5" s="158" t="s">
        <v>17</v>
      </c>
      <c r="E5" s="146" t="s">
        <v>18</v>
      </c>
      <c r="F5" s="162" t="s">
        <v>25</v>
      </c>
      <c r="G5" s="162" t="s">
        <v>239</v>
      </c>
      <c r="H5" s="162" t="s">
        <v>240</v>
      </c>
      <c r="I5" s="163" t="s">
        <v>28</v>
      </c>
      <c r="J5" s="164" t="s">
        <v>29</v>
      </c>
      <c r="K5" s="165" t="s">
        <v>30</v>
      </c>
      <c r="L5" s="165" t="s">
        <v>31</v>
      </c>
      <c r="M5" s="90" t="s">
        <v>515</v>
      </c>
      <c r="N5" s="90" t="s">
        <v>559</v>
      </c>
    </row>
    <row r="6" spans="1:16" x14ac:dyDescent="0.35">
      <c r="B6" s="16" t="s">
        <v>285</v>
      </c>
      <c r="C6" s="15" t="s">
        <v>288</v>
      </c>
      <c r="D6" s="21" t="s">
        <v>85</v>
      </c>
      <c r="E6" s="21" t="s">
        <v>35</v>
      </c>
      <c r="F6" s="108">
        <v>0</v>
      </c>
      <c r="G6" s="312">
        <f>'Forage crops, footprints'!G8</f>
        <v>1.1160547067428667E-2</v>
      </c>
      <c r="H6" s="313">
        <f>'Forage crops, footprints'!H8</f>
        <v>3.8463374244824279E-5</v>
      </c>
      <c r="I6" s="312">
        <f>'Forage crops, footprints'!I8</f>
        <v>0</v>
      </c>
      <c r="J6" s="118">
        <f>'Forage crops, footprints'!J8</f>
        <v>0</v>
      </c>
      <c r="K6" s="118">
        <f>'Forage crops, footprints'!K8</f>
        <v>3.5793844576218395E-12</v>
      </c>
      <c r="L6" s="118">
        <f>'Forage crops, footprints'!L8</f>
        <v>1.6346941566851479E-4</v>
      </c>
      <c r="M6" s="148">
        <f>'Parameters, country spec'!B15</f>
        <v>1.3213875800981024E-2</v>
      </c>
      <c r="N6" s="148">
        <f>'Parameters, country spec'!B33</f>
        <v>1.3213875800981E-2</v>
      </c>
      <c r="O6" s="18"/>
      <c r="P6" s="148"/>
    </row>
    <row r="7" spans="1:16" x14ac:dyDescent="0.35">
      <c r="B7" s="16" t="s">
        <v>286</v>
      </c>
      <c r="C7" s="15" t="s">
        <v>288</v>
      </c>
      <c r="D7" s="21" t="s">
        <v>85</v>
      </c>
      <c r="E7" s="21" t="s">
        <v>35</v>
      </c>
      <c r="F7" s="108">
        <f>'Forage crops, footprints'!F25</f>
        <v>0.75224590731520991</v>
      </c>
      <c r="G7" s="312">
        <f>'Forage crops, footprints'!G25</f>
        <v>3.0089836292608398E-3</v>
      </c>
      <c r="H7" s="313">
        <f>'Forage crops, footprints'!H25</f>
        <v>3.9413447538205363E-4</v>
      </c>
      <c r="I7" s="312">
        <f>'Forage crops, footprints'!I25</f>
        <v>4.0318649346164935E-2</v>
      </c>
      <c r="J7" s="118">
        <f>'Forage crops, footprints'!J25</f>
        <v>2.5056963704554087E-5</v>
      </c>
      <c r="K7" s="118">
        <f>'Forage crops, footprints'!K25</f>
        <v>2.6821313808372367E-12</v>
      </c>
      <c r="L7" s="118">
        <f>'Forage crops, footprints'!L25</f>
        <v>1.8292996426765674E-4</v>
      </c>
      <c r="M7" s="148">
        <f>'Parameters, country spec'!B16</f>
        <v>0.2760369962266197</v>
      </c>
      <c r="N7" s="148">
        <f>'Parameters, country spec'!B34</f>
        <v>0.2760369962266197</v>
      </c>
      <c r="O7" s="18"/>
      <c r="P7" s="148"/>
    </row>
    <row r="8" spans="1:16" x14ac:dyDescent="0.35">
      <c r="B8" s="16" t="s">
        <v>421</v>
      </c>
      <c r="C8" s="15" t="s">
        <v>288</v>
      </c>
      <c r="D8" s="21" t="s">
        <v>85</v>
      </c>
      <c r="E8" s="21" t="s">
        <v>35</v>
      </c>
      <c r="F8" s="108">
        <f>'Forage, input data per ha'!$E$78*'Forage crops, footprints'!F42+'Forage, input data per ha'!$G$78*'Forage crops, footprints'!F59</f>
        <v>0.88092605063387597</v>
      </c>
      <c r="G8" s="312">
        <f>'Forage, input data per ha'!$E$78*'Forage crops, footprints'!G42+'Forage, input data per ha'!$G$78*'Forage crops, footprints'!G59</f>
        <v>1.1176309304683043E-2</v>
      </c>
      <c r="H8" s="313">
        <f>'Forage, input data per ha'!$E$78*'Forage crops, footprints'!H42+'Forage, input data per ha'!$G$78*'Forage crops, footprints'!H59</f>
        <v>4.0533767187275147E-5</v>
      </c>
      <c r="I8" s="312">
        <f>'Forage, input data per ha'!$E$78*'Forage crops, footprints'!I42+'Forage, input data per ha'!$G$78*'Forage crops, footprints'!I59</f>
        <v>0</v>
      </c>
      <c r="J8" s="118">
        <f>'Forage, input data per ha'!$E$78*'Forage crops, footprints'!J42+'Forage, input data per ha'!$G$78*'Forage crops, footprints'!J59</f>
        <v>2.9890536240539457E-5</v>
      </c>
      <c r="K8" s="118">
        <f>'Forage, input data per ha'!$E$78*'Forage crops, footprints'!K42+'Forage, input data per ha'!$G$78*'Forage crops, footprints'!K59</f>
        <v>2.1758103096986377E-12</v>
      </c>
      <c r="L8" s="118">
        <f>'Forage, input data per ha'!$E$78*'Forage crops, footprints'!L42+'Forage, input data per ha'!$G$78*'Forage crops, footprints'!L59</f>
        <v>1.6339475801283466E-4</v>
      </c>
      <c r="M8" s="148">
        <f>'Parameters, country spec'!B17</f>
        <v>0.61590538837145792</v>
      </c>
      <c r="N8" s="148">
        <f>'Parameters, country spec'!B35</f>
        <v>0.61590538837145792</v>
      </c>
      <c r="O8" s="18"/>
      <c r="P8" s="148"/>
    </row>
    <row r="9" spans="1:16" x14ac:dyDescent="0.35">
      <c r="A9" s="20" t="s">
        <v>222</v>
      </c>
      <c r="B9" s="15" t="s">
        <v>108</v>
      </c>
      <c r="C9" s="15" t="s">
        <v>223</v>
      </c>
      <c r="D9" s="21" t="s">
        <v>85</v>
      </c>
      <c r="E9" s="21" t="s">
        <v>35</v>
      </c>
      <c r="F9" s="22">
        <v>1.76</v>
      </c>
      <c r="G9" s="38">
        <v>2.1000000000000001E-2</v>
      </c>
      <c r="H9" s="317">
        <v>3.0999999999999999E-3</v>
      </c>
      <c r="I9" s="38">
        <v>0</v>
      </c>
      <c r="J9" s="26">
        <v>0.36</v>
      </c>
      <c r="K9" s="26">
        <v>6.2596965860943803E-12</v>
      </c>
      <c r="L9" s="26">
        <v>1.25E-3</v>
      </c>
      <c r="M9" s="148">
        <f>'Parameters, country spec'!B18</f>
        <v>5.1639112390513857E-3</v>
      </c>
      <c r="N9" s="148">
        <f>'Parameters, country spec'!B36</f>
        <v>5.1639112390513857E-3</v>
      </c>
    </row>
    <row r="10" spans="1:16" x14ac:dyDescent="0.35">
      <c r="A10" s="20" t="s">
        <v>224</v>
      </c>
      <c r="B10" s="15" t="s">
        <v>109</v>
      </c>
      <c r="C10" s="15" t="s">
        <v>223</v>
      </c>
      <c r="D10" s="21" t="s">
        <v>85</v>
      </c>
      <c r="E10" s="21" t="s">
        <v>35</v>
      </c>
      <c r="F10" s="19">
        <v>1.46</v>
      </c>
      <c r="G10" s="38">
        <v>0.02</v>
      </c>
      <c r="H10" s="317">
        <v>5.5999999999999999E-3</v>
      </c>
      <c r="I10" s="38">
        <v>4.9000000000000002E-2</v>
      </c>
      <c r="J10" s="26">
        <v>0.02</v>
      </c>
      <c r="K10" s="26">
        <v>5.2218318770675897E-12</v>
      </c>
      <c r="L10" s="26">
        <v>1.2099999999999999E-3</v>
      </c>
      <c r="M10" s="148">
        <f>'Parameters, country spec'!B19</f>
        <v>3.1075970320211814E-4</v>
      </c>
      <c r="N10" s="148">
        <f>'Parameters, country spec'!B37</f>
        <v>3.1075970320211814E-4</v>
      </c>
    </row>
    <row r="11" spans="1:16" x14ac:dyDescent="0.35">
      <c r="A11" s="20" t="s">
        <v>225</v>
      </c>
      <c r="B11" s="15" t="s">
        <v>110</v>
      </c>
      <c r="C11" s="15" t="s">
        <v>223</v>
      </c>
      <c r="D11" s="21" t="s">
        <v>85</v>
      </c>
      <c r="E11" s="21" t="s">
        <v>35</v>
      </c>
      <c r="F11" s="19">
        <v>2.0499999999999998</v>
      </c>
      <c r="G11" s="38">
        <v>1.7999999999999999E-2</v>
      </c>
      <c r="H11" s="317">
        <v>3.8E-3</v>
      </c>
      <c r="I11" s="38">
        <v>0</v>
      </c>
      <c r="J11" s="26">
        <v>0.11</v>
      </c>
      <c r="K11" s="26">
        <v>7.3032058676655801E-12</v>
      </c>
      <c r="L11" s="26">
        <v>1.1000000000000001E-3</v>
      </c>
      <c r="M11" s="148">
        <f>'Parameters, country spec'!B20</f>
        <v>8.6733359151412953E-5</v>
      </c>
      <c r="N11" s="148">
        <f>'Parameters, country spec'!B38</f>
        <v>8.6733359151412953E-5</v>
      </c>
    </row>
    <row r="12" spans="1:16" x14ac:dyDescent="0.35">
      <c r="A12" s="20" t="s">
        <v>226</v>
      </c>
      <c r="B12" s="15" t="s">
        <v>111</v>
      </c>
      <c r="C12" s="15" t="s">
        <v>223</v>
      </c>
      <c r="D12" s="21" t="s">
        <v>85</v>
      </c>
      <c r="E12" s="21" t="s">
        <v>35</v>
      </c>
      <c r="F12" s="19">
        <v>1.67</v>
      </c>
      <c r="G12" s="38">
        <v>1.6E-2</v>
      </c>
      <c r="H12" s="317">
        <v>1.1999999999999999E-3</v>
      </c>
      <c r="I12" s="38">
        <v>0</v>
      </c>
      <c r="J12" s="26">
        <v>0.16</v>
      </c>
      <c r="K12" s="26">
        <v>5.9554002616552798E-12</v>
      </c>
      <c r="L12" s="26">
        <v>9.68E-4</v>
      </c>
      <c r="M12" s="148">
        <f>'Parameters, country spec'!B21</f>
        <v>6.2924072151971947E-5</v>
      </c>
      <c r="N12" s="148">
        <f>'Parameters, country spec'!B39</f>
        <v>6.2924072151971947E-5</v>
      </c>
    </row>
    <row r="13" spans="1:16" x14ac:dyDescent="0.35">
      <c r="A13" s="20" t="s">
        <v>227</v>
      </c>
      <c r="B13" s="15" t="s">
        <v>112</v>
      </c>
      <c r="C13" s="15" t="s">
        <v>223</v>
      </c>
      <c r="D13" s="21" t="s">
        <v>85</v>
      </c>
      <c r="E13" s="21" t="s">
        <v>35</v>
      </c>
      <c r="F13" s="19">
        <v>1.31</v>
      </c>
      <c r="G13" s="38">
        <v>2.4E-2</v>
      </c>
      <c r="H13" s="317">
        <v>2.2000000000000001E-3</v>
      </c>
      <c r="I13" s="38">
        <v>6.0000000000000001E-3</v>
      </c>
      <c r="J13" s="26">
        <v>0.12</v>
      </c>
      <c r="K13" s="26">
        <v>4.6761367216966199E-12</v>
      </c>
      <c r="L13" s="26">
        <v>1.4300000000000001E-3</v>
      </c>
      <c r="M13" s="148">
        <f>'Parameters, country spec'!B22</f>
        <v>5.3306026591199238E-3</v>
      </c>
      <c r="N13" s="148">
        <f>'Parameters, country spec'!B40</f>
        <v>5.3306026591199238E-3</v>
      </c>
    </row>
    <row r="14" spans="1:16" x14ac:dyDescent="0.35">
      <c r="A14" s="20" t="s">
        <v>228</v>
      </c>
      <c r="B14" s="15" t="s">
        <v>113</v>
      </c>
      <c r="C14" s="15" t="s">
        <v>229</v>
      </c>
      <c r="D14" s="21" t="s">
        <v>85</v>
      </c>
      <c r="E14" s="21" t="s">
        <v>35</v>
      </c>
      <c r="F14" s="19">
        <v>2.64</v>
      </c>
      <c r="G14" s="38">
        <v>1.7000000000000001E-2</v>
      </c>
      <c r="H14" s="317">
        <v>1.6999999999999999E-3</v>
      </c>
      <c r="I14" s="38">
        <v>1E-3</v>
      </c>
      <c r="J14" s="26">
        <v>0.2</v>
      </c>
      <c r="K14" s="26">
        <v>9.4057606829580697E-12</v>
      </c>
      <c r="L14" s="26">
        <v>0</v>
      </c>
      <c r="M14" s="148">
        <f>'Parameters, country spec'!B23</f>
        <v>2.439015630520557E-4</v>
      </c>
      <c r="N14" s="148">
        <f>'Parameters, country spec'!B41</f>
        <v>2.439015630520557E-4</v>
      </c>
    </row>
    <row r="15" spans="1:16" x14ac:dyDescent="0.35">
      <c r="A15" s="20" t="s">
        <v>230</v>
      </c>
      <c r="B15" s="15" t="s">
        <v>114</v>
      </c>
      <c r="C15" s="15" t="s">
        <v>229</v>
      </c>
      <c r="D15" s="21" t="s">
        <v>85</v>
      </c>
      <c r="E15" s="21" t="s">
        <v>35</v>
      </c>
      <c r="F15" s="292">
        <v>2.81</v>
      </c>
      <c r="G15" s="292">
        <v>8.0000000000000002E-3</v>
      </c>
      <c r="H15" s="318">
        <v>2E-3</v>
      </c>
      <c r="I15" s="316">
        <v>0.114</v>
      </c>
      <c r="J15" s="293">
        <v>0.31</v>
      </c>
      <c r="K15" s="293">
        <v>1.0024807261425401E-11</v>
      </c>
      <c r="L15" s="293">
        <v>6.1400000000000002E-5</v>
      </c>
      <c r="M15" s="148">
        <f>'Parameters, country spec'!B24</f>
        <v>2.3959170998341588E-4</v>
      </c>
      <c r="N15" s="148">
        <f>'Parameters, country spec'!B42</f>
        <v>2.3959170998341588E-4</v>
      </c>
    </row>
    <row r="16" spans="1:16" x14ac:dyDescent="0.35">
      <c r="B16" s="16" t="s">
        <v>115</v>
      </c>
      <c r="C16" s="15" t="s">
        <v>231</v>
      </c>
      <c r="D16" s="21" t="s">
        <v>85</v>
      </c>
      <c r="E16" s="21" t="s">
        <v>35</v>
      </c>
      <c r="F16" s="17">
        <f>'Off-farm feed'!$F$88</f>
        <v>1.5397450382845068</v>
      </c>
      <c r="G16" s="18">
        <f>'Off-farm feed'!$G$88</f>
        <v>2.276724967641296E-2</v>
      </c>
      <c r="H16" s="289">
        <f>'Off-farm feed'!$H$88</f>
        <v>2.4780679919905292E-3</v>
      </c>
      <c r="I16" s="18">
        <f>'Off-farm feed'!$I$88</f>
        <v>8.1100925319702543E-4</v>
      </c>
      <c r="J16" s="27">
        <f>'Off-farm feed'!$J$88</f>
        <v>0.29368572248181479</v>
      </c>
      <c r="K16" s="27">
        <f>'Off-farm feed'!$K$88</f>
        <v>1.2571008272056975E-11</v>
      </c>
      <c r="L16" s="27">
        <f>'Off-farm feed'!$L$88</f>
        <v>1.3841258986185109E-3</v>
      </c>
      <c r="M16" s="148">
        <f>'Parameters, country spec'!B25</f>
        <v>1.5312279516773717E-2</v>
      </c>
      <c r="N16" s="148">
        <f>'Parameters, country spec'!B43</f>
        <v>1.5312279516773717E-2</v>
      </c>
    </row>
    <row r="17" spans="1:16" x14ac:dyDescent="0.35">
      <c r="B17" s="16" t="s">
        <v>232</v>
      </c>
      <c r="C17" s="15" t="s">
        <v>231</v>
      </c>
      <c r="D17" s="21" t="s">
        <v>85</v>
      </c>
      <c r="E17" s="21" t="s">
        <v>35</v>
      </c>
      <c r="F17" s="17">
        <f>'Off-farm feed'!$F$36</f>
        <v>2.5509164954964105</v>
      </c>
      <c r="G17" s="18">
        <f>'Off-farm feed'!$G$36</f>
        <v>4.2620923125915401E-2</v>
      </c>
      <c r="H17" s="289">
        <f>'Off-farm feed'!$H$36</f>
        <v>3.2959349471355006E-3</v>
      </c>
      <c r="I17" s="18">
        <f>'Off-farm feed'!$I$36</f>
        <v>2.435286335413451E-3</v>
      </c>
      <c r="J17" s="27">
        <f>'Off-farm feed'!$J$36</f>
        <v>0.25920846302270906</v>
      </c>
      <c r="K17" s="27">
        <f>'Off-farm feed'!$K$36</f>
        <v>1.4553836091881654E-10</v>
      </c>
      <c r="L17" s="27">
        <f>'Off-farm feed'!$L$36</f>
        <v>1.0450321677831977E-4</v>
      </c>
      <c r="M17" s="148">
        <f>'Parameters, country spec'!B26</f>
        <v>3.7726798982461625E-2</v>
      </c>
      <c r="N17" s="148">
        <f>'Parameters, country spec'!B44</f>
        <v>3.7726798982461625E-2</v>
      </c>
    </row>
    <row r="18" spans="1:16" x14ac:dyDescent="0.35">
      <c r="B18" s="15" t="s">
        <v>117</v>
      </c>
      <c r="C18" s="15" t="s">
        <v>233</v>
      </c>
      <c r="D18" s="21" t="s">
        <v>85</v>
      </c>
      <c r="E18" s="21" t="s">
        <v>35</v>
      </c>
      <c r="F18" s="19">
        <v>0.71560643205922203</v>
      </c>
      <c r="G18" s="19">
        <v>1.1762359809494499E-2</v>
      </c>
      <c r="H18" s="19">
        <v>1.0762943616530901E-3</v>
      </c>
      <c r="I18" s="26">
        <v>5.84130938950317E-4</v>
      </c>
      <c r="J18" s="26">
        <v>0.12730102628270801</v>
      </c>
      <c r="K18" s="26">
        <v>8.9554252360338206E-14</v>
      </c>
      <c r="L18" s="26">
        <v>7.1508799141679696E-4</v>
      </c>
      <c r="M18" s="148">
        <f>'Parameters, country spec'!B27</f>
        <v>1.6611298610472246E-2</v>
      </c>
      <c r="N18" s="148">
        <f>'Parameters, country spec'!B45</f>
        <v>1.6611298610472246E-2</v>
      </c>
      <c r="O18" t="s">
        <v>403</v>
      </c>
    </row>
    <row r="19" spans="1:16" x14ac:dyDescent="0.35">
      <c r="A19" s="75"/>
      <c r="B19" s="15" t="s">
        <v>234</v>
      </c>
      <c r="C19" s="76" t="s">
        <v>235</v>
      </c>
      <c r="D19" s="21" t="s">
        <v>85</v>
      </c>
      <c r="E19" s="21" t="s">
        <v>35</v>
      </c>
      <c r="F19" s="73">
        <f>AVERAGE(F9:F17)</f>
        <v>1.9767401704201017</v>
      </c>
      <c r="G19" s="98">
        <f>AVERAGE(G9:G17)</f>
        <v>2.1043130311369819E-2</v>
      </c>
      <c r="H19" s="319">
        <f t="shared" ref="H19:L19" si="0">AVERAGE(H9:H17)</f>
        <v>2.8193336599028917E-3</v>
      </c>
      <c r="I19" s="98">
        <f t="shared" si="0"/>
        <v>1.9249588398734498E-2</v>
      </c>
      <c r="J19" s="74">
        <f t="shared" si="0"/>
        <v>0.20365490950050263</v>
      </c>
      <c r="K19" s="74">
        <f t="shared" si="0"/>
        <v>2.2995134272159605E-11</v>
      </c>
      <c r="L19" s="74">
        <f t="shared" si="0"/>
        <v>8.3422545726631451E-4</v>
      </c>
      <c r="M19" s="148">
        <f>'Parameters, country spec'!B28</f>
        <v>1.3754938185521381E-2</v>
      </c>
      <c r="N19" s="148">
        <f>'Parameters, country spec'!B46</f>
        <v>1.3754938185521381E-2</v>
      </c>
    </row>
    <row r="20" spans="1:16" x14ac:dyDescent="0.35">
      <c r="A20" s="321"/>
      <c r="B20" s="322" t="s">
        <v>541</v>
      </c>
      <c r="C20" s="323"/>
      <c r="D20" s="324"/>
      <c r="E20" s="324"/>
      <c r="F20" s="325">
        <f>SUMPRODUCT(F6:F8,M6:M8)+SUMPRODUCT(F9:F19,M9:M19)/0.87</f>
        <v>0.95368300097528502</v>
      </c>
      <c r="G20" s="326">
        <f>SUMPRODUCT(G6:G8,M6:M8)+SUMPRODUCT(G9:G19,M9:M19)/0.87</f>
        <v>1.0956587982750352E-2</v>
      </c>
      <c r="H20" s="326">
        <f>SUMPRODUCT(H6:H8,M6:M8)+SUMPRODUCT(H9:H19,M9:M19)/0.87</f>
        <v>4.2130680793671442E-4</v>
      </c>
      <c r="I20" s="326">
        <f>SUMPRODUCT(I6:I8,M6:M8)+SUMPRODUCT(I9:I19,M9:M19)/0.87</f>
        <v>1.1650751763527605E-2</v>
      </c>
      <c r="J20" s="327">
        <f>SUMPRODUCT(J6:J8,M6:M8)+SUMPRODUCT(J9:J19,M9:M19)/0.87</f>
        <v>2.5128265847729654E-2</v>
      </c>
      <c r="K20" s="327">
        <f>SUMPRODUCT(K6:K8,M6:M8)+SUMPRODUCT(K9:K19,M9:M19)/0.87</f>
        <v>9.0996543384170921E-12</v>
      </c>
      <c r="L20" s="327">
        <f>SUMPRODUCT(L6:L8,M6:M8)+SUMPRODUCT(L9:L19,M9:M19)/0.87</f>
        <v>2.2583679186058295E-4</v>
      </c>
      <c r="M20" s="328"/>
      <c r="N20" s="328"/>
    </row>
    <row r="21" spans="1:16" x14ac:dyDescent="0.35">
      <c r="A21" s="147"/>
      <c r="B21" s="23" t="s">
        <v>558</v>
      </c>
      <c r="C21" s="24"/>
      <c r="D21" s="94"/>
      <c r="E21" s="94"/>
      <c r="F21" s="320">
        <f>SUMPRODUCT(F6:F9,N6:N9)+SUMPRODUCT(F10:F19,N10:N19)/0.87</f>
        <v>0.95232495167471609</v>
      </c>
      <c r="G21" s="25">
        <f>SUMPRODUCT(G6:G9,N6:N9)+SUMPRODUCT(G10:G20,N10:N20)/0.87</f>
        <v>1.0940383985414017E-2</v>
      </c>
      <c r="H21" s="25">
        <f>SUMPRODUCT(H6:H9,N6:N9)+SUMPRODUCT(H10:H20,N10:N20)/0.87</f>
        <v>4.1891478928230325E-4</v>
      </c>
      <c r="I21" s="25">
        <f>SUMPRODUCT(I6:I9,N6:N9)+SUMPRODUCT(I10:I20,N10:N20)/0.87</f>
        <v>1.1650751763527605E-2</v>
      </c>
      <c r="J21" s="28">
        <f>SUMPRODUCT(J6:J9,N6:N9)+SUMPRODUCT(J10:J20,N10:N20)/0.87</f>
        <v>2.4850483036249649E-2</v>
      </c>
      <c r="K21" s="28">
        <f>SUMPRODUCT(K6:K9,N6:N9)+SUMPRODUCT(K10:K20,N10:N20)/0.87</f>
        <v>9.0948242380929328E-12</v>
      </c>
      <c r="L21" s="28">
        <f>SUMPRODUCT(L6:L9,N6:N9)+SUMPRODUCT(L10:L20,N10:N20)/0.87</f>
        <v>2.248722682096107E-4</v>
      </c>
      <c r="M21" s="149"/>
      <c r="N21" s="149"/>
    </row>
    <row r="22" spans="1:16" x14ac:dyDescent="0.35">
      <c r="B22" s="16" t="s">
        <v>285</v>
      </c>
      <c r="C22" s="15" t="s">
        <v>288</v>
      </c>
      <c r="D22" s="21" t="s">
        <v>36</v>
      </c>
      <c r="E22" s="21" t="s">
        <v>37</v>
      </c>
      <c r="F22" s="108">
        <v>0</v>
      </c>
      <c r="G22" s="312">
        <f>'Forage crops, footprints'!G9</f>
        <v>1.3261392141552593E-2</v>
      </c>
      <c r="H22" s="313">
        <f>'Forage crops, footprints'!H9</f>
        <v>2.9377625397606846E-4</v>
      </c>
      <c r="I22" s="312">
        <f>'Forage crops, footprints'!I9</f>
        <v>0</v>
      </c>
      <c r="J22" s="118">
        <f>'Forage crops, footprints'!J9</f>
        <v>0</v>
      </c>
      <c r="K22" s="118">
        <f>'Forage crops, footprints'!K9</f>
        <v>3.2252454611020728E-11</v>
      </c>
      <c r="L22" s="118">
        <f>'Forage crops, footprints'!L9</f>
        <v>2.9118945728129586E-4</v>
      </c>
      <c r="M22" s="148">
        <f>'Parameters, country spec'!C15</f>
        <v>0.18889688285610365</v>
      </c>
      <c r="N22" s="148">
        <f>'Parameters, country spec'!C33</f>
        <v>0.18889688285610365</v>
      </c>
      <c r="O22" s="18"/>
      <c r="P22" s="148"/>
    </row>
    <row r="23" spans="1:16" x14ac:dyDescent="0.35">
      <c r="B23" s="16" t="s">
        <v>286</v>
      </c>
      <c r="C23" s="15" t="s">
        <v>288</v>
      </c>
      <c r="D23" s="21" t="s">
        <v>36</v>
      </c>
      <c r="E23" s="21" t="s">
        <v>37</v>
      </c>
      <c r="F23" s="108">
        <f>'Forage crops, footprints'!F26</f>
        <v>0.78354822784250244</v>
      </c>
      <c r="G23" s="312">
        <f>'Forage crops, footprints'!G26</f>
        <v>4.8579990126235142E-3</v>
      </c>
      <c r="H23" s="313">
        <f>'Forage crops, footprints'!H26</f>
        <v>6.5685620452374282E-4</v>
      </c>
      <c r="I23" s="312">
        <f>'Forage crops, footprints'!I26</f>
        <v>9.0999999999999998E-2</v>
      </c>
      <c r="J23" s="118">
        <f>'Forage crops, footprints'!J26</f>
        <v>6.7567011968587768E-5</v>
      </c>
      <c r="K23" s="118">
        <f>'Forage crops, footprints'!K26</f>
        <v>9.4193784415180687E-12</v>
      </c>
      <c r="L23" s="118">
        <f>'Forage crops, footprints'!L26</f>
        <v>2.9534011988288379E-4</v>
      </c>
      <c r="M23" s="148">
        <f>'Parameters, country spec'!C16</f>
        <v>0.36965765773619236</v>
      </c>
      <c r="N23" s="148">
        <f>'Parameters, country spec'!C34</f>
        <v>0.36965765773619236</v>
      </c>
      <c r="O23" s="18"/>
      <c r="P23" s="148"/>
    </row>
    <row r="24" spans="1:16" x14ac:dyDescent="0.35">
      <c r="B24" s="16" t="s">
        <v>287</v>
      </c>
      <c r="C24" s="15" t="s">
        <v>288</v>
      </c>
      <c r="D24" s="21" t="s">
        <v>36</v>
      </c>
      <c r="E24" s="21" t="s">
        <v>37</v>
      </c>
      <c r="F24" s="108">
        <f>'Forage, input data per ha'!$E$79*'Forage crops, footprints'!F43+'Forage, input data per ha'!$G$79*'Forage crops, footprints'!F60</f>
        <v>1.1381496350272928</v>
      </c>
      <c r="G24" s="312">
        <f>'Forage, input data per ha'!$E$79*'Forage crops, footprints'!G43+'Forage, input data per ha'!$G$79*'Forage crops, footprints'!G60</f>
        <v>1.6303712476288538E-2</v>
      </c>
      <c r="H24" s="313">
        <f>'Forage, input data per ha'!$E$79*'Forage crops, footprints'!H43+'Forage, input data per ha'!$G$79*'Forage crops, footprints'!H60</f>
        <v>5.8176992086730157E-4</v>
      </c>
      <c r="I24" s="312">
        <f>'Forage, input data per ha'!$E$79*'Forage crops, footprints'!I43+'Forage, input data per ha'!$G$79*'Forage crops, footprints'!I60</f>
        <v>0</v>
      </c>
      <c r="J24" s="118">
        <f>'Forage, input data per ha'!$E$79*'Forage crops, footprints'!J43+'Forage, input data per ha'!$G$79*'Forage crops, footprints'!J60</f>
        <v>3.2940962521148694E-5</v>
      </c>
      <c r="K24" s="118">
        <f>'Forage, input data per ha'!$E$79*'Forage crops, footprints'!K43+'Forage, input data per ha'!$G$79*'Forage crops, footprints'!K60</f>
        <v>9.3211374261595228E-12</v>
      </c>
      <c r="L24" s="118">
        <f>'Forage, input data per ha'!$E$79*'Forage crops, footprints'!L43+'Forage, input data per ha'!$G$79*'Forage crops, footprints'!L60</f>
        <v>2.6385719717673104E-4</v>
      </c>
      <c r="M24" s="148">
        <f>'Parameters, country spec'!C17</f>
        <v>0.23243726980023638</v>
      </c>
      <c r="N24" s="148">
        <f>'Parameters, country spec'!C35</f>
        <v>0.23243726980023638</v>
      </c>
      <c r="O24" s="18"/>
      <c r="P24" s="148"/>
    </row>
    <row r="25" spans="1:16" x14ac:dyDescent="0.35">
      <c r="A25" s="20" t="s">
        <v>222</v>
      </c>
      <c r="B25" s="15" t="s">
        <v>108</v>
      </c>
      <c r="C25" s="15" t="s">
        <v>223</v>
      </c>
      <c r="D25" s="21" t="s">
        <v>36</v>
      </c>
      <c r="E25" s="21" t="s">
        <v>37</v>
      </c>
      <c r="F25" s="314">
        <v>1.6</v>
      </c>
      <c r="G25" s="315">
        <v>2.1000000000000001E-2</v>
      </c>
      <c r="H25" s="318">
        <v>3.0999999999999999E-3</v>
      </c>
      <c r="I25" s="316">
        <v>4.0000000000000001E-3</v>
      </c>
      <c r="J25" s="293">
        <v>0.32</v>
      </c>
      <c r="K25" s="293">
        <v>1.91911325133042E-11</v>
      </c>
      <c r="L25" s="293">
        <v>1.25E-3</v>
      </c>
      <c r="M25" s="148">
        <f>'Parameters, country spec'!C18</f>
        <v>9.8050025013408561E-3</v>
      </c>
      <c r="N25" s="148">
        <f>'Parameters, country spec'!C36</f>
        <v>9.8050025013408561E-3</v>
      </c>
    </row>
    <row r="26" spans="1:16" x14ac:dyDescent="0.35">
      <c r="A26" s="20" t="s">
        <v>224</v>
      </c>
      <c r="B26" s="15" t="s">
        <v>109</v>
      </c>
      <c r="C26" s="15" t="s">
        <v>223</v>
      </c>
      <c r="D26" s="21" t="s">
        <v>36</v>
      </c>
      <c r="E26" s="21" t="s">
        <v>37</v>
      </c>
      <c r="F26" s="19">
        <v>1.1000000000000001</v>
      </c>
      <c r="G26" s="38">
        <v>0.02</v>
      </c>
      <c r="H26" s="317">
        <v>5.5999999999999999E-3</v>
      </c>
      <c r="I26" s="38">
        <v>9.0999999999999998E-2</v>
      </c>
      <c r="J26" s="26">
        <v>0.05</v>
      </c>
      <c r="K26" s="26">
        <v>1.3262871887546999E-11</v>
      </c>
      <c r="L26" s="26">
        <v>1.2099999999999999E-3</v>
      </c>
      <c r="M26" s="148">
        <f>'Parameters, country spec'!C19</f>
        <v>1.6126916347682995E-2</v>
      </c>
      <c r="N26" s="148">
        <f>'Parameters, country spec'!C37</f>
        <v>1.6126916347682995E-2</v>
      </c>
    </row>
    <row r="27" spans="1:16" x14ac:dyDescent="0.35">
      <c r="A27" s="20" t="s">
        <v>225</v>
      </c>
      <c r="B27" s="15" t="s">
        <v>110</v>
      </c>
      <c r="C27" s="15" t="s">
        <v>223</v>
      </c>
      <c r="D27" s="21" t="s">
        <v>36</v>
      </c>
      <c r="E27" s="21" t="s">
        <v>37</v>
      </c>
      <c r="F27" s="19">
        <v>2.2400000000000002</v>
      </c>
      <c r="G27" s="38">
        <v>1.7999999999999999E-2</v>
      </c>
      <c r="H27" s="317">
        <v>3.8E-3</v>
      </c>
      <c r="I27" s="38">
        <v>5.2999999999999999E-2</v>
      </c>
      <c r="J27" s="26">
        <v>0.09</v>
      </c>
      <c r="K27" s="26">
        <v>2.68819361465691E-11</v>
      </c>
      <c r="L27" s="26">
        <v>1.1000000000000001E-3</v>
      </c>
      <c r="M27" s="148">
        <f>'Parameters, country spec'!C20</f>
        <v>1.1110741938309403E-3</v>
      </c>
      <c r="N27" s="148">
        <f>'Parameters, country spec'!C38</f>
        <v>1.1110741938309403E-3</v>
      </c>
    </row>
    <row r="28" spans="1:16" x14ac:dyDescent="0.35">
      <c r="A28" s="20" t="s">
        <v>226</v>
      </c>
      <c r="B28" s="15" t="s">
        <v>111</v>
      </c>
      <c r="C28" s="15" t="s">
        <v>223</v>
      </c>
      <c r="D28" s="21" t="s">
        <v>36</v>
      </c>
      <c r="E28" s="21" t="s">
        <v>37</v>
      </c>
      <c r="F28" s="19">
        <v>2.2400000000000002</v>
      </c>
      <c r="G28" s="38">
        <v>1.6E-2</v>
      </c>
      <c r="H28" s="317">
        <v>1.1999999999999999E-3</v>
      </c>
      <c r="I28" s="38">
        <v>1E-3</v>
      </c>
      <c r="J28" s="26">
        <v>0</v>
      </c>
      <c r="K28" s="26">
        <v>2.69252869218114E-11</v>
      </c>
      <c r="L28" s="26">
        <v>9.68E-4</v>
      </c>
      <c r="M28" s="148">
        <f>'Parameters, country spec'!C21</f>
        <v>1.7062794715375247E-4</v>
      </c>
      <c r="N28" s="148">
        <f>'Parameters, country spec'!C39</f>
        <v>1.7062794715375247E-4</v>
      </c>
    </row>
    <row r="29" spans="1:16" x14ac:dyDescent="0.35">
      <c r="A29" s="20" t="s">
        <v>227</v>
      </c>
      <c r="B29" s="15" t="s">
        <v>112</v>
      </c>
      <c r="C29" s="15" t="s">
        <v>223</v>
      </c>
      <c r="D29" s="21" t="s">
        <v>36</v>
      </c>
      <c r="E29" s="21" t="s">
        <v>37</v>
      </c>
      <c r="F29" s="19">
        <v>1.41</v>
      </c>
      <c r="G29" s="38">
        <v>2.4E-2</v>
      </c>
      <c r="H29" s="317">
        <v>2.2000000000000001E-3</v>
      </c>
      <c r="I29" s="38">
        <v>3.0000000000000001E-3</v>
      </c>
      <c r="J29" s="26">
        <v>0.27</v>
      </c>
      <c r="K29" s="26">
        <v>1.69922519995714E-11</v>
      </c>
      <c r="L29" s="26">
        <v>1.4300000000000001E-3</v>
      </c>
      <c r="M29" s="148">
        <f>'Parameters, country spec'!C22</f>
        <v>2.3886940717374589E-2</v>
      </c>
      <c r="N29" s="148">
        <f>'Parameters, country spec'!C40</f>
        <v>2.3886940717374589E-2</v>
      </c>
    </row>
    <row r="30" spans="1:16" x14ac:dyDescent="0.35">
      <c r="A30" s="20" t="s">
        <v>228</v>
      </c>
      <c r="B30" s="15" t="s">
        <v>113</v>
      </c>
      <c r="C30" s="15" t="s">
        <v>229</v>
      </c>
      <c r="D30" s="21" t="s">
        <v>36</v>
      </c>
      <c r="E30" s="21" t="s">
        <v>37</v>
      </c>
      <c r="F30" s="19">
        <v>3.01</v>
      </c>
      <c r="G30" s="38">
        <v>1.9E-2</v>
      </c>
      <c r="H30" s="317">
        <v>1.6999999999999999E-3</v>
      </c>
      <c r="I30" s="38">
        <v>2.5999999999999999E-2</v>
      </c>
      <c r="J30" s="26">
        <v>1.01</v>
      </c>
      <c r="K30" s="26">
        <v>3.6201743477627501E-11</v>
      </c>
      <c r="L30" s="26">
        <v>0</v>
      </c>
      <c r="M30" s="148">
        <f>'Parameters, country spec'!C23</f>
        <v>0</v>
      </c>
      <c r="N30" s="148">
        <f>'Parameters, country spec'!C41</f>
        <v>0</v>
      </c>
    </row>
    <row r="31" spans="1:16" x14ac:dyDescent="0.35">
      <c r="A31" s="20" t="s">
        <v>230</v>
      </c>
      <c r="B31" s="15" t="s">
        <v>114</v>
      </c>
      <c r="C31" s="15" t="s">
        <v>229</v>
      </c>
      <c r="D31" s="21" t="s">
        <v>36</v>
      </c>
      <c r="E31" s="21" t="s">
        <v>37</v>
      </c>
      <c r="F31" s="19">
        <v>4.1100000000000003</v>
      </c>
      <c r="G31" s="38">
        <v>1.0999999999999999E-2</v>
      </c>
      <c r="H31" s="317">
        <v>2E-3</v>
      </c>
      <c r="I31" s="38">
        <v>4.4999999999999998E-2</v>
      </c>
      <c r="J31" s="26">
        <v>1.05</v>
      </c>
      <c r="K31" s="26">
        <v>4.9378693934496101E-11</v>
      </c>
      <c r="L31" s="26">
        <v>6.1400000000000002E-5</v>
      </c>
      <c r="M31" s="148">
        <f>'Parameters, country spec'!C24</f>
        <v>0</v>
      </c>
      <c r="N31" s="148">
        <f>'Parameters, country spec'!C42</f>
        <v>0</v>
      </c>
    </row>
    <row r="32" spans="1:16" x14ac:dyDescent="0.35">
      <c r="B32" s="16" t="s">
        <v>115</v>
      </c>
      <c r="C32" s="15" t="s">
        <v>231</v>
      </c>
      <c r="D32" s="21" t="s">
        <v>36</v>
      </c>
      <c r="E32" s="21" t="s">
        <v>37</v>
      </c>
      <c r="F32" s="17">
        <f>'Off-farm feed'!$F$88</f>
        <v>1.5397450382845068</v>
      </c>
      <c r="G32" s="18">
        <f>'Off-farm feed'!$G$88</f>
        <v>2.276724967641296E-2</v>
      </c>
      <c r="H32" s="289">
        <f>'Off-farm feed'!$H$88</f>
        <v>2.4780679919905292E-3</v>
      </c>
      <c r="I32" s="18">
        <f>'Off-farm feed'!$I$88</f>
        <v>8.1100925319702543E-4</v>
      </c>
      <c r="J32" s="27">
        <f>'Off-farm feed'!$J$88</f>
        <v>0.29368572248181479</v>
      </c>
      <c r="K32" s="27">
        <f>'Off-farm feed'!$K$88</f>
        <v>1.2571008272056975E-11</v>
      </c>
      <c r="L32" s="27">
        <f>'Off-farm feed'!$L$88</f>
        <v>1.3841258986185109E-3</v>
      </c>
      <c r="M32" s="148">
        <f>'Parameters, country spec'!C25</f>
        <v>3.0917251771110446E-2</v>
      </c>
      <c r="N32" s="148">
        <f>'Parameters, country spec'!C43</f>
        <v>3.0917251771110446E-2</v>
      </c>
    </row>
    <row r="33" spans="1:16" x14ac:dyDescent="0.35">
      <c r="B33" s="16" t="s">
        <v>232</v>
      </c>
      <c r="C33" s="15" t="s">
        <v>231</v>
      </c>
      <c r="D33" s="21" t="s">
        <v>36</v>
      </c>
      <c r="E33" s="21" t="s">
        <v>37</v>
      </c>
      <c r="F33" s="17">
        <f>'Off-farm feed'!$F$36</f>
        <v>2.5509164954964105</v>
      </c>
      <c r="G33" s="18">
        <f>'Off-farm feed'!$G$36</f>
        <v>4.2620923125915401E-2</v>
      </c>
      <c r="H33" s="289">
        <f>'Off-farm feed'!$H$36</f>
        <v>3.2959349471355006E-3</v>
      </c>
      <c r="I33" s="18">
        <f>'Off-farm feed'!$I$36</f>
        <v>2.435286335413451E-3</v>
      </c>
      <c r="J33" s="27">
        <f>'Off-farm feed'!$J$36</f>
        <v>0.25920846302270906</v>
      </c>
      <c r="K33" s="27">
        <f>'Off-farm feed'!$K$36</f>
        <v>1.4553836091881654E-10</v>
      </c>
      <c r="L33" s="27">
        <f>'Off-farm feed'!$L$36</f>
        <v>1.0450321677831977E-4</v>
      </c>
      <c r="M33" s="148">
        <f>'Parameters, country spec'!C26</f>
        <v>2.7855163642864746E-2</v>
      </c>
      <c r="N33" s="148">
        <f>'Parameters, country spec'!C44</f>
        <v>2.7855163642864746E-2</v>
      </c>
    </row>
    <row r="34" spans="1:16" x14ac:dyDescent="0.35">
      <c r="B34" s="15" t="s">
        <v>117</v>
      </c>
      <c r="C34" s="15" t="s">
        <v>233</v>
      </c>
      <c r="D34" s="21" t="s">
        <v>36</v>
      </c>
      <c r="E34" s="21" t="s">
        <v>37</v>
      </c>
      <c r="F34" s="19">
        <v>0.71637781462279504</v>
      </c>
      <c r="G34" s="19">
        <v>1.1762359809494499E-2</v>
      </c>
      <c r="H34" s="19">
        <v>1.0762943616530901E-3</v>
      </c>
      <c r="I34" s="26">
        <v>8.3881316190036399E-4</v>
      </c>
      <c r="J34" s="26">
        <v>0.13219139310046199</v>
      </c>
      <c r="K34" s="26">
        <v>9.4000779019093497E-14</v>
      </c>
      <c r="L34" s="26">
        <v>7.1508799141679696E-4</v>
      </c>
      <c r="M34" s="148">
        <f>'Parameters, country spec'!C27</f>
        <v>5.6499694118849607E-2</v>
      </c>
      <c r="N34" s="148">
        <f>'Parameters, country spec'!C45</f>
        <v>5.6499694118849607E-2</v>
      </c>
    </row>
    <row r="35" spans="1:16" x14ac:dyDescent="0.35">
      <c r="A35" s="75"/>
      <c r="B35" s="15" t="s">
        <v>234</v>
      </c>
      <c r="C35" s="76" t="s">
        <v>235</v>
      </c>
      <c r="D35" s="21" t="s">
        <v>36</v>
      </c>
      <c r="E35" s="21" t="s">
        <v>37</v>
      </c>
      <c r="F35" s="73">
        <f>AVERAGE(F25:F33)</f>
        <v>2.2000735037534351</v>
      </c>
      <c r="G35" s="98">
        <f t="shared" ref="G35:L35" si="1">AVERAGE(G25:G33)</f>
        <v>2.1598685866925375E-2</v>
      </c>
      <c r="H35" s="98">
        <f t="shared" si="1"/>
        <v>2.8193336599028917E-3</v>
      </c>
      <c r="I35" s="98">
        <f t="shared" si="1"/>
        <v>2.5138477287623383E-2</v>
      </c>
      <c r="J35" s="161">
        <f t="shared" si="1"/>
        <v>0.37143268727828044</v>
      </c>
      <c r="K35" s="74">
        <f t="shared" si="1"/>
        <v>3.8549254007977803E-11</v>
      </c>
      <c r="L35" s="161">
        <f t="shared" si="1"/>
        <v>8.3422545726631451E-4</v>
      </c>
      <c r="M35" s="148">
        <f>'Parameters, country spec'!C28</f>
        <v>4.2635518367259616E-2</v>
      </c>
      <c r="N35" s="148">
        <f>'Parameters, country spec'!C46</f>
        <v>4.2635518367259616E-2</v>
      </c>
    </row>
    <row r="36" spans="1:16" x14ac:dyDescent="0.35">
      <c r="A36" s="321"/>
      <c r="B36" s="322" t="s">
        <v>541</v>
      </c>
      <c r="C36" s="323"/>
      <c r="D36" s="324"/>
      <c r="E36" s="324"/>
      <c r="F36" s="325">
        <f>SUMPRODUCT(F22:F24,M22:M24)+SUMPRODUCT(F25:F35,M25:M35)/0.87</f>
        <v>0.92536138067439699</v>
      </c>
      <c r="G36" s="326">
        <f>SUMPRODUCT(G22:G24,M22:M24)+SUMPRODUCT(G25:G35,M25:M35)/0.87</f>
        <v>1.3378944218892984E-2</v>
      </c>
      <c r="H36" s="326">
        <f>SUMPRODUCT(H22:H24,M22:M24)+SUMPRODUCT(H25:H35,M25:M35)/0.87</f>
        <v>1.0394180095195139E-3</v>
      </c>
      <c r="I36" s="326">
        <f>SUMPRODUCT(I22:I24,M22:M24)+SUMPRODUCT(I25:I35,M25:M35)/0.87</f>
        <v>3.6914228410164125E-2</v>
      </c>
      <c r="J36" s="327">
        <f>SUMPRODUCT(J22:J24,M22:M24)+SUMPRODUCT(J25:J35,M25:M35)/0.87</f>
        <v>5.7617306133521611E-2</v>
      </c>
      <c r="K36" s="327">
        <f>SUMPRODUCT(K22:K24,M22:M24)+SUMPRODUCT(K25:K35,M25:M35)/0.87</f>
        <v>1.9710967966727525E-11</v>
      </c>
      <c r="L36" s="327">
        <f>SUMPRODUCT(L22:L24,M22:M24)+SUMPRODUCT(L25:L35,M25:M35)/0.87</f>
        <v>4.4273931288267836E-4</v>
      </c>
      <c r="M36" s="328"/>
      <c r="N36" s="329"/>
    </row>
    <row r="37" spans="1:16" x14ac:dyDescent="0.35">
      <c r="A37" s="147"/>
      <c r="B37" s="23" t="s">
        <v>558</v>
      </c>
      <c r="C37" s="24"/>
      <c r="D37" s="94"/>
      <c r="E37" s="94"/>
      <c r="F37" s="320">
        <f>SUMPRODUCT(F22:F25,N22:N25)+SUMPRODUCT(F26:F36,N26:N36)/0.87</f>
        <v>0.92301719616832922</v>
      </c>
      <c r="G37" s="25">
        <f>SUMPRODUCT(G22:G25,N22:N25)+SUMPRODUCT(G26:G36,N26:N36)/0.87</f>
        <v>1.3348176797250845E-2</v>
      </c>
      <c r="H37" s="25">
        <f>SUMPRODUCT(H22:H25,N22:N25)+SUMPRODUCT(H26:H36,N26:N36)/0.87</f>
        <v>1.034876152039008E-3</v>
      </c>
      <c r="I37" s="25">
        <f>SUMPRODUCT(I22:I25,N22:N25)+SUMPRODUCT(I26:I36,N26:N36)/0.87</f>
        <v>3.6908367948898957E-2</v>
      </c>
      <c r="J37" s="28">
        <f>SUMPRODUCT(J22:J25,N22:N25)+SUMPRODUCT(J26:J36,N26:N36)/0.87</f>
        <v>5.7148469232308076E-2</v>
      </c>
      <c r="K37" s="28">
        <f>SUMPRODUCT(K22:K25,N22:N25)+SUMPRODUCT(K26:K36,N26:N36)/0.87</f>
        <v>1.9682850744545289E-11</v>
      </c>
      <c r="L37" s="28">
        <f>SUMPRODUCT(L22:L25,N22:N25)+SUMPRODUCT(L26:L36,N26:N36)/0.87</f>
        <v>4.4090791873731299E-4</v>
      </c>
      <c r="M37" s="149"/>
      <c r="N37" s="149"/>
    </row>
    <row r="38" spans="1:16" x14ac:dyDescent="0.35">
      <c r="B38" s="16" t="s">
        <v>285</v>
      </c>
      <c r="C38" s="15" t="s">
        <v>288</v>
      </c>
      <c r="D38" s="21" t="s">
        <v>38</v>
      </c>
      <c r="E38" s="21" t="s">
        <v>39</v>
      </c>
      <c r="F38" s="108">
        <v>0</v>
      </c>
      <c r="G38" s="312">
        <f>'Forage crops, footprints'!G10</f>
        <v>1.4084562538983799E-2</v>
      </c>
      <c r="H38" s="313">
        <f>'Forage crops, footprints'!H10</f>
        <v>1.5004291926573534E-4</v>
      </c>
      <c r="I38" s="312">
        <f>'Forage crops, footprints'!I10</f>
        <v>0</v>
      </c>
      <c r="J38" s="118">
        <f>'Forage crops, footprints'!J10</f>
        <v>0</v>
      </c>
      <c r="K38" s="118">
        <f>'Forage crops, footprints'!K10</f>
        <v>1.3537280465961739E-11</v>
      </c>
      <c r="L38" s="118">
        <f>'Forage crops, footprints'!L10</f>
        <v>3.4123377454641629E-4</v>
      </c>
      <c r="M38" s="148">
        <f>'Parameters, country spec'!D15</f>
        <v>0.26457370102986028</v>
      </c>
      <c r="N38" s="148">
        <f>'Parameters, country spec'!D33</f>
        <v>0.26457370102986028</v>
      </c>
      <c r="O38" s="18"/>
      <c r="P38" s="148"/>
    </row>
    <row r="39" spans="1:16" x14ac:dyDescent="0.35">
      <c r="B39" s="16" t="s">
        <v>286</v>
      </c>
      <c r="C39" s="15" t="s">
        <v>288</v>
      </c>
      <c r="D39" s="21" t="s">
        <v>38</v>
      </c>
      <c r="E39" s="21" t="s">
        <v>39</v>
      </c>
      <c r="F39" s="108">
        <f>'Forage crops, footprints'!F27</f>
        <v>0.63803221792873233</v>
      </c>
      <c r="G39" s="312">
        <f>'Forage crops, footprints'!G27</f>
        <v>3.2539643114365352E-3</v>
      </c>
      <c r="H39" s="313">
        <f>'Forage crops, footprints'!H27</f>
        <v>2.2286195781172623E-4</v>
      </c>
      <c r="I39" s="312">
        <f>'Forage crops, footprints'!I27</f>
        <v>2.0999999999999998E-2</v>
      </c>
      <c r="J39" s="118">
        <f>'Forage crops, footprints'!J27</f>
        <v>1.0479214179139297E-4</v>
      </c>
      <c r="K39" s="118">
        <f>'Forage crops, footprints'!K27</f>
        <v>5.8519653024927725E-12</v>
      </c>
      <c r="L39" s="118">
        <f>'Forage crops, footprints'!L27</f>
        <v>1.9782346750937254E-4</v>
      </c>
      <c r="M39" s="148">
        <f>'Parameters, country spec'!D16</f>
        <v>0.47771254487501524</v>
      </c>
      <c r="N39" s="148">
        <f>'Parameters, country spec'!D34</f>
        <v>0.47771254487501524</v>
      </c>
      <c r="O39" s="18"/>
      <c r="P39" s="148"/>
    </row>
    <row r="40" spans="1:16" x14ac:dyDescent="0.35">
      <c r="B40" s="16" t="s">
        <v>287</v>
      </c>
      <c r="C40" s="15" t="s">
        <v>288</v>
      </c>
      <c r="D40" s="21" t="s">
        <v>38</v>
      </c>
      <c r="E40" s="21" t="s">
        <v>39</v>
      </c>
      <c r="F40" s="108">
        <f>'Forage, input data per ha'!$E$80*'Forage crops, footprints'!F44+'Forage, input data per ha'!$G$80*'Forage crops, footprints'!F61</f>
        <v>1.1895684479198323</v>
      </c>
      <c r="G40" s="312">
        <f>'Forage, input data per ha'!$E$80*'Forage crops, footprints'!G44+'Forage, input data per ha'!$G$80*'Forage crops, footprints'!G61</f>
        <v>1.8368475452646742E-2</v>
      </c>
      <c r="H40" s="313">
        <f>'Forage, input data per ha'!$E$80*'Forage crops, footprints'!H44+'Forage, input data per ha'!$G$80*'Forage crops, footprints'!H61</f>
        <v>5.8562883782723601E-4</v>
      </c>
      <c r="I40" s="312">
        <f>'Forage, input data per ha'!$E$80*'Forage crops, footprints'!I44+'Forage, input data per ha'!$G$80*'Forage crops, footprints'!I61</f>
        <v>0</v>
      </c>
      <c r="J40" s="118">
        <f>'Forage, input data per ha'!$E$80*'Forage crops, footprints'!J44+'Forage, input data per ha'!$G$80*'Forage crops, footprints'!J61</f>
        <v>3.4304429037786644E-5</v>
      </c>
      <c r="K40" s="118">
        <f>'Forage, input data per ha'!$E$80*'Forage crops, footprints'!K44+'Forage, input data per ha'!$G$80*'Forage crops, footprints'!K61</f>
        <v>7.4329500232515984E-12</v>
      </c>
      <c r="L40" s="118">
        <f>'Forage, input data per ha'!$E$80*'Forage crops, footprints'!L44+'Forage, input data per ha'!$G$80*'Forage crops, footprints'!L61</f>
        <v>2.9495733717333476E-4</v>
      </c>
      <c r="M40" s="148">
        <f>'Parameters, country spec'!D17</f>
        <v>0.13883749692306407</v>
      </c>
      <c r="N40" s="148">
        <f>'Parameters, country spec'!D35</f>
        <v>0.13883749692306407</v>
      </c>
      <c r="O40" s="18"/>
      <c r="P40" s="148"/>
    </row>
    <row r="41" spans="1:16" x14ac:dyDescent="0.35">
      <c r="A41" s="20" t="s">
        <v>222</v>
      </c>
      <c r="B41" s="15" t="s">
        <v>108</v>
      </c>
      <c r="C41" s="15" t="s">
        <v>223</v>
      </c>
      <c r="D41" s="21" t="s">
        <v>38</v>
      </c>
      <c r="E41" s="21" t="s">
        <v>39</v>
      </c>
      <c r="F41" s="22">
        <v>1.53</v>
      </c>
      <c r="G41" s="38">
        <v>2.1000000000000001E-2</v>
      </c>
      <c r="H41" s="317">
        <v>3.0999999999999999E-3</v>
      </c>
      <c r="I41" s="38">
        <v>0</v>
      </c>
      <c r="J41" s="26">
        <v>0.31</v>
      </c>
      <c r="K41" s="26">
        <v>1.40235771273912E-11</v>
      </c>
      <c r="L41" s="26">
        <v>1.25E-3</v>
      </c>
      <c r="M41" s="148">
        <f>'Parameters, country spec'!D18</f>
        <v>1.298916356294802E-3</v>
      </c>
      <c r="N41" s="148">
        <f>'Parameters, country spec'!D36</f>
        <v>1.298916356294802E-3</v>
      </c>
    </row>
    <row r="42" spans="1:16" x14ac:dyDescent="0.35">
      <c r="A42" s="20" t="s">
        <v>224</v>
      </c>
      <c r="B42" s="15" t="s">
        <v>109</v>
      </c>
      <c r="C42" s="15" t="s">
        <v>223</v>
      </c>
      <c r="D42" s="21" t="s">
        <v>38</v>
      </c>
      <c r="E42" s="21" t="s">
        <v>39</v>
      </c>
      <c r="F42" s="19">
        <v>1.05</v>
      </c>
      <c r="G42" s="38">
        <v>0.02</v>
      </c>
      <c r="H42" s="317">
        <v>5.5999999999999999E-3</v>
      </c>
      <c r="I42" s="38">
        <v>2.1000000000000001E-2</v>
      </c>
      <c r="J42" s="26">
        <v>0.94</v>
      </c>
      <c r="K42" s="26">
        <v>9.6701609563743102E-12</v>
      </c>
      <c r="L42" s="26">
        <v>1.2099999999999999E-3</v>
      </c>
      <c r="M42" s="148">
        <f>'Parameters, country spec'!D19</f>
        <v>1.9338522642940996E-3</v>
      </c>
      <c r="N42" s="148">
        <f>'Parameters, country spec'!D37</f>
        <v>1.9338522642940996E-3</v>
      </c>
    </row>
    <row r="43" spans="1:16" x14ac:dyDescent="0.35">
      <c r="A43" s="20" t="s">
        <v>225</v>
      </c>
      <c r="B43" s="15" t="s">
        <v>110</v>
      </c>
      <c r="C43" s="15" t="s">
        <v>223</v>
      </c>
      <c r="D43" s="21" t="s">
        <v>38</v>
      </c>
      <c r="E43" s="21" t="s">
        <v>39</v>
      </c>
      <c r="F43" s="19">
        <v>2.31</v>
      </c>
      <c r="G43" s="38">
        <v>1.7999999999999999E-2</v>
      </c>
      <c r="H43" s="317">
        <v>3.8E-3</v>
      </c>
      <c r="I43" s="38">
        <v>4.0000000000000001E-3</v>
      </c>
      <c r="J43" s="26">
        <v>0</v>
      </c>
      <c r="K43" s="26">
        <v>2.1187688831605799E-11</v>
      </c>
      <c r="L43" s="26">
        <v>1.1000000000000001E-3</v>
      </c>
      <c r="M43" s="148">
        <f>'Parameters, country spec'!D20</f>
        <v>2.5855421185781316E-7</v>
      </c>
      <c r="N43" s="148">
        <f>'Parameters, country spec'!D38</f>
        <v>2.5855421185781316E-7</v>
      </c>
    </row>
    <row r="44" spans="1:16" x14ac:dyDescent="0.35">
      <c r="A44" s="20" t="s">
        <v>226</v>
      </c>
      <c r="B44" s="15" t="s">
        <v>111</v>
      </c>
      <c r="C44" s="15" t="s">
        <v>223</v>
      </c>
      <c r="D44" s="21" t="s">
        <v>38</v>
      </c>
      <c r="E44" s="21" t="s">
        <v>39</v>
      </c>
      <c r="F44" s="19">
        <v>1.99</v>
      </c>
      <c r="G44" s="38">
        <v>1.6E-2</v>
      </c>
      <c r="H44" s="317">
        <v>1.1999999999999999E-3</v>
      </c>
      <c r="I44" s="38">
        <v>0</v>
      </c>
      <c r="J44" s="26">
        <v>0</v>
      </c>
      <c r="K44" s="26">
        <v>1.8207816512159501E-11</v>
      </c>
      <c r="L44" s="26">
        <v>9.68E-4</v>
      </c>
      <c r="M44" s="148">
        <f>'Parameters, country spec'!D21</f>
        <v>2.1217635552166355E-4</v>
      </c>
      <c r="N44" s="148">
        <f>'Parameters, country spec'!D39</f>
        <v>2.1217635552166355E-4</v>
      </c>
    </row>
    <row r="45" spans="1:16" x14ac:dyDescent="0.35">
      <c r="A45" s="20" t="s">
        <v>227</v>
      </c>
      <c r="B45" s="15" t="s">
        <v>112</v>
      </c>
      <c r="C45" s="15" t="s">
        <v>223</v>
      </c>
      <c r="D45" s="21" t="s">
        <v>38</v>
      </c>
      <c r="E45" s="21" t="s">
        <v>39</v>
      </c>
      <c r="F45" s="19">
        <v>1.36</v>
      </c>
      <c r="G45" s="38">
        <v>2.4E-2</v>
      </c>
      <c r="H45" s="317">
        <v>2.2000000000000001E-3</v>
      </c>
      <c r="I45" s="38">
        <v>1E-3</v>
      </c>
      <c r="J45" s="26">
        <v>0.26</v>
      </c>
      <c r="K45" s="26">
        <v>1.24498393433167E-11</v>
      </c>
      <c r="L45" s="26">
        <v>1.4300000000000001E-3</v>
      </c>
      <c r="M45" s="148">
        <f>'Parameters, country spec'!D22</f>
        <v>4.3386015699034622E-3</v>
      </c>
      <c r="N45" s="148">
        <f>'Parameters, country spec'!D40</f>
        <v>4.3386015699034622E-3</v>
      </c>
    </row>
    <row r="46" spans="1:16" x14ac:dyDescent="0.35">
      <c r="A46" s="20" t="s">
        <v>228</v>
      </c>
      <c r="B46" s="15" t="s">
        <v>113</v>
      </c>
      <c r="C46" s="15" t="s">
        <v>229</v>
      </c>
      <c r="D46" s="21" t="s">
        <v>38</v>
      </c>
      <c r="E46" s="21" t="s">
        <v>39</v>
      </c>
      <c r="F46" s="19">
        <v>3.13</v>
      </c>
      <c r="G46" s="38">
        <v>0.02</v>
      </c>
      <c r="H46" s="317">
        <v>1.6999999999999999E-3</v>
      </c>
      <c r="I46" s="38">
        <v>2E-3</v>
      </c>
      <c r="J46" s="26">
        <v>1.01</v>
      </c>
      <c r="K46" s="26">
        <v>2.8668626200070499E-11</v>
      </c>
      <c r="L46" s="26">
        <v>0</v>
      </c>
      <c r="M46" s="148">
        <f>'Parameters, country spec'!D23</f>
        <v>2.7051994141606358E-4</v>
      </c>
      <c r="N46" s="148">
        <f>'Parameters, country spec'!D41</f>
        <v>2.7051994141606358E-4</v>
      </c>
    </row>
    <row r="47" spans="1:16" x14ac:dyDescent="0.35">
      <c r="A47" s="20" t="s">
        <v>230</v>
      </c>
      <c r="B47" s="15" t="s">
        <v>114</v>
      </c>
      <c r="C47" s="15" t="s">
        <v>229</v>
      </c>
      <c r="D47" s="21" t="s">
        <v>38</v>
      </c>
      <c r="E47" s="21" t="s">
        <v>39</v>
      </c>
      <c r="F47" s="19">
        <v>2.73</v>
      </c>
      <c r="G47" s="38">
        <v>8.0000000000000002E-3</v>
      </c>
      <c r="H47" s="317">
        <v>2E-3</v>
      </c>
      <c r="I47" s="38">
        <v>8.2000000000000003E-2</v>
      </c>
      <c r="J47" s="26">
        <v>1.05</v>
      </c>
      <c r="K47" s="26">
        <v>2.5017173570023199E-11</v>
      </c>
      <c r="L47" s="26">
        <v>6.1400000000000002E-5</v>
      </c>
      <c r="M47" s="148">
        <f>'Parameters, country spec'!D24</f>
        <v>2.6573972962751311E-4</v>
      </c>
      <c r="N47" s="148">
        <f>'Parameters, country spec'!D42</f>
        <v>2.6573972962751311E-4</v>
      </c>
    </row>
    <row r="48" spans="1:16" x14ac:dyDescent="0.35">
      <c r="B48" s="16" t="s">
        <v>115</v>
      </c>
      <c r="C48" s="15" t="s">
        <v>231</v>
      </c>
      <c r="D48" s="21" t="s">
        <v>38</v>
      </c>
      <c r="E48" s="21" t="s">
        <v>39</v>
      </c>
      <c r="F48" s="17">
        <f>'Off-farm feed'!$F$88</f>
        <v>1.5397450382845068</v>
      </c>
      <c r="G48" s="18">
        <f>'Off-farm feed'!$G$88</f>
        <v>2.276724967641296E-2</v>
      </c>
      <c r="H48" s="289">
        <f>'Off-farm feed'!$H$88</f>
        <v>2.4780679919905292E-3</v>
      </c>
      <c r="I48" s="18">
        <f>'Off-farm feed'!$I$88</f>
        <v>8.1100925319702543E-4</v>
      </c>
      <c r="J48" s="27">
        <f>'Off-farm feed'!$J$88</f>
        <v>0.29368572248181479</v>
      </c>
      <c r="K48" s="27">
        <f>'Off-farm feed'!$K$88</f>
        <v>1.2571008272056975E-11</v>
      </c>
      <c r="L48" s="27">
        <f>'Off-farm feed'!$L$88</f>
        <v>1.3841258986185109E-3</v>
      </c>
      <c r="M48" s="148">
        <f>'Parameters, country spec'!D25</f>
        <v>2.7355781220453596E-2</v>
      </c>
      <c r="N48" s="148">
        <f>'Parameters, country spec'!D43</f>
        <v>2.7355781220453596E-2</v>
      </c>
    </row>
    <row r="49" spans="1:16" x14ac:dyDescent="0.35">
      <c r="B49" s="16" t="s">
        <v>232</v>
      </c>
      <c r="C49" s="15" t="s">
        <v>231</v>
      </c>
      <c r="D49" s="21" t="s">
        <v>38</v>
      </c>
      <c r="E49" s="21" t="s">
        <v>39</v>
      </c>
      <c r="F49" s="17">
        <f>'Off-farm feed'!$F$36</f>
        <v>2.5509164954964105</v>
      </c>
      <c r="G49" s="18">
        <f>'Off-farm feed'!$G$36</f>
        <v>4.2620923125915401E-2</v>
      </c>
      <c r="H49" s="289">
        <f>'Off-farm feed'!$H$36</f>
        <v>3.2959349471355006E-3</v>
      </c>
      <c r="I49" s="18">
        <f>'Off-farm feed'!$I$36</f>
        <v>2.435286335413451E-3</v>
      </c>
      <c r="J49" s="27">
        <f>'Off-farm feed'!$J$36</f>
        <v>0.25920846302270906</v>
      </c>
      <c r="K49" s="27">
        <f>'Off-farm feed'!$K$36</f>
        <v>1.4553836091881654E-10</v>
      </c>
      <c r="L49" s="27">
        <f>'Off-farm feed'!$L$36</f>
        <v>1.0450321677831977E-4</v>
      </c>
      <c r="M49" s="148">
        <f>'Parameters, country spec'!D26</f>
        <v>2.6285117627784533E-2</v>
      </c>
      <c r="N49" s="148">
        <f>'Parameters, country spec'!D44</f>
        <v>2.6285117627784533E-2</v>
      </c>
    </row>
    <row r="50" spans="1:16" x14ac:dyDescent="0.35">
      <c r="B50" s="15" t="s">
        <v>117</v>
      </c>
      <c r="C50" s="15" t="s">
        <v>233</v>
      </c>
      <c r="D50" s="21" t="s">
        <v>38</v>
      </c>
      <c r="E50" s="21" t="s">
        <v>39</v>
      </c>
      <c r="F50" s="19">
        <v>0.71560643205922203</v>
      </c>
      <c r="G50" s="19">
        <v>1.1762359809494499E-2</v>
      </c>
      <c r="H50" s="19">
        <v>1.0762943616530901E-3</v>
      </c>
      <c r="I50" s="26">
        <v>5.84130938950317E-4</v>
      </c>
      <c r="J50" s="26">
        <v>0.12730102628270801</v>
      </c>
      <c r="K50" s="26">
        <v>8.9554252360338206E-14</v>
      </c>
      <c r="L50" s="26">
        <v>7.1508799141679696E-4</v>
      </c>
      <c r="M50" s="148">
        <f>'Parameters, country spec'!D27</f>
        <v>4.2051693837096289E-2</v>
      </c>
      <c r="N50" s="148">
        <f>'Parameters, country spec'!D45</f>
        <v>4.2051693837096289E-2</v>
      </c>
    </row>
    <row r="51" spans="1:16" x14ac:dyDescent="0.35">
      <c r="A51" s="75"/>
      <c r="B51" s="15" t="s">
        <v>234</v>
      </c>
      <c r="C51" s="76" t="s">
        <v>235</v>
      </c>
      <c r="D51" s="21" t="s">
        <v>38</v>
      </c>
      <c r="E51" s="21" t="s">
        <v>39</v>
      </c>
      <c r="F51" s="73">
        <f t="shared" ref="F51:L51" si="2">AVERAGE(F41:F49)</f>
        <v>2.0211846148645467</v>
      </c>
      <c r="G51" s="98">
        <f t="shared" si="2"/>
        <v>2.137646364470315E-2</v>
      </c>
      <c r="H51" s="319">
        <f t="shared" si="2"/>
        <v>2.8193336599028917E-3</v>
      </c>
      <c r="I51" s="98">
        <f t="shared" si="2"/>
        <v>1.2582921732067832E-2</v>
      </c>
      <c r="J51" s="161">
        <f t="shared" si="2"/>
        <v>0.45809935394494716</v>
      </c>
      <c r="K51" s="74">
        <f t="shared" si="2"/>
        <v>3.1926027970201634E-11</v>
      </c>
      <c r="L51" s="161">
        <f t="shared" si="2"/>
        <v>8.3422545726631451E-4</v>
      </c>
      <c r="M51" s="148">
        <f>'Parameters, country spec'!D28</f>
        <v>1.4863599715456545E-2</v>
      </c>
      <c r="N51" s="148">
        <f>'Parameters, country spec'!D46</f>
        <v>1.4863599715456545E-2</v>
      </c>
    </row>
    <row r="52" spans="1:16" x14ac:dyDescent="0.35">
      <c r="A52" s="321"/>
      <c r="B52" s="322" t="s">
        <v>541</v>
      </c>
      <c r="C52" s="323"/>
      <c r="D52" s="324"/>
      <c r="E52" s="324"/>
      <c r="F52" s="325">
        <f>SUMPRODUCT(F38:F40,M38:M40)+SUMPRODUCT(F41:F51,M41:M51)/0.87</f>
        <v>0.67825157420304438</v>
      </c>
      <c r="G52" s="326">
        <f>SUMPRODUCT(G38:G40,M38:M40)+SUMPRODUCT(G41:G51,M41:M51)/0.87</f>
        <v>1.0976484633740798E-2</v>
      </c>
      <c r="H52" s="326">
        <f>SUMPRODUCT(H38:H40,M38:M40)+SUMPRODUCT(H41:H51,M41:M51)/0.87</f>
        <v>5.3463764672883186E-4</v>
      </c>
      <c r="I52" s="326">
        <f>SUMPRODUCT(I38:I40,M38:M40)+SUMPRODUCT(I41:I51,M41:M51)/0.87</f>
        <v>1.0451585301930497E-2</v>
      </c>
      <c r="J52" s="327">
        <f>SUMPRODUCT(J38:J40,M38:M40)+SUMPRODUCT(J41:J51,M41:M51)/0.87</f>
        <v>3.5583938187994345E-2</v>
      </c>
      <c r="K52" s="327">
        <f>SUMPRODUCT(K38:K40,M38:M40)+SUMPRODUCT(K41:K51,M41:M51)/0.87</f>
        <v>1.2876824639633759E-11</v>
      </c>
      <c r="L52" s="327">
        <f>SUMPRODUCT(L38:L40,M38:M40)+SUMPRODUCT(L41:L51,M41:M51)/0.87</f>
        <v>3.3317304398150299E-4</v>
      </c>
      <c r="M52" s="328"/>
      <c r="N52" s="329"/>
    </row>
    <row r="53" spans="1:16" x14ac:dyDescent="0.35">
      <c r="A53" s="147"/>
      <c r="B53" s="23" t="s">
        <v>558</v>
      </c>
      <c r="C53" s="24"/>
      <c r="D53" s="94"/>
      <c r="E53" s="94"/>
      <c r="F53" s="320">
        <f>SUMPRODUCT(F38:F41,N38:N41)+SUMPRODUCT(F42:F52,N42:N52)/0.87</f>
        <v>0.67795461504986387</v>
      </c>
      <c r="G53" s="25">
        <f>SUMPRODUCT(G38:G41,N38:N41)+SUMPRODUCT(G42:G52,N42:N52)/0.87</f>
        <v>1.0972408723795183E-2</v>
      </c>
      <c r="H53" s="25">
        <f>SUMPRODUCT(H38:H41,N38:N41)+SUMPRODUCT(H42:H52,N42:N52)/0.87</f>
        <v>5.3403596478447928E-4</v>
      </c>
      <c r="I53" s="25">
        <f>SUMPRODUCT(I38:I41,N38:N41)+SUMPRODUCT(I42:I52,N42:N52)/0.87</f>
        <v>1.0451585301930497E-2</v>
      </c>
      <c r="J53" s="28">
        <f>SUMPRODUCT(J38:J41,N38:N41)+SUMPRODUCT(J42:J52,N42:N52)/0.87</f>
        <v>3.5523769993559079E-2</v>
      </c>
      <c r="K53" s="28">
        <f>SUMPRODUCT(K38:K41,N38:N41)+SUMPRODUCT(K42:K52,N42:N52)/0.87</f>
        <v>1.2874102790229635E-11</v>
      </c>
      <c r="L53" s="28">
        <f>SUMPRODUCT(L38:L41,N38:N41)+SUMPRODUCT(L42:L52,N42:N52)/0.87</f>
        <v>3.3293043029426403E-4</v>
      </c>
      <c r="M53" s="149"/>
      <c r="N53" s="149"/>
    </row>
    <row r="54" spans="1:16" x14ac:dyDescent="0.35">
      <c r="B54" s="16" t="s">
        <v>285</v>
      </c>
      <c r="C54" s="15" t="s">
        <v>288</v>
      </c>
      <c r="D54" s="21" t="s">
        <v>40</v>
      </c>
      <c r="E54" s="21" t="s">
        <v>41</v>
      </c>
      <c r="F54" s="108">
        <v>0</v>
      </c>
      <c r="G54" s="312">
        <f>'Forage crops, footprints'!G11</f>
        <v>1.4248888174213355E-2</v>
      </c>
      <c r="H54" s="313">
        <f>'Forage crops, footprints'!H11</f>
        <v>2.3847872238080535E-4</v>
      </c>
      <c r="I54" s="312">
        <f>'Forage crops, footprints'!I11</f>
        <v>0</v>
      </c>
      <c r="J54" s="118">
        <f>'Forage crops, footprints'!J11</f>
        <v>0</v>
      </c>
      <c r="K54" s="118">
        <f>'Forage crops, footprints'!K11</f>
        <v>1.7393226708176552E-10</v>
      </c>
      <c r="L54" s="118">
        <f>'Forage crops, footprints'!L11</f>
        <v>3.5122388625340054E-4</v>
      </c>
      <c r="M54" s="148">
        <f>'Parameters, country spec'!E15</f>
        <v>0.3707697249953647</v>
      </c>
      <c r="N54" s="148">
        <f>'Parameters, country spec'!E33</f>
        <v>0.3707697249953647</v>
      </c>
      <c r="O54" s="18"/>
      <c r="P54" s="148"/>
    </row>
    <row r="55" spans="1:16" x14ac:dyDescent="0.35">
      <c r="B55" s="16" t="s">
        <v>286</v>
      </c>
      <c r="C55" s="15" t="s">
        <v>288</v>
      </c>
      <c r="D55" s="21" t="s">
        <v>40</v>
      </c>
      <c r="E55" s="21" t="s">
        <v>41</v>
      </c>
      <c r="F55" s="108">
        <f>'Forage crops, footprints'!F28</f>
        <v>1.4743513961474723</v>
      </c>
      <c r="G55" s="312">
        <f>'Forage crops, footprints'!G28</f>
        <v>2.6538325130654503E-2</v>
      </c>
      <c r="H55" s="312">
        <f>'Forage crops, footprints'!H28</f>
        <v>1.4162079608064451E-3</v>
      </c>
      <c r="I55" s="312">
        <f>'Forage crops, footprints'!I28</f>
        <v>0.20600000000000002</v>
      </c>
      <c r="J55" s="118">
        <f>'Forage crops, footprints'!J28</f>
        <v>6.7567011968587768E-5</v>
      </c>
      <c r="K55" s="118">
        <f>'Forage crops, footprints'!K28</f>
        <v>6.9414276357249014E-11</v>
      </c>
      <c r="L55" s="118">
        <f>'Forage crops, footprints'!L28</f>
        <v>1.6133869326057572E-3</v>
      </c>
      <c r="M55" s="148">
        <f>'Parameters, country spec'!E16</f>
        <v>0.13544388222799708</v>
      </c>
      <c r="N55" s="148">
        <f>'Parameters, country spec'!E34</f>
        <v>0.13544388222799708</v>
      </c>
      <c r="O55" s="18"/>
      <c r="P55" s="148"/>
    </row>
    <row r="56" spans="1:16" x14ac:dyDescent="0.35">
      <c r="B56" s="16" t="s">
        <v>287</v>
      </c>
      <c r="C56" s="15" t="s">
        <v>288</v>
      </c>
      <c r="D56" s="21" t="s">
        <v>40</v>
      </c>
      <c r="E56" s="21" t="s">
        <v>41</v>
      </c>
      <c r="F56" s="108">
        <f>'Forage, input data per ha'!$E$81*'Forage crops, footprints'!F45+'Forage, input data per ha'!$G$81*'Forage crops, footprints'!F62</f>
        <v>2.5156577229246486</v>
      </c>
      <c r="G56" s="312">
        <f>'Forage, input data per ha'!$E$81*'Forage crops, footprints'!G45+'Forage, input data per ha'!$G$81*'Forage crops, footprints'!G62</f>
        <v>3.2463840306432144E-2</v>
      </c>
      <c r="H56" s="312">
        <f>'Forage, input data per ha'!$E$81*'Forage crops, footprints'!H45+'Forage, input data per ha'!$G$81*'Forage crops, footprints'!H62</f>
        <v>2.0489888895601788E-3</v>
      </c>
      <c r="I56" s="312">
        <f>'Forage, input data per ha'!$E$81*'Forage crops, footprints'!I45+'Forage, input data per ha'!$G$81*'Forage crops, footprints'!I62</f>
        <v>0</v>
      </c>
      <c r="J56" s="118">
        <f>'Forage, input data per ha'!$E$81*'Forage crops, footprints'!J45+'Forage, input data per ha'!$G$81*'Forage crops, footprints'!J62</f>
        <v>4.8805129192284764E-5</v>
      </c>
      <c r="K56" s="118">
        <f>'Forage, input data per ha'!$E$81*'Forage crops, footprints'!K45+'Forage, input data per ha'!$G$81*'Forage crops, footprints'!K62</f>
        <v>8.0597182826068236E-11</v>
      </c>
      <c r="L56" s="118">
        <f>'Forage, input data per ha'!$E$81*'Forage crops, footprints'!L45+'Forage, input data per ha'!$G$81*'Forage crops, footprints'!L62</f>
        <v>1.4763950335011593E-4</v>
      </c>
      <c r="M56" s="148">
        <f>'Parameters, country spec'!E17</f>
        <v>3.5518223853143398E-2</v>
      </c>
      <c r="N56" s="148">
        <f>'Parameters, country spec'!E35</f>
        <v>3.5518223853143398E-2</v>
      </c>
      <c r="O56" s="18"/>
      <c r="P56" s="148"/>
    </row>
    <row r="57" spans="1:16" x14ac:dyDescent="0.35">
      <c r="A57" s="20" t="s">
        <v>222</v>
      </c>
      <c r="B57" s="15" t="s">
        <v>108</v>
      </c>
      <c r="C57" s="15" t="s">
        <v>223</v>
      </c>
      <c r="D57" s="21" t="s">
        <v>40</v>
      </c>
      <c r="E57" s="21" t="s">
        <v>41</v>
      </c>
      <c r="F57" s="22">
        <v>3.52</v>
      </c>
      <c r="G57" s="38">
        <v>2.1000000000000001E-2</v>
      </c>
      <c r="H57" s="38">
        <v>3.0999999999999999E-3</v>
      </c>
      <c r="I57" s="38">
        <v>8.9999999999999993E-3</v>
      </c>
      <c r="J57" s="26">
        <v>0.16</v>
      </c>
      <c r="K57" s="26">
        <v>1.6579181992982199E-10</v>
      </c>
      <c r="L57" s="26">
        <v>1.25E-3</v>
      </c>
      <c r="M57" s="148">
        <f>'Parameters, country spec'!E18</f>
        <v>6.7240073264057107E-2</v>
      </c>
      <c r="N57" s="148">
        <f>'Parameters, country spec'!E36</f>
        <v>6.7240073264057107E-2</v>
      </c>
    </row>
    <row r="58" spans="1:16" x14ac:dyDescent="0.35">
      <c r="A58" s="20" t="s">
        <v>224</v>
      </c>
      <c r="B58" s="15" t="s">
        <v>109</v>
      </c>
      <c r="C58" s="15" t="s">
        <v>223</v>
      </c>
      <c r="D58" s="21" t="s">
        <v>40</v>
      </c>
      <c r="E58" s="21" t="s">
        <v>41</v>
      </c>
      <c r="F58" s="19">
        <v>0.93</v>
      </c>
      <c r="G58" s="38">
        <v>0.02</v>
      </c>
      <c r="H58" s="38">
        <v>5.5999999999999999E-3</v>
      </c>
      <c r="I58" s="38">
        <v>0.20599999999999999</v>
      </c>
      <c r="J58" s="26">
        <v>0.05</v>
      </c>
      <c r="K58" s="26">
        <v>4.3581463588055697E-11</v>
      </c>
      <c r="L58" s="26">
        <v>1.2099999999999999E-3</v>
      </c>
      <c r="M58" s="148">
        <f>'Parameters, country spec'!E19</f>
        <v>0.20110909949687941</v>
      </c>
      <c r="N58" s="148">
        <f>'Parameters, country spec'!E37</f>
        <v>0.20110909949687941</v>
      </c>
    </row>
    <row r="59" spans="1:16" x14ac:dyDescent="0.35">
      <c r="A59" s="20" t="s">
        <v>225</v>
      </c>
      <c r="B59" s="15" t="s">
        <v>110</v>
      </c>
      <c r="C59" s="15" t="s">
        <v>223</v>
      </c>
      <c r="D59" s="21" t="s">
        <v>40</v>
      </c>
      <c r="E59" s="21" t="s">
        <v>41</v>
      </c>
      <c r="F59" s="19">
        <v>7.57</v>
      </c>
      <c r="G59" s="38">
        <v>1.7999999999999999E-2</v>
      </c>
      <c r="H59" s="38">
        <v>3.8E-3</v>
      </c>
      <c r="I59" s="38">
        <v>0.16900000000000001</v>
      </c>
      <c r="J59" s="26">
        <v>0</v>
      </c>
      <c r="K59" s="26">
        <v>3.56567929718501E-10</v>
      </c>
      <c r="L59" s="26">
        <v>1.1000000000000001E-3</v>
      </c>
      <c r="M59" s="148">
        <f>'Parameters, country spec'!E20</f>
        <v>1.8273719871874414E-2</v>
      </c>
      <c r="N59" s="148">
        <f>'Parameters, country spec'!E38</f>
        <v>1.8273719871874414E-2</v>
      </c>
    </row>
    <row r="60" spans="1:16" x14ac:dyDescent="0.35">
      <c r="A60" s="20" t="s">
        <v>226</v>
      </c>
      <c r="B60" s="15" t="s">
        <v>111</v>
      </c>
      <c r="C60" s="15" t="s">
        <v>223</v>
      </c>
      <c r="D60" s="21" t="s">
        <v>40</v>
      </c>
      <c r="E60" s="21" t="s">
        <v>41</v>
      </c>
      <c r="F60" s="19">
        <v>4.92</v>
      </c>
      <c r="G60" s="38">
        <v>1.6E-2</v>
      </c>
      <c r="H60" s="38">
        <v>1.1999999999999999E-3</v>
      </c>
      <c r="I60" s="38">
        <v>1E-3</v>
      </c>
      <c r="J60" s="26">
        <v>0</v>
      </c>
      <c r="K60" s="26">
        <v>2.31776526790613E-10</v>
      </c>
      <c r="L60" s="26">
        <v>9.68E-4</v>
      </c>
      <c r="M60" s="148">
        <f>'Parameters, country spec'!E21</f>
        <v>4.0305382311056149E-3</v>
      </c>
      <c r="N60" s="148">
        <f>'Parameters, country spec'!E39</f>
        <v>4.0305382311056149E-3</v>
      </c>
    </row>
    <row r="61" spans="1:16" x14ac:dyDescent="0.35">
      <c r="A61" s="20" t="s">
        <v>227</v>
      </c>
      <c r="B61" s="15" t="s">
        <v>112</v>
      </c>
      <c r="C61" s="15" t="s">
        <v>223</v>
      </c>
      <c r="D61" s="21" t="s">
        <v>40</v>
      </c>
      <c r="E61" s="21" t="s">
        <v>41</v>
      </c>
      <c r="F61" s="19">
        <v>3.48</v>
      </c>
      <c r="G61" s="38">
        <v>2.4E-2</v>
      </c>
      <c r="H61" s="38">
        <v>2.2000000000000001E-3</v>
      </c>
      <c r="I61" s="38">
        <v>2.5999999999999999E-2</v>
      </c>
      <c r="J61" s="26">
        <v>0.1</v>
      </c>
      <c r="K61" s="26">
        <v>1.6393528221352399E-10</v>
      </c>
      <c r="L61" s="26">
        <v>1.4300000000000001E-3</v>
      </c>
      <c r="M61" s="148">
        <f>'Parameters, country spec'!E22</f>
        <v>2.8904067051552513E-3</v>
      </c>
      <c r="N61" s="148">
        <f>'Parameters, country spec'!E40</f>
        <v>2.8904067051552513E-3</v>
      </c>
    </row>
    <row r="62" spans="1:16" x14ac:dyDescent="0.35">
      <c r="A62" s="20" t="s">
        <v>228</v>
      </c>
      <c r="B62" s="15" t="s">
        <v>113</v>
      </c>
      <c r="C62" s="15" t="s">
        <v>229</v>
      </c>
      <c r="D62" s="21" t="s">
        <v>40</v>
      </c>
      <c r="E62" s="21" t="s">
        <v>41</v>
      </c>
      <c r="F62" s="19">
        <v>6.17</v>
      </c>
      <c r="G62" s="38">
        <v>3.9E-2</v>
      </c>
      <c r="H62" s="38">
        <v>1.6999999999999999E-3</v>
      </c>
      <c r="I62" s="38">
        <v>4.1000000000000002E-2</v>
      </c>
      <c r="J62" s="26">
        <v>0.49</v>
      </c>
      <c r="K62" s="26">
        <v>2.9068588123452401E-10</v>
      </c>
      <c r="L62" s="26">
        <v>0</v>
      </c>
      <c r="M62" s="148">
        <f>'Parameters, country spec'!E23</f>
        <v>2.7727022810161413E-4</v>
      </c>
      <c r="N62" s="148">
        <f>'Parameters, country spec'!E41</f>
        <v>2.7727022810161413E-4</v>
      </c>
    </row>
    <row r="63" spans="1:16" x14ac:dyDescent="0.35">
      <c r="A63" s="20" t="s">
        <v>230</v>
      </c>
      <c r="B63" s="15" t="s">
        <v>114</v>
      </c>
      <c r="C63" s="15" t="s">
        <v>229</v>
      </c>
      <c r="D63" s="21" t="s">
        <v>40</v>
      </c>
      <c r="E63" s="21" t="s">
        <v>41</v>
      </c>
      <c r="F63" s="19">
        <v>3.82</v>
      </c>
      <c r="G63" s="38">
        <v>0.01</v>
      </c>
      <c r="H63" s="38">
        <v>2E-3</v>
      </c>
      <c r="I63" s="38">
        <v>0.30099999999999999</v>
      </c>
      <c r="J63" s="26">
        <v>1.05</v>
      </c>
      <c r="K63" s="26">
        <v>1.80003018221698E-10</v>
      </c>
      <c r="L63" s="26">
        <v>6.1400000000000002E-5</v>
      </c>
      <c r="M63" s="148">
        <f>'Parameters, country spec'!E24</f>
        <v>2.7237073543292042E-4</v>
      </c>
      <c r="N63" s="148">
        <f>'Parameters, country spec'!E42</f>
        <v>2.7237073543292042E-4</v>
      </c>
    </row>
    <row r="64" spans="1:16" x14ac:dyDescent="0.35">
      <c r="B64" s="16" t="s">
        <v>115</v>
      </c>
      <c r="C64" s="15" t="s">
        <v>231</v>
      </c>
      <c r="D64" s="21" t="s">
        <v>40</v>
      </c>
      <c r="E64" s="21" t="s">
        <v>41</v>
      </c>
      <c r="F64" s="17">
        <f>'Off-farm feed'!$F$88</f>
        <v>1.5397450382845068</v>
      </c>
      <c r="G64" s="18">
        <f>'Off-farm feed'!$G$88</f>
        <v>2.276724967641296E-2</v>
      </c>
      <c r="H64" s="18">
        <f>'Off-farm feed'!$H$88</f>
        <v>2.4780679919905292E-3</v>
      </c>
      <c r="I64" s="18">
        <f>'Off-farm feed'!$I$88</f>
        <v>8.1100925319702543E-4</v>
      </c>
      <c r="J64" s="27">
        <f>'Off-farm feed'!$J$88</f>
        <v>0.29368572248181479</v>
      </c>
      <c r="K64" s="27">
        <f>'Off-farm feed'!$K$88</f>
        <v>1.2571008272056975E-11</v>
      </c>
      <c r="L64" s="27">
        <f>'Off-farm feed'!$L$88</f>
        <v>1.3841258986185109E-3</v>
      </c>
      <c r="M64" s="148">
        <f>'Parameters, country spec'!E25</f>
        <v>3.0258775338687637E-4</v>
      </c>
      <c r="N64" s="148">
        <f>'Parameters, country spec'!E43</f>
        <v>3.0258775338687637E-4</v>
      </c>
    </row>
    <row r="65" spans="1:16" x14ac:dyDescent="0.35">
      <c r="B65" s="16" t="s">
        <v>232</v>
      </c>
      <c r="C65" s="15" t="s">
        <v>231</v>
      </c>
      <c r="D65" s="21" t="s">
        <v>40</v>
      </c>
      <c r="E65" s="21" t="s">
        <v>41</v>
      </c>
      <c r="F65" s="17">
        <f>'Off-farm feed'!$F$36</f>
        <v>2.5509164954964105</v>
      </c>
      <c r="G65" s="18">
        <f>'Off-farm feed'!$G$36</f>
        <v>4.2620923125915401E-2</v>
      </c>
      <c r="H65" s="18">
        <f>'Off-farm feed'!$H$36</f>
        <v>3.2959349471355006E-3</v>
      </c>
      <c r="I65" s="18">
        <f>'Off-farm feed'!$I$36</f>
        <v>2.435286335413451E-3</v>
      </c>
      <c r="J65" s="27">
        <f>'Off-farm feed'!$J$36</f>
        <v>0.25920846302270906</v>
      </c>
      <c r="K65" s="27">
        <f>'Off-farm feed'!$K$36</f>
        <v>1.4553836091881654E-10</v>
      </c>
      <c r="L65" s="27">
        <f>'Off-farm feed'!$L$36</f>
        <v>1.0450321677831977E-4</v>
      </c>
      <c r="M65" s="148">
        <f>'Parameters, country spec'!E26</f>
        <v>5.3317910590755316E-2</v>
      </c>
      <c r="N65" s="148">
        <f>'Parameters, country spec'!E44</f>
        <v>5.3317910590755316E-2</v>
      </c>
    </row>
    <row r="66" spans="1:16" x14ac:dyDescent="0.35">
      <c r="B66" s="15" t="s">
        <v>117</v>
      </c>
      <c r="C66" s="15" t="s">
        <v>233</v>
      </c>
      <c r="D66" s="21" t="s">
        <v>40</v>
      </c>
      <c r="E66" s="21" t="s">
        <v>41</v>
      </c>
      <c r="F66" s="19">
        <v>1.43592271757031</v>
      </c>
      <c r="G66" s="19">
        <v>1.1762359809494499E-2</v>
      </c>
      <c r="H66" s="19">
        <v>1.0762943616530901E-3</v>
      </c>
      <c r="I66" s="26">
        <v>9.8109096190169207E-3</v>
      </c>
      <c r="J66" s="26">
        <v>7.0359101380209704E-2</v>
      </c>
      <c r="K66" s="26">
        <v>5.88869936798157E-13</v>
      </c>
      <c r="L66" s="26">
        <v>7.1508799141679696E-4</v>
      </c>
      <c r="M66" s="148">
        <f>'Parameters, country spec'!E27</f>
        <v>4.6947510766466367E-2</v>
      </c>
      <c r="N66" s="148">
        <f>'Parameters, country spec'!E45</f>
        <v>4.6947510766466367E-2</v>
      </c>
    </row>
    <row r="67" spans="1:16" x14ac:dyDescent="0.35">
      <c r="A67" s="75"/>
      <c r="B67" s="15" t="s">
        <v>234</v>
      </c>
      <c r="C67" s="76" t="s">
        <v>235</v>
      </c>
      <c r="D67" s="21" t="s">
        <v>40</v>
      </c>
      <c r="E67" s="21" t="s">
        <v>41</v>
      </c>
      <c r="F67" s="73">
        <f t="shared" ref="F67:L67" si="3">AVERAGE(F57:F65)</f>
        <v>3.833406837086768</v>
      </c>
      <c r="G67" s="98">
        <f t="shared" si="3"/>
        <v>2.3709796978036487E-2</v>
      </c>
      <c r="H67" s="98">
        <f t="shared" si="3"/>
        <v>2.8193336599028917E-3</v>
      </c>
      <c r="I67" s="98">
        <f t="shared" si="3"/>
        <v>8.4027366176512269E-2</v>
      </c>
      <c r="J67" s="74">
        <f t="shared" si="3"/>
        <v>0.26698824283383599</v>
      </c>
      <c r="K67" s="74">
        <f t="shared" si="3"/>
        <v>1.7671681009862347E-10</v>
      </c>
      <c r="L67" s="74">
        <f t="shared" si="3"/>
        <v>8.3422545726631451E-4</v>
      </c>
      <c r="M67" s="148">
        <f>'Parameters, country spec'!E28</f>
        <v>6.3606681280279728E-2</v>
      </c>
      <c r="N67" s="148">
        <f>'Parameters, country spec'!E46</f>
        <v>6.3606681280279728E-2</v>
      </c>
    </row>
    <row r="68" spans="1:16" x14ac:dyDescent="0.35">
      <c r="A68" s="321"/>
      <c r="B68" s="322" t="s">
        <v>541</v>
      </c>
      <c r="C68" s="323"/>
      <c r="D68" s="324"/>
      <c r="E68" s="324"/>
      <c r="F68" s="325">
        <f>SUMPRODUCT(F54:F56,M54:M56)+SUMPRODUCT(F57:F67,M57:M67)/0.87</f>
        <v>1.4872129808536005</v>
      </c>
      <c r="G68" s="326">
        <f>SUMPRODUCT(G54:G56,M54:M56)+SUMPRODUCT(G57:G67,M57:M67)/0.87</f>
        <v>2.1812417250502897E-2</v>
      </c>
      <c r="H68" s="326">
        <f>SUMPRODUCT(H54:H56,M54:M56)+SUMPRODUCT(H57:H67,M57:M67)/0.87</f>
        <v>2.4480103438524843E-3</v>
      </c>
      <c r="I68" s="326">
        <f>SUMPRODUCT(I54:I56,M54:M56)+SUMPRODUCT(I57:I67,M57:M67)/0.87</f>
        <v>8.678628578736261E-2</v>
      </c>
      <c r="J68" s="327">
        <f>SUMPRODUCT(J54:J56,M54:M56)+SUMPRODUCT(J57:J67,M57:M67)/0.87</f>
        <v>6.4056286328814827E-2</v>
      </c>
      <c r="K68" s="327">
        <f>SUMPRODUCT(K54:K56,M54:M56)+SUMPRODUCT(K57:K67,M57:M67)/0.87</f>
        <v>1.3077342933945839E-10</v>
      </c>
      <c r="L68" s="327">
        <f>SUMPRODUCT(L54:L56,M54:M56)+SUMPRODUCT(L57:L67,M57:M67)/0.87</f>
        <v>8.6912769237757707E-4</v>
      </c>
      <c r="M68" s="328"/>
      <c r="N68" s="329"/>
    </row>
    <row r="69" spans="1:16" x14ac:dyDescent="0.35">
      <c r="A69" s="147"/>
      <c r="B69" s="23" t="s">
        <v>558</v>
      </c>
      <c r="C69" s="24"/>
      <c r="D69" s="94"/>
      <c r="E69" s="94"/>
      <c r="F69" s="320">
        <f>SUMPRODUCT(F54:F57,N54:N57)+SUMPRODUCT(F58:F68,N58:N68)/0.87</f>
        <v>1.4518462480655172</v>
      </c>
      <c r="G69" s="25">
        <f>SUMPRODUCT(G54:G57,N54:N57)+SUMPRODUCT(G58:G68,N58:N68)/0.87</f>
        <v>2.1601422537846714E-2</v>
      </c>
      <c r="H69" s="25">
        <f>SUMPRODUCT(H54:H57,N54:N57)+SUMPRODUCT(H58:H68,N58:N68)/0.87</f>
        <v>2.4168635053175239E-3</v>
      </c>
      <c r="I69" s="25">
        <f>SUMPRODUCT(I54:I57,N54:N57)+SUMPRODUCT(I58:I68,N58:N68)/0.87</f>
        <v>8.6695859481938531E-2</v>
      </c>
      <c r="J69" s="28">
        <f>SUMPRODUCT(J54:J57,N54:N57)+SUMPRODUCT(J58:J68,N58:N68)/0.87</f>
        <v>6.244870756572013E-2</v>
      </c>
      <c r="K69" s="28">
        <f>SUMPRODUCT(K54:K57,N54:N57)+SUMPRODUCT(K58:K68,N58:N68)/0.87</f>
        <v>1.2910765803437087E-10</v>
      </c>
      <c r="L69" s="28">
        <f>SUMPRODUCT(L54:L57,N54:N57)+SUMPRODUCT(L58:L68,N58:N68)/0.87</f>
        <v>8.5656848329089975E-4</v>
      </c>
      <c r="M69" s="149"/>
      <c r="N69" s="149"/>
    </row>
    <row r="70" spans="1:16" x14ac:dyDescent="0.35">
      <c r="B70" s="16" t="s">
        <v>285</v>
      </c>
      <c r="C70" s="15" t="s">
        <v>288</v>
      </c>
      <c r="D70" s="21" t="s">
        <v>91</v>
      </c>
      <c r="E70" s="21" t="s">
        <v>43</v>
      </c>
      <c r="F70" s="108">
        <v>0</v>
      </c>
      <c r="G70" s="312">
        <f>'Forage crops, footprints'!G12</f>
        <v>1.4248888174213355E-2</v>
      </c>
      <c r="H70" s="313">
        <f>'Forage crops, footprints'!H12</f>
        <v>2.3847872238080535E-4</v>
      </c>
      <c r="I70" s="312">
        <f>'Forage crops, footprints'!I12</f>
        <v>0</v>
      </c>
      <c r="J70" s="118">
        <f>'Forage crops, footprints'!J12</f>
        <v>0</v>
      </c>
      <c r="K70" s="118">
        <f>'Forage crops, footprints'!K12</f>
        <v>5.2095311566368996E-11</v>
      </c>
      <c r="L70" s="118">
        <f>'Forage crops, footprints'!L12</f>
        <v>3.5122388625340054E-4</v>
      </c>
      <c r="M70" s="148">
        <f>'Parameters, country spec'!F15</f>
        <v>7.7439143939213403E-2</v>
      </c>
      <c r="N70" s="148">
        <f>'Parameters, country spec'!F33</f>
        <v>7.7439143939213403E-2</v>
      </c>
      <c r="O70" s="18"/>
      <c r="P70" s="148"/>
    </row>
    <row r="71" spans="1:16" x14ac:dyDescent="0.35">
      <c r="B71" s="16" t="s">
        <v>286</v>
      </c>
      <c r="C71" s="15" t="s">
        <v>288</v>
      </c>
      <c r="D71" s="21" t="s">
        <v>91</v>
      </c>
      <c r="E71" s="21" t="s">
        <v>43</v>
      </c>
      <c r="F71" s="108">
        <f>'Forage crops, footprints'!F29</f>
        <v>1.0253586201655651</v>
      </c>
      <c r="G71" s="312">
        <f>'Forage crops, footprints'!G29</f>
        <v>1.2271227357465341E-2</v>
      </c>
      <c r="H71" s="312">
        <f>'Forage crops, footprints'!H29</f>
        <v>1.3430753757098248E-4</v>
      </c>
      <c r="I71" s="312">
        <f>'Forage crops, footprints'!I29</f>
        <v>1.9999999999999996E-3</v>
      </c>
      <c r="J71" s="118">
        <f>'Forage crops, footprints'!J29</f>
        <v>1.0479214179139297E-4</v>
      </c>
      <c r="K71" s="118">
        <f>'Forage crops, footprints'!K29</f>
        <v>1.2876214228064374E-11</v>
      </c>
      <c r="L71" s="118">
        <f>'Forage crops, footprints'!L29</f>
        <v>7.4602439182191841E-4</v>
      </c>
      <c r="M71" s="148">
        <f>'Parameters, country spec'!F16</f>
        <v>0.38082943222890436</v>
      </c>
      <c r="N71" s="148">
        <f>'Parameters, country spec'!F34</f>
        <v>0.38082943222890436</v>
      </c>
      <c r="O71" s="18"/>
      <c r="P71" s="148"/>
    </row>
    <row r="72" spans="1:16" x14ac:dyDescent="0.35">
      <c r="B72" s="16" t="s">
        <v>287</v>
      </c>
      <c r="C72" s="15" t="s">
        <v>288</v>
      </c>
      <c r="D72" s="21" t="s">
        <v>91</v>
      </c>
      <c r="E72" s="21" t="s">
        <v>43</v>
      </c>
      <c r="F72" s="108">
        <f>'Forage, input data per ha'!$E$82*'Forage crops, footprints'!F46+'Forage, input data per ha'!$G$82*'Forage crops, footprints'!F63</f>
        <v>2.7028985341242899</v>
      </c>
      <c r="G72" s="312">
        <f>'Forage, input data per ha'!$E$82*'Forage crops, footprints'!G46+'Forage, input data per ha'!$G$82*'Forage crops, footprints'!G63</f>
        <v>4.054199376679668E-2</v>
      </c>
      <c r="H72" s="312">
        <f>'Forage, input data per ha'!$E$82*'Forage crops, footprints'!H46+'Forage, input data per ha'!$G$82*'Forage crops, footprints'!H63</f>
        <v>2.8519324749103334E-3</v>
      </c>
      <c r="I72" s="312">
        <f>'Forage, input data per ha'!$E$82*'Forage crops, footprints'!I46+'Forage, input data per ha'!$G$82*'Forage crops, footprints'!I63</f>
        <v>0</v>
      </c>
      <c r="J72" s="118">
        <f>'Forage, input data per ha'!$E$82*'Forage crops, footprints'!J46+'Forage, input data per ha'!$G$82*'Forage crops, footprints'!J63</f>
        <v>5.7200181084044476E-5</v>
      </c>
      <c r="K72" s="118">
        <f>'Forage, input data per ha'!$E$82*'Forage crops, footprints'!K46+'Forage, input data per ha'!$G$82*'Forage crops, footprints'!K63</f>
        <v>2.3585642221275293E-11</v>
      </c>
      <c r="L72" s="118">
        <f>'Forage, input data per ha'!$E$82*'Forage crops, footprints'!L46+'Forage, input data per ha'!$G$82*'Forage crops, footprints'!L63</f>
        <v>5.7351816877562223E-5</v>
      </c>
      <c r="M72" s="148">
        <f>'Parameters, country spec'!F17</f>
        <v>0.18201404564523588</v>
      </c>
      <c r="N72" s="148">
        <f>'Parameters, country spec'!F35</f>
        <v>0.18201404564523588</v>
      </c>
      <c r="O72" s="18"/>
      <c r="P72" s="148"/>
    </row>
    <row r="73" spans="1:16" x14ac:dyDescent="0.35">
      <c r="A73" s="20" t="s">
        <v>222</v>
      </c>
      <c r="B73" s="15" t="s">
        <v>108</v>
      </c>
      <c r="C73" s="15" t="s">
        <v>223</v>
      </c>
      <c r="D73" s="21" t="s">
        <v>91</v>
      </c>
      <c r="E73" s="21" t="s">
        <v>43</v>
      </c>
      <c r="F73" s="22">
        <v>1.81</v>
      </c>
      <c r="G73" s="38">
        <v>2.1000000000000001E-2</v>
      </c>
      <c r="H73" s="38">
        <v>3.0999999999999999E-3</v>
      </c>
      <c r="I73" s="38">
        <v>1E-3</v>
      </c>
      <c r="J73" s="26">
        <v>0.15</v>
      </c>
      <c r="K73" s="26">
        <v>2.2735984999651601E-11</v>
      </c>
      <c r="L73" s="26">
        <v>1.25E-3</v>
      </c>
      <c r="M73" s="148">
        <f>'Parameters, country spec'!F18</f>
        <v>1.3777713958130216E-2</v>
      </c>
      <c r="N73" s="148">
        <f>'Parameters, country spec'!F36</f>
        <v>1.3777713958130216E-2</v>
      </c>
    </row>
    <row r="74" spans="1:16" x14ac:dyDescent="0.35">
      <c r="A74" s="20" t="s">
        <v>224</v>
      </c>
      <c r="B74" s="15" t="s">
        <v>109</v>
      </c>
      <c r="C74" s="15" t="s">
        <v>223</v>
      </c>
      <c r="D74" s="21" t="s">
        <v>91</v>
      </c>
      <c r="E74" s="21" t="s">
        <v>43</v>
      </c>
      <c r="F74" s="19">
        <v>1.32</v>
      </c>
      <c r="G74" s="38">
        <v>0.02</v>
      </c>
      <c r="H74" s="38">
        <v>5.5999999999999999E-3</v>
      </c>
      <c r="I74" s="38">
        <v>2E-3</v>
      </c>
      <c r="J74" s="26">
        <v>0.13</v>
      </c>
      <c r="K74" s="26">
        <v>1.6571915366398901E-11</v>
      </c>
      <c r="L74" s="26">
        <v>1.2099999999999999E-3</v>
      </c>
      <c r="M74" s="148">
        <f>'Parameters, country spec'!F19</f>
        <v>8.1721304315358359E-2</v>
      </c>
      <c r="N74" s="148">
        <f>'Parameters, country spec'!F37</f>
        <v>8.1721304315358359E-2</v>
      </c>
    </row>
    <row r="75" spans="1:16" x14ac:dyDescent="0.35">
      <c r="A75" s="20" t="s">
        <v>225</v>
      </c>
      <c r="B75" s="15" t="s">
        <v>110</v>
      </c>
      <c r="C75" s="15" t="s">
        <v>223</v>
      </c>
      <c r="D75" s="21" t="s">
        <v>91</v>
      </c>
      <c r="E75" s="21" t="s">
        <v>43</v>
      </c>
      <c r="F75" s="19">
        <v>3.46</v>
      </c>
      <c r="G75" s="38">
        <v>1.7999999999999999E-2</v>
      </c>
      <c r="H75" s="38">
        <v>3.8E-3</v>
      </c>
      <c r="I75" s="38">
        <v>8.9999999999999993E-3</v>
      </c>
      <c r="J75" s="26">
        <v>0</v>
      </c>
      <c r="K75" s="26">
        <v>4.3463909522426497E-11</v>
      </c>
      <c r="L75" s="26">
        <v>1.1000000000000001E-3</v>
      </c>
      <c r="M75" s="148">
        <f>'Parameters, country spec'!F20</f>
        <v>7.3794391499110061E-3</v>
      </c>
      <c r="N75" s="148">
        <f>'Parameters, country spec'!F38</f>
        <v>7.3794391499110061E-3</v>
      </c>
    </row>
    <row r="76" spans="1:16" x14ac:dyDescent="0.35">
      <c r="A76" s="20" t="s">
        <v>226</v>
      </c>
      <c r="B76" s="15" t="s">
        <v>111</v>
      </c>
      <c r="C76" s="15" t="s">
        <v>223</v>
      </c>
      <c r="D76" s="21" t="s">
        <v>91</v>
      </c>
      <c r="E76" s="21" t="s">
        <v>43</v>
      </c>
      <c r="F76" s="19">
        <v>3</v>
      </c>
      <c r="G76" s="38">
        <v>1.6E-2</v>
      </c>
      <c r="H76" s="38">
        <v>1.1999999999999999E-3</v>
      </c>
      <c r="I76" s="38">
        <v>0</v>
      </c>
      <c r="J76" s="26">
        <v>7.0000000000000007E-2</v>
      </c>
      <c r="K76" s="26">
        <v>3.7695615589001398E-11</v>
      </c>
      <c r="L76" s="26">
        <v>9.68E-4</v>
      </c>
      <c r="M76" s="148">
        <f>'Parameters, country spec'!F21</f>
        <v>2.8681330795635538E-3</v>
      </c>
      <c r="N76" s="148">
        <f>'Parameters, country spec'!F39</f>
        <v>2.8681330795635538E-3</v>
      </c>
    </row>
    <row r="77" spans="1:16" x14ac:dyDescent="0.35">
      <c r="A77" s="20" t="s">
        <v>227</v>
      </c>
      <c r="B77" s="15" t="s">
        <v>112</v>
      </c>
      <c r="C77" s="15" t="s">
        <v>223</v>
      </c>
      <c r="D77" s="21" t="s">
        <v>91</v>
      </c>
      <c r="E77" s="21" t="s">
        <v>43</v>
      </c>
      <c r="F77" s="19">
        <v>1.84</v>
      </c>
      <c r="G77" s="38">
        <v>2.4E-2</v>
      </c>
      <c r="H77" s="38">
        <v>2.2000000000000001E-3</v>
      </c>
      <c r="I77" s="38">
        <v>2E-3</v>
      </c>
      <c r="J77" s="26">
        <v>0.18</v>
      </c>
      <c r="K77" s="26">
        <v>2.3049047763436501E-11</v>
      </c>
      <c r="L77" s="26">
        <v>1.4300000000000001E-3</v>
      </c>
      <c r="M77" s="148">
        <f>'Parameters, country spec'!F22</f>
        <v>1.2902756316192223E-2</v>
      </c>
      <c r="N77" s="148">
        <f>'Parameters, country spec'!F40</f>
        <v>1.2902756316192223E-2</v>
      </c>
    </row>
    <row r="78" spans="1:16" x14ac:dyDescent="0.35">
      <c r="A78" s="20" t="s">
        <v>228</v>
      </c>
      <c r="B78" s="15" t="s">
        <v>113</v>
      </c>
      <c r="C78" s="15" t="s">
        <v>229</v>
      </c>
      <c r="D78" s="21" t="s">
        <v>91</v>
      </c>
      <c r="E78" s="21" t="s">
        <v>43</v>
      </c>
      <c r="F78" s="19">
        <v>4.21</v>
      </c>
      <c r="G78" s="38">
        <v>2.7E-2</v>
      </c>
      <c r="H78" s="38">
        <v>1.6999999999999999E-3</v>
      </c>
      <c r="I78" s="38">
        <v>7.3999999999999996E-2</v>
      </c>
      <c r="J78" s="26">
        <v>1.01</v>
      </c>
      <c r="K78" s="26">
        <v>5.2926507556255198E-11</v>
      </c>
      <c r="L78" s="26">
        <v>0</v>
      </c>
      <c r="M78" s="148">
        <f>'Parameters, country spec'!F23</f>
        <v>9.2331122908701521E-4</v>
      </c>
      <c r="N78" s="148">
        <f>'Parameters, country spec'!F41</f>
        <v>9.2331122908701521E-4</v>
      </c>
    </row>
    <row r="79" spans="1:16" x14ac:dyDescent="0.35">
      <c r="A79" s="20" t="s">
        <v>230</v>
      </c>
      <c r="B79" s="15" t="s">
        <v>114</v>
      </c>
      <c r="C79" s="15" t="s">
        <v>229</v>
      </c>
      <c r="D79" s="21" t="s">
        <v>91</v>
      </c>
      <c r="E79" s="21" t="s">
        <v>43</v>
      </c>
      <c r="F79" s="19">
        <v>5.26</v>
      </c>
      <c r="G79" s="38">
        <v>1.4E-2</v>
      </c>
      <c r="H79" s="38">
        <v>2E-3</v>
      </c>
      <c r="I79" s="38">
        <v>0.109</v>
      </c>
      <c r="J79" s="26">
        <v>1.01</v>
      </c>
      <c r="K79" s="26">
        <v>6.6044843772260198E-11</v>
      </c>
      <c r="L79" s="26">
        <v>6.1400000000000002E-5</v>
      </c>
      <c r="M79" s="148">
        <f>'Parameters, country spec'!F24</f>
        <v>9.0699589423403552E-4</v>
      </c>
      <c r="N79" s="148">
        <f>'Parameters, country spec'!F42</f>
        <v>9.0699589423403552E-4</v>
      </c>
    </row>
    <row r="80" spans="1:16" x14ac:dyDescent="0.35">
      <c r="B80" s="16" t="s">
        <v>115</v>
      </c>
      <c r="C80" s="15" t="s">
        <v>231</v>
      </c>
      <c r="D80" s="21" t="s">
        <v>91</v>
      </c>
      <c r="E80" s="21" t="s">
        <v>43</v>
      </c>
      <c r="F80" s="17">
        <f>'Off-farm feed'!$F$88</f>
        <v>1.5397450382845068</v>
      </c>
      <c r="G80" s="18">
        <f>'Off-farm feed'!$G$88</f>
        <v>2.276724967641296E-2</v>
      </c>
      <c r="H80" s="18">
        <f>'Off-farm feed'!$H$88</f>
        <v>2.4780679919905292E-3</v>
      </c>
      <c r="I80" s="18">
        <f>'Off-farm feed'!$I$88</f>
        <v>8.1100925319702543E-4</v>
      </c>
      <c r="J80" s="27">
        <f>'Off-farm feed'!$J$88</f>
        <v>0.29368572248181479</v>
      </c>
      <c r="K80" s="27">
        <f>'Off-farm feed'!$K$88</f>
        <v>1.2571008272056975E-11</v>
      </c>
      <c r="L80" s="27">
        <f>'Off-farm feed'!$L$88</f>
        <v>1.3841258986185109E-3</v>
      </c>
      <c r="M80" s="148">
        <f>'Parameters, country spec'!F25</f>
        <v>3.9849321881062677E-4</v>
      </c>
      <c r="N80" s="148">
        <f>'Parameters, country spec'!F43</f>
        <v>3.9849321881062677E-4</v>
      </c>
    </row>
    <row r="81" spans="1:16" x14ac:dyDescent="0.35">
      <c r="B81" s="16" t="s">
        <v>232</v>
      </c>
      <c r="C81" s="15" t="s">
        <v>231</v>
      </c>
      <c r="D81" s="21" t="s">
        <v>91</v>
      </c>
      <c r="E81" s="21" t="s">
        <v>43</v>
      </c>
      <c r="F81" s="17">
        <f>'Off-farm feed'!$F$36</f>
        <v>2.5509164954964105</v>
      </c>
      <c r="G81" s="18">
        <f>'Off-farm feed'!$G$36</f>
        <v>4.2620923125915401E-2</v>
      </c>
      <c r="H81" s="18">
        <f>'Off-farm feed'!$H$36</f>
        <v>3.2959349471355006E-3</v>
      </c>
      <c r="I81" s="18">
        <f>'Off-farm feed'!$I$36</f>
        <v>2.435286335413451E-3</v>
      </c>
      <c r="J81" s="27">
        <f>'Off-farm feed'!$J$36</f>
        <v>0.25920846302270906</v>
      </c>
      <c r="K81" s="27">
        <f>'Off-farm feed'!$K$36</f>
        <v>1.4553836091881654E-10</v>
      </c>
      <c r="L81" s="27">
        <f>'Off-farm feed'!$L$36</f>
        <v>1.0450321677831977E-4</v>
      </c>
      <c r="M81" s="148">
        <f>'Parameters, country spec'!F26</f>
        <v>7.5984876674379837E-2</v>
      </c>
      <c r="N81" s="148">
        <f>'Parameters, country spec'!F44</f>
        <v>7.5984876674379837E-2</v>
      </c>
    </row>
    <row r="82" spans="1:16" x14ac:dyDescent="0.35">
      <c r="B82" s="15" t="s">
        <v>117</v>
      </c>
      <c r="C82" s="15" t="s">
        <v>233</v>
      </c>
      <c r="D82" s="21" t="s">
        <v>91</v>
      </c>
      <c r="E82" s="21" t="s">
        <v>43</v>
      </c>
      <c r="F82" s="19">
        <v>0.91700426025091397</v>
      </c>
      <c r="G82" s="19">
        <v>1.1762359809494499E-2</v>
      </c>
      <c r="H82" s="19">
        <v>1.0762943616530901E-3</v>
      </c>
      <c r="I82" s="26">
        <v>1.01619563992494E-3</v>
      </c>
      <c r="J82" s="26">
        <v>9.0396112827555303E-2</v>
      </c>
      <c r="K82" s="26">
        <v>1.1960625691745099E-13</v>
      </c>
      <c r="L82" s="26">
        <v>7.1508799141679696E-4</v>
      </c>
      <c r="M82" s="148">
        <f>'Parameters, country spec'!F27</f>
        <v>9.4871367549450719E-2</v>
      </c>
      <c r="N82" s="148">
        <f>'Parameters, country spec'!F45</f>
        <v>9.4871367549450719E-2</v>
      </c>
    </row>
    <row r="83" spans="1:16" x14ac:dyDescent="0.35">
      <c r="A83" s="75"/>
      <c r="B83" s="15" t="s">
        <v>234</v>
      </c>
      <c r="C83" s="76" t="s">
        <v>235</v>
      </c>
      <c r="D83" s="21" t="s">
        <v>91</v>
      </c>
      <c r="E83" s="21" t="s">
        <v>43</v>
      </c>
      <c r="F83" s="73">
        <f t="shared" ref="F83:L83" si="4">AVERAGE(F73:F81)</f>
        <v>2.7767401704201018</v>
      </c>
      <c r="G83" s="98">
        <f t="shared" si="4"/>
        <v>2.2820908089147596E-2</v>
      </c>
      <c r="H83" s="98">
        <f t="shared" si="4"/>
        <v>2.8193336599028917E-3</v>
      </c>
      <c r="I83" s="98">
        <f t="shared" si="4"/>
        <v>2.2249588398734498E-2</v>
      </c>
      <c r="J83" s="161">
        <f t="shared" si="4"/>
        <v>0.34476602061161377</v>
      </c>
      <c r="K83" s="74">
        <f t="shared" si="4"/>
        <v>4.6733021528922641E-11</v>
      </c>
      <c r="L83" s="161">
        <f t="shared" si="4"/>
        <v>8.3422545726631451E-4</v>
      </c>
      <c r="M83" s="148">
        <f>'Parameters, country spec'!F28</f>
        <v>6.7982986801529061E-2</v>
      </c>
      <c r="N83" s="148">
        <f>'Parameters, country spec'!F46</f>
        <v>6.7982986801529061E-2</v>
      </c>
    </row>
    <row r="84" spans="1:16" x14ac:dyDescent="0.35">
      <c r="A84" s="321"/>
      <c r="B84" s="322" t="s">
        <v>541</v>
      </c>
      <c r="C84" s="323"/>
      <c r="D84" s="324"/>
      <c r="E84" s="324"/>
      <c r="F84" s="325">
        <f>SUMPRODUCT(F70:F72,M70:M72)+SUMPRODUCT(F73:F83,M73:M83)/0.87</f>
        <v>1.6520605656773473</v>
      </c>
      <c r="G84" s="326">
        <f>SUMPRODUCT(G70:G72,M70:M72)+SUMPRODUCT(G73:G83,M73:M83)/0.87</f>
        <v>2.277051584893168E-2</v>
      </c>
      <c r="H84" s="326">
        <f>SUMPRODUCT(H70:H72,M70:M72)+SUMPRODUCT(H73:H83,M73:M83)/0.87</f>
        <v>1.8632001195301798E-3</v>
      </c>
      <c r="I84" s="326">
        <f>SUMPRODUCT(I70:I72,M70:M72)+SUMPRODUCT(I73:I83,M73:M83)/0.87</f>
        <v>3.3260241852089058E-3</v>
      </c>
      <c r="J84" s="327">
        <f>SUMPRODUCT(J70:J72,M70:M72)+SUMPRODUCT(J73:J83,M73:M83)/0.87</f>
        <v>7.9233633927220493E-2</v>
      </c>
      <c r="K84" s="327">
        <f>SUMPRODUCT(K70:K72,M70:M72)+SUMPRODUCT(K73:K83,M73:M83)/0.87</f>
        <v>3.2489018952556389E-11</v>
      </c>
      <c r="L84" s="327">
        <f>SUMPRODUCT(L70:L72,M70:M72)+SUMPRODUCT(L73:L83,M73:M83)/0.87</f>
        <v>6.4192010641968169E-4</v>
      </c>
      <c r="M84" s="328"/>
      <c r="N84" s="329"/>
    </row>
    <row r="85" spans="1:16" x14ac:dyDescent="0.35">
      <c r="A85" s="147"/>
      <c r="B85" s="23" t="s">
        <v>558</v>
      </c>
      <c r="C85" s="24"/>
      <c r="D85" s="94"/>
      <c r="E85" s="94"/>
      <c r="F85" s="320">
        <f>SUMPRODUCT(F70:F73,N70:N73)+SUMPRODUCT(F74:F84,N74:N84)/0.87</f>
        <v>1.6483342483275221</v>
      </c>
      <c r="G85" s="25">
        <f>SUMPRODUCT(G70:G73,N70:N73)+SUMPRODUCT(G74:G84,N74:N84)/0.87</f>
        <v>2.2727282332718236E-2</v>
      </c>
      <c r="H85" s="25">
        <f>SUMPRODUCT(H70:H73,N70:N73)+SUMPRODUCT(H74:H84,N74:N84)/0.87</f>
        <v>1.8568180290415286E-3</v>
      </c>
      <c r="I85" s="25">
        <f>SUMPRODUCT(I70:I73,N70:N73)+SUMPRODUCT(I74:I84,N74:N84)/0.87</f>
        <v>3.3239654463415986E-3</v>
      </c>
      <c r="J85" s="28">
        <f>SUMPRODUCT(J70:J73,N70:N73)+SUMPRODUCT(J74:J84,N74:N84)/0.87</f>
        <v>7.892482309712448E-2</v>
      </c>
      <c r="K85" s="28">
        <f>SUMPRODUCT(K70:K73,N70:N73)+SUMPRODUCT(K74:K84,N74:N84)/0.87</f>
        <v>3.2442211496551103E-11</v>
      </c>
      <c r="L85" s="28">
        <f>SUMPRODUCT(L70:L73,N70:N73)+SUMPRODUCT(L74:L84,N74:N84)/0.87</f>
        <v>6.3934668283554814E-4</v>
      </c>
      <c r="M85" s="149"/>
      <c r="N85" s="149"/>
    </row>
    <row r="86" spans="1:16" x14ac:dyDescent="0.35">
      <c r="B86" s="16" t="s">
        <v>285</v>
      </c>
      <c r="C86" s="15" t="s">
        <v>288</v>
      </c>
      <c r="D86" s="21" t="s">
        <v>44</v>
      </c>
      <c r="E86" s="21" t="s">
        <v>45</v>
      </c>
      <c r="F86" s="108">
        <v>0</v>
      </c>
      <c r="G86" s="312">
        <f>'Forage crops, footprints'!G13</f>
        <v>1.4248888174213353E-2</v>
      </c>
      <c r="H86" s="313">
        <f>'Forage crops, footprints'!H13</f>
        <v>2.3847872238080538E-4</v>
      </c>
      <c r="I86" s="312">
        <f>'Forage crops, footprints'!I13</f>
        <v>0</v>
      </c>
      <c r="J86" s="118">
        <f>'Forage crops, footprints'!J13</f>
        <v>0</v>
      </c>
      <c r="K86" s="118">
        <f>'Forage crops, footprints'!K13</f>
        <v>3.5392110708600907E-12</v>
      </c>
      <c r="L86" s="118">
        <f>'Forage crops, footprints'!L13</f>
        <v>3.5122388625340054E-4</v>
      </c>
      <c r="M86" s="148">
        <f>'Parameters, country spec'!G15</f>
        <v>0.75114991922794239</v>
      </c>
      <c r="N86" s="148">
        <f>'Parameters, country spec'!G33</f>
        <v>0.75114991922794239</v>
      </c>
      <c r="O86" s="18"/>
      <c r="P86" s="148"/>
    </row>
    <row r="87" spans="1:16" x14ac:dyDescent="0.35">
      <c r="B87" s="16" t="s">
        <v>286</v>
      </c>
      <c r="C87" s="15" t="s">
        <v>288</v>
      </c>
      <c r="D87" s="21" t="s">
        <v>44</v>
      </c>
      <c r="E87" s="21" t="s">
        <v>45</v>
      </c>
      <c r="F87" s="108">
        <f>'Forage crops, footprints'!F30</f>
        <v>0.61943752006156494</v>
      </c>
      <c r="G87" s="312">
        <f>'Forage crops, footprints'!G30</f>
        <v>8.6721252808619094E-3</v>
      </c>
      <c r="H87" s="312">
        <f>'Forage crops, footprints'!H30</f>
        <v>2.2919188242277906E-3</v>
      </c>
      <c r="I87" s="312">
        <f>'Forage crops, footprints'!I30</f>
        <v>8.7000000000000008E-2</v>
      </c>
      <c r="J87" s="118">
        <f>'Forage crops, footprints'!J30</f>
        <v>1.3255962929317492E-4</v>
      </c>
      <c r="K87" s="118">
        <f>'Forage crops, footprints'!K30</f>
        <v>2.7230457417882814E-12</v>
      </c>
      <c r="L87" s="118">
        <f>'Forage crops, footprints'!L30</f>
        <v>5.2721841100292416E-4</v>
      </c>
      <c r="M87" s="148">
        <f>'Parameters, country spec'!G16</f>
        <v>1.9608947623101922E-2</v>
      </c>
      <c r="N87" s="148">
        <f>'Parameters, country spec'!G34</f>
        <v>1.9608947623101922E-2</v>
      </c>
      <c r="O87" s="18"/>
      <c r="P87" s="148"/>
    </row>
    <row r="88" spans="1:16" x14ac:dyDescent="0.35">
      <c r="B88" s="16" t="s">
        <v>287</v>
      </c>
      <c r="C88" s="15" t="s">
        <v>288</v>
      </c>
      <c r="D88" s="21" t="s">
        <v>44</v>
      </c>
      <c r="E88" s="21" t="s">
        <v>45</v>
      </c>
      <c r="F88" s="108">
        <f>'Forage, input data per ha'!$E$83*'Forage crops, footprints'!F47+'Forage, input data per ha'!$G$83*'Forage crops, footprints'!F64</f>
        <v>1.2802373966408553</v>
      </c>
      <c r="G88" s="312">
        <f>'Forage, input data per ha'!$E$83*'Forage crops, footprints'!G47+'Forage, input data per ha'!$G$83*'Forage crops, footprints'!G64</f>
        <v>1.4251561059590615E-2</v>
      </c>
      <c r="H88" s="312">
        <f>'Forage, input data per ha'!$E$83*'Forage crops, footprints'!H47+'Forage, input data per ha'!$G$83*'Forage crops, footprints'!H64</f>
        <v>2.387443989588227E-4</v>
      </c>
      <c r="I88" s="312">
        <f>'Forage, input data per ha'!$E$83*'Forage crops, footprints'!I47+'Forage, input data per ha'!$G$83*'Forage crops, footprints'!I64</f>
        <v>0</v>
      </c>
      <c r="J88" s="118">
        <f>'Forage, input data per ha'!$E$83*'Forage crops, footprints'!J47+'Forage, input data per ha'!$G$83*'Forage crops, footprints'!J64</f>
        <v>1.152646002394948E-5</v>
      </c>
      <c r="K88" s="118">
        <f>'Forage, input data per ha'!$E$83*'Forage crops, footprints'!K47+'Forage, input data per ha'!$G$83*'Forage crops, footprints'!K64</f>
        <v>3.9309806577982148E-12</v>
      </c>
      <c r="L88" s="118">
        <f>'Forage, input data per ha'!$E$83*'Forage crops, footprints'!L47+'Forage, input data per ha'!$G$83*'Forage crops, footprints'!L64</f>
        <v>3.5119401202061908E-4</v>
      </c>
      <c r="M88" s="148">
        <f>'Parameters, country spec'!G17</f>
        <v>4.011237421254237E-4</v>
      </c>
      <c r="N88" s="148">
        <f>'Parameters, country spec'!G35</f>
        <v>4.011237421254237E-4</v>
      </c>
      <c r="O88" s="18"/>
      <c r="P88" s="148"/>
    </row>
    <row r="89" spans="1:16" x14ac:dyDescent="0.35">
      <c r="A89" s="20" t="s">
        <v>222</v>
      </c>
      <c r="B89" s="15" t="s">
        <v>108</v>
      </c>
      <c r="C89" s="15" t="s">
        <v>223</v>
      </c>
      <c r="D89" s="21" t="s">
        <v>44</v>
      </c>
      <c r="E89" s="21" t="s">
        <v>45</v>
      </c>
      <c r="F89" s="22">
        <v>1.31</v>
      </c>
      <c r="G89" s="38">
        <v>2.1000000000000001E-2</v>
      </c>
      <c r="H89" s="38">
        <v>3.0999999999999999E-3</v>
      </c>
      <c r="I89" s="38">
        <v>3.0000000000000001E-3</v>
      </c>
      <c r="J89" s="26">
        <v>0.42</v>
      </c>
      <c r="K89" s="26">
        <v>5.7612832922940902E-12</v>
      </c>
      <c r="L89" s="26">
        <v>1.25E-3</v>
      </c>
      <c r="M89" s="148">
        <f>'Parameters, country spec'!G18</f>
        <v>9.7140944486754449E-2</v>
      </c>
      <c r="N89" s="148">
        <f>'Parameters, country spec'!G36</f>
        <v>9.7140944486754449E-2</v>
      </c>
    </row>
    <row r="90" spans="1:16" x14ac:dyDescent="0.35">
      <c r="A90" s="20" t="s">
        <v>224</v>
      </c>
      <c r="B90" s="15" t="s">
        <v>109</v>
      </c>
      <c r="C90" s="15" t="s">
        <v>223</v>
      </c>
      <c r="D90" s="21" t="s">
        <v>44</v>
      </c>
      <c r="E90" s="21" t="s">
        <v>45</v>
      </c>
      <c r="F90" s="332">
        <f t="shared" ref="F90:L90" si="5">F93</f>
        <v>1.0900000000000001</v>
      </c>
      <c r="G90" s="566">
        <f t="shared" si="5"/>
        <v>2.4E-2</v>
      </c>
      <c r="H90" s="566">
        <f t="shared" si="5"/>
        <v>2.2000000000000001E-3</v>
      </c>
      <c r="I90" s="566">
        <f t="shared" si="5"/>
        <v>1E-3</v>
      </c>
      <c r="J90" s="567">
        <f t="shared" si="5"/>
        <v>0.54</v>
      </c>
      <c r="K90" s="567">
        <f t="shared" si="5"/>
        <v>4.8031404240002003E-12</v>
      </c>
      <c r="L90" s="567">
        <f t="shared" si="5"/>
        <v>1.4300000000000001E-3</v>
      </c>
      <c r="M90" s="148">
        <f>'Parameters, country spec'!G19</f>
        <v>2.6773939262145888E-2</v>
      </c>
      <c r="N90" s="148">
        <f>'Parameters, country spec'!G37</f>
        <v>2.6773939262145888E-2</v>
      </c>
      <c r="O90" t="s">
        <v>605</v>
      </c>
    </row>
    <row r="91" spans="1:16" x14ac:dyDescent="0.35">
      <c r="A91" s="20" t="s">
        <v>225</v>
      </c>
      <c r="B91" s="15" t="s">
        <v>110</v>
      </c>
      <c r="C91" s="15" t="s">
        <v>223</v>
      </c>
      <c r="D91" s="21" t="s">
        <v>44</v>
      </c>
      <c r="E91" s="21" t="s">
        <v>45</v>
      </c>
      <c r="F91" s="19">
        <v>1.31</v>
      </c>
      <c r="G91" s="38">
        <v>1.7999999999999999E-2</v>
      </c>
      <c r="H91" s="38">
        <v>3.8E-3</v>
      </c>
      <c r="I91" s="38">
        <v>0</v>
      </c>
      <c r="J91" s="26">
        <v>0.39</v>
      </c>
      <c r="K91" s="26">
        <v>5.73961935545369E-12</v>
      </c>
      <c r="L91" s="26">
        <v>1.1000000000000001E-3</v>
      </c>
      <c r="M91" s="148">
        <f>'Parameters, country spec'!G20</f>
        <v>5.5992035288690246E-3</v>
      </c>
      <c r="N91" s="148">
        <f>'Parameters, country spec'!G38</f>
        <v>5.5992035288690246E-3</v>
      </c>
    </row>
    <row r="92" spans="1:16" x14ac:dyDescent="0.35">
      <c r="A92" s="20" t="s">
        <v>226</v>
      </c>
      <c r="B92" s="15" t="s">
        <v>111</v>
      </c>
      <c r="C92" s="15" t="s">
        <v>223</v>
      </c>
      <c r="D92" s="21" t="s">
        <v>44</v>
      </c>
      <c r="E92" s="21" t="s">
        <v>45</v>
      </c>
      <c r="F92" s="19">
        <v>3</v>
      </c>
      <c r="G92" s="38">
        <v>1.6E-2</v>
      </c>
      <c r="H92" s="38">
        <v>1.1999999999999999E-3</v>
      </c>
      <c r="I92" s="38">
        <v>3.0000000000000001E-3</v>
      </c>
      <c r="J92" s="26">
        <v>0</v>
      </c>
      <c r="K92" s="26">
        <v>1.31861462079891E-11</v>
      </c>
      <c r="L92" s="26">
        <v>9.68E-4</v>
      </c>
      <c r="M92" s="148">
        <f>'Parameters, country spec'!G21</f>
        <v>0</v>
      </c>
      <c r="N92" s="148">
        <f>'Parameters, country spec'!G39</f>
        <v>0</v>
      </c>
    </row>
    <row r="93" spans="1:16" x14ac:dyDescent="0.35">
      <c r="A93" s="20" t="s">
        <v>227</v>
      </c>
      <c r="B93" s="15" t="s">
        <v>112</v>
      </c>
      <c r="C93" s="15" t="s">
        <v>223</v>
      </c>
      <c r="D93" s="21" t="s">
        <v>44</v>
      </c>
      <c r="E93" s="21" t="s">
        <v>45</v>
      </c>
      <c r="F93" s="19">
        <v>1.0900000000000001</v>
      </c>
      <c r="G93" s="38">
        <v>2.4E-2</v>
      </c>
      <c r="H93" s="38">
        <v>2.2000000000000001E-3</v>
      </c>
      <c r="I93" s="38">
        <v>1E-3</v>
      </c>
      <c r="J93" s="26">
        <v>0.54</v>
      </c>
      <c r="K93" s="26">
        <v>4.8031404240002003E-12</v>
      </c>
      <c r="L93" s="26">
        <v>1.4300000000000001E-3</v>
      </c>
      <c r="M93" s="148">
        <f>'Parameters, country spec'!G22</f>
        <v>4.1722075562431273E-2</v>
      </c>
      <c r="N93" s="148">
        <f>'Parameters, country spec'!G40</f>
        <v>4.1722075562431273E-2</v>
      </c>
    </row>
    <row r="94" spans="1:16" x14ac:dyDescent="0.35">
      <c r="A94" s="20" t="s">
        <v>228</v>
      </c>
      <c r="B94" s="15" t="s">
        <v>113</v>
      </c>
      <c r="C94" s="15" t="s">
        <v>229</v>
      </c>
      <c r="D94" s="21" t="s">
        <v>44</v>
      </c>
      <c r="E94" s="21" t="s">
        <v>45</v>
      </c>
      <c r="F94" s="19">
        <v>2.64</v>
      </c>
      <c r="G94" s="38">
        <v>1.7000000000000001E-2</v>
      </c>
      <c r="H94" s="38">
        <v>1.6999999999999999E-3</v>
      </c>
      <c r="I94" s="38">
        <v>7.0000000000000001E-3</v>
      </c>
      <c r="J94" s="26">
        <v>0.36</v>
      </c>
      <c r="K94" s="26">
        <v>1.16072067774388E-11</v>
      </c>
      <c r="L94" s="26">
        <v>0</v>
      </c>
      <c r="M94" s="148">
        <f>'Parameters, country spec'!G23</f>
        <v>8.7938670638632881E-5</v>
      </c>
      <c r="N94" s="148">
        <f>'Parameters, country spec'!G41</f>
        <v>8.7938670638632881E-5</v>
      </c>
    </row>
    <row r="95" spans="1:16" x14ac:dyDescent="0.35">
      <c r="A95" s="20" t="s">
        <v>230</v>
      </c>
      <c r="B95" s="15" t="s">
        <v>114</v>
      </c>
      <c r="C95" s="15" t="s">
        <v>229</v>
      </c>
      <c r="D95" s="21" t="s">
        <v>44</v>
      </c>
      <c r="E95" s="21" t="s">
        <v>45</v>
      </c>
      <c r="F95" s="185">
        <v>2.09</v>
      </c>
      <c r="G95" s="185">
        <v>6.0000000000000001E-3</v>
      </c>
      <c r="H95" s="185">
        <v>2E-3</v>
      </c>
      <c r="I95" s="330">
        <v>0</v>
      </c>
      <c r="J95" s="331">
        <v>0.52</v>
      </c>
      <c r="K95" s="568">
        <v>9.1707084205748601E-12</v>
      </c>
      <c r="L95" s="331">
        <v>6.1400000000000002E-5</v>
      </c>
      <c r="M95" s="148">
        <f>'Parameters, country spec'!G24</f>
        <v>8.6384753409677397E-5</v>
      </c>
      <c r="N95" s="148">
        <f>'Parameters, country spec'!G42</f>
        <v>8.6384753409677397E-5</v>
      </c>
    </row>
    <row r="96" spans="1:16" x14ac:dyDescent="0.35">
      <c r="B96" s="16" t="s">
        <v>115</v>
      </c>
      <c r="C96" s="15" t="s">
        <v>231</v>
      </c>
      <c r="D96" s="21" t="s">
        <v>44</v>
      </c>
      <c r="E96" s="21" t="s">
        <v>45</v>
      </c>
      <c r="F96" s="17">
        <f>'Off-farm feed'!$F$88</f>
        <v>1.5397450382845068</v>
      </c>
      <c r="G96" s="18">
        <f>'Off-farm feed'!$G$88</f>
        <v>2.276724967641296E-2</v>
      </c>
      <c r="H96" s="18">
        <f>'Off-farm feed'!$H$88</f>
        <v>2.4780679919905292E-3</v>
      </c>
      <c r="I96" s="18">
        <f>'Off-farm feed'!$I$88</f>
        <v>8.1100925319702543E-4</v>
      </c>
      <c r="J96" s="27">
        <f>'Off-farm feed'!$J$88</f>
        <v>0.29368572248181479</v>
      </c>
      <c r="K96" s="27">
        <f>'Off-farm feed'!$K$88</f>
        <v>1.2571008272056975E-11</v>
      </c>
      <c r="L96" s="27">
        <f>'Off-farm feed'!$L$88</f>
        <v>1.3841258986185109E-3</v>
      </c>
      <c r="M96" s="148">
        <f>'Parameters, country spec'!G25</f>
        <v>4.7080431031984718E-3</v>
      </c>
      <c r="N96" s="148">
        <f>'Parameters, country spec'!G43</f>
        <v>4.7080431031984718E-3</v>
      </c>
    </row>
    <row r="97" spans="1:16" x14ac:dyDescent="0.35">
      <c r="B97" s="16" t="s">
        <v>232</v>
      </c>
      <c r="C97" s="15" t="s">
        <v>231</v>
      </c>
      <c r="D97" s="21" t="s">
        <v>44</v>
      </c>
      <c r="E97" s="21" t="s">
        <v>45</v>
      </c>
      <c r="F97" s="17">
        <f>'Off-farm feed'!$F$36</f>
        <v>2.5509164954964105</v>
      </c>
      <c r="G97" s="18">
        <f>'Off-farm feed'!$G$36</f>
        <v>4.2620923125915401E-2</v>
      </c>
      <c r="H97" s="18">
        <f>'Off-farm feed'!$H$36</f>
        <v>3.2959349471355006E-3</v>
      </c>
      <c r="I97" s="18">
        <f>'Off-farm feed'!$I$36</f>
        <v>2.435286335413451E-3</v>
      </c>
      <c r="J97" s="27">
        <f>'Off-farm feed'!$J$36</f>
        <v>0.25920846302270906</v>
      </c>
      <c r="K97" s="27">
        <f>'Off-farm feed'!$K$36</f>
        <v>1.4553836091881654E-10</v>
      </c>
      <c r="L97" s="27">
        <f>'Off-farm feed'!$L$36</f>
        <v>1.0450321677831977E-4</v>
      </c>
      <c r="M97" s="148">
        <f>'Parameters, country spec'!G26</f>
        <v>8.9589881795904755E-3</v>
      </c>
      <c r="N97" s="148">
        <f>'Parameters, country spec'!G44</f>
        <v>8.9589881795904755E-3</v>
      </c>
    </row>
    <row r="98" spans="1:16" x14ac:dyDescent="0.35">
      <c r="B98" s="15" t="s">
        <v>117</v>
      </c>
      <c r="C98" s="15" t="s">
        <v>233</v>
      </c>
      <c r="D98" s="21" t="s">
        <v>44</v>
      </c>
      <c r="E98" s="21" t="s">
        <v>45</v>
      </c>
      <c r="F98" s="19">
        <v>0.67046492048098005</v>
      </c>
      <c r="G98" s="19">
        <v>1.1762359809494499E-2</v>
      </c>
      <c r="H98" s="19">
        <v>1.0762943616530901E-3</v>
      </c>
      <c r="I98" s="26">
        <v>9.2235002991908105E-4</v>
      </c>
      <c r="J98" s="26">
        <v>0.204063323854693</v>
      </c>
      <c r="K98" s="26">
        <v>7.8344478125498505E-14</v>
      </c>
      <c r="L98" s="26">
        <v>7.1508799141679696E-4</v>
      </c>
      <c r="M98" s="148">
        <f>'Parameters, country spec'!G27</f>
        <v>1.7413738591251369E-2</v>
      </c>
      <c r="N98" s="148">
        <f>'Parameters, country spec'!G45</f>
        <v>1.7413738591251369E-2</v>
      </c>
    </row>
    <row r="99" spans="1:16" x14ac:dyDescent="0.35">
      <c r="A99" s="75"/>
      <c r="B99" s="15" t="s">
        <v>234</v>
      </c>
      <c r="C99" s="76" t="s">
        <v>235</v>
      </c>
      <c r="D99" s="21" t="s">
        <v>44</v>
      </c>
      <c r="E99" s="21" t="s">
        <v>45</v>
      </c>
      <c r="F99" s="73">
        <f t="shared" ref="F99:L99" si="6">AVERAGE(F89:F97)</f>
        <v>1.8467401704201021</v>
      </c>
      <c r="G99" s="98">
        <f t="shared" si="6"/>
        <v>2.126535253359204E-2</v>
      </c>
      <c r="H99" s="98">
        <f t="shared" si="6"/>
        <v>2.441555882125114E-3</v>
      </c>
      <c r="I99" s="98">
        <f t="shared" si="6"/>
        <v>2.0273661765122749E-3</v>
      </c>
      <c r="J99" s="74">
        <f t="shared" si="6"/>
        <v>0.3692104650560582</v>
      </c>
      <c r="K99" s="74">
        <f t="shared" si="6"/>
        <v>2.3686734899180497E-11</v>
      </c>
      <c r="L99" s="74">
        <f t="shared" si="6"/>
        <v>8.5866990171075896E-4</v>
      </c>
      <c r="M99" s="148">
        <f>'Parameters, country spec'!G28</f>
        <v>2.6348753268541039E-2</v>
      </c>
      <c r="N99" s="148">
        <f>'Parameters, country spec'!G46</f>
        <v>2.6348753268541039E-2</v>
      </c>
    </row>
    <row r="100" spans="1:16" x14ac:dyDescent="0.35">
      <c r="A100" s="321"/>
      <c r="B100" s="322" t="s">
        <v>541</v>
      </c>
      <c r="C100" s="323"/>
      <c r="D100" s="324"/>
      <c r="E100" s="324"/>
      <c r="F100" s="325">
        <f>SUMPRODUCT(F86:F88,M86:M88)+SUMPRODUCT(F89:F99,M89:M99)/0.87</f>
        <v>0.35760300665625627</v>
      </c>
      <c r="G100" s="326">
        <f>SUMPRODUCT(G86:G88,M86:M88)+SUMPRODUCT(G89:G99,M89:M99)/0.87</f>
        <v>1.6672882131034909E-2</v>
      </c>
      <c r="H100" s="326">
        <f>SUMPRODUCT(H86:H88,M86:M88)+SUMPRODUCT(H89:H99,M89:M99)/0.87</f>
        <v>9.1117891909878396E-4</v>
      </c>
      <c r="I100" s="326">
        <f>SUMPRODUCT(I86:I88,M86:M88)+SUMPRODUCT(I89:I99,M89:M99)/0.87</f>
        <v>2.2297146736396305E-3</v>
      </c>
      <c r="J100" s="327">
        <f>SUMPRODUCT(J86:J88,M86:M88)+SUMPRODUCT(J89:J99,M89:M99)/0.87</f>
        <v>0.11153591832465407</v>
      </c>
      <c r="K100" s="327">
        <f>SUMPRODUCT(K86:K88,M86:M88)+SUMPRODUCT(K89:K99,M89:M99)/0.87</f>
        <v>6.0595937564382013E-12</v>
      </c>
      <c r="L100" s="327">
        <f>SUMPRODUCT(L86:L88,M86:M88)+SUMPRODUCT(L89:L99,M89:M99)/0.87</f>
        <v>5.8242720209236102E-4</v>
      </c>
      <c r="M100" s="328"/>
      <c r="N100" s="329"/>
    </row>
    <row r="101" spans="1:16" x14ac:dyDescent="0.35">
      <c r="A101" s="147"/>
      <c r="B101" s="23" t="s">
        <v>558</v>
      </c>
      <c r="C101" s="24"/>
      <c r="D101" s="94"/>
      <c r="E101" s="94"/>
      <c r="F101" s="320">
        <f>SUMPRODUCT(F86:F89,N86:N89)+SUMPRODUCT(F90:F100,N90:N100)/0.87</f>
        <v>0.33858794591361918</v>
      </c>
      <c r="G101" s="25">
        <f>SUMPRODUCT(G86:G89,N86:N89)+SUMPRODUCT(G90:G100,N90:N100)/0.87</f>
        <v>1.6368060546610955E-2</v>
      </c>
      <c r="H101" s="25">
        <f>SUMPRODUCT(H86:H89,N86:N89)+SUMPRODUCT(H90:H100,N90:N100)/0.87</f>
        <v>8.6618144711239089E-4</v>
      </c>
      <c r="I101" s="25">
        <f>SUMPRODUCT(I86:I89,N86:N89)+SUMPRODUCT(I90:I100,N90:N100)/0.87</f>
        <v>2.1861687330076368E-3</v>
      </c>
      <c r="J101" s="28">
        <f>SUMPRODUCT(J86:J89,N86:N89)+SUMPRODUCT(J90:J100,N90:N100)/0.87</f>
        <v>0.105439486636175</v>
      </c>
      <c r="K101" s="28">
        <f>SUMPRODUCT(K86:K89,N86:N89)+SUMPRODUCT(K90:K100,N90:N100)/0.87</f>
        <v>5.9759669230347569E-12</v>
      </c>
      <c r="L101" s="28">
        <f>SUMPRODUCT(L86:L89,N86:N89)+SUMPRODUCT(L90:L100,N90:N100)/0.87</f>
        <v>5.6428306016236386E-4</v>
      </c>
      <c r="M101" s="149"/>
      <c r="N101" s="149"/>
    </row>
    <row r="102" spans="1:16" x14ac:dyDescent="0.35">
      <c r="B102" s="16" t="s">
        <v>285</v>
      </c>
      <c r="C102" s="15" t="s">
        <v>288</v>
      </c>
      <c r="D102" s="21" t="s">
        <v>46</v>
      </c>
      <c r="E102" s="21" t="s">
        <v>47</v>
      </c>
      <c r="F102" s="108">
        <v>0</v>
      </c>
      <c r="G102" s="312">
        <f>'Forage crops, footprints'!G14</f>
        <v>1.5545547875591511E-2</v>
      </c>
      <c r="H102" s="313">
        <f>'Forage crops, footprints'!H14</f>
        <v>2.3847872238080535E-4</v>
      </c>
      <c r="I102" s="312">
        <f>'Forage crops, footprints'!I14</f>
        <v>0</v>
      </c>
      <c r="J102" s="118">
        <f>'Forage crops, footprints'!J14</f>
        <v>0</v>
      </c>
      <c r="K102" s="118">
        <f>'Forage crops, footprints'!K14</f>
        <v>8.6954670873459043E-11</v>
      </c>
      <c r="L102" s="118">
        <f>'Forage crops, footprints'!L14</f>
        <v>4.3005379763403658E-4</v>
      </c>
      <c r="M102" s="148">
        <f>'Parameters, country spec'!H15</f>
        <v>0.40067105954621879</v>
      </c>
      <c r="N102" s="148">
        <f>'Parameters, country spec'!H33</f>
        <v>0.40067105954621879</v>
      </c>
      <c r="O102" s="18"/>
      <c r="P102" s="148"/>
    </row>
    <row r="103" spans="1:16" x14ac:dyDescent="0.35">
      <c r="B103" s="16" t="s">
        <v>286</v>
      </c>
      <c r="C103" s="15" t="s">
        <v>288</v>
      </c>
      <c r="D103" s="21" t="s">
        <v>46</v>
      </c>
      <c r="E103" s="21" t="s">
        <v>47</v>
      </c>
      <c r="F103" s="108">
        <f>'Forage crops, footprints'!F31</f>
        <v>0.51445196317795561</v>
      </c>
      <c r="G103" s="312">
        <f>'Forage crops, footprints'!G31</f>
        <v>9.3490444033023819E-3</v>
      </c>
      <c r="H103" s="312">
        <f>'Forage crops, footprints'!H31</f>
        <v>1.3477192274802781E-4</v>
      </c>
      <c r="I103" s="312">
        <f>'Forage crops, footprints'!I31</f>
        <v>0.1</v>
      </c>
      <c r="J103" s="118">
        <f>'Forage crops, footprints'!J31</f>
        <v>6.7567011968587768E-5</v>
      </c>
      <c r="K103" s="118">
        <f>'Forage crops, footprints'!K31</f>
        <v>2.7684265407222258E-11</v>
      </c>
      <c r="L103" s="118">
        <f>'Forage crops, footprints'!L31</f>
        <v>5.6837144011081197E-4</v>
      </c>
      <c r="M103" s="148">
        <f>'Parameters, country spec'!H16</f>
        <v>0.27744597499526535</v>
      </c>
      <c r="N103" s="148">
        <f>'Parameters, country spec'!H34</f>
        <v>0.27744597499526535</v>
      </c>
      <c r="O103" s="18"/>
      <c r="P103" s="148"/>
    </row>
    <row r="104" spans="1:16" x14ac:dyDescent="0.35">
      <c r="B104" s="16" t="s">
        <v>287</v>
      </c>
      <c r="C104" s="15" t="s">
        <v>288</v>
      </c>
      <c r="D104" s="21" t="s">
        <v>46</v>
      </c>
      <c r="E104" s="21" t="s">
        <v>47</v>
      </c>
      <c r="F104" s="108">
        <f>'Forage, input data per ha'!$E$84*'Forage crops, footprints'!F48+'Forage, input data per ha'!$G$84*'Forage crops, footprints'!F65</f>
        <v>1.2021385208157926</v>
      </c>
      <c r="G104" s="312">
        <f>'Forage, input data per ha'!$E$84*'Forage crops, footprints'!G48+'Forage, input data per ha'!$G$84*'Forage crops, footprints'!G65</f>
        <v>2.9335397496196985E-2</v>
      </c>
      <c r="H104" s="312">
        <f>'Forage, input data per ha'!$E$84*'Forage crops, footprints'!H48+'Forage, input data per ha'!$G$84*'Forage crops, footprints'!H65</f>
        <v>1.6681390709343633E-3</v>
      </c>
      <c r="I104" s="312">
        <f>'Forage, input data per ha'!$E$84*'Forage crops, footprints'!I48+'Forage, input data per ha'!$G$84*'Forage crops, footprints'!I65</f>
        <v>0</v>
      </c>
      <c r="J104" s="118">
        <f>'Forage, input data per ha'!$E$84*'Forage crops, footprints'!J48+'Forage, input data per ha'!$G$84*'Forage crops, footprints'!J65</f>
        <v>4.48232130917449E-5</v>
      </c>
      <c r="K104" s="118">
        <f>'Forage, input data per ha'!$E$84*'Forage crops, footprints'!K48+'Forage, input data per ha'!$G$84*'Forage crops, footprints'!K65</f>
        <v>4.3536205896865059E-11</v>
      </c>
      <c r="L104" s="118">
        <f>'Forage, input data per ha'!$E$84*'Forage crops, footprints'!L48+'Forage, input data per ha'!$G$84*'Forage crops, footprints'!L65</f>
        <v>2.3321300405955379E-4</v>
      </c>
      <c r="M104" s="148">
        <f>'Parameters, country spec'!H17</f>
        <v>7.1895313213819118E-2</v>
      </c>
      <c r="N104" s="148">
        <f>'Parameters, country spec'!H35</f>
        <v>7.1895313213819118E-2</v>
      </c>
      <c r="O104" s="18"/>
      <c r="P104" s="148"/>
    </row>
    <row r="105" spans="1:16" x14ac:dyDescent="0.35">
      <c r="A105" s="20" t="s">
        <v>222</v>
      </c>
      <c r="B105" s="15" t="s">
        <v>108</v>
      </c>
      <c r="C105" s="15" t="s">
        <v>223</v>
      </c>
      <c r="D105" s="21" t="s">
        <v>46</v>
      </c>
      <c r="E105" s="21" t="s">
        <v>47</v>
      </c>
      <c r="F105" s="22">
        <v>2.41</v>
      </c>
      <c r="G105" s="38">
        <v>2.1000000000000001E-2</v>
      </c>
      <c r="H105" s="38">
        <v>3.0999999999999999E-3</v>
      </c>
      <c r="I105" s="38">
        <v>3.0000000000000001E-3</v>
      </c>
      <c r="J105" s="26">
        <v>0.16</v>
      </c>
      <c r="K105" s="26">
        <v>1.2982658708553501E-10</v>
      </c>
      <c r="L105" s="26">
        <v>1.25E-3</v>
      </c>
      <c r="M105" s="148">
        <f>'Parameters, country spec'!H18</f>
        <v>3.0038264722936558E-3</v>
      </c>
      <c r="N105" s="148">
        <f>'Parameters, country spec'!H36</f>
        <v>3.0038264722936558E-3</v>
      </c>
    </row>
    <row r="106" spans="1:16" x14ac:dyDescent="0.35">
      <c r="A106" s="20" t="s">
        <v>224</v>
      </c>
      <c r="B106" s="15" t="s">
        <v>109</v>
      </c>
      <c r="C106" s="15" t="s">
        <v>223</v>
      </c>
      <c r="D106" s="21" t="s">
        <v>46</v>
      </c>
      <c r="E106" s="21" t="s">
        <v>47</v>
      </c>
      <c r="F106" s="19">
        <v>0.97</v>
      </c>
      <c r="G106" s="38">
        <v>0.02</v>
      </c>
      <c r="H106" s="38">
        <v>5.5999999999999999E-3</v>
      </c>
      <c r="I106" s="38">
        <v>0.1</v>
      </c>
      <c r="J106" s="26">
        <v>0.19</v>
      </c>
      <c r="K106" s="26">
        <v>5.2310958852544699E-11</v>
      </c>
      <c r="L106" s="26">
        <v>1.2099999999999999E-3</v>
      </c>
      <c r="M106" s="148">
        <f>'Parameters, country spec'!H19</f>
        <v>1.964163410545296E-2</v>
      </c>
      <c r="N106" s="148">
        <f>'Parameters, country spec'!H37</f>
        <v>1.964163410545296E-2</v>
      </c>
    </row>
    <row r="107" spans="1:16" x14ac:dyDescent="0.35">
      <c r="A107" s="20" t="s">
        <v>225</v>
      </c>
      <c r="B107" s="15" t="s">
        <v>110</v>
      </c>
      <c r="C107" s="15" t="s">
        <v>223</v>
      </c>
      <c r="D107" s="21" t="s">
        <v>46</v>
      </c>
      <c r="E107" s="21" t="s">
        <v>47</v>
      </c>
      <c r="F107" s="19">
        <v>4.3099999999999996</v>
      </c>
      <c r="G107" s="38">
        <v>1.7999999999999999E-2</v>
      </c>
      <c r="H107" s="38">
        <v>3.8E-3</v>
      </c>
      <c r="I107" s="38">
        <v>0.111</v>
      </c>
      <c r="J107" s="26">
        <v>0</v>
      </c>
      <c r="K107" s="26">
        <v>2.3186915231965301E-10</v>
      </c>
      <c r="L107" s="26">
        <v>1.1000000000000001E-3</v>
      </c>
      <c r="M107" s="148">
        <f>'Parameters, country spec'!H20</f>
        <v>6.238152652520509E-4</v>
      </c>
      <c r="N107" s="148">
        <f>'Parameters, country spec'!H38</f>
        <v>6.238152652520509E-4</v>
      </c>
    </row>
    <row r="108" spans="1:16" x14ac:dyDescent="0.35">
      <c r="A108" s="20" t="s">
        <v>226</v>
      </c>
      <c r="B108" s="15" t="s">
        <v>111</v>
      </c>
      <c r="C108" s="15" t="s">
        <v>223</v>
      </c>
      <c r="D108" s="21" t="s">
        <v>46</v>
      </c>
      <c r="E108" s="21" t="s">
        <v>47</v>
      </c>
      <c r="F108" s="19">
        <v>3.11</v>
      </c>
      <c r="G108" s="38">
        <v>1.6E-2</v>
      </c>
      <c r="H108" s="38">
        <v>1.1999999999999999E-3</v>
      </c>
      <c r="I108" s="38">
        <v>4.0000000000000001E-3</v>
      </c>
      <c r="J108" s="26">
        <v>0</v>
      </c>
      <c r="K108" s="26">
        <v>1.67144331358802E-10</v>
      </c>
      <c r="L108" s="26">
        <v>9.68E-4</v>
      </c>
      <c r="M108" s="148">
        <f>'Parameters, country spec'!H21</f>
        <v>4.9703321891174883E-5</v>
      </c>
      <c r="N108" s="148">
        <f>'Parameters, country spec'!H39</f>
        <v>4.9703321891174883E-5</v>
      </c>
    </row>
    <row r="109" spans="1:16" x14ac:dyDescent="0.35">
      <c r="A109" s="20" t="s">
        <v>227</v>
      </c>
      <c r="B109" s="15" t="s">
        <v>112</v>
      </c>
      <c r="C109" s="15" t="s">
        <v>223</v>
      </c>
      <c r="D109" s="21" t="s">
        <v>46</v>
      </c>
      <c r="E109" s="21" t="s">
        <v>47</v>
      </c>
      <c r="F109" s="19">
        <v>2.5299999999999998</v>
      </c>
      <c r="G109" s="38">
        <v>2.4E-2</v>
      </c>
      <c r="H109" s="38">
        <v>2.2000000000000001E-3</v>
      </c>
      <c r="I109" s="38">
        <v>0.02</v>
      </c>
      <c r="J109" s="26">
        <v>0.1</v>
      </c>
      <c r="K109" s="26">
        <v>1.36259204994668E-10</v>
      </c>
      <c r="L109" s="26">
        <v>1.4300000000000001E-3</v>
      </c>
      <c r="M109" s="148">
        <f>'Parameters, country spec'!H22</f>
        <v>2.8451429826063719E-3</v>
      </c>
      <c r="N109" s="148">
        <f>'Parameters, country spec'!H40</f>
        <v>2.8451429826063719E-3</v>
      </c>
    </row>
    <row r="110" spans="1:16" x14ac:dyDescent="0.35">
      <c r="A110" s="20" t="s">
        <v>228</v>
      </c>
      <c r="B110" s="15" t="s">
        <v>113</v>
      </c>
      <c r="C110" s="15" t="s">
        <v>229</v>
      </c>
      <c r="D110" s="21" t="s">
        <v>46</v>
      </c>
      <c r="E110" s="21" t="s">
        <v>47</v>
      </c>
      <c r="F110" s="19">
        <v>3.42</v>
      </c>
      <c r="G110" s="38">
        <v>2.1999999999999999E-2</v>
      </c>
      <c r="H110" s="38">
        <v>1.6999999999999999E-3</v>
      </c>
      <c r="I110" s="38">
        <v>1.2999999999999999E-2</v>
      </c>
      <c r="J110" s="26">
        <v>0.49</v>
      </c>
      <c r="K110" s="26">
        <v>1.8402051891719201E-10</v>
      </c>
      <c r="L110" s="26">
        <v>0</v>
      </c>
      <c r="M110" s="148">
        <f>'Parameters, country spec'!H23</f>
        <v>7.8267619629308958E-4</v>
      </c>
      <c r="N110" s="148">
        <f>'Parameters, country spec'!H41</f>
        <v>7.8267619629308958E-4</v>
      </c>
    </row>
    <row r="111" spans="1:16" x14ac:dyDescent="0.35">
      <c r="A111" s="20" t="s">
        <v>230</v>
      </c>
      <c r="B111" s="15" t="s">
        <v>114</v>
      </c>
      <c r="C111" s="15" t="s">
        <v>229</v>
      </c>
      <c r="D111" s="21" t="s">
        <v>46</v>
      </c>
      <c r="E111" s="21" t="s">
        <v>47</v>
      </c>
      <c r="F111" s="19">
        <v>5.13</v>
      </c>
      <c r="G111" s="38">
        <v>1.2999999999999999E-2</v>
      </c>
      <c r="H111" s="38">
        <v>2E-3</v>
      </c>
      <c r="I111" s="38">
        <v>4.0000000000000001E-3</v>
      </c>
      <c r="J111" s="26">
        <v>1.05</v>
      </c>
      <c r="K111" s="26">
        <v>2.7580913508766499E-10</v>
      </c>
      <c r="L111" s="26">
        <v>6.1400000000000002E-5</v>
      </c>
      <c r="M111" s="148">
        <f>'Parameters, country spec'!H24</f>
        <v>7.6884594730627475E-4</v>
      </c>
      <c r="N111" s="148">
        <f>'Parameters, country spec'!H42</f>
        <v>7.6884594730627475E-4</v>
      </c>
    </row>
    <row r="112" spans="1:16" x14ac:dyDescent="0.35">
      <c r="B112" s="16" t="s">
        <v>115</v>
      </c>
      <c r="C112" s="15" t="s">
        <v>231</v>
      </c>
      <c r="D112" s="21" t="s">
        <v>46</v>
      </c>
      <c r="E112" s="21" t="s">
        <v>47</v>
      </c>
      <c r="F112" s="17">
        <f>'Off-farm feed'!$F$88</f>
        <v>1.5397450382845068</v>
      </c>
      <c r="G112" s="18">
        <f>'Off-farm feed'!$G$88</f>
        <v>2.276724967641296E-2</v>
      </c>
      <c r="H112" s="18">
        <f>'Off-farm feed'!$H$88</f>
        <v>2.4780679919905292E-3</v>
      </c>
      <c r="I112" s="18">
        <f>'Off-farm feed'!$I$88</f>
        <v>8.1100925319702543E-4</v>
      </c>
      <c r="J112" s="27">
        <f>'Off-farm feed'!$J$88</f>
        <v>0.29368572248181479</v>
      </c>
      <c r="K112" s="27">
        <f>'Off-farm feed'!$K$88</f>
        <v>1.2571008272056975E-11</v>
      </c>
      <c r="L112" s="27">
        <f>'Off-farm feed'!$L$88</f>
        <v>1.3841258986185109E-3</v>
      </c>
      <c r="M112" s="148">
        <f>'Parameters, country spec'!H25</f>
        <v>1.3183641649379223E-3</v>
      </c>
      <c r="N112" s="148">
        <f>'Parameters, country spec'!H43</f>
        <v>1.3183641649379223E-3</v>
      </c>
    </row>
    <row r="113" spans="1:16" x14ac:dyDescent="0.35">
      <c r="B113" s="16" t="s">
        <v>232</v>
      </c>
      <c r="C113" s="15" t="s">
        <v>231</v>
      </c>
      <c r="D113" s="21" t="s">
        <v>46</v>
      </c>
      <c r="E113" s="21" t="s">
        <v>47</v>
      </c>
      <c r="F113" s="17">
        <f>'Off-farm feed'!$F$36</f>
        <v>2.5509164954964105</v>
      </c>
      <c r="G113" s="18">
        <f>'Off-farm feed'!$G$36</f>
        <v>4.2620923125915401E-2</v>
      </c>
      <c r="H113" s="18">
        <f>'Off-farm feed'!$H$36</f>
        <v>3.2959349471355006E-3</v>
      </c>
      <c r="I113" s="18">
        <f>'Off-farm feed'!$I$36</f>
        <v>2.435286335413451E-3</v>
      </c>
      <c r="J113" s="27">
        <f>'Off-farm feed'!$J$36</f>
        <v>0.25920846302270906</v>
      </c>
      <c r="K113" s="27">
        <f>'Off-farm feed'!$K$36</f>
        <v>1.4553836091881654E-10</v>
      </c>
      <c r="L113" s="27">
        <f>'Off-farm feed'!$L$36</f>
        <v>1.0450321677831977E-4</v>
      </c>
      <c r="M113" s="148">
        <f>'Parameters, country spec'!H26</f>
        <v>3.2548889626891842E-2</v>
      </c>
      <c r="N113" s="148">
        <f>'Parameters, country spec'!H44</f>
        <v>3.2548889626891842E-2</v>
      </c>
    </row>
    <row r="114" spans="1:16" x14ac:dyDescent="0.35">
      <c r="B114" s="15" t="s">
        <v>117</v>
      </c>
      <c r="C114" s="15" t="s">
        <v>233</v>
      </c>
      <c r="D114" s="21" t="s">
        <v>46</v>
      </c>
      <c r="E114" s="21" t="s">
        <v>47</v>
      </c>
      <c r="F114" s="19">
        <v>1.12846228925113</v>
      </c>
      <c r="G114" s="19">
        <v>1.23166071303607E-2</v>
      </c>
      <c r="H114" s="19">
        <v>1.12700980277811E-3</v>
      </c>
      <c r="I114" s="26">
        <v>5.7910569665233901E-3</v>
      </c>
      <c r="J114" s="26">
        <v>8.70973444052279E-2</v>
      </c>
      <c r="K114" s="26">
        <v>4.7007852315066902E-13</v>
      </c>
      <c r="L114" s="26">
        <v>7.4878323708565096E-4</v>
      </c>
      <c r="M114" s="148">
        <f>'Parameters, country spec'!H27</f>
        <v>7.1183592363716075E-2</v>
      </c>
      <c r="N114" s="148">
        <f>'Parameters, country spec'!H45</f>
        <v>7.1183592363716075E-2</v>
      </c>
    </row>
    <row r="115" spans="1:16" x14ac:dyDescent="0.35">
      <c r="A115" s="75"/>
      <c r="B115" s="15" t="s">
        <v>234</v>
      </c>
      <c r="C115" s="76" t="s">
        <v>235</v>
      </c>
      <c r="D115" s="21" t="s">
        <v>46</v>
      </c>
      <c r="E115" s="21" t="s">
        <v>47</v>
      </c>
      <c r="F115" s="73">
        <f t="shared" ref="F115:L115" si="7">AVERAGE(F105:F113)</f>
        <v>2.8856290593089908</v>
      </c>
      <c r="G115" s="98">
        <f t="shared" si="7"/>
        <v>2.215424142248093E-2</v>
      </c>
      <c r="H115" s="98">
        <f t="shared" si="7"/>
        <v>2.8193336599028917E-3</v>
      </c>
      <c r="I115" s="98">
        <f t="shared" si="7"/>
        <v>2.8694032843178945E-2</v>
      </c>
      <c r="J115" s="161">
        <f t="shared" si="7"/>
        <v>0.28254379838939159</v>
      </c>
      <c r="K115" s="74">
        <f t="shared" si="7"/>
        <v>1.4837213975632592E-10</v>
      </c>
      <c r="L115" s="161">
        <f t="shared" si="7"/>
        <v>8.3422545726631451E-4</v>
      </c>
      <c r="M115" s="148">
        <f>'Parameters, country spec'!H28</f>
        <v>0.11722116179805527</v>
      </c>
      <c r="N115" s="148">
        <f>'Parameters, country spec'!H46</f>
        <v>0.11722116179805527</v>
      </c>
    </row>
    <row r="116" spans="1:16" x14ac:dyDescent="0.35">
      <c r="A116" s="321"/>
      <c r="B116" s="322" t="s">
        <v>541</v>
      </c>
      <c r="C116" s="323"/>
      <c r="D116" s="324"/>
      <c r="E116" s="324"/>
      <c r="F116" s="325">
        <f>SUMPRODUCT(F102:F104,M102:M104)+SUMPRODUCT(F105:F115,M105:M115)/0.87</f>
        <v>0.85743455272716629</v>
      </c>
      <c r="G116" s="326">
        <f>SUMPRODUCT(G102:G104,M102:M104)+SUMPRODUCT(G105:G115,M105:M115)/0.87</f>
        <v>1.7201008503398708E-2</v>
      </c>
      <c r="H116" s="326">
        <f>SUMPRODUCT(H102:H104,M102:M104)+SUMPRODUCT(H105:H115,M105:M115)/0.87</f>
        <v>1.0024367887936439E-3</v>
      </c>
      <c r="I116" s="326">
        <f>SUMPRODUCT(I102:I104,M102:M104)+SUMPRODUCT(I105:I115,M105:M115)/0.87</f>
        <v>3.4605380727541518E-2</v>
      </c>
      <c r="J116" s="327">
        <f>SUMPRODUCT(J102:J104,M102:M104)+SUMPRODUCT(J105:J115,M105:M115)/0.87</f>
        <v>6.1897811471491135E-2</v>
      </c>
      <c r="K116" s="327">
        <f>SUMPRODUCT(K102:K104,M102:M104)+SUMPRODUCT(K105:K115,M105:M115)/0.87</f>
        <v>7.3804792020688427E-11</v>
      </c>
      <c r="L116" s="327">
        <f>SUMPRODUCT(L102:L104,M102:M104)+SUMPRODUCT(L105:L115,M105:M115)/0.87</f>
        <v>5.6365151056969847E-4</v>
      </c>
      <c r="M116" s="328"/>
      <c r="N116" s="329"/>
    </row>
    <row r="117" spans="1:16" x14ac:dyDescent="0.35">
      <c r="A117" s="147"/>
      <c r="B117" s="23" t="s">
        <v>558</v>
      </c>
      <c r="C117" s="24"/>
      <c r="D117" s="94"/>
      <c r="E117" s="94"/>
      <c r="F117" s="320">
        <f>SUMPRODUCT(F102:F105,N102:N105)+SUMPRODUCT(F106:F116,N106:N116)/0.87</f>
        <v>0.85635282992972994</v>
      </c>
      <c r="G117" s="25">
        <f>SUMPRODUCT(G102:G105,N102:N105)+SUMPRODUCT(G106:G116,N106:N116)/0.87</f>
        <v>1.7191582703089098E-2</v>
      </c>
      <c r="H117" s="25">
        <f>SUMPRODUCT(H102:H105,N102:N105)+SUMPRODUCT(H106:H116,N106:N116)/0.87</f>
        <v>1.0010453611288919E-3</v>
      </c>
      <c r="I117" s="25">
        <f>SUMPRODUCT(I102:I105,N102:N105)+SUMPRODUCT(I106:I116,N106:N116)/0.87</f>
        <v>3.4604034184640142E-2</v>
      </c>
      <c r="J117" s="28">
        <f>SUMPRODUCT(J102:J105,N102:N105)+SUMPRODUCT(J106:J116,N106:N116)/0.87</f>
        <v>6.1825995850084567E-2</v>
      </c>
      <c r="K117" s="28">
        <f>SUMPRODUCT(K102:K105,N102:N105)+SUMPRODUCT(K106:K116,N106:N116)/0.87</f>
        <v>7.3746519664271932E-11</v>
      </c>
      <c r="L117" s="28">
        <f>SUMPRODUCT(L102:L105,N102:N105)+SUMPRODUCT(L106:L116,N106:N116)/0.87</f>
        <v>5.6309045102745977E-4</v>
      </c>
      <c r="M117" s="149"/>
      <c r="N117" s="149"/>
    </row>
    <row r="118" spans="1:16" x14ac:dyDescent="0.35">
      <c r="B118" s="16" t="s">
        <v>285</v>
      </c>
      <c r="C118" s="15" t="s">
        <v>288</v>
      </c>
      <c r="D118" s="21" t="s">
        <v>48</v>
      </c>
      <c r="E118" s="21" t="s">
        <v>49</v>
      </c>
      <c r="F118" s="108">
        <v>0</v>
      </c>
      <c r="G118" s="312">
        <f>'Forage crops, footprints'!G15</f>
        <v>3.4288619089893765E-2</v>
      </c>
      <c r="H118" s="313">
        <f>'Forage crops, footprints'!H15</f>
        <v>0</v>
      </c>
      <c r="I118" s="312">
        <f>'Forage crops, footprints'!I15</f>
        <v>0</v>
      </c>
      <c r="J118" s="118">
        <f>'Forage crops, footprints'!J15</f>
        <v>0</v>
      </c>
      <c r="K118" s="118">
        <f>'Forage crops, footprints'!K15</f>
        <v>1.4439923961886749E-11</v>
      </c>
      <c r="L118" s="118">
        <f>'Forage crops, footprints'!L15</f>
        <v>1.5695313654600586E-3</v>
      </c>
      <c r="M118" s="148">
        <f>'Parameters, country spec'!I15</f>
        <v>0.47949543012015922</v>
      </c>
      <c r="N118" s="148">
        <f>'Parameters, country spec'!I33</f>
        <v>0.47949543012015922</v>
      </c>
      <c r="O118" s="18"/>
      <c r="P118" s="148"/>
    </row>
    <row r="119" spans="1:16" x14ac:dyDescent="0.35">
      <c r="B119" s="16" t="s">
        <v>286</v>
      </c>
      <c r="C119" s="15" t="s">
        <v>288</v>
      </c>
      <c r="D119" s="21" t="s">
        <v>48</v>
      </c>
      <c r="E119" s="21" t="s">
        <v>49</v>
      </c>
      <c r="F119" s="108">
        <f>'Forage crops, footprints'!F32</f>
        <v>0.61500988697347925</v>
      </c>
      <c r="G119" s="312">
        <f>'Forage crops, footprints'!G32</f>
        <v>1.024249889357177E-2</v>
      </c>
      <c r="H119" s="312">
        <f>'Forage crops, footprints'!H32</f>
        <v>8.458551473656372E-5</v>
      </c>
      <c r="I119" s="312">
        <f>'Forage crops, footprints'!I32</f>
        <v>6.1690666490291896E-2</v>
      </c>
      <c r="J119" s="118">
        <f>'Forage crops, footprints'!J32</f>
        <v>7.1677920029331065E-5</v>
      </c>
      <c r="K119" s="118">
        <f>'Forage crops, footprints'!K32</f>
        <v>4.9799456928696098E-12</v>
      </c>
      <c r="L119" s="118">
        <f>'Forage crops, footprints'!L32</f>
        <v>6.2268865087606478E-4</v>
      </c>
      <c r="M119" s="148">
        <f>'Parameters, country spec'!I16</f>
        <v>0.16379583021525312</v>
      </c>
      <c r="N119" s="148">
        <f>'Parameters, country spec'!I34</f>
        <v>0.16379583021525312</v>
      </c>
      <c r="O119" s="18"/>
      <c r="P119" s="148"/>
    </row>
    <row r="120" spans="1:16" x14ac:dyDescent="0.35">
      <c r="B120" s="16" t="s">
        <v>287</v>
      </c>
      <c r="C120" s="15" t="s">
        <v>288</v>
      </c>
      <c r="D120" s="21" t="s">
        <v>48</v>
      </c>
      <c r="E120" s="21" t="s">
        <v>49</v>
      </c>
      <c r="F120" s="108">
        <f>'Forage, input data per ha'!$E$85*'Forage crops, footprints'!F49+'Forage, input data per ha'!$G$85*'Forage crops, footprints'!F69</f>
        <v>1.9030569421592489</v>
      </c>
      <c r="G120" s="312">
        <f>'Forage, input data per ha'!$E$85*'Forage crops, footprints'!G49+'Forage, input data per ha'!$G$85*'Forage crops, footprints'!G69</f>
        <v>3.5832557747188944E-2</v>
      </c>
      <c r="H120" s="312">
        <f>'Forage, input data per ha'!$E$85*'Forage crops, footprints'!H49+'Forage, input data per ha'!$G$85*'Forage crops, footprints'!H69</f>
        <v>4.5593399742885403E-4</v>
      </c>
      <c r="I120" s="312">
        <f>'Forage, input data per ha'!$E$85*'Forage crops, footprints'!I49+'Forage, input data per ha'!$G$85*'Forage crops, footprints'!I69</f>
        <v>0</v>
      </c>
      <c r="J120" s="118">
        <f>'Forage, input data per ha'!$E$85*'Forage crops, footprints'!J49+'Forage, input data per ha'!$G$85*'Forage crops, footprints'!J69</f>
        <v>3.430442903778665E-5</v>
      </c>
      <c r="K120" s="118">
        <f>'Forage, input data per ha'!$E$85*'Forage crops, footprints'!K49+'Forage, input data per ha'!$G$85*'Forage crops, footprints'!K69</f>
        <v>9.1612393206344326E-12</v>
      </c>
      <c r="L120" s="118">
        <f>'Forage, input data per ha'!$E$85*'Forage crops, footprints'!L49+'Forage, input data per ha'!$G$85*'Forage crops, footprints'!L69</f>
        <v>1.3566792817665679E-3</v>
      </c>
      <c r="M120" s="148">
        <f>'Parameters, country spec'!I17</f>
        <v>0.1711074910334601</v>
      </c>
      <c r="N120" s="148">
        <f>'Parameters, country spec'!I35</f>
        <v>0.1711074910334601</v>
      </c>
      <c r="O120" s="18"/>
      <c r="P120" s="148"/>
    </row>
    <row r="121" spans="1:16" x14ac:dyDescent="0.35">
      <c r="A121" s="20" t="s">
        <v>222</v>
      </c>
      <c r="B121" s="15" t="s">
        <v>108</v>
      </c>
      <c r="C121" s="15" t="s">
        <v>223</v>
      </c>
      <c r="D121" s="21" t="s">
        <v>48</v>
      </c>
      <c r="E121" s="21" t="s">
        <v>49</v>
      </c>
      <c r="F121" s="22">
        <v>1.47</v>
      </c>
      <c r="G121" s="38">
        <v>2.1000000000000001E-2</v>
      </c>
      <c r="H121" s="38">
        <v>3.0999999999999999E-3</v>
      </c>
      <c r="I121" s="38">
        <v>7.0000000000000001E-3</v>
      </c>
      <c r="J121" s="26">
        <v>0.31</v>
      </c>
      <c r="K121" s="26">
        <v>1.1888764653498601E-11</v>
      </c>
      <c r="L121" s="26">
        <v>1.25E-3</v>
      </c>
      <c r="M121" s="148">
        <f>'Parameters, country spec'!I18</f>
        <v>3.7649623151768418E-3</v>
      </c>
      <c r="N121" s="148">
        <f>'Parameters, country spec'!I36</f>
        <v>3.7649623151768418E-3</v>
      </c>
    </row>
    <row r="122" spans="1:16" x14ac:dyDescent="0.35">
      <c r="A122" s="20" t="s">
        <v>224</v>
      </c>
      <c r="B122" s="15" t="s">
        <v>109</v>
      </c>
      <c r="C122" s="15" t="s">
        <v>223</v>
      </c>
      <c r="D122" s="21" t="s">
        <v>48</v>
      </c>
      <c r="E122" s="21" t="s">
        <v>49</v>
      </c>
      <c r="F122" s="19">
        <v>1.08</v>
      </c>
      <c r="G122" s="38">
        <v>0.02</v>
      </c>
      <c r="H122" s="38">
        <v>5.5999999999999999E-3</v>
      </c>
      <c r="I122" s="38">
        <v>6.4000000000000001E-2</v>
      </c>
      <c r="J122" s="26">
        <v>0.94</v>
      </c>
      <c r="K122" s="26">
        <v>8.7533349210326906E-12</v>
      </c>
      <c r="L122" s="26">
        <v>1.2099999999999999E-3</v>
      </c>
      <c r="M122" s="148">
        <f>'Parameters, country spec'!I19</f>
        <v>1.1306927408010266E-2</v>
      </c>
      <c r="N122" s="148">
        <f>'Parameters, country spec'!I37</f>
        <v>1.1306927408010266E-2</v>
      </c>
    </row>
    <row r="123" spans="1:16" x14ac:dyDescent="0.35">
      <c r="A123" s="20" t="s">
        <v>225</v>
      </c>
      <c r="B123" s="15" t="s">
        <v>110</v>
      </c>
      <c r="C123" s="15" t="s">
        <v>223</v>
      </c>
      <c r="D123" s="21" t="s">
        <v>48</v>
      </c>
      <c r="E123" s="21" t="s">
        <v>49</v>
      </c>
      <c r="F123" s="19">
        <v>1.96</v>
      </c>
      <c r="G123" s="38">
        <v>1.7999999999999999E-2</v>
      </c>
      <c r="H123" s="38">
        <v>3.8E-3</v>
      </c>
      <c r="I123" s="38">
        <v>3.5999999999999997E-2</v>
      </c>
      <c r="J123" s="26">
        <v>0.09</v>
      </c>
      <c r="K123" s="26">
        <v>1.5906522430411999E-11</v>
      </c>
      <c r="L123" s="26">
        <v>1.1000000000000001E-3</v>
      </c>
      <c r="M123" s="148">
        <f>'Parameters, country spec'!I20</f>
        <v>1.2367044164683077E-4</v>
      </c>
      <c r="N123" s="148">
        <f>'Parameters, country spec'!I38</f>
        <v>1.2367044164683077E-4</v>
      </c>
    </row>
    <row r="124" spans="1:16" x14ac:dyDescent="0.35">
      <c r="A124" s="20" t="s">
        <v>226</v>
      </c>
      <c r="B124" s="15" t="s">
        <v>111</v>
      </c>
      <c r="C124" s="15" t="s">
        <v>223</v>
      </c>
      <c r="D124" s="21" t="s">
        <v>48</v>
      </c>
      <c r="E124" s="21" t="s">
        <v>49</v>
      </c>
      <c r="F124" s="19">
        <v>2.85</v>
      </c>
      <c r="G124" s="38">
        <v>1.6E-2</v>
      </c>
      <c r="H124" s="38">
        <v>1.1999999999999999E-3</v>
      </c>
      <c r="I124" s="38">
        <v>0</v>
      </c>
      <c r="J124" s="26">
        <v>0</v>
      </c>
      <c r="K124" s="26">
        <v>2.3090534608331999E-11</v>
      </c>
      <c r="L124" s="26">
        <v>9.68E-4</v>
      </c>
      <c r="M124" s="148">
        <f>'Parameters, country spec'!I21</f>
        <v>4.6537012747958835E-4</v>
      </c>
      <c r="N124" s="148">
        <f>'Parameters, country spec'!I39</f>
        <v>4.6537012747958835E-4</v>
      </c>
    </row>
    <row r="125" spans="1:16" x14ac:dyDescent="0.35">
      <c r="A125" s="20" t="s">
        <v>227</v>
      </c>
      <c r="B125" s="15" t="s">
        <v>112</v>
      </c>
      <c r="C125" s="15" t="s">
        <v>223</v>
      </c>
      <c r="D125" s="21" t="s">
        <v>48</v>
      </c>
      <c r="E125" s="21" t="s">
        <v>49</v>
      </c>
      <c r="F125" s="19">
        <v>1.1499999999999999</v>
      </c>
      <c r="G125" s="38">
        <v>2.4E-2</v>
      </c>
      <c r="H125" s="38">
        <v>2.2000000000000001E-3</v>
      </c>
      <c r="I125" s="38">
        <v>1.4999999999999999E-2</v>
      </c>
      <c r="J125" s="26">
        <v>0.26</v>
      </c>
      <c r="K125" s="26">
        <v>9.2731182508831407E-12</v>
      </c>
      <c r="L125" s="26">
        <v>1.4300000000000001E-3</v>
      </c>
      <c r="M125" s="148">
        <f>'Parameters, country spec'!I22</f>
        <v>1.2739490248206042E-2</v>
      </c>
      <c r="N125" s="148">
        <f>'Parameters, country spec'!I40</f>
        <v>1.2739490248206042E-2</v>
      </c>
    </row>
    <row r="126" spans="1:16" x14ac:dyDescent="0.35">
      <c r="A126" s="20" t="s">
        <v>228</v>
      </c>
      <c r="B126" s="15" t="s">
        <v>113</v>
      </c>
      <c r="C126" s="15" t="s">
        <v>229</v>
      </c>
      <c r="D126" s="21" t="s">
        <v>48</v>
      </c>
      <c r="E126" s="21" t="s">
        <v>49</v>
      </c>
      <c r="F126" s="19">
        <v>2</v>
      </c>
      <c r="G126" s="38">
        <v>1.2999999999999999E-2</v>
      </c>
      <c r="H126" s="38">
        <v>1.6999999999999999E-3</v>
      </c>
      <c r="I126" s="38">
        <v>1.9E-2</v>
      </c>
      <c r="J126" s="26">
        <v>1.01</v>
      </c>
      <c r="K126" s="26">
        <v>1.6180769528966399E-11</v>
      </c>
      <c r="L126" s="26">
        <v>0</v>
      </c>
      <c r="M126" s="148">
        <f>'Parameters, country spec'!I23</f>
        <v>0</v>
      </c>
      <c r="N126" s="148">
        <f>'Parameters, country spec'!I41</f>
        <v>0</v>
      </c>
    </row>
    <row r="127" spans="1:16" x14ac:dyDescent="0.35">
      <c r="A127" s="20" t="s">
        <v>230</v>
      </c>
      <c r="B127" s="15" t="s">
        <v>114</v>
      </c>
      <c r="C127" s="15" t="s">
        <v>229</v>
      </c>
      <c r="D127" s="21" t="s">
        <v>48</v>
      </c>
      <c r="E127" s="21" t="s">
        <v>49</v>
      </c>
      <c r="F127" s="19">
        <v>2</v>
      </c>
      <c r="G127" s="38">
        <v>6.0000000000000001E-3</v>
      </c>
      <c r="H127" s="38">
        <v>2E-3</v>
      </c>
      <c r="I127" s="38">
        <v>8.9999999999999993E-3</v>
      </c>
      <c r="J127" s="26">
        <v>1.05</v>
      </c>
      <c r="K127" s="26">
        <v>1.62346221612781E-11</v>
      </c>
      <c r="L127" s="26">
        <v>6.1400000000000002E-5</v>
      </c>
      <c r="M127" s="148">
        <f>'Parameters, country spec'!I24</f>
        <v>0</v>
      </c>
      <c r="N127" s="148">
        <f>'Parameters, country spec'!I42</f>
        <v>0</v>
      </c>
    </row>
    <row r="128" spans="1:16" x14ac:dyDescent="0.35">
      <c r="B128" s="16" t="s">
        <v>115</v>
      </c>
      <c r="C128" s="15" t="s">
        <v>231</v>
      </c>
      <c r="D128" s="21" t="s">
        <v>48</v>
      </c>
      <c r="E128" s="21" t="s">
        <v>49</v>
      </c>
      <c r="F128" s="17">
        <f>'Off-farm feed'!$F$88</f>
        <v>1.5397450382845068</v>
      </c>
      <c r="G128" s="18">
        <f>'Off-farm feed'!$G$88</f>
        <v>2.276724967641296E-2</v>
      </c>
      <c r="H128" s="18">
        <f>'Off-farm feed'!$H$88</f>
        <v>2.4780679919905292E-3</v>
      </c>
      <c r="I128" s="18">
        <f>'Off-farm feed'!$I$88</f>
        <v>8.1100925319702543E-4</v>
      </c>
      <c r="J128" s="27">
        <f>'Off-farm feed'!$J$88</f>
        <v>0.29368572248181479</v>
      </c>
      <c r="K128" s="27">
        <f>'Off-farm feed'!$K$88</f>
        <v>1.2571008272056975E-11</v>
      </c>
      <c r="L128" s="27">
        <f>'Off-farm feed'!$L$88</f>
        <v>1.3841258986185109E-3</v>
      </c>
      <c r="M128" s="148">
        <f>'Parameters, country spec'!I25</f>
        <v>4.3197597637154396E-2</v>
      </c>
      <c r="N128" s="148">
        <f>'Parameters, country spec'!I43</f>
        <v>4.3197597637154396E-2</v>
      </c>
    </row>
    <row r="129" spans="1:16" x14ac:dyDescent="0.35">
      <c r="B129" s="16" t="s">
        <v>232</v>
      </c>
      <c r="C129" s="15" t="s">
        <v>231</v>
      </c>
      <c r="D129" s="21" t="s">
        <v>48</v>
      </c>
      <c r="E129" s="21" t="s">
        <v>49</v>
      </c>
      <c r="F129" s="17">
        <f>'Off-farm feed'!$F$36</f>
        <v>2.5509164954964105</v>
      </c>
      <c r="G129" s="18">
        <f>'Off-farm feed'!$G$36</f>
        <v>4.2620923125915401E-2</v>
      </c>
      <c r="H129" s="18">
        <f>'Off-farm feed'!$H$36</f>
        <v>3.2959349471355006E-3</v>
      </c>
      <c r="I129" s="18">
        <f>'Off-farm feed'!$I$36</f>
        <v>2.435286335413451E-3</v>
      </c>
      <c r="J129" s="27">
        <f>'Off-farm feed'!$J$36</f>
        <v>0.25920846302270906</v>
      </c>
      <c r="K129" s="27">
        <f>'Off-farm feed'!$K$36</f>
        <v>1.4553836091881654E-10</v>
      </c>
      <c r="L129" s="27">
        <f>'Off-farm feed'!$L$36</f>
        <v>1.0450321677831977E-4</v>
      </c>
      <c r="M129" s="148">
        <f>'Parameters, country spec'!I26</f>
        <v>5.5787586237705654E-2</v>
      </c>
      <c r="N129" s="148">
        <f>'Parameters, country spec'!I44</f>
        <v>5.5787586237705654E-2</v>
      </c>
    </row>
    <row r="130" spans="1:16" x14ac:dyDescent="0.35">
      <c r="B130" s="15" t="s">
        <v>117</v>
      </c>
      <c r="C130" s="15" t="s">
        <v>233</v>
      </c>
      <c r="D130" s="21" t="s">
        <v>48</v>
      </c>
      <c r="E130" s="21" t="s">
        <v>49</v>
      </c>
      <c r="F130" s="19">
        <v>0.71560643205922203</v>
      </c>
      <c r="G130" s="19">
        <v>1.1762359809494499E-2</v>
      </c>
      <c r="H130" s="19">
        <v>1.0762943616530901E-3</v>
      </c>
      <c r="I130" s="26">
        <v>5.84130938950317E-4</v>
      </c>
      <c r="J130" s="26">
        <v>0.12730102628270801</v>
      </c>
      <c r="K130" s="26">
        <v>8.9554252360338206E-14</v>
      </c>
      <c r="L130" s="26">
        <v>7.1508799141679696E-4</v>
      </c>
      <c r="M130" s="148">
        <f>'Parameters, country spec'!I27</f>
        <v>3.963187482955613E-2</v>
      </c>
      <c r="N130" s="148">
        <f>'Parameters, country spec'!I45</f>
        <v>3.963187482955613E-2</v>
      </c>
      <c r="O130" t="s">
        <v>403</v>
      </c>
    </row>
    <row r="131" spans="1:16" x14ac:dyDescent="0.35">
      <c r="A131" s="75"/>
      <c r="B131" s="15" t="s">
        <v>234</v>
      </c>
      <c r="C131" s="76" t="s">
        <v>235</v>
      </c>
      <c r="D131" s="21" t="s">
        <v>48</v>
      </c>
      <c r="E131" s="21" t="s">
        <v>49</v>
      </c>
      <c r="F131" s="73">
        <f>AVERAGE(F121:F129)</f>
        <v>1.8445179481978795</v>
      </c>
      <c r="G131" s="98">
        <f t="shared" ref="G131:L131" si="8">AVERAGE(G121:G129)</f>
        <v>2.0376463644703149E-2</v>
      </c>
      <c r="H131" s="98">
        <f t="shared" si="8"/>
        <v>2.8193336599028917E-3</v>
      </c>
      <c r="I131" s="98">
        <f t="shared" si="8"/>
        <v>1.7027366176512279E-2</v>
      </c>
      <c r="J131" s="161">
        <f t="shared" si="8"/>
        <v>0.46809935394494712</v>
      </c>
      <c r="K131" s="74">
        <f t="shared" si="8"/>
        <v>2.8826337305030716E-11</v>
      </c>
      <c r="L131" s="161">
        <f t="shared" si="8"/>
        <v>8.3422545726631451E-4</v>
      </c>
      <c r="M131" s="148">
        <f>'Parameters, country spec'!I28</f>
        <v>1.8583769386191842E-2</v>
      </c>
      <c r="N131" s="148">
        <f>'Parameters, country spec'!I46</f>
        <v>1.8583769386191842E-2</v>
      </c>
    </row>
    <row r="132" spans="1:16" x14ac:dyDescent="0.35">
      <c r="A132" s="321"/>
      <c r="B132" s="322" t="s">
        <v>541</v>
      </c>
      <c r="C132" s="323"/>
      <c r="D132" s="324"/>
      <c r="E132" s="324"/>
      <c r="F132" s="325">
        <f>SUMPRODUCT(F118:F120,M118:M120)+SUMPRODUCT(F121:F131,M121:M131)/0.87</f>
        <v>0.77742860684839921</v>
      </c>
      <c r="G132" s="326">
        <f>SUMPRODUCT(G118:G120,M118:M120)+SUMPRODUCT(G121:G131,M121:M131)/0.87</f>
        <v>2.9798027271250999E-2</v>
      </c>
      <c r="H132" s="326">
        <f>SUMPRODUCT(H118:H120,M118:M120)+SUMPRODUCT(H121:H131,M121:M131)/0.87</f>
        <v>6.5510261049432791E-4</v>
      </c>
      <c r="I132" s="326">
        <f>SUMPRODUCT(I118:I120,M118:M120)+SUMPRODUCT(I121:I131,M121:M131)/0.87</f>
        <v>1.177825764502962E-2</v>
      </c>
      <c r="J132" s="327">
        <f>SUMPRODUCT(J118:J120,M118:M120)+SUMPRODUCT(J121:J131,M121:M131)/0.87</f>
        <v>6.4397390547058259E-2</v>
      </c>
      <c r="K132" s="327">
        <f>SUMPRODUCT(K118:K120,M118:M120)+SUMPRODUCT(K121:K131,M121:M131)/0.87</f>
        <v>2.0199202254957024E-11</v>
      </c>
      <c r="L132" s="327">
        <f>SUMPRODUCT(L118:L120,M118:M120)+SUMPRODUCT(L121:L131,M121:M131)/0.87</f>
        <v>1.2552847936863345E-3</v>
      </c>
      <c r="M132" s="328"/>
      <c r="N132" s="329"/>
    </row>
    <row r="133" spans="1:16" x14ac:dyDescent="0.35">
      <c r="A133" s="147"/>
      <c r="B133" s="23" t="s">
        <v>558</v>
      </c>
      <c r="C133" s="24"/>
      <c r="D133" s="94"/>
      <c r="E133" s="94"/>
      <c r="F133" s="320">
        <f>SUMPRODUCT(F118:F121,N118:N121)+SUMPRODUCT(F122:F132,N122:N132)/0.87</f>
        <v>0.77660161340192757</v>
      </c>
      <c r="G133" s="25">
        <f>SUMPRODUCT(G118:G121,N118:N121)+SUMPRODUCT(G122:G132,N122:N132)/0.87</f>
        <v>2.9786213079158547E-2</v>
      </c>
      <c r="H133" s="25">
        <f>SUMPRODUCT(H118:H121,N118:N121)+SUMPRODUCT(H122:H132,N122:N132)/0.87</f>
        <v>6.5335861070925187E-4</v>
      </c>
      <c r="I133" s="25">
        <f>SUMPRODUCT(I118:I121,N118:N121)+SUMPRODUCT(I122:I132,N122:N132)/0.87</f>
        <v>1.1774319580998803E-2</v>
      </c>
      <c r="J133" s="28">
        <f>SUMPRODUCT(J118:J121,N118:N121)+SUMPRODUCT(J122:J132,N122:N132)/0.87</f>
        <v>6.4222990568550631E-2</v>
      </c>
      <c r="K133" s="28">
        <f>SUMPRODUCT(K118:K121,N118:N121)+SUMPRODUCT(K122:K132,N122:N132)/0.87</f>
        <v>2.0192513866892336E-11</v>
      </c>
      <c r="L133" s="28">
        <f>SUMPRODUCT(L118:L121,N118:N121)+SUMPRODUCT(L122:L132,N122:N132)/0.87</f>
        <v>1.2545815679665456E-3</v>
      </c>
      <c r="M133" s="149"/>
      <c r="N133" s="149"/>
    </row>
    <row r="134" spans="1:16" x14ac:dyDescent="0.35">
      <c r="B134" s="16" t="s">
        <v>285</v>
      </c>
      <c r="C134" s="15" t="s">
        <v>288</v>
      </c>
      <c r="D134" s="21" t="s">
        <v>50</v>
      </c>
      <c r="E134" s="21" t="s">
        <v>51</v>
      </c>
      <c r="F134" s="108">
        <v>0</v>
      </c>
      <c r="G134" s="312">
        <f>'Forage crops, footprints'!G16</f>
        <v>1.4248888174213353E-2</v>
      </c>
      <c r="H134" s="313">
        <f>'Forage crops, footprints'!H16</f>
        <v>2.3847872238080535E-4</v>
      </c>
      <c r="I134" s="312">
        <f>'Forage crops, footprints'!I16</f>
        <v>0</v>
      </c>
      <c r="J134" s="118">
        <f>'Forage crops, footprints'!J16</f>
        <v>0</v>
      </c>
      <c r="K134" s="118">
        <f>'Forage crops, footprints'!K16</f>
        <v>5.6886322522779026E-12</v>
      </c>
      <c r="L134" s="118">
        <f>'Forage crops, footprints'!L16</f>
        <v>3.5122388625340054E-4</v>
      </c>
      <c r="M134" s="148">
        <f>'Parameters, country spec'!J15</f>
        <v>0.26557017524746096</v>
      </c>
      <c r="N134" s="148">
        <f>'Parameters, country spec'!J33</f>
        <v>0.26557017524746096</v>
      </c>
      <c r="O134" s="18"/>
      <c r="P134" s="148"/>
    </row>
    <row r="135" spans="1:16" x14ac:dyDescent="0.35">
      <c r="B135" s="16" t="s">
        <v>286</v>
      </c>
      <c r="C135" s="15" t="s">
        <v>288</v>
      </c>
      <c r="D135" s="21" t="s">
        <v>50</v>
      </c>
      <c r="E135" s="21" t="s">
        <v>51</v>
      </c>
      <c r="F135" s="108">
        <f>'Forage crops, footprints'!F33</f>
        <v>0.6336182502296176</v>
      </c>
      <c r="G135" s="312">
        <f>'Forage crops, footprints'!G33</f>
        <v>8.5049431919481961E-3</v>
      </c>
      <c r="H135" s="312">
        <f>'Forage crops, footprints'!H33</f>
        <v>1.3832511096562076E-3</v>
      </c>
      <c r="I135" s="312">
        <f>'Forage crops, footprints'!I33</f>
        <v>1.2E-2</v>
      </c>
      <c r="J135" s="118">
        <f>'Forage crops, footprints'!J33</f>
        <v>1.0479214179139297E-4</v>
      </c>
      <c r="K135" s="118">
        <f>'Forage crops, footprints'!K33</f>
        <v>2.5239361658889796E-12</v>
      </c>
      <c r="L135" s="118">
        <f>'Forage crops, footprints'!L33</f>
        <v>5.1705464232908453E-4</v>
      </c>
      <c r="M135" s="148">
        <f>'Parameters, country spec'!J16</f>
        <v>0.3089723847114122</v>
      </c>
      <c r="N135" s="148">
        <f>'Parameters, country spec'!J34</f>
        <v>0.3089723847114122</v>
      </c>
      <c r="O135" s="18"/>
      <c r="P135" s="148"/>
    </row>
    <row r="136" spans="1:16" x14ac:dyDescent="0.35">
      <c r="B136" s="16" t="s">
        <v>287</v>
      </c>
      <c r="C136" s="15" t="s">
        <v>288</v>
      </c>
      <c r="D136" s="21" t="s">
        <v>50</v>
      </c>
      <c r="E136" s="21" t="s">
        <v>51</v>
      </c>
      <c r="F136" s="108">
        <f>'Forage, input data per ha'!$E$86*'Forage crops, footprints'!F50+'Forage, input data per ha'!$G$86*'Forage crops, footprints'!F67</f>
        <v>1.31552570056847</v>
      </c>
      <c r="G136" s="312">
        <f>'Forage, input data per ha'!$E$86*'Forage crops, footprints'!G50+'Forage, input data per ha'!$G$86*'Forage crops, footprints'!G67</f>
        <v>2.091716494408814E-2</v>
      </c>
      <c r="H136" s="312">
        <f>'Forage, input data per ha'!$E$86*'Forage crops, footprints'!H50+'Forage, input data per ha'!$G$86*'Forage crops, footprints'!H67</f>
        <v>9.0128490500422892E-4</v>
      </c>
      <c r="I136" s="312">
        <f>'Forage, input data per ha'!$E$86*'Forage crops, footprints'!I50+'Forage, input data per ha'!$G$86*'Forage crops, footprints'!I67</f>
        <v>0</v>
      </c>
      <c r="J136" s="118">
        <f>'Forage, input data per ha'!$E$86*'Forage crops, footprints'!J50+'Forage, input data per ha'!$G$86*'Forage crops, footprints'!J67</f>
        <v>3.6805488517000165E-5</v>
      </c>
      <c r="K136" s="118">
        <f>'Forage, input data per ha'!$E$86*'Forage crops, footprints'!K50+'Forage, input data per ha'!$G$86*'Forage crops, footprints'!K67</f>
        <v>3.6981408145114899E-12</v>
      </c>
      <c r="L136" s="118">
        <f>'Forage, input data per ha'!$E$86*'Forage crops, footprints'!L50+'Forage, input data per ha'!$G$86*'Forage crops, footprints'!L67</f>
        <v>2.7669407133162509E-4</v>
      </c>
      <c r="M136" s="148">
        <f>'Parameters, country spec'!J17</f>
        <v>0.15280804679497859</v>
      </c>
      <c r="N136" s="148">
        <f>'Parameters, country spec'!J35</f>
        <v>0.15280804679497859</v>
      </c>
      <c r="O136" s="18"/>
      <c r="P136" s="148"/>
    </row>
    <row r="137" spans="1:16" x14ac:dyDescent="0.35">
      <c r="A137" s="20" t="s">
        <v>222</v>
      </c>
      <c r="B137" s="15" t="s">
        <v>108</v>
      </c>
      <c r="C137" s="15" t="s">
        <v>223</v>
      </c>
      <c r="D137" s="21" t="s">
        <v>50</v>
      </c>
      <c r="E137" s="21" t="s">
        <v>51</v>
      </c>
      <c r="F137" s="22">
        <v>2.64</v>
      </c>
      <c r="G137" s="38">
        <v>2.1000000000000001E-2</v>
      </c>
      <c r="H137" s="38">
        <v>3.0999999999999999E-3</v>
      </c>
      <c r="I137" s="38">
        <v>1E-3</v>
      </c>
      <c r="J137" s="26">
        <v>0.23</v>
      </c>
      <c r="K137" s="26">
        <v>1.0535508405957999E-11</v>
      </c>
      <c r="L137" s="26">
        <v>1.25E-3</v>
      </c>
      <c r="M137" s="148">
        <f>'Parameters, country spec'!J18</f>
        <v>1.4852072857038275E-2</v>
      </c>
      <c r="N137" s="148">
        <f>'Parameters, country spec'!J36</f>
        <v>1.4852072857038275E-2</v>
      </c>
    </row>
    <row r="138" spans="1:16" x14ac:dyDescent="0.35">
      <c r="A138" s="20" t="s">
        <v>224</v>
      </c>
      <c r="B138" s="15" t="s">
        <v>109</v>
      </c>
      <c r="C138" s="15" t="s">
        <v>223</v>
      </c>
      <c r="D138" s="21" t="s">
        <v>50</v>
      </c>
      <c r="E138" s="21" t="s">
        <v>51</v>
      </c>
      <c r="F138" s="19">
        <v>1.52</v>
      </c>
      <c r="G138" s="38">
        <v>0.02</v>
      </c>
      <c r="H138" s="38">
        <v>5.5999999999999999E-3</v>
      </c>
      <c r="I138" s="38">
        <v>1.2E-2</v>
      </c>
      <c r="J138" s="26">
        <v>0.13</v>
      </c>
      <c r="K138" s="26">
        <v>6.0444763709331803E-12</v>
      </c>
      <c r="L138" s="26">
        <v>1.2099999999999999E-3</v>
      </c>
      <c r="M138" s="148">
        <f>'Parameters, country spec'!J19</f>
        <v>2.0345709016517825E-2</v>
      </c>
      <c r="N138" s="148">
        <f>'Parameters, country spec'!J37</f>
        <v>2.0345709016517825E-2</v>
      </c>
    </row>
    <row r="139" spans="1:16" x14ac:dyDescent="0.35">
      <c r="A139" s="20" t="s">
        <v>225</v>
      </c>
      <c r="B139" s="15" t="s">
        <v>110</v>
      </c>
      <c r="C139" s="15" t="s">
        <v>223</v>
      </c>
      <c r="D139" s="21" t="s">
        <v>50</v>
      </c>
      <c r="E139" s="21" t="s">
        <v>51</v>
      </c>
      <c r="F139" s="19">
        <v>3.56</v>
      </c>
      <c r="G139" s="38">
        <v>1.7999999999999999E-2</v>
      </c>
      <c r="H139" s="38">
        <v>3.8E-3</v>
      </c>
      <c r="I139" s="38">
        <v>1E-3</v>
      </c>
      <c r="J139" s="26">
        <v>0.14000000000000001</v>
      </c>
      <c r="K139" s="26">
        <v>1.41678298638787E-11</v>
      </c>
      <c r="L139" s="26">
        <v>1.1000000000000001E-3</v>
      </c>
      <c r="M139" s="148">
        <f>'Parameters, country spec'!J20</f>
        <v>4.4481071240192398E-4</v>
      </c>
      <c r="N139" s="148">
        <f>'Parameters, country spec'!J38</f>
        <v>4.4481071240192398E-4</v>
      </c>
    </row>
    <row r="140" spans="1:16" x14ac:dyDescent="0.35">
      <c r="A140" s="20" t="s">
        <v>226</v>
      </c>
      <c r="B140" s="15" t="s">
        <v>111</v>
      </c>
      <c r="C140" s="15" t="s">
        <v>223</v>
      </c>
      <c r="D140" s="21" t="s">
        <v>50</v>
      </c>
      <c r="E140" s="21" t="s">
        <v>51</v>
      </c>
      <c r="F140" s="19">
        <v>3.38</v>
      </c>
      <c r="G140" s="38">
        <v>1.6E-2</v>
      </c>
      <c r="H140" s="38">
        <v>1.1999999999999999E-3</v>
      </c>
      <c r="I140" s="38">
        <v>0</v>
      </c>
      <c r="J140" s="26">
        <v>7.0000000000000007E-2</v>
      </c>
      <c r="K140" s="26">
        <v>1.3453241829202901E-11</v>
      </c>
      <c r="L140" s="26">
        <v>9.68E-4</v>
      </c>
      <c r="M140" s="148">
        <f>'Parameters, country spec'!J21</f>
        <v>5.8075964903519491E-3</v>
      </c>
      <c r="N140" s="148">
        <f>'Parameters, country spec'!J39</f>
        <v>5.8075964903519491E-3</v>
      </c>
    </row>
    <row r="141" spans="1:16" x14ac:dyDescent="0.35">
      <c r="A141" s="20" t="s">
        <v>227</v>
      </c>
      <c r="B141" s="15" t="s">
        <v>112</v>
      </c>
      <c r="C141" s="15" t="s">
        <v>223</v>
      </c>
      <c r="D141" s="21" t="s">
        <v>50</v>
      </c>
      <c r="E141" s="21" t="s">
        <v>51</v>
      </c>
      <c r="F141" s="19">
        <v>2.14</v>
      </c>
      <c r="G141" s="38">
        <v>2.4E-2</v>
      </c>
      <c r="H141" s="38">
        <v>2.2000000000000001E-3</v>
      </c>
      <c r="I141" s="38">
        <v>1E-3</v>
      </c>
      <c r="J141" s="26">
        <v>0.25</v>
      </c>
      <c r="K141" s="26">
        <v>8.5197035880993495E-12</v>
      </c>
      <c r="L141" s="26">
        <v>1.4300000000000001E-3</v>
      </c>
      <c r="M141" s="148">
        <f>'Parameters, country spec'!J22</f>
        <v>2.3351211772125756E-2</v>
      </c>
      <c r="N141" s="148">
        <f>'Parameters, country spec'!J40</f>
        <v>2.3351211772125756E-2</v>
      </c>
    </row>
    <row r="142" spans="1:16" x14ac:dyDescent="0.35">
      <c r="A142" s="20" t="s">
        <v>228</v>
      </c>
      <c r="B142" s="15" t="s">
        <v>113</v>
      </c>
      <c r="C142" s="15" t="s">
        <v>229</v>
      </c>
      <c r="D142" s="21" t="s">
        <v>50</v>
      </c>
      <c r="E142" s="21" t="s">
        <v>51</v>
      </c>
      <c r="F142" s="19">
        <v>4.8600000000000003</v>
      </c>
      <c r="G142" s="38">
        <v>3.1E-2</v>
      </c>
      <c r="H142" s="38">
        <v>1.6999999999999999E-3</v>
      </c>
      <c r="I142" s="38">
        <v>0</v>
      </c>
      <c r="J142" s="26">
        <v>1.01</v>
      </c>
      <c r="K142" s="26">
        <v>1.9375877369876399E-11</v>
      </c>
      <c r="L142" s="26">
        <v>0</v>
      </c>
      <c r="M142" s="148">
        <f>'Parameters, country spec'!J23</f>
        <v>2.6962503550840627E-3</v>
      </c>
      <c r="N142" s="148">
        <f>'Parameters, country spec'!J41</f>
        <v>2.6962503550840627E-3</v>
      </c>
    </row>
    <row r="143" spans="1:16" x14ac:dyDescent="0.35">
      <c r="A143" s="20" t="s">
        <v>230</v>
      </c>
      <c r="B143" s="15" t="s">
        <v>114</v>
      </c>
      <c r="C143" s="15" t="s">
        <v>229</v>
      </c>
      <c r="D143" s="21" t="s">
        <v>50</v>
      </c>
      <c r="E143" s="21" t="s">
        <v>51</v>
      </c>
      <c r="F143" s="19">
        <v>3.93</v>
      </c>
      <c r="G143" s="38">
        <v>0.01</v>
      </c>
      <c r="H143" s="38">
        <v>2E-3</v>
      </c>
      <c r="I143" s="38">
        <v>0</v>
      </c>
      <c r="J143" s="26">
        <v>1.05</v>
      </c>
      <c r="K143" s="26">
        <v>1.5643267592459399E-11</v>
      </c>
      <c r="L143" s="26">
        <v>6.1400000000000002E-5</v>
      </c>
      <c r="M143" s="148">
        <f>'Parameters, country spec'!J24</f>
        <v>2.6486063692714159E-3</v>
      </c>
      <c r="N143" s="148">
        <f>'Parameters, country spec'!J42</f>
        <v>2.6486063692714159E-3</v>
      </c>
    </row>
    <row r="144" spans="1:16" x14ac:dyDescent="0.35">
      <c r="B144" s="16" t="s">
        <v>115</v>
      </c>
      <c r="C144" s="15" t="s">
        <v>231</v>
      </c>
      <c r="D144" s="21" t="s">
        <v>50</v>
      </c>
      <c r="E144" s="21" t="s">
        <v>51</v>
      </c>
      <c r="F144" s="17">
        <f>'Off-farm feed'!$F$88</f>
        <v>1.5397450382845068</v>
      </c>
      <c r="G144" s="18">
        <f>'Off-farm feed'!$G$88</f>
        <v>2.276724967641296E-2</v>
      </c>
      <c r="H144" s="18">
        <f>'Off-farm feed'!$H$88</f>
        <v>2.4780679919905292E-3</v>
      </c>
      <c r="I144" s="18">
        <f>'Off-farm feed'!$I$88</f>
        <v>8.1100925319702543E-4</v>
      </c>
      <c r="J144" s="27">
        <f>'Off-farm feed'!$J$88</f>
        <v>0.29368572248181479</v>
      </c>
      <c r="K144" s="27">
        <f>'Off-farm feed'!$K$88</f>
        <v>1.2571008272056975E-11</v>
      </c>
      <c r="L144" s="27">
        <f>'Off-farm feed'!$L$88</f>
        <v>1.3841258986185109E-3</v>
      </c>
      <c r="M144" s="148">
        <f>'Parameters, country spec'!J25</f>
        <v>1.9433337380001321E-2</v>
      </c>
      <c r="N144" s="148">
        <f>'Parameters, country spec'!J43</f>
        <v>1.9433337380001321E-2</v>
      </c>
    </row>
    <row r="145" spans="1:16" x14ac:dyDescent="0.35">
      <c r="B145" s="16" t="s">
        <v>232</v>
      </c>
      <c r="C145" s="15" t="s">
        <v>231</v>
      </c>
      <c r="D145" s="21" t="s">
        <v>50</v>
      </c>
      <c r="E145" s="21" t="s">
        <v>51</v>
      </c>
      <c r="F145" s="17">
        <f>'Off-farm feed'!$F$36</f>
        <v>2.5509164954964105</v>
      </c>
      <c r="G145" s="18">
        <f>'Off-farm feed'!$G$36</f>
        <v>4.2620923125915401E-2</v>
      </c>
      <c r="H145" s="18">
        <f>'Off-farm feed'!$H$36</f>
        <v>3.2959349471355006E-3</v>
      </c>
      <c r="I145" s="18">
        <f>'Off-farm feed'!$I$36</f>
        <v>2.435286335413451E-3</v>
      </c>
      <c r="J145" s="27">
        <f>'Off-farm feed'!$J$36</f>
        <v>0.25920846302270906</v>
      </c>
      <c r="K145" s="27">
        <f>'Off-farm feed'!$K$36</f>
        <v>1.4553836091881654E-10</v>
      </c>
      <c r="L145" s="27">
        <f>'Off-farm feed'!$L$36</f>
        <v>1.0450321677831977E-4</v>
      </c>
      <c r="M145" s="148">
        <f>'Parameters, country spec'!J26</f>
        <v>6.7782810502236002E-2</v>
      </c>
      <c r="N145" s="148">
        <f>'Parameters, country spec'!J44</f>
        <v>6.7782810502236002E-2</v>
      </c>
    </row>
    <row r="146" spans="1:16" x14ac:dyDescent="0.35">
      <c r="B146" s="15" t="s">
        <v>117</v>
      </c>
      <c r="C146" s="15" t="s">
        <v>233</v>
      </c>
      <c r="D146" s="21" t="s">
        <v>50</v>
      </c>
      <c r="E146" s="21" t="s">
        <v>51</v>
      </c>
      <c r="F146" s="19">
        <v>0.912202360501987</v>
      </c>
      <c r="G146" s="19">
        <v>1.1762359809494499E-2</v>
      </c>
      <c r="H146" s="19">
        <v>1.0762943616530901E-3</v>
      </c>
      <c r="I146" s="26">
        <v>3.7952377423452902E-3</v>
      </c>
      <c r="J146" s="26">
        <v>0.11938754727544799</v>
      </c>
      <c r="K146" s="26">
        <v>2.3078637765366401E-13</v>
      </c>
      <c r="L146" s="26">
        <v>7.1508799141679696E-4</v>
      </c>
      <c r="M146" s="148">
        <f>'Parameters, country spec'!J27</f>
        <v>4.7732591070968847E-2</v>
      </c>
      <c r="N146" s="148">
        <f>'Parameters, country spec'!J45</f>
        <v>4.7732591070968847E-2</v>
      </c>
    </row>
    <row r="147" spans="1:16" x14ac:dyDescent="0.35">
      <c r="A147" s="75"/>
      <c r="B147" s="15" t="s">
        <v>234</v>
      </c>
      <c r="C147" s="76" t="s">
        <v>235</v>
      </c>
      <c r="D147" s="21" t="s">
        <v>50</v>
      </c>
      <c r="E147" s="21" t="s">
        <v>51</v>
      </c>
      <c r="F147" s="73">
        <f t="shared" ref="F147:L147" si="9">AVERAGE(F137:F145)</f>
        <v>2.9022957259756574</v>
      </c>
      <c r="G147" s="98">
        <f t="shared" si="9"/>
        <v>2.2820908089147596E-2</v>
      </c>
      <c r="H147" s="98">
        <f t="shared" si="9"/>
        <v>2.8193336599028917E-3</v>
      </c>
      <c r="I147" s="98">
        <f t="shared" si="9"/>
        <v>2.0273661765122753E-3</v>
      </c>
      <c r="J147" s="161">
        <f t="shared" si="9"/>
        <v>0.38143268727828045</v>
      </c>
      <c r="K147" s="74">
        <f t="shared" si="9"/>
        <v>2.7316586023475715E-11</v>
      </c>
      <c r="L147" s="161">
        <f t="shared" si="9"/>
        <v>8.3422545726631451E-4</v>
      </c>
      <c r="M147" s="148">
        <f>'Parameters, country spec'!J28</f>
        <v>6.7554396720150997E-2</v>
      </c>
      <c r="N147" s="148">
        <f>'Parameters, country spec'!J46</f>
        <v>6.7554396720150997E-2</v>
      </c>
    </row>
    <row r="148" spans="1:16" x14ac:dyDescent="0.35">
      <c r="A148" s="321"/>
      <c r="B148" s="322" t="s">
        <v>541</v>
      </c>
      <c r="C148" s="323"/>
      <c r="D148" s="324"/>
      <c r="E148" s="324"/>
      <c r="F148" s="325">
        <f>SUMPRODUCT(F134:F136,M134:M136)+SUMPRODUCT(F137:F147,M137:M147)/0.87</f>
        <v>1.0948024644900776</v>
      </c>
      <c r="G148" s="326">
        <f>SUMPRODUCT(G134:G136,M134:M136)+SUMPRODUCT(G137:G147,M137:M147)/0.87</f>
        <v>1.7567660375463139E-2</v>
      </c>
      <c r="H148" s="326">
        <f>SUMPRODUCT(H134:H136,M134:M136)+SUMPRODUCT(H137:H147,M137:M147)/0.87</f>
        <v>1.4827966844980481E-3</v>
      </c>
      <c r="I148" s="326">
        <f>SUMPRODUCT(I134:I136,M134:M136)+SUMPRODUCT(I137:I147,M137:M147)/0.87</f>
        <v>4.6062224123128957E-3</v>
      </c>
      <c r="J148" s="327">
        <f>SUMPRODUCT(J134:J136,M134:M136)+SUMPRODUCT(J137:J147,M137:M147)/0.87</f>
        <v>8.3503611917755557E-2</v>
      </c>
      <c r="K148" s="327">
        <f>SUMPRODUCT(K134:K136,M134:M136)+SUMPRODUCT(K137:K147,M137:M147)/0.87</f>
        <v>1.7363909384348098E-11</v>
      </c>
      <c r="L148" s="327">
        <f>SUMPRODUCT(L134:L136,M134:M136)+SUMPRODUCT(L137:L147,M137:M147)/0.87</f>
        <v>5.3360967653019904E-4</v>
      </c>
      <c r="M148" s="328"/>
      <c r="N148" s="329"/>
    </row>
    <row r="149" spans="1:16" x14ac:dyDescent="0.35">
      <c r="A149" s="147"/>
      <c r="B149" s="23" t="s">
        <v>558</v>
      </c>
      <c r="C149" s="24"/>
      <c r="D149" s="94"/>
      <c r="E149" s="94"/>
      <c r="F149" s="320">
        <f>SUMPRODUCT(F134:F137,N134:N137)+SUMPRODUCT(F138:F148,N138:N148)/0.87</f>
        <v>1.0889435778181975</v>
      </c>
      <c r="G149" s="25">
        <f>SUMPRODUCT(G134:G137,N134:N137)+SUMPRODUCT(G138:G148,N138:N148)/0.87</f>
        <v>1.7521055595118639E-2</v>
      </c>
      <c r="H149" s="25">
        <f>SUMPRODUCT(H134:H137,N134:N137)+SUMPRODUCT(H138:H148,N138:N148)/0.87</f>
        <v>1.475916931209098E-3</v>
      </c>
      <c r="I149" s="25">
        <f>SUMPRODUCT(I134:I137,N134:N137)+SUMPRODUCT(I138:I148,N138:N148)/0.87</f>
        <v>4.6040031370583956E-3</v>
      </c>
      <c r="J149" s="28">
        <f>SUMPRODUCT(J134:J137,N134:N137)+SUMPRODUCT(J138:J148,N138:N148)/0.87</f>
        <v>8.2993178609220578E-2</v>
      </c>
      <c r="K149" s="28">
        <f>SUMPRODUCT(K134:K137,N134:N137)+SUMPRODUCT(K138:K148,N138:N148)/0.87</f>
        <v>1.7340528191249178E-11</v>
      </c>
      <c r="L149" s="28">
        <f>SUMPRODUCT(L134:L137,N134:N137)+SUMPRODUCT(L138:L148,N138:N148)/0.87</f>
        <v>5.3083558246207413E-4</v>
      </c>
      <c r="M149" s="149"/>
      <c r="N149" s="149"/>
    </row>
    <row r="150" spans="1:16" x14ac:dyDescent="0.35">
      <c r="B150" s="16" t="s">
        <v>285</v>
      </c>
      <c r="C150" s="15" t="s">
        <v>288</v>
      </c>
      <c r="D150" s="21" t="s">
        <v>52</v>
      </c>
      <c r="E150" s="21" t="s">
        <v>53</v>
      </c>
      <c r="F150" s="108">
        <v>0</v>
      </c>
      <c r="G150" s="312">
        <f>'Forage crops, footprints'!G17</f>
        <v>1.4248888174213355E-2</v>
      </c>
      <c r="H150" s="313">
        <f>'Forage crops, footprints'!H17</f>
        <v>2.3847872238080535E-4</v>
      </c>
      <c r="I150" s="312">
        <f>'Forage crops, footprints'!I17</f>
        <v>0</v>
      </c>
      <c r="J150" s="118">
        <f>'Forage crops, footprints'!J17</f>
        <v>0</v>
      </c>
      <c r="K150" s="118">
        <f>'Forage crops, footprints'!K17</f>
        <v>1.1723811931033969E-10</v>
      </c>
      <c r="L150" s="118">
        <f>'Forage crops, footprints'!L17</f>
        <v>3.5122388625340054E-4</v>
      </c>
      <c r="M150" s="148">
        <f>'Parameters, country spec'!K15</f>
        <v>0.42695226222969923</v>
      </c>
      <c r="N150" s="148">
        <f>'Parameters, country spec'!K33</f>
        <v>0.42695226222969923</v>
      </c>
      <c r="O150" s="18"/>
      <c r="P150" s="148"/>
    </row>
    <row r="151" spans="1:16" x14ac:dyDescent="0.35">
      <c r="B151" s="16" t="s">
        <v>286</v>
      </c>
      <c r="C151" s="15" t="s">
        <v>288</v>
      </c>
      <c r="D151" s="21" t="s">
        <v>52</v>
      </c>
      <c r="E151" s="21" t="s">
        <v>53</v>
      </c>
      <c r="F151" s="108">
        <f>'Forage crops, footprints'!F34</f>
        <v>1.0250102501025009</v>
      </c>
      <c r="G151" s="312">
        <f>'Forage crops, footprints'!G34</f>
        <v>5.6375563755637556E-3</v>
      </c>
      <c r="H151" s="312">
        <f>'Forage crops, footprints'!H34</f>
        <v>1.3426190599934167E-3</v>
      </c>
      <c r="I151" s="312">
        <f>'Forage crops, footprints'!I34</f>
        <v>0.36057452281463748</v>
      </c>
      <c r="J151" s="118">
        <f>'Forage crops, footprints'!J34</f>
        <v>6.7567011968587768E-5</v>
      </c>
      <c r="K151" s="118">
        <f>'Forage crops, footprints'!K34</f>
        <v>7.0036243032082879E-11</v>
      </c>
      <c r="L151" s="118">
        <f>'Forage crops, footprints'!L34</f>
        <v>3.427330000436436E-4</v>
      </c>
      <c r="M151" s="148">
        <f>'Parameters, country spec'!K16</f>
        <v>8.4238508213965613E-2</v>
      </c>
      <c r="N151" s="148">
        <f>'Parameters, country spec'!K34</f>
        <v>8.4238508213965613E-2</v>
      </c>
      <c r="O151" s="18"/>
      <c r="P151" s="148"/>
    </row>
    <row r="152" spans="1:16" x14ac:dyDescent="0.35">
      <c r="B152" s="16" t="s">
        <v>287</v>
      </c>
      <c r="C152" s="15" t="s">
        <v>288</v>
      </c>
      <c r="D152" s="21" t="s">
        <v>52</v>
      </c>
      <c r="E152" s="21" t="s">
        <v>53</v>
      </c>
      <c r="F152" s="108">
        <f>'Forage, input data per ha'!$E$87*'Forage crops, footprints'!F51+'Forage, input data per ha'!$G$87*'Forage crops, footprints'!F68</f>
        <v>1.5547169575916358</v>
      </c>
      <c r="G152" s="312">
        <f>'Forage, input data per ha'!$E$87*'Forage crops, footprints'!G51+'Forage, input data per ha'!$G$87*'Forage crops, footprints'!G68</f>
        <v>2.9285237454224174E-2</v>
      </c>
      <c r="H152" s="312">
        <f>'Forage, input data per ha'!$E$87*'Forage crops, footprints'!H51+'Forage, input data per ha'!$G$87*'Forage crops, footprints'!H68</f>
        <v>1.7330455513853513E-3</v>
      </c>
      <c r="I152" s="312">
        <f>'Forage, input data per ha'!$E$87*'Forage crops, footprints'!I51+'Forage, input data per ha'!$G$87*'Forage crops, footprints'!I68</f>
        <v>0</v>
      </c>
      <c r="J152" s="118">
        <f>'Forage, input data per ha'!$E$87*'Forage crops, footprints'!J51+'Forage, input data per ha'!$G$87*'Forage crops, footprints'!J68</f>
        <v>4.5501832712648791E-5</v>
      </c>
      <c r="K152" s="118">
        <f>'Forage, input data per ha'!$E$87*'Forage crops, footprints'!K51+'Forage, input data per ha'!$G$87*'Forage crops, footprints'!K68</f>
        <v>7.1368896638075884E-11</v>
      </c>
      <c r="L152" s="118">
        <f>'Forage, input data per ha'!$E$87*'Forage crops, footprints'!L51+'Forage, input data per ha'!$G$87*'Forage crops, footprints'!L68</f>
        <v>1.8316602548775911E-4</v>
      </c>
      <c r="M152" s="148">
        <f>'Parameters, country spec'!K17</f>
        <v>6.2955748563960065E-2</v>
      </c>
      <c r="N152" s="148">
        <f>'Parameters, country spec'!K35</f>
        <v>6.2955748563960065E-2</v>
      </c>
      <c r="O152" s="18"/>
      <c r="P152" s="148"/>
    </row>
    <row r="153" spans="1:16" x14ac:dyDescent="0.35">
      <c r="A153" s="20" t="s">
        <v>222</v>
      </c>
      <c r="B153" s="15" t="s">
        <v>108</v>
      </c>
      <c r="C153" s="15" t="s">
        <v>223</v>
      </c>
      <c r="D153" s="21" t="s">
        <v>52</v>
      </c>
      <c r="E153" s="21" t="s">
        <v>53</v>
      </c>
      <c r="F153" s="22">
        <v>3</v>
      </c>
      <c r="G153" s="38">
        <v>2.1000000000000001E-2</v>
      </c>
      <c r="H153" s="38">
        <v>3.0999999999999999E-3</v>
      </c>
      <c r="I153" s="38">
        <v>7.6999999999999999E-2</v>
      </c>
      <c r="J153" s="26">
        <v>0.16</v>
      </c>
      <c r="K153" s="26">
        <v>2.0481085423216199E-10</v>
      </c>
      <c r="L153" s="26">
        <v>1.25E-3</v>
      </c>
      <c r="M153" s="148">
        <f>'Parameters, country spec'!K18</f>
        <v>7.4482644340220033E-2</v>
      </c>
      <c r="N153" s="148">
        <f>'Parameters, country spec'!K36</f>
        <v>7.4482644340220033E-2</v>
      </c>
    </row>
    <row r="154" spans="1:16" x14ac:dyDescent="0.35">
      <c r="A154" s="20" t="s">
        <v>224</v>
      </c>
      <c r="B154" s="15" t="s">
        <v>109</v>
      </c>
      <c r="C154" s="15" t="s">
        <v>223</v>
      </c>
      <c r="D154" s="21" t="s">
        <v>52</v>
      </c>
      <c r="E154" s="21" t="s">
        <v>53</v>
      </c>
      <c r="F154" s="19">
        <v>0.83</v>
      </c>
      <c r="G154" s="38">
        <v>0.02</v>
      </c>
      <c r="H154" s="38">
        <v>5.5999999999999999E-3</v>
      </c>
      <c r="I154" s="38">
        <v>0.23499999999999999</v>
      </c>
      <c r="J154" s="26">
        <v>0.05</v>
      </c>
      <c r="K154" s="26">
        <v>5.6887981961408297E-11</v>
      </c>
      <c r="L154" s="26">
        <v>1.2099999999999999E-3</v>
      </c>
      <c r="M154" s="148">
        <f>'Parameters, country spec'!K19</f>
        <v>9.8235935846622865E-2</v>
      </c>
      <c r="N154" s="148">
        <f>'Parameters, country spec'!K37</f>
        <v>9.8235935846622865E-2</v>
      </c>
    </row>
    <row r="155" spans="1:16" x14ac:dyDescent="0.35">
      <c r="A155" s="20" t="s">
        <v>225</v>
      </c>
      <c r="B155" s="15" t="s">
        <v>110</v>
      </c>
      <c r="C155" s="15" t="s">
        <v>223</v>
      </c>
      <c r="D155" s="21" t="s">
        <v>52</v>
      </c>
      <c r="E155" s="21" t="s">
        <v>53</v>
      </c>
      <c r="F155" s="19">
        <v>4.45</v>
      </c>
      <c r="G155" s="38">
        <v>1.7999999999999999E-2</v>
      </c>
      <c r="H155" s="38">
        <v>3.8E-3</v>
      </c>
      <c r="I155" s="38">
        <v>1.1419999999999999</v>
      </c>
      <c r="J155" s="26">
        <v>0</v>
      </c>
      <c r="K155" s="26">
        <v>3.0403388287635302E-10</v>
      </c>
      <c r="L155" s="26">
        <v>1.1000000000000001E-3</v>
      </c>
      <c r="M155" s="148">
        <f>'Parameters, country spec'!K20</f>
        <v>1.1613149284971752E-2</v>
      </c>
      <c r="N155" s="148">
        <f>'Parameters, country spec'!K38</f>
        <v>1.1613149284971752E-2</v>
      </c>
    </row>
    <row r="156" spans="1:16" x14ac:dyDescent="0.35">
      <c r="A156" s="20" t="s">
        <v>226</v>
      </c>
      <c r="B156" s="15" t="s">
        <v>111</v>
      </c>
      <c r="C156" s="15" t="s">
        <v>223</v>
      </c>
      <c r="D156" s="21" t="s">
        <v>52</v>
      </c>
      <c r="E156" s="21" t="s">
        <v>53</v>
      </c>
      <c r="F156" s="19">
        <v>4.24</v>
      </c>
      <c r="G156" s="38">
        <v>1.6E-2</v>
      </c>
      <c r="H156" s="38">
        <v>1.1999999999999999E-3</v>
      </c>
      <c r="I156" s="38">
        <v>3.0000000000000001E-3</v>
      </c>
      <c r="J156" s="26">
        <v>0</v>
      </c>
      <c r="K156" s="26">
        <v>2.8994287782337099E-10</v>
      </c>
      <c r="L156" s="26">
        <v>9.68E-4</v>
      </c>
      <c r="M156" s="148">
        <f>'Parameters, country spec'!K21</f>
        <v>3.0653721191027461E-3</v>
      </c>
      <c r="N156" s="148">
        <f>'Parameters, country spec'!K39</f>
        <v>3.0653721191027461E-3</v>
      </c>
    </row>
    <row r="157" spans="1:16" x14ac:dyDescent="0.35">
      <c r="A157" s="20" t="s">
        <v>227</v>
      </c>
      <c r="B157" s="15" t="s">
        <v>112</v>
      </c>
      <c r="C157" s="15" t="s">
        <v>223</v>
      </c>
      <c r="D157" s="21" t="s">
        <v>52</v>
      </c>
      <c r="E157" s="21" t="s">
        <v>53</v>
      </c>
      <c r="F157" s="19">
        <v>2.81</v>
      </c>
      <c r="G157" s="38">
        <v>2.4E-2</v>
      </c>
      <c r="H157" s="38">
        <v>2.2000000000000001E-3</v>
      </c>
      <c r="I157" s="38">
        <v>3.5999999999999997E-2</v>
      </c>
      <c r="J157" s="26">
        <v>0.22</v>
      </c>
      <c r="K157" s="26">
        <v>1.92120744955968E-10</v>
      </c>
      <c r="L157" s="26">
        <v>1.4300000000000001E-3</v>
      </c>
      <c r="M157" s="148">
        <f>'Parameters, country spec'!K22</f>
        <v>6.309442770624088E-2</v>
      </c>
      <c r="N157" s="148">
        <f>'Parameters, country spec'!K40</f>
        <v>6.309442770624088E-2</v>
      </c>
    </row>
    <row r="158" spans="1:16" x14ac:dyDescent="0.35">
      <c r="A158" s="20" t="s">
        <v>228</v>
      </c>
      <c r="B158" s="15" t="s">
        <v>113</v>
      </c>
      <c r="C158" s="15" t="s">
        <v>229</v>
      </c>
      <c r="D158" s="21" t="s">
        <v>52</v>
      </c>
      <c r="E158" s="21" t="s">
        <v>53</v>
      </c>
      <c r="F158" s="19">
        <v>6.68</v>
      </c>
      <c r="G158" s="38">
        <v>4.2000000000000003E-2</v>
      </c>
      <c r="H158" s="38">
        <v>1.6999999999999999E-3</v>
      </c>
      <c r="I158" s="38">
        <v>1.7999999999999999E-2</v>
      </c>
      <c r="J158" s="26">
        <v>0.49</v>
      </c>
      <c r="K158" s="26">
        <v>4.5617261324373799E-10</v>
      </c>
      <c r="L158" s="26">
        <v>0</v>
      </c>
      <c r="M158" s="148">
        <f>'Parameters, country spec'!K23</f>
        <v>2.7198099192756071E-3</v>
      </c>
      <c r="N158" s="148">
        <f>'Parameters, country spec'!K41</f>
        <v>2.7198099192756071E-3</v>
      </c>
    </row>
    <row r="159" spans="1:16" x14ac:dyDescent="0.35">
      <c r="A159" s="20" t="s">
        <v>230</v>
      </c>
      <c r="B159" s="15" t="s">
        <v>114</v>
      </c>
      <c r="C159" s="15" t="s">
        <v>229</v>
      </c>
      <c r="D159" s="21" t="s">
        <v>52</v>
      </c>
      <c r="E159" s="21" t="s">
        <v>53</v>
      </c>
      <c r="F159" s="19">
        <v>7.73</v>
      </c>
      <c r="G159" s="38">
        <v>0.02</v>
      </c>
      <c r="H159" s="38">
        <v>2E-3</v>
      </c>
      <c r="I159" s="38">
        <v>0.21099999999999999</v>
      </c>
      <c r="J159" s="26">
        <v>1.05</v>
      </c>
      <c r="K159" s="26">
        <v>5.2812192723724296E-10</v>
      </c>
      <c r="L159" s="26">
        <v>6.1400000000000002E-5</v>
      </c>
      <c r="M159" s="148">
        <f>'Parameters, country spec'!K24</f>
        <v>2.67174962512282E-3</v>
      </c>
      <c r="N159" s="148">
        <f>'Parameters, country spec'!K42</f>
        <v>2.67174962512282E-3</v>
      </c>
    </row>
    <row r="160" spans="1:16" x14ac:dyDescent="0.35">
      <c r="B160" s="16" t="s">
        <v>115</v>
      </c>
      <c r="C160" s="15" t="s">
        <v>231</v>
      </c>
      <c r="D160" s="21" t="s">
        <v>52</v>
      </c>
      <c r="E160" s="21" t="s">
        <v>53</v>
      </c>
      <c r="F160" s="17">
        <f>'Off-farm feed'!$F$88</f>
        <v>1.5397450382845068</v>
      </c>
      <c r="G160" s="18">
        <f>'Off-farm feed'!$G$88</f>
        <v>2.276724967641296E-2</v>
      </c>
      <c r="H160" s="18">
        <f>'Off-farm feed'!$H$88</f>
        <v>2.4780679919905292E-3</v>
      </c>
      <c r="I160" s="18">
        <f>'Off-farm feed'!$I$88</f>
        <v>8.1100925319702543E-4</v>
      </c>
      <c r="J160" s="27">
        <f>'Off-farm feed'!$J$88</f>
        <v>0.29368572248181479</v>
      </c>
      <c r="K160" s="27">
        <f>'Off-farm feed'!$K$88</f>
        <v>1.2571008272056975E-11</v>
      </c>
      <c r="L160" s="27">
        <f>'Off-farm feed'!$L$88</f>
        <v>1.3841258986185109E-3</v>
      </c>
      <c r="M160" s="148">
        <f>'Parameters, country spec'!K25</f>
        <v>7.8768273776592904E-3</v>
      </c>
      <c r="N160" s="148">
        <f>'Parameters, country spec'!K43</f>
        <v>7.8768273776592904E-3</v>
      </c>
    </row>
    <row r="161" spans="1:16" x14ac:dyDescent="0.35">
      <c r="B161" s="16" t="s">
        <v>232</v>
      </c>
      <c r="C161" s="15" t="s">
        <v>231</v>
      </c>
      <c r="D161" s="21" t="s">
        <v>52</v>
      </c>
      <c r="E161" s="21" t="s">
        <v>53</v>
      </c>
      <c r="F161" s="17">
        <f>'Off-farm feed'!$F$36</f>
        <v>2.5509164954964105</v>
      </c>
      <c r="G161" s="18">
        <f>'Off-farm feed'!$G$36</f>
        <v>4.2620923125915401E-2</v>
      </c>
      <c r="H161" s="18">
        <f>'Off-farm feed'!$H$36</f>
        <v>3.2959349471355006E-3</v>
      </c>
      <c r="I161" s="18">
        <f>'Off-farm feed'!$I$36</f>
        <v>2.435286335413451E-3</v>
      </c>
      <c r="J161" s="27">
        <f>'Off-farm feed'!$J$36</f>
        <v>0.25920846302270906</v>
      </c>
      <c r="K161" s="27">
        <f>'Off-farm feed'!$K$36</f>
        <v>1.4553836091881654E-10</v>
      </c>
      <c r="L161" s="27">
        <f>'Off-farm feed'!$L$36</f>
        <v>1.0450321677831977E-4</v>
      </c>
      <c r="M161" s="148">
        <f>'Parameters, country spec'!K26</f>
        <v>6.7333865050956468E-2</v>
      </c>
      <c r="N161" s="148">
        <f>'Parameters, country spec'!K44</f>
        <v>6.7333865050956468E-2</v>
      </c>
    </row>
    <row r="162" spans="1:16" x14ac:dyDescent="0.35">
      <c r="B162" s="15" t="s">
        <v>117</v>
      </c>
      <c r="C162" s="15" t="s">
        <v>233</v>
      </c>
      <c r="D162" s="21" t="s">
        <v>52</v>
      </c>
      <c r="E162" s="21" t="s">
        <v>53</v>
      </c>
      <c r="F162" s="19">
        <v>1.2079244257430499</v>
      </c>
      <c r="G162" s="19">
        <v>1.1762359809494499E-2</v>
      </c>
      <c r="H162" s="19">
        <v>1.0762943616530901E-3</v>
      </c>
      <c r="I162" s="26">
        <v>1.6145258933116701E-2</v>
      </c>
      <c r="J162" s="26">
        <v>0.113481703430045</v>
      </c>
      <c r="K162" s="26">
        <v>6.8265642178891697E-13</v>
      </c>
      <c r="L162" s="26">
        <v>7.1508799141679696E-4</v>
      </c>
      <c r="M162" s="148">
        <f>'Parameters, country spec'!K27</f>
        <v>6.255642502619195E-2</v>
      </c>
      <c r="N162" s="148">
        <f>'Parameters, country spec'!K45</f>
        <v>6.255642502619195E-2</v>
      </c>
    </row>
    <row r="163" spans="1:16" x14ac:dyDescent="0.35">
      <c r="A163" s="75"/>
      <c r="B163" s="15" t="s">
        <v>234</v>
      </c>
      <c r="C163" s="76" t="s">
        <v>235</v>
      </c>
      <c r="D163" s="21" t="s">
        <v>52</v>
      </c>
      <c r="E163" s="21" t="s">
        <v>53</v>
      </c>
      <c r="F163" s="73">
        <f t="shared" ref="F163:L163" si="10">AVERAGE(F153:F161)</f>
        <v>3.7589623926423243</v>
      </c>
      <c r="G163" s="98">
        <f t="shared" si="10"/>
        <v>2.515424142248093E-2</v>
      </c>
      <c r="H163" s="98">
        <f t="shared" si="10"/>
        <v>2.8193336599028917E-3</v>
      </c>
      <c r="I163" s="98">
        <f t="shared" si="10"/>
        <v>0.19169403284317893</v>
      </c>
      <c r="J163" s="74">
        <f t="shared" si="10"/>
        <v>0.28032157616716935</v>
      </c>
      <c r="K163" s="74">
        <f t="shared" si="10"/>
        <v>2.4335558350234629E-10</v>
      </c>
      <c r="L163" s="74">
        <f t="shared" si="10"/>
        <v>8.3422545726631451E-4</v>
      </c>
      <c r="M163" s="148">
        <f>'Parameters, country spec'!K28</f>
        <v>3.220327469601051E-2</v>
      </c>
      <c r="N163" s="148">
        <f>'Parameters, country spec'!K46</f>
        <v>3.220327469601051E-2</v>
      </c>
    </row>
    <row r="164" spans="1:16" x14ac:dyDescent="0.35">
      <c r="A164" s="321"/>
      <c r="B164" s="322" t="s">
        <v>541</v>
      </c>
      <c r="C164" s="323"/>
      <c r="D164" s="324"/>
      <c r="E164" s="324"/>
      <c r="F164" s="325">
        <f>SUMPRODUCT(F150:F152,M150:M152)+SUMPRODUCT(F153:F163,M153:M163)/0.87</f>
        <v>1.2948920419540693</v>
      </c>
      <c r="G164" s="326">
        <f>SUMPRODUCT(G150:G152,M150:M152)+SUMPRODUCT(G153:G163,M153:M163)/0.87</f>
        <v>1.9969864368423559E-2</v>
      </c>
      <c r="H164" s="326">
        <f>SUMPRODUCT(H150:H152,M150:M152)+SUMPRODUCT(H153:H163,M153:M163)/0.87</f>
        <v>1.906977339801236E-3</v>
      </c>
      <c r="I164" s="326">
        <f>SUMPRODUCT(I150:I152,M150:M152)+SUMPRODUCT(I153:I163,M153:M163)/0.87</f>
        <v>9.0523279423007932E-2</v>
      </c>
      <c r="J164" s="327">
        <f>SUMPRODUCT(J150:J152,M150:M152)+SUMPRODUCT(J153:J163,M153:M163)/0.87</f>
        <v>8.1319981346771042E-2</v>
      </c>
      <c r="K164" s="327">
        <f>SUMPRODUCT(K150:K152,M150:M152)+SUMPRODUCT(K153:K163,M153:M163)/0.87</f>
        <v>1.2690143295348685E-10</v>
      </c>
      <c r="L164" s="327">
        <f>SUMPRODUCT(L150:L152,M150:M152)+SUMPRODUCT(L153:L163,M153:M163)/0.87</f>
        <v>6.589066363378057E-4</v>
      </c>
      <c r="M164" s="328"/>
      <c r="N164" s="329"/>
    </row>
    <row r="165" spans="1:16" x14ac:dyDescent="0.35">
      <c r="A165" s="147"/>
      <c r="B165" s="23" t="s">
        <v>558</v>
      </c>
      <c r="C165" s="24"/>
      <c r="D165" s="94"/>
      <c r="E165" s="94"/>
      <c r="F165" s="320">
        <f>SUMPRODUCT(F150:F153,N150:N153)+SUMPRODUCT(F154:F164,N154:N164)/0.87</f>
        <v>1.2615032703532809</v>
      </c>
      <c r="G165" s="25">
        <f>SUMPRODUCT(G150:G153,N150:N153)+SUMPRODUCT(G154:G164,N154:N164)/0.87</f>
        <v>1.973614296721804E-2</v>
      </c>
      <c r="H165" s="25">
        <f>SUMPRODUCT(H150:H153,N150:N153)+SUMPRODUCT(H154:H164,N154:N164)/0.87</f>
        <v>1.872475609147088E-3</v>
      </c>
      <c r="I165" s="25">
        <f>SUMPRODUCT(I150:I153,N150:N153)+SUMPRODUCT(I154:I164,N154:N164)/0.87</f>
        <v>8.9666300951921046E-2</v>
      </c>
      <c r="J165" s="28">
        <f>SUMPRODUCT(J150:J153,N150:N153)+SUMPRODUCT(J154:J164,N154:N164)/0.87</f>
        <v>7.9539246861395685E-2</v>
      </c>
      <c r="K165" s="28">
        <f>SUMPRODUCT(K150:K153,N150:N153)+SUMPRODUCT(K154:K164,N154:N164)/0.87</f>
        <v>1.2462197200904685E-10</v>
      </c>
      <c r="L165" s="28">
        <f>SUMPRODUCT(L150:L153,N150:N153)+SUMPRODUCT(L154:L164,N154:N164)/0.87</f>
        <v>6.4499464817081072E-4</v>
      </c>
      <c r="M165" s="149"/>
      <c r="N165" s="149"/>
    </row>
    <row r="166" spans="1:16" x14ac:dyDescent="0.35">
      <c r="B166" s="16" t="s">
        <v>285</v>
      </c>
      <c r="C166" s="15" t="s">
        <v>288</v>
      </c>
      <c r="D166" s="21" t="s">
        <v>54</v>
      </c>
      <c r="E166" s="21" t="s">
        <v>55</v>
      </c>
      <c r="F166" s="108">
        <v>0</v>
      </c>
      <c r="G166" s="312">
        <f>'Forage crops, footprints'!G18</f>
        <v>1.9567420375240063E-2</v>
      </c>
      <c r="H166" s="313">
        <f>'Forage crops, footprints'!H18</f>
        <v>0</v>
      </c>
      <c r="I166" s="312">
        <f>'Forage crops, footprints'!I18</f>
        <v>0</v>
      </c>
      <c r="J166" s="118">
        <f>'Forage crops, footprints'!J18</f>
        <v>0</v>
      </c>
      <c r="K166" s="118">
        <f>'Forage crops, footprints'!K18</f>
        <v>-1.608036288990619E-11</v>
      </c>
      <c r="L166" s="118">
        <f>'Forage crops, footprints'!L18</f>
        <v>0</v>
      </c>
      <c r="M166" s="148">
        <f>'Parameters, country spec'!L15</f>
        <v>0.51738911290322576</v>
      </c>
      <c r="N166" s="148">
        <f>'Parameters, country spec'!L33</f>
        <v>0</v>
      </c>
      <c r="O166" s="18"/>
      <c r="P166" s="148"/>
    </row>
    <row r="167" spans="1:16" x14ac:dyDescent="0.35">
      <c r="B167" s="16" t="s">
        <v>286</v>
      </c>
      <c r="C167" s="15" t="s">
        <v>288</v>
      </c>
      <c r="D167" s="21" t="s">
        <v>54</v>
      </c>
      <c r="E167" s="21" t="s">
        <v>55</v>
      </c>
      <c r="F167" s="108">
        <f>'Forage crops, footprints'!F35</f>
        <v>0.91421835939926821</v>
      </c>
      <c r="G167" s="312">
        <f>'Forage crops, footprints'!G35</f>
        <v>6.399528515794878E-3</v>
      </c>
      <c r="H167" s="312">
        <f>'Forage crops, footprints'!H35</f>
        <v>5.4853101563956093E-4</v>
      </c>
      <c r="I167" s="312">
        <f>'Forage crops, footprints'!I35</f>
        <v>5.000000000000001E-2</v>
      </c>
      <c r="J167" s="118">
        <f>'Forage crops, footprints'!J35</f>
        <v>9.1421835939926832E-6</v>
      </c>
      <c r="K167" s="118">
        <f>'Forage crops, footprints'!K35</f>
        <v>1.8706078991556431E-12</v>
      </c>
      <c r="L167" s="118">
        <f>'Forage crops, footprints'!L35</f>
        <v>3.8905679357643523E-4</v>
      </c>
      <c r="M167" s="148">
        <f>'Parameters, country spec'!L16</f>
        <v>0</v>
      </c>
      <c r="N167" s="148">
        <f>'Parameters, country spec'!L34</f>
        <v>0.12715077282006415</v>
      </c>
      <c r="O167" s="18"/>
      <c r="P167" s="148"/>
    </row>
    <row r="168" spans="1:16" x14ac:dyDescent="0.35">
      <c r="B168" s="16" t="s">
        <v>287</v>
      </c>
      <c r="C168" s="15" t="s">
        <v>288</v>
      </c>
      <c r="D168" s="21" t="s">
        <v>54</v>
      </c>
      <c r="E168" s="21" t="s">
        <v>55</v>
      </c>
      <c r="F168" s="108">
        <f>'Forage, input data per ha'!$E$88*'Forage crops, footprints'!F52+'Forage, input data per ha'!$G$88*'Forage crops, footprints'!F69</f>
        <v>1.2454390100224777</v>
      </c>
      <c r="G168" s="312">
        <f>'Forage, input data per ha'!$E$88*'Forage crops, footprints'!G52+'Forage, input data per ha'!$G$88*'Forage crops, footprints'!G69</f>
        <v>1.3092378397316688E-2</v>
      </c>
      <c r="H168" s="313">
        <f>'Forage, input data per ha'!$E$88*'Forage crops, footprints'!H52+'Forage, input data per ha'!$G$88*'Forage crops, footprints'!H69</f>
        <v>1.8253073298379568E-4</v>
      </c>
      <c r="I168" s="312">
        <f>'Forage, input data per ha'!$E$88*'Forage crops, footprints'!I52+'Forage, input data per ha'!$G$88*'Forage crops, footprints'!I69</f>
        <v>0</v>
      </c>
      <c r="J168" s="118">
        <f>'Forage, input data per ha'!$E$88*'Forage crops, footprints'!J52+'Forage, input data per ha'!$G$88*'Forage crops, footprints'!J69</f>
        <v>2.9890536240539457E-5</v>
      </c>
      <c r="K168" s="118">
        <f>'Forage, input data per ha'!$E$88*'Forage crops, footprints'!K52+'Forage, input data per ha'!$G$88*'Forage crops, footprints'!K69</f>
        <v>1.8590154048779128E-12</v>
      </c>
      <c r="L168" s="118">
        <f>'Forage, input data per ha'!$E$88*'Forage crops, footprints'!L52+'Forage, input data per ha'!$G$88*'Forage crops, footprints'!L69</f>
        <v>2.7988141724266045E-4</v>
      </c>
      <c r="M168" s="148">
        <f>'Parameters, country spec'!L17</f>
        <v>0.48261088709677419</v>
      </c>
      <c r="N168" s="148">
        <f>'Parameters, country spec'!L35</f>
        <v>0.5447652376786235</v>
      </c>
      <c r="O168" s="18"/>
      <c r="P168" s="148"/>
    </row>
    <row r="169" spans="1:16" x14ac:dyDescent="0.35">
      <c r="A169" s="20" t="s">
        <v>222</v>
      </c>
      <c r="B169" s="15" t="s">
        <v>108</v>
      </c>
      <c r="C169" s="15" t="s">
        <v>223</v>
      </c>
      <c r="D169" s="21" t="s">
        <v>54</v>
      </c>
      <c r="E169" s="21" t="s">
        <v>55</v>
      </c>
      <c r="F169" s="22">
        <v>2.1800000000000002</v>
      </c>
      <c r="G169" s="38">
        <v>2.1000000000000001E-2</v>
      </c>
      <c r="H169" s="38">
        <v>1.5E-3</v>
      </c>
      <c r="I169" s="38">
        <v>0</v>
      </c>
      <c r="J169" s="26">
        <v>0.11</v>
      </c>
      <c r="K169" s="26">
        <v>4.4636302939514197E-12</v>
      </c>
      <c r="L169" s="26">
        <v>1.25E-3</v>
      </c>
      <c r="M169" s="148">
        <f>'Parameters, country spec'!L18</f>
        <v>0</v>
      </c>
      <c r="N169" s="148">
        <f>'Parameters, country spec'!L36</f>
        <v>0</v>
      </c>
    </row>
    <row r="170" spans="1:16" x14ac:dyDescent="0.35">
      <c r="A170" s="20" t="s">
        <v>224</v>
      </c>
      <c r="B170" s="15" t="s">
        <v>109</v>
      </c>
      <c r="C170" s="15" t="s">
        <v>223</v>
      </c>
      <c r="D170" s="21" t="s">
        <v>54</v>
      </c>
      <c r="E170" s="21" t="s">
        <v>55</v>
      </c>
      <c r="F170" s="19">
        <v>1.51</v>
      </c>
      <c r="G170" s="38">
        <v>0.02</v>
      </c>
      <c r="H170" s="38">
        <v>5.5999999999999999E-3</v>
      </c>
      <c r="I170" s="38">
        <v>0.05</v>
      </c>
      <c r="J170" s="26">
        <v>0.02</v>
      </c>
      <c r="K170" s="26">
        <v>3.0955742214230799E-12</v>
      </c>
      <c r="L170" s="26">
        <v>1.2099999999999999E-3</v>
      </c>
      <c r="M170" s="148">
        <f>'Parameters, country spec'!L19</f>
        <v>3.1697869732220848E-4</v>
      </c>
      <c r="N170" s="148">
        <f>'Parameters, country spec'!L37</f>
        <v>0</v>
      </c>
    </row>
    <row r="171" spans="1:16" x14ac:dyDescent="0.35">
      <c r="A171" s="20" t="s">
        <v>225</v>
      </c>
      <c r="B171" s="15" t="s">
        <v>110</v>
      </c>
      <c r="C171" s="15" t="s">
        <v>223</v>
      </c>
      <c r="D171" s="21" t="s">
        <v>54</v>
      </c>
      <c r="E171" s="21" t="s">
        <v>55</v>
      </c>
      <c r="F171" s="19">
        <v>2.5499999999999998</v>
      </c>
      <c r="G171" s="38">
        <v>1.7999999999999999E-2</v>
      </c>
      <c r="H171" s="38">
        <v>3.8E-3</v>
      </c>
      <c r="I171" s="38">
        <v>0</v>
      </c>
      <c r="J171" s="26">
        <v>0.11</v>
      </c>
      <c r="K171" s="26">
        <v>5.2096673933621196E-12</v>
      </c>
      <c r="L171" s="26">
        <v>1.1000000000000001E-3</v>
      </c>
      <c r="M171" s="148">
        <f>'Parameters, country spec'!L20</f>
        <v>0</v>
      </c>
      <c r="N171" s="148">
        <f>'Parameters, country spec'!L38</f>
        <v>0</v>
      </c>
    </row>
    <row r="172" spans="1:16" x14ac:dyDescent="0.35">
      <c r="A172" s="20" t="s">
        <v>226</v>
      </c>
      <c r="B172" s="15" t="s">
        <v>111</v>
      </c>
      <c r="C172" s="15" t="s">
        <v>223</v>
      </c>
      <c r="D172" s="21" t="s">
        <v>54</v>
      </c>
      <c r="E172" s="21" t="s">
        <v>55</v>
      </c>
      <c r="F172" s="19">
        <v>1.68</v>
      </c>
      <c r="G172" s="38">
        <v>1.6E-2</v>
      </c>
      <c r="H172" s="38">
        <v>1.1999999999999999E-3</v>
      </c>
      <c r="I172" s="38">
        <v>0</v>
      </c>
      <c r="J172" s="26">
        <v>0.16</v>
      </c>
      <c r="K172" s="26">
        <v>3.4295102556171599E-12</v>
      </c>
      <c r="L172" s="26">
        <v>9.68E-4</v>
      </c>
      <c r="M172" s="148">
        <f>'Parameters, country spec'!L21</f>
        <v>4.9002790875207444E-6</v>
      </c>
      <c r="N172" s="148">
        <f>'Parameters, country spec'!L39</f>
        <v>0</v>
      </c>
    </row>
    <row r="173" spans="1:16" x14ac:dyDescent="0.35">
      <c r="A173" s="20" t="s">
        <v>227</v>
      </c>
      <c r="B173" s="15" t="s">
        <v>112</v>
      </c>
      <c r="C173" s="15" t="s">
        <v>223</v>
      </c>
      <c r="D173" s="21" t="s">
        <v>54</v>
      </c>
      <c r="E173" s="21" t="s">
        <v>55</v>
      </c>
      <c r="F173" s="19">
        <v>1.54</v>
      </c>
      <c r="G173" s="38">
        <v>2.4E-2</v>
      </c>
      <c r="H173" s="38">
        <v>2.2000000000000001E-3</v>
      </c>
      <c r="I173" s="38">
        <v>2E-3</v>
      </c>
      <c r="J173" s="26">
        <v>0.11</v>
      </c>
      <c r="K173" s="26">
        <v>3.1435368362994802E-12</v>
      </c>
      <c r="L173" s="26">
        <v>1.4300000000000001E-3</v>
      </c>
      <c r="M173" s="148">
        <f>'Parameters, country spec'!L22</f>
        <v>0</v>
      </c>
      <c r="N173" s="148">
        <f>'Parameters, country spec'!L40</f>
        <v>0.29571303587051617</v>
      </c>
    </row>
    <row r="174" spans="1:16" x14ac:dyDescent="0.35">
      <c r="A174" s="20" t="s">
        <v>228</v>
      </c>
      <c r="B174" s="15" t="s">
        <v>113</v>
      </c>
      <c r="C174" s="15" t="s">
        <v>229</v>
      </c>
      <c r="D174" s="21" t="s">
        <v>54</v>
      </c>
      <c r="E174" s="21" t="s">
        <v>55</v>
      </c>
      <c r="F174" s="19">
        <v>3.38</v>
      </c>
      <c r="G174" s="38">
        <v>2.1000000000000001E-2</v>
      </c>
      <c r="H174" s="38">
        <v>1.6999999999999999E-3</v>
      </c>
      <c r="I174" s="38">
        <v>1E-3</v>
      </c>
      <c r="J174" s="26">
        <v>0.2</v>
      </c>
      <c r="K174" s="26">
        <v>6.9071346528329996E-12</v>
      </c>
      <c r="L174" s="26">
        <v>0</v>
      </c>
      <c r="M174" s="148">
        <f>'Parameters, country spec'!L23</f>
        <v>1.4784950076098704E-3</v>
      </c>
      <c r="N174" s="148">
        <f>'Parameters, country spec'!L41</f>
        <v>0</v>
      </c>
    </row>
    <row r="175" spans="1:16" x14ac:dyDescent="0.35">
      <c r="A175" s="20" t="s">
        <v>230</v>
      </c>
      <c r="B175" s="15" t="s">
        <v>114</v>
      </c>
      <c r="C175" s="15" t="s">
        <v>229</v>
      </c>
      <c r="D175" s="21" t="s">
        <v>54</v>
      </c>
      <c r="E175" s="21" t="s">
        <v>55</v>
      </c>
      <c r="F175" s="19">
        <v>5.05</v>
      </c>
      <c r="G175" s="38">
        <v>1.2999999999999999E-2</v>
      </c>
      <c r="H175" s="38">
        <v>2E-3</v>
      </c>
      <c r="I175" s="38">
        <v>1E-3</v>
      </c>
      <c r="J175" s="26">
        <v>0.31</v>
      </c>
      <c r="K175" s="26">
        <v>1.03339804381178E-11</v>
      </c>
      <c r="L175" s="26">
        <v>6.1400000000000002E-5</v>
      </c>
      <c r="M175" s="148">
        <f>'Parameters, country spec'!L24</f>
        <v>1.4523693197724004E-3</v>
      </c>
      <c r="N175" s="148">
        <f>'Parameters, country spec'!L42</f>
        <v>9.3321668124817739E-3</v>
      </c>
    </row>
    <row r="176" spans="1:16" x14ac:dyDescent="0.35">
      <c r="B176" s="16" t="s">
        <v>115</v>
      </c>
      <c r="C176" s="15" t="s">
        <v>231</v>
      </c>
      <c r="D176" s="21" t="s">
        <v>54</v>
      </c>
      <c r="E176" s="21" t="s">
        <v>55</v>
      </c>
      <c r="F176" s="17">
        <f>'Off-farm feed'!$F$88</f>
        <v>1.5397450382845068</v>
      </c>
      <c r="G176" s="18">
        <f>'Off-farm feed'!$G$88</f>
        <v>2.276724967641296E-2</v>
      </c>
      <c r="H176" s="18">
        <f>'Off-farm feed'!$H$88</f>
        <v>2.4780679919905292E-3</v>
      </c>
      <c r="I176" s="18">
        <f>'Off-farm feed'!$I$88</f>
        <v>8.1100925319702543E-4</v>
      </c>
      <c r="J176" s="27">
        <f>'Off-farm feed'!$J$88</f>
        <v>0.29368572248181479</v>
      </c>
      <c r="K176" s="27">
        <f>'Off-farm feed'!$K$88</f>
        <v>1.2571008272056975E-11</v>
      </c>
      <c r="L176" s="27">
        <f>'Off-farm feed'!$L$88</f>
        <v>1.3841258986185109E-3</v>
      </c>
      <c r="M176" s="148">
        <f>'Parameters, country spec'!L25</f>
        <v>0</v>
      </c>
      <c r="N176" s="148">
        <f>'Parameters, country spec'!L43</f>
        <v>2.3038786818314377E-2</v>
      </c>
    </row>
    <row r="177" spans="1:15" x14ac:dyDescent="0.35">
      <c r="B177" s="16" t="s">
        <v>232</v>
      </c>
      <c r="C177" s="15" t="s">
        <v>231</v>
      </c>
      <c r="D177" s="21" t="s">
        <v>54</v>
      </c>
      <c r="E177" s="21" t="s">
        <v>55</v>
      </c>
      <c r="F177" s="17">
        <f>'Off-farm feed'!$F$36</f>
        <v>2.5509164954964105</v>
      </c>
      <c r="G177" s="18">
        <f>'Off-farm feed'!$G$36</f>
        <v>4.2620923125915401E-2</v>
      </c>
      <c r="H177" s="18">
        <f>'Off-farm feed'!$H$36</f>
        <v>3.2959349471355006E-3</v>
      </c>
      <c r="I177" s="18">
        <f>'Off-farm feed'!$I$36</f>
        <v>2.435286335413451E-3</v>
      </c>
      <c r="J177" s="27">
        <f>'Off-farm feed'!$J$36</f>
        <v>0.25920846302270906</v>
      </c>
      <c r="K177" s="27">
        <f>'Off-farm feed'!$K$36</f>
        <v>1.4553836091881654E-10</v>
      </c>
      <c r="L177" s="27">
        <f>'Off-farm feed'!$L$36</f>
        <v>1.0450321677831977E-4</v>
      </c>
      <c r="M177" s="148">
        <f>'Parameters, country spec'!L26</f>
        <v>0</v>
      </c>
      <c r="N177" s="148">
        <f>'Parameters, country spec'!L44</f>
        <v>0</v>
      </c>
    </row>
    <row r="178" spans="1:15" x14ac:dyDescent="0.35">
      <c r="B178" s="15" t="s">
        <v>117</v>
      </c>
      <c r="C178" s="15" t="s">
        <v>233</v>
      </c>
      <c r="D178" s="21" t="s">
        <v>54</v>
      </c>
      <c r="E178" s="21" t="s">
        <v>55</v>
      </c>
      <c r="F178" s="19">
        <v>0.783534349363607</v>
      </c>
      <c r="G178" s="19">
        <v>1.1762359809494499E-2</v>
      </c>
      <c r="H178" s="19">
        <v>1.0762943616530901E-3</v>
      </c>
      <c r="I178" s="26">
        <v>7.0911883843394598E-4</v>
      </c>
      <c r="J178" s="26">
        <v>6.9696841279778404E-2</v>
      </c>
      <c r="K178" s="26">
        <v>5.4885286031712899E-14</v>
      </c>
      <c r="L178" s="26">
        <v>7.1508799141679696E-4</v>
      </c>
      <c r="M178" s="148">
        <f>'Parameters, country spec'!L27</f>
        <v>0</v>
      </c>
      <c r="N178" s="148">
        <f>'Parameters, country spec'!L45</f>
        <v>0</v>
      </c>
    </row>
    <row r="179" spans="1:15" x14ac:dyDescent="0.35">
      <c r="A179" s="75"/>
      <c r="B179" s="15" t="s">
        <v>234</v>
      </c>
      <c r="C179" s="76" t="s">
        <v>235</v>
      </c>
      <c r="D179" s="21" t="s">
        <v>54</v>
      </c>
      <c r="E179" s="21" t="s">
        <v>55</v>
      </c>
      <c r="F179" s="73">
        <f t="shared" ref="F179:L179" si="11">AVERAGE(F169:F177)</f>
        <v>2.4422957259756575</v>
      </c>
      <c r="G179" s="98">
        <f t="shared" si="11"/>
        <v>2.204313031136982E-2</v>
      </c>
      <c r="H179" s="98">
        <f t="shared" si="11"/>
        <v>2.6415558821251146E-3</v>
      </c>
      <c r="I179" s="98">
        <f t="shared" si="11"/>
        <v>6.3606995098456093E-3</v>
      </c>
      <c r="J179" s="74">
        <f t="shared" si="11"/>
        <v>0.17476602061161378</v>
      </c>
      <c r="K179" s="74">
        <f t="shared" si="11"/>
        <v>2.1632489253608619E-11</v>
      </c>
      <c r="L179" s="74">
        <f t="shared" si="11"/>
        <v>8.3422545726631451E-4</v>
      </c>
      <c r="M179" s="148">
        <f>'Parameters, country spec'!L28</f>
        <v>0</v>
      </c>
      <c r="N179" s="148">
        <f>'Parameters, country spec'!L46</f>
        <v>0</v>
      </c>
    </row>
    <row r="180" spans="1:15" x14ac:dyDescent="0.35">
      <c r="A180" s="321"/>
      <c r="B180" s="322" t="s">
        <v>541</v>
      </c>
      <c r="C180" s="323"/>
      <c r="D180" s="324"/>
      <c r="E180" s="324"/>
      <c r="F180" s="325">
        <f>SUMPRODUCT(F166:F168,M166:M168)+SUMPRODUCT(F169:F179,M169:M179)/0.87</f>
        <v>0.61579650417876763</v>
      </c>
      <c r="G180" s="326">
        <f>SUMPRODUCT(G166:G168,M166:M168)+SUMPRODUCT(G169:G179,M169:M179)/0.87</f>
        <v>1.6507261489789857E-2</v>
      </c>
      <c r="H180" s="326">
        <f>SUMPRODUCT(H166:H168,M166:M168)+SUMPRODUCT(H169:H179,M169:M179)/0.87</f>
        <v>9.6366193901516783E-5</v>
      </c>
      <c r="I180" s="326">
        <f>SUMPRODUCT(I166:I168,M166:M168)+SUMPRODUCT(I169:I179,M169:M179)/0.87</f>
        <v>2.1585976084474366E-5</v>
      </c>
      <c r="J180" s="327">
        <f>SUMPRODUCT(J166:J168,M166:M168)+SUMPRODUCT(J169:J179,M169:M179)/0.87</f>
        <v>8.8000838240839189E-4</v>
      </c>
      <c r="K180" s="327">
        <f>SUMPRODUCT(K166:K168,M166:M168)+SUMPRODUCT(K169:K179,M169:M179)/0.87</f>
        <v>-7.3924868850474139E-12</v>
      </c>
      <c r="L180" s="327">
        <f>SUMPRODUCT(L166:L168,M166:M168)+SUMPRODUCT(L169:L179,M169:M179)/0.87</f>
        <v>1.3562262729893519E-4</v>
      </c>
      <c r="M180" s="328"/>
      <c r="N180" s="328"/>
    </row>
    <row r="181" spans="1:15" x14ac:dyDescent="0.35">
      <c r="A181" s="147"/>
      <c r="B181" s="23" t="s">
        <v>558</v>
      </c>
      <c r="C181" s="24"/>
      <c r="D181" s="94"/>
      <c r="E181" s="320"/>
      <c r="F181" s="320">
        <f>SUMPRODUCT(F166:F169,N166:N169)+SUMPRODUCT(F170:F179,N170:N179)/0.87</f>
        <v>1.4131055358252418</v>
      </c>
      <c r="G181" s="25">
        <f>SUMPRODUCT(G166:G169,N166:N169)+SUMPRODUCT(G170:G180,N170:N180)/0.87</f>
        <v>1.684593261573232E-2</v>
      </c>
      <c r="H181" s="25">
        <f>SUMPRODUCT(H166:H169,N166:N169)+SUMPRODUCT(H170:H180,N170:N180)/0.87</f>
        <v>1.0040385093457746E-3</v>
      </c>
      <c r="I181" s="25">
        <f>SUMPRODUCT(I166:I169,N166:N169)+SUMPRODUCT(I170:I180,N170:N180)/0.87</f>
        <v>7.0695419833544746E-3</v>
      </c>
      <c r="J181" s="28">
        <f>SUMPRODUCT(J166:J169,N166:N169)+SUMPRODUCT(J170:J180,N170:N180)/0.87</f>
        <v>4.8508903702705101E-2</v>
      </c>
      <c r="K181" s="28">
        <f>SUMPRODUCT(K166:K169,N166:N169)+SUMPRODUCT(K170:K180,N170:N180)/0.87</f>
        <v>2.7628107263667403E-12</v>
      </c>
      <c r="L181" s="28">
        <f>SUMPRODUCT(L166:L169,N166:N169)+SUMPRODUCT(L170:L180,N170:N180)/0.87</f>
        <v>7.2530775467408062E-4</v>
      </c>
      <c r="M181" s="149"/>
      <c r="N181" s="149"/>
    </row>
    <row r="182" spans="1:15" x14ac:dyDescent="0.35">
      <c r="B182" s="16" t="s">
        <v>285</v>
      </c>
      <c r="C182" s="15" t="s">
        <v>288</v>
      </c>
      <c r="D182" s="21" t="s">
        <v>493</v>
      </c>
      <c r="E182" s="21" t="s">
        <v>495</v>
      </c>
      <c r="F182" s="108">
        <v>0</v>
      </c>
      <c r="G182" s="108">
        <f>'Forage crops, footprints'!G19</f>
        <v>2.5905666666666671E-2</v>
      </c>
      <c r="H182" s="108">
        <f>'Forage crops, footprints'!H19</f>
        <v>2.3847872238080538E-4</v>
      </c>
      <c r="I182" s="108">
        <f>'Forage crops, footprints'!I19</f>
        <v>0</v>
      </c>
      <c r="J182" s="108">
        <f>'Forage crops, footprints'!J19</f>
        <v>0</v>
      </c>
      <c r="K182" s="118">
        <f>'Forage crops, footprints'!K19</f>
        <v>4.7099132656114992E-12</v>
      </c>
      <c r="L182" s="108">
        <f>'Forage crops, footprints'!L19</f>
        <v>1.0598931034482759E-3</v>
      </c>
      <c r="M182" s="148">
        <f>'Parameters, country spec'!M15</f>
        <v>0.74946751429338065</v>
      </c>
      <c r="N182" s="148">
        <f>'Parameters, country spec'!L33</f>
        <v>0</v>
      </c>
    </row>
    <row r="183" spans="1:15" x14ac:dyDescent="0.35">
      <c r="B183" s="16" t="s">
        <v>286</v>
      </c>
      <c r="C183" s="15" t="s">
        <v>288</v>
      </c>
      <c r="D183" s="21" t="s">
        <v>493</v>
      </c>
      <c r="E183" s="21" t="s">
        <v>495</v>
      </c>
      <c r="F183" s="108">
        <f>'EFP per kg feed'!F36</f>
        <v>0.92536138067439699</v>
      </c>
      <c r="G183" s="108">
        <f>'EFP per kg feed'!G36</f>
        <v>1.3378944218892984E-2</v>
      </c>
      <c r="H183" s="108">
        <f>'EFP per kg feed'!H36</f>
        <v>1.0394180095195139E-3</v>
      </c>
      <c r="I183" s="108">
        <f>'EFP per kg feed'!I36</f>
        <v>3.6914228410164125E-2</v>
      </c>
      <c r="J183" s="108">
        <f>'EFP per kg feed'!J36</f>
        <v>5.7617306133521611E-2</v>
      </c>
      <c r="K183" s="118">
        <f>'EFP per kg feed'!K36</f>
        <v>1.9710967966727525E-11</v>
      </c>
      <c r="L183" s="108">
        <f>'EFP per kg feed'!L36</f>
        <v>4.4273931288267836E-4</v>
      </c>
      <c r="M183" s="148">
        <f>'Parameters, country spec'!M16</f>
        <v>6.8994040926595557E-2</v>
      </c>
      <c r="N183" s="148">
        <f>'Parameters, country spec'!L34</f>
        <v>0.12715077282006415</v>
      </c>
    </row>
    <row r="184" spans="1:15" x14ac:dyDescent="0.35">
      <c r="B184" s="16" t="s">
        <v>287</v>
      </c>
      <c r="C184" s="15" t="s">
        <v>288</v>
      </c>
      <c r="D184" s="21" t="s">
        <v>493</v>
      </c>
      <c r="E184" s="21" t="s">
        <v>495</v>
      </c>
      <c r="F184" s="108">
        <f>'Forage, input data per ha'!$E$89*'Forage crops, footprints'!F53+'Forage, input data per ha'!$G$89*'Forage crops, footprints'!F70</f>
        <v>1.2970560584416255</v>
      </c>
      <c r="G184" s="108">
        <f>'Forage, input data per ha'!$E$89*'Forage crops, footprints'!G53+'Forage, input data per ha'!$G$89*'Forage crops, footprints'!G70</f>
        <v>4.2445444675597202E-2</v>
      </c>
      <c r="H184" s="108">
        <f>'Forage, input data per ha'!$E$89*'Forage crops, footprints'!H53+'Forage, input data per ha'!$G$89*'Forage crops, footprints'!H70</f>
        <v>2.8519324749103334E-3</v>
      </c>
      <c r="I184" s="108">
        <f>'Forage, input data per ha'!$E$89*'Forage crops, footprints'!I53+'Forage, input data per ha'!$G$89*'Forage crops, footprints'!I70</f>
        <v>0</v>
      </c>
      <c r="J184" s="108">
        <f>'Forage, input data per ha'!$E$89*'Forage crops, footprints'!J53+'Forage, input data per ha'!$G$89*'Forage crops, footprints'!J70</f>
        <v>5.420321354130755E-5</v>
      </c>
      <c r="K184" s="118">
        <f>'Forage, input data per ha'!$E$89*'Forage crops, footprints'!K53+'Forage, input data per ha'!$G$89*'Forage crops, footprints'!K70</f>
        <v>3.8066607153477319E-12</v>
      </c>
      <c r="L184" s="108">
        <f>'Forage, input data per ha'!$E$89*'Forage crops, footprints'!L53+'Forage, input data per ha'!$G$89*'Forage crops, footprints'!L70</f>
        <v>1.7307135863447586E-4</v>
      </c>
      <c r="M184" s="148">
        <f>'Parameters, country spec'!M17</f>
        <v>3.2584598647782959E-3</v>
      </c>
      <c r="N184" s="148">
        <f>'Parameters, country spec'!L35</f>
        <v>0.5447652376786235</v>
      </c>
    </row>
    <row r="185" spans="1:15" x14ac:dyDescent="0.35">
      <c r="A185" s="20" t="s">
        <v>222</v>
      </c>
      <c r="B185" s="15" t="s">
        <v>108</v>
      </c>
      <c r="C185" s="15" t="s">
        <v>223</v>
      </c>
      <c r="D185" s="21" t="s">
        <v>493</v>
      </c>
      <c r="E185" s="21" t="s">
        <v>495</v>
      </c>
      <c r="F185" s="561">
        <v>1.6319336782153173</v>
      </c>
      <c r="G185" s="562">
        <v>2.0506108202443279E-2</v>
      </c>
      <c r="H185" s="562">
        <v>3.0541012216404886E-3</v>
      </c>
      <c r="I185" s="563">
        <v>3.77221836632074E-5</v>
      </c>
      <c r="J185" s="563">
        <v>0.15887290167865709</v>
      </c>
      <c r="K185" s="563">
        <v>6.92942450445077E-12</v>
      </c>
      <c r="L185" s="563">
        <v>1.246660701063081E-3</v>
      </c>
      <c r="M185" s="148">
        <f>'Parameters, country spec'!M18</f>
        <v>1.3909861729922528E-2</v>
      </c>
      <c r="N185" s="148">
        <f>'Parameters, country spec'!L36</f>
        <v>0</v>
      </c>
      <c r="O185" s="6"/>
    </row>
    <row r="186" spans="1:15" x14ac:dyDescent="0.35">
      <c r="A186" s="20" t="s">
        <v>224</v>
      </c>
      <c r="B186" s="15" t="s">
        <v>109</v>
      </c>
      <c r="C186" s="15" t="s">
        <v>223</v>
      </c>
      <c r="D186" s="21" t="s">
        <v>493</v>
      </c>
      <c r="E186" s="21" t="s">
        <v>495</v>
      </c>
      <c r="F186" s="564">
        <v>5.0505050505050502</v>
      </c>
      <c r="G186" s="562">
        <v>1.3131313131313131E-2</v>
      </c>
      <c r="H186" s="562">
        <v>2.0202020202020202E-3</v>
      </c>
      <c r="I186" s="563">
        <v>0</v>
      </c>
      <c r="J186" s="563">
        <v>3.0808080808080806E-7</v>
      </c>
      <c r="K186" s="563">
        <f>K189</f>
        <v>5.34154471045466E-12</v>
      </c>
      <c r="L186" s="563">
        <v>2.5791649629730588E-5</v>
      </c>
      <c r="M186" s="148">
        <f>'Parameters, country spec'!M19</f>
        <v>6.5309995773990038E-4</v>
      </c>
      <c r="N186" s="148">
        <f>'Parameters, country spec'!L37</f>
        <v>0</v>
      </c>
      <c r="O186" t="s">
        <v>602</v>
      </c>
    </row>
    <row r="187" spans="1:15" x14ac:dyDescent="0.35">
      <c r="A187" s="20" t="s">
        <v>225</v>
      </c>
      <c r="B187" s="15" t="s">
        <v>110</v>
      </c>
      <c r="C187" s="15" t="s">
        <v>223</v>
      </c>
      <c r="D187" s="21" t="s">
        <v>493</v>
      </c>
      <c r="E187" s="21" t="s">
        <v>495</v>
      </c>
      <c r="F187" s="564">
        <v>1.8627385236679557</v>
      </c>
      <c r="G187" s="562">
        <v>1.8075356415478614E-2</v>
      </c>
      <c r="H187" s="562">
        <v>3.8187372708757641E-3</v>
      </c>
      <c r="I187" s="563">
        <v>3.3802236745868902E-3</v>
      </c>
      <c r="J187" s="563">
        <v>0</v>
      </c>
      <c r="K187" s="563">
        <v>7.9094549880268794E-12</v>
      </c>
      <c r="L187" s="563">
        <v>1.098884111915529E-3</v>
      </c>
      <c r="M187" s="148">
        <f>'Parameters, country spec'!M20</f>
        <v>1.5338046639374065E-3</v>
      </c>
      <c r="N187" s="148">
        <f>'Parameters, country spec'!L38</f>
        <v>0</v>
      </c>
    </row>
    <row r="188" spans="1:15" x14ac:dyDescent="0.35">
      <c r="A188" s="20" t="s">
        <v>226</v>
      </c>
      <c r="B188" s="15" t="s">
        <v>111</v>
      </c>
      <c r="C188" s="15" t="s">
        <v>223</v>
      </c>
      <c r="D188" s="21" t="s">
        <v>493</v>
      </c>
      <c r="E188" s="21" t="s">
        <v>495</v>
      </c>
      <c r="F188" s="564">
        <v>3.7103548583386519</v>
      </c>
      <c r="G188" s="562">
        <v>1.5923566878980892E-2</v>
      </c>
      <c r="H188" s="562">
        <v>1.1733154542406972E-3</v>
      </c>
      <c r="I188" s="563">
        <v>0</v>
      </c>
      <c r="J188" s="563">
        <v>0</v>
      </c>
      <c r="K188" s="563">
        <v>1.57546989922391E-11</v>
      </c>
      <c r="L188" s="563">
        <v>9.6806692195303612E-4</v>
      </c>
      <c r="M188" s="148">
        <f>'Parameters, country spec'!M21</f>
        <v>7.2745448066960375E-5</v>
      </c>
      <c r="N188" s="148">
        <f>'Parameters, country spec'!L39</f>
        <v>0</v>
      </c>
    </row>
    <row r="189" spans="1:15" x14ac:dyDescent="0.35">
      <c r="A189" s="20" t="s">
        <v>227</v>
      </c>
      <c r="B189" s="15" t="s">
        <v>112</v>
      </c>
      <c r="C189" s="15" t="s">
        <v>223</v>
      </c>
      <c r="D189" s="21" t="s">
        <v>493</v>
      </c>
      <c r="E189" s="21" t="s">
        <v>495</v>
      </c>
      <c r="F189" s="564">
        <v>1.2579755650826239</v>
      </c>
      <c r="G189" s="562">
        <v>2.350591488707943E-2</v>
      </c>
      <c r="H189" s="562">
        <v>2.150868028883085E-3</v>
      </c>
      <c r="I189" s="563">
        <v>1E-3</v>
      </c>
      <c r="J189" s="563">
        <v>0.53529283216783219</v>
      </c>
      <c r="K189" s="563">
        <v>5.34154471045466E-12</v>
      </c>
      <c r="L189" s="563">
        <v>1.4290327566282921E-3</v>
      </c>
      <c r="M189" s="148">
        <f>'Parameters, country spec'!M22</f>
        <v>2.0790459475885831E-2</v>
      </c>
      <c r="N189" s="148">
        <f>'Parameters, country spec'!L40</f>
        <v>0.29571303587051617</v>
      </c>
    </row>
    <row r="190" spans="1:15" x14ac:dyDescent="0.35">
      <c r="A190" s="20" t="s">
        <v>228</v>
      </c>
      <c r="B190" s="15" t="s">
        <v>113</v>
      </c>
      <c r="C190" s="15" t="s">
        <v>229</v>
      </c>
      <c r="D190" s="21" t="s">
        <v>493</v>
      </c>
      <c r="E190" s="21" t="s">
        <v>495</v>
      </c>
      <c r="F190" s="564">
        <v>3.7103548583386519</v>
      </c>
      <c r="G190" s="562">
        <v>1.5923566878980892E-2</v>
      </c>
      <c r="H190" s="562">
        <v>1.1733154542406972E-3</v>
      </c>
      <c r="I190" s="563">
        <v>0</v>
      </c>
      <c r="J190" s="563">
        <v>0</v>
      </c>
      <c r="K190" s="563">
        <v>1.24929930199078E-11</v>
      </c>
      <c r="L190" s="563">
        <v>9.6806692195303612E-4</v>
      </c>
      <c r="M190" s="148">
        <f>'Parameters, country spec'!M23</f>
        <v>6.5340906393272433E-4</v>
      </c>
      <c r="N190" s="148">
        <f>'Parameters, country spec'!L41</f>
        <v>0</v>
      </c>
    </row>
    <row r="191" spans="1:15" x14ac:dyDescent="0.35">
      <c r="A191" s="20" t="s">
        <v>230</v>
      </c>
      <c r="B191" s="15" t="s">
        <v>114</v>
      </c>
      <c r="C191" s="15" t="s">
        <v>229</v>
      </c>
      <c r="D191" s="21" t="s">
        <v>493</v>
      </c>
      <c r="E191" s="21" t="s">
        <v>495</v>
      </c>
      <c r="F191" s="564">
        <v>2.8810805204383856</v>
      </c>
      <c r="G191" s="562">
        <v>7.9246942591531359E-3</v>
      </c>
      <c r="H191" s="562">
        <v>2.0202020202020202E-3</v>
      </c>
      <c r="I191" s="563">
        <v>0</v>
      </c>
      <c r="J191" s="563">
        <v>1.0524551341223105</v>
      </c>
      <c r="K191" s="563">
        <v>1.2233481191131701E-11</v>
      </c>
      <c r="L191" s="563">
        <v>6.1408689594596641E-5</v>
      </c>
      <c r="M191" s="148">
        <f>'Parameters, country spec'!M24</f>
        <v>6.4186302502542813E-4</v>
      </c>
      <c r="N191" s="148">
        <f>'Parameters, country spec'!L42</f>
        <v>9.3321668124817739E-3</v>
      </c>
    </row>
    <row r="192" spans="1:15" x14ac:dyDescent="0.35">
      <c r="B192" s="16" t="s">
        <v>115</v>
      </c>
      <c r="C192" s="15" t="s">
        <v>231</v>
      </c>
      <c r="D192" s="21" t="s">
        <v>493</v>
      </c>
      <c r="E192" s="21" t="s">
        <v>495</v>
      </c>
      <c r="F192" s="17">
        <f>'Off-farm feed'!$F$88</f>
        <v>1.5397450382845068</v>
      </c>
      <c r="G192" s="18">
        <f>'Off-farm feed'!$G$88</f>
        <v>2.276724967641296E-2</v>
      </c>
      <c r="H192" s="18">
        <f>'Off-farm feed'!$H$88</f>
        <v>2.4780679919905292E-3</v>
      </c>
      <c r="I192" s="18">
        <f>'Off-farm feed'!$I$88</f>
        <v>8.1100925319702543E-4</v>
      </c>
      <c r="J192" s="27">
        <f>'Off-farm feed'!$J$88</f>
        <v>0.29368572248181479</v>
      </c>
      <c r="K192" s="27">
        <f>'Off-farm feed'!$K$88</f>
        <v>1.2571008272056975E-11</v>
      </c>
      <c r="L192" s="27">
        <f>'Off-farm feed'!$L$88</f>
        <v>1.3841258986185109E-3</v>
      </c>
      <c r="M192" s="148">
        <f>'Parameters, country spec'!M25</f>
        <v>1.0151950508744787E-2</v>
      </c>
      <c r="N192" s="148">
        <f>'Parameters, country spec'!L43</f>
        <v>2.3038786818314377E-2</v>
      </c>
    </row>
    <row r="193" spans="1:15" x14ac:dyDescent="0.35">
      <c r="B193" s="16" t="s">
        <v>232</v>
      </c>
      <c r="C193" s="15" t="s">
        <v>231</v>
      </c>
      <c r="D193" s="21" t="s">
        <v>493</v>
      </c>
      <c r="E193" s="21" t="s">
        <v>495</v>
      </c>
      <c r="F193" s="17">
        <f>'Off-farm feed'!$F$36</f>
        <v>2.5509164954964105</v>
      </c>
      <c r="G193" s="18">
        <f>'Off-farm feed'!$G$36</f>
        <v>4.2620923125915401E-2</v>
      </c>
      <c r="H193" s="18">
        <f>'Off-farm feed'!$H$36</f>
        <v>3.2959349471355006E-3</v>
      </c>
      <c r="I193" s="18">
        <f>'Off-farm feed'!$I$36</f>
        <v>2.435286335413451E-3</v>
      </c>
      <c r="J193" s="27">
        <f>'Off-farm feed'!$J$36</f>
        <v>0.25920846302270906</v>
      </c>
      <c r="K193" s="27">
        <f>'Off-farm feed'!$K$36</f>
        <v>1.4553836091881654E-10</v>
      </c>
      <c r="L193" s="27">
        <f>'Off-farm feed'!$L$36</f>
        <v>1.0450321677831977E-4</v>
      </c>
      <c r="M193" s="148">
        <f>'Parameters, country spec'!M26</f>
        <v>1.9990823703774308E-2</v>
      </c>
      <c r="N193" s="148">
        <f>'Parameters, country spec'!L44</f>
        <v>0</v>
      </c>
    </row>
    <row r="194" spans="1:15" x14ac:dyDescent="0.35">
      <c r="B194" s="15" t="s">
        <v>117</v>
      </c>
      <c r="C194" s="15" t="s">
        <v>233</v>
      </c>
      <c r="D194" s="21" t="s">
        <v>493</v>
      </c>
      <c r="E194" s="21" t="s">
        <v>495</v>
      </c>
      <c r="F194" s="19">
        <v>0.67046492048098005</v>
      </c>
      <c r="G194" s="19">
        <v>1.1762359809494499E-2</v>
      </c>
      <c r="H194" s="19">
        <v>1.0762943616530901E-3</v>
      </c>
      <c r="I194" s="26">
        <v>9.2235002991908105E-4</v>
      </c>
      <c r="J194" s="26">
        <v>0.204063323854693</v>
      </c>
      <c r="K194" s="26">
        <v>7.8344478125498505E-14</v>
      </c>
      <c r="L194" s="26">
        <v>7.1508799141679696E-4</v>
      </c>
      <c r="M194" s="148">
        <f>'Parameters, country spec'!M27</f>
        <v>8.0060070909469844E-2</v>
      </c>
      <c r="N194" s="148">
        <f>'Parameters, country spec'!L45</f>
        <v>0</v>
      </c>
      <c r="O194" t="s">
        <v>610</v>
      </c>
    </row>
    <row r="195" spans="1:15" x14ac:dyDescent="0.35">
      <c r="A195" s="75"/>
      <c r="B195" s="15" t="s">
        <v>234</v>
      </c>
      <c r="C195" s="76" t="s">
        <v>235</v>
      </c>
      <c r="D195" s="21" t="s">
        <v>493</v>
      </c>
      <c r="E195" s="21" t="s">
        <v>495</v>
      </c>
      <c r="F195" s="73">
        <f>AVERAGE(F185:F193)</f>
        <v>2.6884005098186168</v>
      </c>
      <c r="G195" s="98">
        <f t="shared" ref="G195:L195" si="12">AVERAGE(G185:G193)</f>
        <v>2.0042077050639748E-2</v>
      </c>
      <c r="H195" s="98">
        <f t="shared" si="12"/>
        <v>2.3538604899345336E-3</v>
      </c>
      <c r="I195" s="98">
        <f t="shared" si="12"/>
        <v>8.5158238298450818E-4</v>
      </c>
      <c r="J195" s="74">
        <f t="shared" si="12"/>
        <v>0.25550170683934798</v>
      </c>
      <c r="K195" s="74">
        <f t="shared" si="12"/>
        <v>2.4901390145282123E-11</v>
      </c>
      <c r="L195" s="74">
        <f t="shared" si="12"/>
        <v>8.0961565201490362E-4</v>
      </c>
      <c r="M195" s="148">
        <f>'Parameters, country spec'!M28</f>
        <v>2.9821896428745772E-2</v>
      </c>
      <c r="N195" s="148">
        <f>'Parameters, country spec'!L46</f>
        <v>0</v>
      </c>
    </row>
    <row r="196" spans="1:15" x14ac:dyDescent="0.35">
      <c r="A196" s="321"/>
      <c r="B196" s="322" t="s">
        <v>549</v>
      </c>
      <c r="C196" s="323"/>
      <c r="D196" s="324"/>
      <c r="E196" s="324"/>
      <c r="F196" s="325">
        <f>SUMPRODUCT(F182:F184,M182:M184)+SUMPRODUCT(F185:F195,M185:M195)/0.87</f>
        <v>0.36695586226515853</v>
      </c>
      <c r="G196" s="326">
        <f>SUMPRODUCT(G182:G184,M182:M184)+SUMPRODUCT(G185:G195,M185:M195)/0.87</f>
        <v>2.4441695349917136E-2</v>
      </c>
      <c r="H196" s="326">
        <f>SUMPRODUCT(H182:H184,M182:M184)+SUMPRODUCT(H185:H195,M185:M195)/0.87</f>
        <v>6.5506667722530962E-4</v>
      </c>
      <c r="I196" s="326">
        <f>SUMPRODUCT(I182:I184,M182:M184)+SUMPRODUCT(I185:I195,M185:M195)/0.87</f>
        <v>2.7568108531719829E-3</v>
      </c>
      <c r="J196" s="327">
        <f>SUMPRODUCT(J182:J184,M182:M184)+SUMPRODUCT(J185:J195,M185:M195)/0.87</f>
        <v>5.7003656695683594E-2</v>
      </c>
      <c r="K196" s="327">
        <f>SUMPRODUCT(K182:K184,M182:M184)+SUMPRODUCT(K185:K195,M185:M195)/0.87</f>
        <v>9.5300320951094392E-12</v>
      </c>
      <c r="L196" s="327">
        <f>SUMPRODUCT(L182:L184,M182:M184)+SUMPRODUCT(L185:L195,M185:M195)/0.87</f>
        <v>9.9446666454549876E-4</v>
      </c>
      <c r="M196" s="328"/>
      <c r="N196" s="328"/>
    </row>
    <row r="197" spans="1:15" x14ac:dyDescent="0.35">
      <c r="A197" s="147"/>
      <c r="B197" s="23"/>
      <c r="C197" s="24"/>
      <c r="D197" s="94"/>
      <c r="E197" s="94"/>
      <c r="F197" s="320">
        <f>SUMPRODUCT(F182:F185,N182:N185)+SUMPRODUCT(F186:F196,N186:N196)/0.87</f>
        <v>1.3235162426385796</v>
      </c>
      <c r="G197" s="25">
        <f>SUMPRODUCT(G182:G185,N182:N185)+SUMPRODUCT(G186:G196,N186:N196)/0.87</f>
        <v>3.3501520374336569E-2</v>
      </c>
      <c r="H197" s="25">
        <f>SUMPRODUCT(H182:H185,N182:N185)+SUMPRODUCT(H186:H196,N186:N196)/0.87</f>
        <v>2.5041691849429591E-3</v>
      </c>
      <c r="I197" s="25">
        <f>SUMPRODUCT(I182:I185,N182:N185)+SUMPRODUCT(I186:I196,N186:N196)/0.87</f>
        <v>5.0550493430094297E-3</v>
      </c>
      <c r="J197" s="28">
        <f>SUMPRODUCT(J182:J185,N182:N185)+SUMPRODUCT(J186:J196,N186:N196)/0.87</f>
        <v>0.20836816257655136</v>
      </c>
      <c r="K197" s="28">
        <f>SUMPRODUCT(K182:K185,N182:N185)+SUMPRODUCT(K186:K196,N186:N196)/0.87</f>
        <v>6.8597139628199447E-12</v>
      </c>
      <c r="L197" s="28">
        <f>SUMPRODUCT(L182:L185,N182:N185)+SUMPRODUCT(L186:L196,N186:N196)/0.87</f>
        <v>6.7361844867477199E-4</v>
      </c>
      <c r="M197" s="149"/>
      <c r="N197" s="149"/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46"/>
  <sheetViews>
    <sheetView topLeftCell="A18" zoomScale="80" zoomScaleNormal="80" workbookViewId="0">
      <selection activeCell="C34" sqref="C34"/>
    </sheetView>
  </sheetViews>
  <sheetFormatPr defaultColWidth="8.7265625" defaultRowHeight="14.5" x14ac:dyDescent="0.35"/>
  <cols>
    <col min="1" max="1" width="46.26953125" customWidth="1"/>
    <col min="2" max="2" width="22.26953125" customWidth="1"/>
    <col min="3" max="3" width="21.7265625" customWidth="1"/>
    <col min="4" max="4" width="14.7265625" customWidth="1"/>
    <col min="5" max="5" width="20.26953125" customWidth="1"/>
  </cols>
  <sheetData>
    <row r="2" spans="1:6" ht="21" x14ac:dyDescent="0.5">
      <c r="A2" s="2" t="s">
        <v>430</v>
      </c>
    </row>
    <row r="4" spans="1:6" x14ac:dyDescent="0.35">
      <c r="A4" s="107" t="s">
        <v>241</v>
      </c>
      <c r="B4" s="159" t="s">
        <v>242</v>
      </c>
      <c r="C4" s="159" t="s">
        <v>243</v>
      </c>
      <c r="D4" s="159" t="s">
        <v>244</v>
      </c>
      <c r="E4" s="159" t="s">
        <v>438</v>
      </c>
      <c r="F4" s="107" t="s">
        <v>120</v>
      </c>
    </row>
    <row r="5" spans="1:6" x14ac:dyDescent="0.35">
      <c r="A5" s="3" t="s">
        <v>439</v>
      </c>
      <c r="B5" s="4">
        <v>0.29001600000000005</v>
      </c>
      <c r="C5" s="42">
        <v>1.1016000000000002E-4</v>
      </c>
      <c r="D5" s="42">
        <v>1.0269360000000001E-5</v>
      </c>
      <c r="E5" s="88"/>
      <c r="F5" s="88" t="s">
        <v>245</v>
      </c>
    </row>
    <row r="6" spans="1:6" x14ac:dyDescent="0.35">
      <c r="A6" s="3" t="s">
        <v>440</v>
      </c>
      <c r="B6" s="4">
        <v>9.6299999999999997E-3</v>
      </c>
      <c r="C6" s="42">
        <v>3.6659999999999876E-5</v>
      </c>
      <c r="D6" s="42">
        <v>1.5257999999999987E-5</v>
      </c>
      <c r="E6" s="88"/>
      <c r="F6" s="88" t="s">
        <v>246</v>
      </c>
    </row>
    <row r="7" spans="1:6" x14ac:dyDescent="0.35">
      <c r="A7" s="3" t="s">
        <v>441</v>
      </c>
      <c r="B7" s="4">
        <f>0.07592*3.6</f>
        <v>0.273312</v>
      </c>
      <c r="C7" s="42">
        <f>0.00003363*3.6</f>
        <v>1.2106800000000001E-4</v>
      </c>
      <c r="D7" s="42">
        <f>0.00000204*3.6</f>
        <v>7.3440000000000003E-6</v>
      </c>
      <c r="E7" s="10">
        <f>35.2/3.6</f>
        <v>9.7777777777777786</v>
      </c>
      <c r="F7" s="88" t="s">
        <v>245</v>
      </c>
    </row>
    <row r="9" spans="1:6" x14ac:dyDescent="0.35">
      <c r="A9" s="107" t="s">
        <v>434</v>
      </c>
      <c r="B9" s="159" t="s">
        <v>431</v>
      </c>
      <c r="C9" s="159" t="s">
        <v>432</v>
      </c>
      <c r="D9" s="159" t="s">
        <v>433</v>
      </c>
      <c r="E9" s="107"/>
      <c r="F9" s="107" t="s">
        <v>120</v>
      </c>
    </row>
    <row r="10" spans="1:6" x14ac:dyDescent="0.35">
      <c r="A10" t="s">
        <v>215</v>
      </c>
      <c r="B10">
        <v>2.7E-2</v>
      </c>
      <c r="C10">
        <v>9.5000000000000005E-5</v>
      </c>
      <c r="D10">
        <v>1.1000000000000001E-6</v>
      </c>
      <c r="F10" s="88" t="s">
        <v>435</v>
      </c>
    </row>
    <row r="12" spans="1:6" x14ac:dyDescent="0.35">
      <c r="A12" s="107" t="s">
        <v>241</v>
      </c>
      <c r="B12" s="159" t="s">
        <v>247</v>
      </c>
      <c r="C12" s="159" t="s">
        <v>248</v>
      </c>
      <c r="D12" s="159" t="s">
        <v>249</v>
      </c>
      <c r="E12" s="107"/>
      <c r="F12" s="107" t="s">
        <v>120</v>
      </c>
    </row>
    <row r="13" spans="1:6" x14ac:dyDescent="0.35">
      <c r="A13" s="3" t="s">
        <v>250</v>
      </c>
      <c r="B13" s="108">
        <v>2.2999999999999998</v>
      </c>
      <c r="C13" s="109">
        <v>0</v>
      </c>
      <c r="D13" s="109">
        <v>4.3624161073825508E-3</v>
      </c>
      <c r="F13" s="114" t="s">
        <v>251</v>
      </c>
    </row>
    <row r="14" spans="1:6" x14ac:dyDescent="0.35">
      <c r="A14" s="3" t="s">
        <v>252</v>
      </c>
      <c r="B14" s="110">
        <v>4.3928213588059704</v>
      </c>
      <c r="C14" s="109">
        <v>9.8666566537313431E-3</v>
      </c>
      <c r="D14" s="109">
        <v>9.948031617910448E-3</v>
      </c>
      <c r="F14" s="115" t="s">
        <v>253</v>
      </c>
    </row>
    <row r="16" spans="1:6" x14ac:dyDescent="0.35">
      <c r="A16" s="107" t="s">
        <v>449</v>
      </c>
      <c r="B16" s="159" t="s">
        <v>446</v>
      </c>
      <c r="C16" s="159" t="s">
        <v>447</v>
      </c>
      <c r="D16" s="159" t="s">
        <v>448</v>
      </c>
      <c r="E16" s="107"/>
      <c r="F16" s="107" t="s">
        <v>120</v>
      </c>
    </row>
    <row r="17" spans="1:6" x14ac:dyDescent="0.35">
      <c r="A17" s="3" t="s">
        <v>457</v>
      </c>
      <c r="B17" s="42">
        <v>7.5028151531290013E-2</v>
      </c>
      <c r="C17" s="42">
        <v>2.5092882000000001E-4</v>
      </c>
      <c r="D17" s="42">
        <v>3.0881530559999995E-6</v>
      </c>
      <c r="F17" s="88" t="s">
        <v>456</v>
      </c>
    </row>
    <row r="18" spans="1:6" x14ac:dyDescent="0.35">
      <c r="B18" s="42"/>
      <c r="C18" s="42"/>
      <c r="D18" s="42"/>
    </row>
    <row r="19" spans="1:6" x14ac:dyDescent="0.35">
      <c r="A19" s="107" t="s">
        <v>451</v>
      </c>
      <c r="B19" s="346" t="s">
        <v>453</v>
      </c>
      <c r="C19" s="346" t="s">
        <v>452</v>
      </c>
      <c r="D19" s="346" t="s">
        <v>454</v>
      </c>
      <c r="E19" s="107"/>
      <c r="F19" s="107" t="s">
        <v>120</v>
      </c>
    </row>
    <row r="20" spans="1:6" x14ac:dyDescent="0.35">
      <c r="A20" s="3" t="s">
        <v>455</v>
      </c>
      <c r="B20" s="42">
        <f>46.7/1000</f>
        <v>4.6700000000000005E-2</v>
      </c>
      <c r="C20" s="42">
        <f>0.708/1000</f>
        <v>7.0799999999999997E-4</v>
      </c>
      <c r="D20" s="42">
        <f>0.0681/1000</f>
        <v>6.8099999999999988E-5</v>
      </c>
      <c r="F20" s="88" t="s">
        <v>450</v>
      </c>
    </row>
    <row r="21" spans="1:6" x14ac:dyDescent="0.35">
      <c r="A21" s="88"/>
    </row>
    <row r="22" spans="1:6" x14ac:dyDescent="0.35">
      <c r="A22" s="107" t="s">
        <v>254</v>
      </c>
      <c r="B22" s="107"/>
    </row>
    <row r="23" spans="1:6" x14ac:dyDescent="0.35">
      <c r="A23" s="83" t="s">
        <v>86</v>
      </c>
      <c r="B23" s="111">
        <v>1</v>
      </c>
      <c r="C23" s="111"/>
    </row>
    <row r="24" spans="1:6" x14ac:dyDescent="0.35">
      <c r="A24" s="3" t="s">
        <v>87</v>
      </c>
      <c r="B24" s="112">
        <v>29.8</v>
      </c>
      <c r="C24" s="112"/>
    </row>
    <row r="25" spans="1:6" x14ac:dyDescent="0.35">
      <c r="A25" s="3" t="s">
        <v>88</v>
      </c>
      <c r="B25" s="112">
        <v>27</v>
      </c>
      <c r="C25" s="111"/>
    </row>
    <row r="26" spans="1:6" x14ac:dyDescent="0.35">
      <c r="A26" s="3" t="s">
        <v>89</v>
      </c>
      <c r="B26" s="113">
        <v>273</v>
      </c>
      <c r="C26" s="113"/>
    </row>
    <row r="28" spans="1:6" ht="15.5" x14ac:dyDescent="0.35">
      <c r="A28" s="309" t="s">
        <v>415</v>
      </c>
      <c r="B28" s="310"/>
    </row>
    <row r="29" spans="1:6" x14ac:dyDescent="0.35">
      <c r="A29" s="86" t="s">
        <v>416</v>
      </c>
      <c r="B29" s="333">
        <v>352323</v>
      </c>
    </row>
    <row r="31" spans="1:6" x14ac:dyDescent="0.35">
      <c r="A31" s="311" t="s">
        <v>417</v>
      </c>
      <c r="B31" s="311"/>
    </row>
    <row r="32" spans="1:6" x14ac:dyDescent="0.35">
      <c r="A32" s="86" t="s">
        <v>418</v>
      </c>
      <c r="B32" s="334">
        <v>0.05</v>
      </c>
    </row>
    <row r="33" spans="1:3" x14ac:dyDescent="0.35">
      <c r="A33" s="86" t="s">
        <v>419</v>
      </c>
      <c r="B33" s="334">
        <f>(3*1.008+14.007)/14.007</f>
        <v>1.2158920539730134</v>
      </c>
    </row>
    <row r="34" spans="1:3" x14ac:dyDescent="0.35">
      <c r="A34" s="335" t="s">
        <v>420</v>
      </c>
      <c r="B34" s="86"/>
    </row>
    <row r="35" spans="1:3" x14ac:dyDescent="0.35">
      <c r="B35" s="336"/>
    </row>
    <row r="36" spans="1:3" ht="15.5" x14ac:dyDescent="0.35">
      <c r="A36" s="309" t="s">
        <v>557</v>
      </c>
      <c r="B36" s="310"/>
      <c r="C36" s="88" t="s">
        <v>611</v>
      </c>
    </row>
    <row r="37" spans="1:3" x14ac:dyDescent="0.35">
      <c r="A37" s="3" t="s">
        <v>285</v>
      </c>
      <c r="B37" s="581">
        <f>B39</f>
        <v>2.2999999999999998</v>
      </c>
      <c r="C37" s="88" t="s">
        <v>612</v>
      </c>
    </row>
    <row r="38" spans="1:3" x14ac:dyDescent="0.35">
      <c r="A38" s="86" t="s">
        <v>334</v>
      </c>
      <c r="B38" s="581">
        <v>1.2</v>
      </c>
      <c r="C38" s="88" t="s">
        <v>613</v>
      </c>
    </row>
    <row r="39" spans="1:3" x14ac:dyDescent="0.35">
      <c r="A39" s="3" t="s">
        <v>367</v>
      </c>
      <c r="B39" s="581">
        <v>2.2999999999999998</v>
      </c>
      <c r="C39" s="88" t="s">
        <v>614</v>
      </c>
    </row>
    <row r="40" spans="1:3" x14ac:dyDescent="0.35">
      <c r="A40" s="3" t="s">
        <v>412</v>
      </c>
      <c r="B40" s="581">
        <v>3</v>
      </c>
      <c r="C40" s="88" t="s">
        <v>615</v>
      </c>
    </row>
    <row r="42" spans="1:3" ht="15.5" x14ac:dyDescent="0.35">
      <c r="A42" s="309" t="s">
        <v>561</v>
      </c>
      <c r="B42" s="310"/>
    </row>
    <row r="43" spans="1:3" x14ac:dyDescent="0.35">
      <c r="A43" s="3" t="s">
        <v>562</v>
      </c>
      <c r="B43" s="445">
        <v>1.2</v>
      </c>
    </row>
    <row r="45" spans="1:3" x14ac:dyDescent="0.35">
      <c r="A45" t="s">
        <v>563</v>
      </c>
    </row>
    <row r="46" spans="1:3" x14ac:dyDescent="0.35">
      <c r="A46" t="s">
        <v>564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1EFB3-E760-4B2A-A058-582DA4CFA4FF}">
  <dimension ref="A2:S262"/>
  <sheetViews>
    <sheetView topLeftCell="A250" zoomScale="80" zoomScaleNormal="80" workbookViewId="0">
      <selection activeCell="F92" sqref="F92"/>
    </sheetView>
  </sheetViews>
  <sheetFormatPr defaultColWidth="8.7265625" defaultRowHeight="14.5" x14ac:dyDescent="0.35"/>
  <cols>
    <col min="1" max="1" width="15.26953125" customWidth="1"/>
    <col min="2" max="2" width="18.26953125" customWidth="1"/>
    <col min="3" max="3" width="12.453125" customWidth="1"/>
    <col min="4" max="4" width="16.7265625" customWidth="1"/>
    <col min="5" max="5" width="12.26953125" customWidth="1"/>
    <col min="6" max="7" width="14.7265625" customWidth="1"/>
    <col min="8" max="8" width="11.26953125" customWidth="1"/>
    <col min="9" max="9" width="12.26953125" customWidth="1"/>
    <col min="10" max="10" width="14.26953125" customWidth="1"/>
    <col min="11" max="11" width="12" customWidth="1"/>
    <col min="12" max="12" width="14.7265625" customWidth="1"/>
    <col min="13" max="13" width="14.26953125" customWidth="1"/>
    <col min="14" max="14" width="15" customWidth="1"/>
    <col min="15" max="15" width="15.453125" customWidth="1"/>
    <col min="16" max="16" width="15" customWidth="1"/>
    <col min="17" max="17" width="17.7265625" customWidth="1"/>
    <col min="18" max="18" width="24.7265625" customWidth="1"/>
    <col min="20" max="24" width="10.7265625" customWidth="1"/>
    <col min="25" max="25" width="13.7265625" customWidth="1"/>
    <col min="36" max="36" width="30.453125" customWidth="1"/>
    <col min="37" max="37" width="32.453125" customWidth="1"/>
  </cols>
  <sheetData>
    <row r="2" spans="1:19" ht="21" x14ac:dyDescent="0.5">
      <c r="A2" s="2" t="s">
        <v>458</v>
      </c>
    </row>
    <row r="4" spans="1:19" ht="18.5" x14ac:dyDescent="0.45">
      <c r="A4" s="260" t="s">
        <v>285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</row>
    <row r="6" spans="1:19" x14ac:dyDescent="0.35">
      <c r="A6" s="261" t="s">
        <v>215</v>
      </c>
      <c r="B6" s="262"/>
      <c r="C6" s="262"/>
      <c r="D6" s="262"/>
      <c r="E6" s="263" t="s">
        <v>60</v>
      </c>
      <c r="F6" s="263" t="s">
        <v>61</v>
      </c>
      <c r="G6" s="264"/>
      <c r="H6" s="263" t="s">
        <v>62</v>
      </c>
      <c r="I6" s="265"/>
      <c r="J6" s="266" t="s">
        <v>63</v>
      </c>
      <c r="K6" s="265"/>
      <c r="L6" s="265"/>
      <c r="M6" s="265"/>
      <c r="N6" s="266" t="s">
        <v>64</v>
      </c>
      <c r="O6" s="266" t="s">
        <v>291</v>
      </c>
      <c r="P6" s="266" t="s">
        <v>65</v>
      </c>
    </row>
    <row r="7" spans="1:19" ht="81" customHeight="1" x14ac:dyDescent="0.35">
      <c r="A7" s="267" t="s">
        <v>14</v>
      </c>
      <c r="B7" s="267" t="s">
        <v>215</v>
      </c>
      <c r="C7" s="267" t="s">
        <v>69</v>
      </c>
      <c r="D7" s="268" t="s">
        <v>292</v>
      </c>
      <c r="E7" s="269"/>
      <c r="F7" s="46" t="s">
        <v>218</v>
      </c>
      <c r="G7" s="46" t="s">
        <v>71</v>
      </c>
      <c r="H7" s="46" t="s">
        <v>219</v>
      </c>
      <c r="I7" s="46" t="s">
        <v>437</v>
      </c>
      <c r="J7" s="46" t="s">
        <v>72</v>
      </c>
      <c r="K7" s="46" t="s">
        <v>73</v>
      </c>
      <c r="L7" s="46" t="s">
        <v>74</v>
      </c>
      <c r="M7" s="46" t="s">
        <v>75</v>
      </c>
      <c r="N7" s="46" t="s">
        <v>76</v>
      </c>
      <c r="O7" s="46"/>
      <c r="P7" s="46"/>
      <c r="R7" s="270"/>
    </row>
    <row r="8" spans="1:19" x14ac:dyDescent="0.35">
      <c r="B8" t="s">
        <v>285</v>
      </c>
      <c r="C8" t="s">
        <v>86</v>
      </c>
      <c r="D8" t="s">
        <v>85</v>
      </c>
      <c r="E8" s="4">
        <f t="shared" ref="E8:E11" si="0">SUM(F8:P8)</f>
        <v>4.5558412802680318E-2</v>
      </c>
      <c r="F8" s="4">
        <f>'Forage, input data per ha'!E8*(Frac_BAT_DK*EF_min_fert_BAT_CO2+Frac_AN_DK*EF_min_fert_AN_CO2)/'Forage, input data per ha'!C8</f>
        <v>8.4353634553484096E-3</v>
      </c>
      <c r="G8" s="4">
        <f>EF_capital_goods_CO2</f>
        <v>2.7E-2</v>
      </c>
      <c r="H8" s="4"/>
      <c r="I8" s="4"/>
      <c r="J8" s="4">
        <f>'Forage, input data per ha'!J8*EF_diesel_CO2*Heating_value_diesel/'Forage, input data per ha'!C8</f>
        <v>1.012304934733191E-2</v>
      </c>
      <c r="K8" s="4"/>
      <c r="L8" s="4">
        <f>'Forage, input data per ha'!K8*'Parameters, general'!$B$17/'Forage, input data per ha'!C8</f>
        <v>0</v>
      </c>
      <c r="M8" s="4"/>
      <c r="N8" s="4"/>
      <c r="O8" s="4"/>
      <c r="P8" s="4"/>
    </row>
    <row r="9" spans="1:19" x14ac:dyDescent="0.35">
      <c r="B9" t="s">
        <v>285</v>
      </c>
      <c r="C9" t="s">
        <v>87</v>
      </c>
      <c r="D9" t="s">
        <v>85</v>
      </c>
      <c r="E9" s="4">
        <f t="shared" si="0"/>
        <v>1.1009627339353734E-4</v>
      </c>
      <c r="F9" s="4">
        <f>'Forage, input data per ha'!E8*(Frac_BAT_DK*EF_min_fert_BAT_CH4+Frac_AN_DK*EF_min_fert_AN_CH4)/'Forage, input data per ha'!C8</f>
        <v>1.0612103878906502E-5</v>
      </c>
      <c r="G9" s="4">
        <f>EF_capital_goods_CH4</f>
        <v>9.5000000000000005E-5</v>
      </c>
      <c r="H9" s="4"/>
      <c r="I9" s="4"/>
      <c r="J9" s="4">
        <f>'Forage, input data per ha'!J8*EF_diesel_CH4*Heating_value_diesel/'Forage, input data per ha'!C8</f>
        <v>4.4841695146308248E-6</v>
      </c>
      <c r="K9" s="4"/>
      <c r="L9" s="4">
        <f>'Forage, input data per ha'!K8*'Parameters, general'!$C$17/'Forage, input data per ha'!C8</f>
        <v>0</v>
      </c>
      <c r="M9" s="4"/>
      <c r="N9" s="4"/>
      <c r="O9" s="4"/>
      <c r="P9" s="4"/>
    </row>
    <row r="10" spans="1:19" x14ac:dyDescent="0.35">
      <c r="B10" t="s">
        <v>285</v>
      </c>
      <c r="C10" t="s">
        <v>297</v>
      </c>
      <c r="D10" t="s">
        <v>85</v>
      </c>
      <c r="E10" s="4">
        <f t="shared" si="0"/>
        <v>0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9" x14ac:dyDescent="0.35">
      <c r="B11" t="s">
        <v>285</v>
      </c>
      <c r="C11" t="s">
        <v>89</v>
      </c>
      <c r="D11" t="s">
        <v>85</v>
      </c>
      <c r="E11" s="4">
        <f t="shared" si="0"/>
        <v>1.2517562993822904E-4</v>
      </c>
      <c r="F11" s="4">
        <f>'Forage, input data per ha'!E8*(Frac_BAT_DK*EF_min_fert_BAT_N2O+Frac_AN_DK*EF_min_fert_AN_N2O)/'Forage, input data per ha'!C8</f>
        <v>1.7737636000089721E-5</v>
      </c>
      <c r="G11" s="4">
        <f>EF_capital_goods_N2O</f>
        <v>1.1000000000000001E-6</v>
      </c>
      <c r="H11" s="276">
        <f>('Forage, input data per ha'!E8*'Parameters, country spec'!B79+'Forage, input data per ha'!H8*'Parameters, country spec'!B80)*44/28/'Forage, input data per ha'!C8</f>
        <v>9.6423621504873331E-5</v>
      </c>
      <c r="I11" s="4">
        <f>H11*0.1</f>
        <v>9.6423621504873331E-6</v>
      </c>
      <c r="J11" s="4">
        <f>'Forage, input data per ha'!J8*EF_diesel_N2O*Heating_value_diesel/'Forage, input data per ha'!C8</f>
        <v>2.720102827786762E-7</v>
      </c>
      <c r="K11" s="4"/>
      <c r="L11" s="4">
        <f>'Forage, input data per ha'!K8*'Parameters, general'!$D$17/'Forage, input data per ha'!C8</f>
        <v>0</v>
      </c>
      <c r="M11" s="4"/>
      <c r="N11" s="4"/>
      <c r="O11" s="4"/>
      <c r="P11" s="4"/>
    </row>
    <row r="12" spans="1:19" ht="15" customHeight="1" x14ac:dyDescent="0.35">
      <c r="A12" s="152"/>
      <c r="B12" s="152" t="s">
        <v>285</v>
      </c>
      <c r="C12" s="152" t="s">
        <v>90</v>
      </c>
      <c r="D12" s="152" t="s">
        <v>85</v>
      </c>
      <c r="E12" s="338">
        <f>SUM(F12:P12)</f>
        <v>8.3012228722944267E-2</v>
      </c>
      <c r="F12" s="338">
        <f>SUMPRODUCT(F8:F11,'Parameters, general'!$B$23:$B$26)</f>
        <v>1.3593978778964316E-2</v>
      </c>
      <c r="G12" s="338">
        <f>SUMPRODUCT(G8:G11,'Parameters, general'!$B$23:$B$26)</f>
        <v>3.01313E-2</v>
      </c>
      <c r="H12" s="338">
        <f>SUMPRODUCT(H8:H11,'Parameters, general'!$B$23:$B$26)</f>
        <v>2.6323648670830421E-2</v>
      </c>
      <c r="I12" s="338">
        <f>SUMPRODUCT(I8:I11,'Parameters, general'!$B$23:$B$26)</f>
        <v>2.632364867083042E-3</v>
      </c>
      <c r="J12" s="338">
        <f>SUMPRODUCT(J8:J11,'Parameters, general'!$B$23:$B$26)</f>
        <v>1.0330936406066488E-2</v>
      </c>
      <c r="K12" s="338">
        <f>SUMPRODUCT(K8:K11,'Parameters, general'!$B$23:$B$26)</f>
        <v>0</v>
      </c>
      <c r="L12" s="338">
        <f>SUMPRODUCT(L8:L11,'Parameters, general'!$B$23:$B$26)</f>
        <v>0</v>
      </c>
      <c r="M12" s="338">
        <f>SUMPRODUCT(M8:M11,'Parameters, general'!$B$23:$B$26)</f>
        <v>0</v>
      </c>
      <c r="N12" s="338">
        <f>SUMPRODUCT(N8:N11,'Parameters, general'!$B$23:$B$26)</f>
        <v>0</v>
      </c>
      <c r="O12" s="338">
        <f>SUMPRODUCT(O8:O11,'Parameters, general'!$B$23:$B$26)</f>
        <v>0</v>
      </c>
      <c r="P12" s="338"/>
      <c r="R12" s="122"/>
      <c r="S12" s="6"/>
    </row>
    <row r="13" spans="1:19" x14ac:dyDescent="0.35">
      <c r="B13" t="s">
        <v>285</v>
      </c>
      <c r="C13" t="s">
        <v>86</v>
      </c>
      <c r="D13" t="s">
        <v>36</v>
      </c>
      <c r="E13" s="4">
        <f t="shared" ref="E13:E16" si="1">SUM(F13:P13)</f>
        <v>5.8137943724220723E-2</v>
      </c>
      <c r="F13" s="4">
        <f>'Forage, input data per ha'!E9*(Frac_BAT_FR*EF_min_fert_BAT_CO2+Frac_AN_FR*EF_min_fert_AN_CO2)/'Forage, input data per ha'!C9</f>
        <v>1.8033196435898471E-2</v>
      </c>
      <c r="G13" s="4">
        <f>EF_capital_goods_CO2</f>
        <v>2.7E-2</v>
      </c>
      <c r="H13" s="4"/>
      <c r="I13" s="4"/>
      <c r="J13" s="4">
        <f>'Forage, input data per ha'!J9*EF_diesel_CO2*Heating_value_diesel/'Forage, input data per ha'!C9</f>
        <v>1.3104747288322258E-2</v>
      </c>
      <c r="K13" s="4"/>
      <c r="L13" s="4">
        <f>'Forage, input data per ha'!K9*'Parameters, general'!$B$17/'Forage, input data per ha'!C9</f>
        <v>0</v>
      </c>
      <c r="M13" s="4"/>
      <c r="N13" s="271"/>
      <c r="O13" s="4"/>
      <c r="P13" s="4"/>
    </row>
    <row r="14" spans="1:19" x14ac:dyDescent="0.35">
      <c r="B14" t="s">
        <v>285</v>
      </c>
      <c r="C14" t="s">
        <v>87</v>
      </c>
      <c r="D14" t="s">
        <v>36</v>
      </c>
      <c r="E14" s="4">
        <f t="shared" si="1"/>
        <v>1.3388596486894555E-4</v>
      </c>
      <c r="F14" s="4">
        <f>'Forage, input data per ha'!E9*(Frac_BAT_FR*EF_min_fert_BAT_CH4+Frac_AN_FR*EF_min_fert_AN_CH4)/'Forage, input data per ha'!C9</f>
        <v>3.3081003708430824E-5</v>
      </c>
      <c r="G14" s="4">
        <f>EF_capital_goods_CH4</f>
        <v>9.5000000000000005E-5</v>
      </c>
      <c r="H14" s="4"/>
      <c r="I14" s="4"/>
      <c r="J14" s="4">
        <f>'Forage, input data per ha'!J9*EF_diesel_CH4*Heating_value_diesel/'Forage, input data per ha'!C9</f>
        <v>5.8049611605147208E-6</v>
      </c>
      <c r="K14" s="4"/>
      <c r="L14" s="4">
        <f>'Forage, input data per ha'!K9*'Parameters, general'!$C$17/'Forage, input data per ha'!C9</f>
        <v>0</v>
      </c>
      <c r="M14" s="4"/>
      <c r="N14" s="4"/>
      <c r="O14" s="4"/>
      <c r="P14" s="4"/>
    </row>
    <row r="15" spans="1:19" x14ac:dyDescent="0.35">
      <c r="B15" t="s">
        <v>285</v>
      </c>
      <c r="C15" t="s">
        <v>297</v>
      </c>
      <c r="D15" t="s">
        <v>36</v>
      </c>
      <c r="E15" s="4">
        <f t="shared" si="1"/>
        <v>0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19" x14ac:dyDescent="0.35">
      <c r="B16" t="s">
        <v>285</v>
      </c>
      <c r="C16" t="s">
        <v>89</v>
      </c>
      <c r="D16" t="s">
        <v>36</v>
      </c>
      <c r="E16" s="4">
        <f t="shared" si="1"/>
        <v>2.0524375665426878E-4</v>
      </c>
      <c r="F16" s="4">
        <f>'Forage, input data per ha'!E9*(Frac_BAT_FR*EF_min_fert_BAT_N2O+Frac_AN_FR*EF_min_fert_AN_N2O)/'Forage, input data per ha'!C9</f>
        <v>3.9622270994168309E-5</v>
      </c>
      <c r="G16" s="4">
        <f>EF_capital_goods_N2O</f>
        <v>1.1000000000000001E-6</v>
      </c>
      <c r="H16" s="4">
        <f>('Forage, input data per ha'!E9*'Parameters, country spec'!C79+'Forage, input data per ha'!H9*'Parameters, country spec'!C80)*44/28/'Forage, input data per ha'!C9</f>
        <v>1.492448690828462E-4</v>
      </c>
      <c r="I16" s="4">
        <f>H16*0.1</f>
        <v>1.4924486908284621E-5</v>
      </c>
      <c r="J16" s="4">
        <f>'Forage, input data per ha'!J9*EF_diesel_N2O*Heating_value_diesel/'Forage, input data per ha'!C9</f>
        <v>3.521296689696708E-7</v>
      </c>
      <c r="K16" s="4"/>
      <c r="L16" s="4">
        <f>'Forage, input data per ha'!K9*'Parameters, general'!$D$17/'Forage, input data per ha'!C9</f>
        <v>0</v>
      </c>
      <c r="M16" s="4"/>
      <c r="N16" s="4"/>
      <c r="O16" s="4"/>
      <c r="P16" s="4"/>
    </row>
    <row r="17" spans="1:19" ht="15" customHeight="1" x14ac:dyDescent="0.35">
      <c r="A17" s="152"/>
      <c r="B17" s="152" t="s">
        <v>285</v>
      </c>
      <c r="C17" s="152" t="s">
        <v>90</v>
      </c>
      <c r="D17" s="152" t="s">
        <v>36</v>
      </c>
      <c r="E17" s="338">
        <f>SUM(F17:P17)</f>
        <v>0.11815929104393069</v>
      </c>
      <c r="F17" s="338">
        <f>SUMPRODUCT(F13:F16,'Parameters, general'!$B$23:$B$26)</f>
        <v>2.9835890327817659E-2</v>
      </c>
      <c r="G17" s="338">
        <f>SUMPRODUCT(G13:G16,'Parameters, general'!$B$23:$B$26)</f>
        <v>3.01313E-2</v>
      </c>
      <c r="H17" s="338">
        <f>SUMPRODUCT(H13:H16,'Parameters, general'!$B$23:$B$26)</f>
        <v>4.0743849259617014E-2</v>
      </c>
      <c r="I17" s="338">
        <f>SUMPRODUCT(I13:I16,'Parameters, general'!$B$23:$B$26)</f>
        <v>4.0743849259617018E-3</v>
      </c>
      <c r="J17" s="338">
        <f>SUMPRODUCT(J13:J16,'Parameters, general'!$B$23:$B$26)</f>
        <v>1.3373866530534318E-2</v>
      </c>
      <c r="K17" s="338">
        <f>SUMPRODUCT(K13:K16,'Parameters, general'!$B$23:$B$26)</f>
        <v>0</v>
      </c>
      <c r="L17" s="338">
        <f>SUMPRODUCT(L13:L16,'Parameters, general'!$B$23:$B$26)</f>
        <v>0</v>
      </c>
      <c r="M17" s="338">
        <f>SUMPRODUCT(M13:M16,'Parameters, general'!$B$23:$B$26)</f>
        <v>0</v>
      </c>
      <c r="N17" s="338">
        <f>SUMPRODUCT(N13:N16,'Parameters, general'!$B$23:$B$26)</f>
        <v>0</v>
      </c>
      <c r="O17" s="338">
        <f>SUMPRODUCT(O13:O16,'Parameters, general'!$B$23:$B$26)</f>
        <v>0</v>
      </c>
      <c r="P17" s="338"/>
      <c r="R17" s="122"/>
      <c r="S17" s="6"/>
    </row>
    <row r="18" spans="1:19" x14ac:dyDescent="0.35">
      <c r="B18" t="s">
        <v>285</v>
      </c>
      <c r="C18" t="s">
        <v>86</v>
      </c>
      <c r="D18" t="s">
        <v>38</v>
      </c>
      <c r="E18" s="4">
        <f t="shared" ref="E18:E21" si="2">SUM(F18:P18)</f>
        <v>6.1295513674652385E-2</v>
      </c>
      <c r="F18" s="4">
        <f>'Forage, input data per ha'!E10*(Frac_BAT_DE*EF_min_fert_BAT_CO2+Frac_AN_DE*EF_min_fert_AN_CO2)/'Forage, input data per ha'!C10</f>
        <v>2.1132412362766816E-2</v>
      </c>
      <c r="G18" s="4">
        <f>EF_capital_goods_CO2</f>
        <v>2.7E-2</v>
      </c>
      <c r="H18" s="4"/>
      <c r="I18" s="4"/>
      <c r="J18" s="4">
        <f>'Forage, input data per ha'!J10*EF_diesel_CO2*Heating_value_diesel/'Forage, input data per ha'!C10</f>
        <v>1.3163101311885569E-2</v>
      </c>
      <c r="K18" s="4"/>
      <c r="L18" s="4">
        <f>'Forage, input data per ha'!K10*'Parameters, general'!$B$17/'Forage, input data per ha'!C10</f>
        <v>0</v>
      </c>
      <c r="M18" s="4"/>
      <c r="N18" s="4"/>
      <c r="O18" s="4"/>
      <c r="P18" s="4"/>
    </row>
    <row r="19" spans="1:19" x14ac:dyDescent="0.35">
      <c r="B19" t="s">
        <v>285</v>
      </c>
      <c r="C19" t="s">
        <v>87</v>
      </c>
      <c r="D19" t="s">
        <v>38</v>
      </c>
      <c r="E19" s="4">
        <f t="shared" si="2"/>
        <v>1.3959717150898213E-4</v>
      </c>
      <c r="F19" s="4">
        <f>'Forage, input data per ha'!E10*(Frac_BAT_DE*EF_min_fert_BAT_CH4+Frac_AN_DE*EF_min_fert_AN_CH4)/'Forage, input data per ha'!C10</f>
        <v>3.8766361483709314E-5</v>
      </c>
      <c r="G19" s="4">
        <f>EF_capital_goods_CH4</f>
        <v>9.5000000000000005E-5</v>
      </c>
      <c r="H19" s="4"/>
      <c r="I19" s="4"/>
      <c r="J19" s="4">
        <f>'Forage, input data per ha'!J10*EF_diesel_CH4*Heating_value_diesel/'Forage, input data per ha'!C10</f>
        <v>5.8308100252728102E-6</v>
      </c>
      <c r="K19" s="4"/>
      <c r="L19" s="4">
        <f>'Forage, input data per ha'!K10*'Parameters, general'!$C$17/'Forage, input data per ha'!C10</f>
        <v>0</v>
      </c>
      <c r="M19" s="4"/>
      <c r="N19" s="4"/>
      <c r="O19" s="4"/>
      <c r="P19" s="4"/>
    </row>
    <row r="20" spans="1:19" x14ac:dyDescent="0.35">
      <c r="B20" t="s">
        <v>285</v>
      </c>
      <c r="C20" t="s">
        <v>297</v>
      </c>
      <c r="D20" t="s">
        <v>38</v>
      </c>
      <c r="E20" s="4">
        <f t="shared" si="2"/>
        <v>0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spans="1:19" x14ac:dyDescent="0.35">
      <c r="B21" t="s">
        <v>285</v>
      </c>
      <c r="C21" t="s">
        <v>89</v>
      </c>
      <c r="D21" t="s">
        <v>38</v>
      </c>
      <c r="E21" s="4">
        <f t="shared" si="2"/>
        <v>2.348214170658229E-4</v>
      </c>
      <c r="F21" s="4">
        <f>'Forage, input data per ha'!E10*(Frac_BAT_DE*EF_min_fert_BAT_N2O+Frac_AN_DE*EF_min_fert_AN_N2O)/'Forage, input data per ha'!C10</f>
        <v>4.6431822132832091E-5</v>
      </c>
      <c r="G21" s="4">
        <f>EF_capital_goods_N2O</f>
        <v>1.1000000000000001E-6</v>
      </c>
      <c r="H21" s="4">
        <f>('Forage, input data per ha'!E10*'Parameters, country spec'!D79+'Forage, input data per ha'!H10*'Parameters, country spec'!D80)*44/28/'Forage, input data per ha'!C10</f>
        <v>1.6994172478968788E-4</v>
      </c>
      <c r="I21" s="4">
        <f>H21*0.1</f>
        <v>1.6994172478968787E-5</v>
      </c>
      <c r="J21" s="4">
        <f>'Forage, input data per ha'!J10*EF_diesel_N2O*Heating_value_diesel/'Forage, input data per ha'!C10</f>
        <v>3.5369766433412225E-7</v>
      </c>
      <c r="K21" s="4"/>
      <c r="L21" s="4">
        <f>'Forage, input data per ha'!K10*'Parameters, general'!$D$17/'Forage, input data per ha'!C10</f>
        <v>0</v>
      </c>
      <c r="M21" s="4"/>
      <c r="N21" s="4"/>
      <c r="O21" s="4"/>
      <c r="P21" s="4"/>
    </row>
    <row r="22" spans="1:19" ht="15" customHeight="1" x14ac:dyDescent="0.35">
      <c r="A22" s="152"/>
      <c r="B22" s="152" t="s">
        <v>285</v>
      </c>
      <c r="C22" s="152" t="s">
        <v>90</v>
      </c>
      <c r="D22" s="152" t="s">
        <v>38</v>
      </c>
      <c r="E22" s="338">
        <f>SUM(F22:P22)</f>
        <v>0.12956175624458971</v>
      </c>
      <c r="F22" s="338">
        <f>SUMPRODUCT(F18:F21,'Parameters, general'!$B$23:$B$26)</f>
        <v>3.4963537377244516E-2</v>
      </c>
      <c r="G22" s="338">
        <f>SUMPRODUCT(G18:G21,'Parameters, general'!$B$23:$B$26)</f>
        <v>3.01313E-2</v>
      </c>
      <c r="H22" s="338">
        <f>SUMPRODUCT(H18:H21,'Parameters, general'!$B$23:$B$26)</f>
        <v>4.6394090867584795E-2</v>
      </c>
      <c r="I22" s="338">
        <f>SUMPRODUCT(I18:I21,'Parameters, general'!$B$23:$B$26)</f>
        <v>4.6394090867584786E-3</v>
      </c>
      <c r="J22" s="338">
        <f>SUMPRODUCT(J18:J21,'Parameters, general'!$B$23:$B$26)</f>
        <v>1.3433418913001914E-2</v>
      </c>
      <c r="K22" s="338">
        <f>SUMPRODUCT(K18:K21,'Parameters, general'!$B$23:$B$26)</f>
        <v>0</v>
      </c>
      <c r="L22" s="338">
        <f>SUMPRODUCT(L18:L21,'Parameters, general'!$B$23:$B$26)</f>
        <v>0</v>
      </c>
      <c r="M22" s="338">
        <f>SUMPRODUCT(M18:M21,'Parameters, general'!$B$23:$B$26)</f>
        <v>0</v>
      </c>
      <c r="N22" s="338">
        <f>SUMPRODUCT(N18:N21,'Parameters, general'!$B$23:$B$26)</f>
        <v>0</v>
      </c>
      <c r="O22" s="338">
        <f>SUMPRODUCT(O18:O21,'Parameters, general'!$B$23:$B$26)</f>
        <v>0</v>
      </c>
      <c r="P22" s="338"/>
      <c r="R22" s="122"/>
      <c r="S22" s="6"/>
    </row>
    <row r="23" spans="1:19" x14ac:dyDescent="0.35">
      <c r="B23" t="s">
        <v>285</v>
      </c>
      <c r="C23" t="s">
        <v>86</v>
      </c>
      <c r="D23" t="s">
        <v>40</v>
      </c>
      <c r="E23" s="4">
        <f t="shared" ref="E23:E26" si="3">SUM(F23:P23)</f>
        <v>8.1168082825064047E-2</v>
      </c>
      <c r="F23" s="4">
        <f>'Forage, input data per ha'!E11*(Frac_BAT_GR*EF_min_fert_BAT_CO2+Frac_AN_GR*EF_min_fert_AN_CO2)/'Forage, input data per ha'!C11</f>
        <v>2.175109426324023E-2</v>
      </c>
      <c r="G23" s="4">
        <f>EF_capital_goods_CO2</f>
        <v>2.7E-2</v>
      </c>
      <c r="H23" s="4"/>
      <c r="I23" s="4"/>
      <c r="J23" s="4">
        <f>'Forage, input data per ha'!J11*EF_diesel_CO2*Heating_value_diesel/'Forage, input data per ha'!C11</f>
        <v>3.241698856182381E-2</v>
      </c>
      <c r="K23" s="4"/>
      <c r="L23" s="4">
        <f>'Forage, input data per ha'!K11*'Parameters, general'!$B$17/'Forage, input data per ha'!C11</f>
        <v>0</v>
      </c>
      <c r="M23" s="4"/>
      <c r="N23" s="271"/>
      <c r="O23" s="4"/>
      <c r="P23" s="4"/>
    </row>
    <row r="24" spans="1:19" x14ac:dyDescent="0.35">
      <c r="B24" t="s">
        <v>285</v>
      </c>
      <c r="C24" t="s">
        <v>87</v>
      </c>
      <c r="D24" t="s">
        <v>40</v>
      </c>
      <c r="E24" s="4">
        <f t="shared" si="3"/>
        <v>1.4926093556085892E-4</v>
      </c>
      <c r="F24" s="4">
        <f>'Forage, input data per ha'!E11*(Frac_BAT_GR*EF_min_fert_BAT_CH4+Frac_AN_GR*EF_min_fert_AN_CH4)/'Forage, input data per ha'!C11</f>
        <v>3.9901302719260733E-5</v>
      </c>
      <c r="G24" s="4">
        <f>EF_capital_goods_CH4</f>
        <v>9.5000000000000005E-5</v>
      </c>
      <c r="H24" s="4"/>
      <c r="I24" s="4"/>
      <c r="J24" s="4">
        <f>'Forage, input data per ha'!J11*EF_diesel_CH4*Heating_value_diesel/'Forage, input data per ha'!C11</f>
        <v>1.4359632841598194E-5</v>
      </c>
      <c r="K24" s="4"/>
      <c r="L24" s="4">
        <f>'Forage, input data per ha'!K11*'Parameters, general'!$C$17/'Forage, input data per ha'!C11</f>
        <v>0</v>
      </c>
      <c r="M24" s="4"/>
      <c r="N24" s="4"/>
      <c r="O24" s="4"/>
      <c r="P24" s="4"/>
    </row>
    <row r="25" spans="1:19" x14ac:dyDescent="0.35">
      <c r="B25" t="s">
        <v>285</v>
      </c>
      <c r="C25" t="s">
        <v>297</v>
      </c>
      <c r="D25" t="s">
        <v>40</v>
      </c>
      <c r="E25" s="4">
        <f t="shared" si="3"/>
        <v>0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9" x14ac:dyDescent="0.35">
      <c r="B26" t="s">
        <v>285</v>
      </c>
      <c r="C26" t="s">
        <v>89</v>
      </c>
      <c r="D26" t="s">
        <v>40</v>
      </c>
      <c r="E26" s="4">
        <f t="shared" si="3"/>
        <v>2.412429127614697E-4</v>
      </c>
      <c r="F26" s="4">
        <f>'Forage, input data per ha'!E11*(Frac_BAT_GR*EF_min_fert_BAT_N2O+Frac_AN_GR*EF_min_fert_AN_N2O)/'Forage, input data per ha'!C11</f>
        <v>4.7791180802654265E-5</v>
      </c>
      <c r="G26" s="4">
        <f>EF_capital_goods_N2O</f>
        <v>1.1000000000000001E-6</v>
      </c>
      <c r="H26" s="4">
        <f>('Forage, input data per ha'!E11*'Parameters, country spec'!E79+'Forage, input data per ha'!H11*'Parameters, country spec'!E80)*44/28/'Forage, input data per ha'!C11</f>
        <v>1.7407334076117382E-4</v>
      </c>
      <c r="I26" s="4">
        <f>H26*0.1</f>
        <v>1.7407334076117384E-5</v>
      </c>
      <c r="J26" s="4">
        <f>'Forage, input data per ha'!J11*EF_diesel_N2O*Heating_value_diesel/'Forage, input data per ha'!C11</f>
        <v>8.7105712152424362E-7</v>
      </c>
      <c r="K26" s="4"/>
      <c r="L26" s="4">
        <f>'Forage, input data per ha'!K11*'Parameters, general'!$D$17/'Forage, input data per ha'!C11</f>
        <v>0</v>
      </c>
      <c r="M26" s="4"/>
      <c r="N26" s="4"/>
      <c r="O26" s="4"/>
      <c r="P26" s="4"/>
    </row>
    <row r="27" spans="1:19" ht="15" customHeight="1" x14ac:dyDescent="0.35">
      <c r="A27" s="152"/>
      <c r="B27" s="152" t="s">
        <v>285</v>
      </c>
      <c r="C27" s="152" t="s">
        <v>90</v>
      </c>
      <c r="D27" s="152" t="s">
        <v>40</v>
      </c>
      <c r="E27" s="338">
        <f>SUM(F27:P27)</f>
        <v>0.15147537388865887</v>
      </c>
      <c r="F27" s="338">
        <f>SUMPRODUCT(F23:F26,'Parameters, general'!$B$23:$B$26)</f>
        <v>3.5987145443398816E-2</v>
      </c>
      <c r="G27" s="338">
        <f>SUMPRODUCT(G23:G26,'Parameters, general'!$B$23:$B$26)</f>
        <v>3.01313E-2</v>
      </c>
      <c r="H27" s="338">
        <f>SUMPRODUCT(H23:H26,'Parameters, general'!$B$23:$B$26)</f>
        <v>4.7522022027800453E-2</v>
      </c>
      <c r="I27" s="338">
        <f>SUMPRODUCT(I23:I26,'Parameters, general'!$B$23:$B$26)</f>
        <v>4.7522022027800459E-3</v>
      </c>
      <c r="J27" s="338">
        <f>SUMPRODUCT(J23:J26,'Parameters, general'!$B$23:$B$26)</f>
        <v>3.3082704214679549E-2</v>
      </c>
      <c r="K27" s="338">
        <f>SUMPRODUCT(K23:K26,'Parameters, general'!$B$23:$B$26)</f>
        <v>0</v>
      </c>
      <c r="L27" s="338">
        <f>SUMPRODUCT(L23:L26,'Parameters, general'!$B$23:$B$26)</f>
        <v>0</v>
      </c>
      <c r="M27" s="338">
        <f>SUMPRODUCT(M23:M26,'Parameters, general'!$B$23:$B$26)</f>
        <v>0</v>
      </c>
      <c r="N27" s="338">
        <f>SUMPRODUCT(N23:N26,'Parameters, general'!$B$23:$B$26)</f>
        <v>0</v>
      </c>
      <c r="O27" s="338">
        <f>SUMPRODUCT(O23:O26,'Parameters, general'!$B$23:$B$26)</f>
        <v>0</v>
      </c>
      <c r="P27" s="338"/>
      <c r="R27" s="122"/>
      <c r="S27" s="6"/>
    </row>
    <row r="28" spans="1:19" x14ac:dyDescent="0.35">
      <c r="B28" t="s">
        <v>285</v>
      </c>
      <c r="C28" t="s">
        <v>86</v>
      </c>
      <c r="D28" t="s">
        <v>91</v>
      </c>
      <c r="E28" s="4">
        <f t="shared" ref="E28:E31" si="4">SUM(F28:P28)</f>
        <v>9.744927680671181E-2</v>
      </c>
      <c r="F28" s="4">
        <f>'Forage, input data per ha'!E12*(Frac_BAT_HU*EF_min_fert_BAT_CO2+Frac_AN_HU*EF_min_fert_AN_CO2)/'Forage, input data per ha'!C12</f>
        <v>2.1751094263240234E-2</v>
      </c>
      <c r="G28" s="4">
        <f>EF_capital_goods_CO2</f>
        <v>2.7E-2</v>
      </c>
      <c r="H28" s="4"/>
      <c r="I28" s="4"/>
      <c r="J28" s="4">
        <f>'Forage, input data per ha'!J12*EF_diesel_CO2*Heating_value_diesel/'Forage, input data per ha'!C12</f>
        <v>4.869818254347158E-2</v>
      </c>
      <c r="K28" s="4"/>
      <c r="L28" s="4">
        <f>'Forage, input data per ha'!K12*'Parameters, general'!$B$17/'Forage, input data per ha'!C12</f>
        <v>0</v>
      </c>
      <c r="M28" s="4"/>
      <c r="N28" s="4"/>
      <c r="O28" s="4"/>
      <c r="P28" s="4"/>
    </row>
    <row r="29" spans="1:19" x14ac:dyDescent="0.35">
      <c r="B29" t="s">
        <v>285</v>
      </c>
      <c r="C29" t="s">
        <v>87</v>
      </c>
      <c r="D29" t="s">
        <v>91</v>
      </c>
      <c r="E29" s="4">
        <f t="shared" si="4"/>
        <v>1.5647295549767155E-4</v>
      </c>
      <c r="F29" s="4">
        <f>'Forage, input data per ha'!E12*(Frac_BAT_HU*EF_min_fert_BAT_CH4+Frac_AN_HU*EF_min_fert_AN_CH4)/'Forage, input data per ha'!C12</f>
        <v>3.9901302719260733E-5</v>
      </c>
      <c r="G29" s="4">
        <f>EF_capital_goods_CH4</f>
        <v>9.5000000000000005E-5</v>
      </c>
      <c r="H29" s="4"/>
      <c r="I29" s="4"/>
      <c r="J29" s="4">
        <f>'Forage, input data per ha'!J12*EF_diesel_CH4*Heating_value_diesel/'Forage, input data per ha'!C12</f>
        <v>2.1571652778410818E-5</v>
      </c>
      <c r="K29" s="4"/>
      <c r="L29" s="4">
        <f>'Forage, input data per ha'!K12*'Parameters, general'!$C$17/'Forage, input data per ha'!C12</f>
        <v>0</v>
      </c>
      <c r="M29" s="4"/>
      <c r="N29" s="4"/>
      <c r="O29" s="4"/>
      <c r="P29" s="4"/>
    </row>
    <row r="30" spans="1:19" x14ac:dyDescent="0.35">
      <c r="B30" t="s">
        <v>285</v>
      </c>
      <c r="C30" t="s">
        <v>297</v>
      </c>
      <c r="D30" t="s">
        <v>91</v>
      </c>
      <c r="E30" s="4">
        <f t="shared" si="4"/>
        <v>0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 spans="1:19" x14ac:dyDescent="0.35">
      <c r="B31" t="s">
        <v>285</v>
      </c>
      <c r="C31" t="s">
        <v>89</v>
      </c>
      <c r="D31" t="s">
        <v>91</v>
      </c>
      <c r="E31" s="4">
        <f t="shared" si="4"/>
        <v>2.4168039479153511E-4</v>
      </c>
      <c r="F31" s="4">
        <f>'Forage, input data per ha'!E12*(Frac_BAT_HU*EF_min_fert_BAT_N2O+Frac_AN_HU*EF_min_fert_AN_N2O)/'Forage, input data per ha'!C12</f>
        <v>4.7791180802654265E-5</v>
      </c>
      <c r="G31" s="4">
        <f>EF_capital_goods_N2O</f>
        <v>1.1000000000000001E-6</v>
      </c>
      <c r="H31" s="4">
        <f>('Forage, input data per ha'!E12*'Parameters, country spec'!F79+'Forage, input data per ha'!H12*'Parameters, country spec'!F80)*44/28/'Forage, input data per ha'!C12</f>
        <v>1.7407334076117385E-4</v>
      </c>
      <c r="I31" s="4">
        <f>H31*0.1</f>
        <v>1.7407334076117384E-5</v>
      </c>
      <c r="J31" s="4">
        <f>'Forage, input data per ha'!J12*EF_diesel_N2O*Heating_value_diesel/'Forage, input data per ha'!C12</f>
        <v>1.3085391515895945E-6</v>
      </c>
      <c r="K31" s="4"/>
      <c r="L31" s="4">
        <f>'Forage, input data per ha'!K12*'Parameters, general'!$D$17/'Forage, input data per ha'!C12</f>
        <v>0</v>
      </c>
      <c r="M31" s="4"/>
      <c r="N31" s="4"/>
      <c r="O31" s="4"/>
      <c r="P31" s="4"/>
    </row>
    <row r="32" spans="1:19" ht="15" customHeight="1" x14ac:dyDescent="0.35">
      <c r="A32" s="152"/>
      <c r="B32" s="152" t="s">
        <v>285</v>
      </c>
      <c r="C32" s="152" t="s">
        <v>90</v>
      </c>
      <c r="D32" s="152" t="s">
        <v>91</v>
      </c>
      <c r="E32" s="338">
        <f>SUM(F32:P32)</f>
        <v>0.16809091865863149</v>
      </c>
      <c r="F32" s="338">
        <f>SUMPRODUCT(F28:F31,'Parameters, general'!$B$23:$B$26)</f>
        <v>3.5987145443398816E-2</v>
      </c>
      <c r="G32" s="338">
        <f>SUMPRODUCT(G28:G31,'Parameters, general'!$B$23:$B$26)</f>
        <v>3.01313E-2</v>
      </c>
      <c r="H32" s="338">
        <f>SUMPRODUCT(H28:H31,'Parameters, general'!$B$23:$B$26)</f>
        <v>4.752202202780046E-2</v>
      </c>
      <c r="I32" s="338">
        <f>SUMPRODUCT(I28:I31,'Parameters, general'!$B$23:$B$26)</f>
        <v>4.7522022027800459E-3</v>
      </c>
      <c r="J32" s="338">
        <f>SUMPRODUCT(J28:J31,'Parameters, general'!$B$23:$B$26)</f>
        <v>4.969824898465218E-2</v>
      </c>
      <c r="K32" s="338">
        <f>SUMPRODUCT(K28:K31,'Parameters, general'!$B$23:$B$26)</f>
        <v>0</v>
      </c>
      <c r="L32" s="338">
        <f>SUMPRODUCT(L28:L31,'Parameters, general'!$B$23:$B$26)</f>
        <v>0</v>
      </c>
      <c r="M32" s="338">
        <f>SUMPRODUCT(M28:M31,'Parameters, general'!$B$23:$B$26)</f>
        <v>0</v>
      </c>
      <c r="N32" s="338">
        <f>SUMPRODUCT(N28:N31,'Parameters, general'!$B$23:$B$26)</f>
        <v>0</v>
      </c>
      <c r="O32" s="338">
        <f>SUMPRODUCT(O28:O31,'Parameters, general'!$B$23:$B$26)</f>
        <v>0</v>
      </c>
      <c r="P32" s="338"/>
      <c r="R32" s="122"/>
      <c r="S32" s="6"/>
    </row>
    <row r="33" spans="1:19" x14ac:dyDescent="0.35">
      <c r="B33" t="s">
        <v>285</v>
      </c>
      <c r="C33" t="s">
        <v>86</v>
      </c>
      <c r="D33" t="s">
        <v>44</v>
      </c>
      <c r="E33" s="4">
        <f t="shared" ref="E33:E36" si="5">SUM(F33:P33)</f>
        <v>6.3462604134633421E-2</v>
      </c>
      <c r="F33" s="4">
        <f>'Forage, input data per ha'!E13*(Frac_BAT_IE*EF_min_fert_BAT_CO2+Frac_AN_IE*EF_min_fert_AN_CO2)/'Forage, input data per ha'!C13</f>
        <v>2.1751094263240234E-2</v>
      </c>
      <c r="G33" s="4">
        <f>EF_capital_goods_CO2</f>
        <v>2.7E-2</v>
      </c>
      <c r="H33" s="4"/>
      <c r="I33" s="4"/>
      <c r="J33" s="4">
        <f>'Forage, input data per ha'!J13*EF_diesel_CO2*Heating_value_diesel/'Forage, input data per ha'!C13</f>
        <v>1.4711509871393188E-2</v>
      </c>
      <c r="K33" s="4"/>
      <c r="L33" s="4">
        <f>'Forage, input data per ha'!K13*'Parameters, general'!$B$17/'Forage, input data per ha'!C13</f>
        <v>0</v>
      </c>
      <c r="M33" s="4"/>
      <c r="N33" s="271"/>
      <c r="O33" s="4"/>
      <c r="P33" s="4"/>
    </row>
    <row r="34" spans="1:19" x14ac:dyDescent="0.35">
      <c r="B34" t="s">
        <v>285</v>
      </c>
      <c r="C34" t="s">
        <v>87</v>
      </c>
      <c r="D34" t="s">
        <v>44</v>
      </c>
      <c r="E34" s="4">
        <f t="shared" si="5"/>
        <v>1.4141800552451564E-4</v>
      </c>
      <c r="F34" s="4">
        <f>'Forage, input data per ha'!E13*(Frac_BAT_IE*EF_min_fert_BAT_CH4+Frac_AN_IE*EF_min_fert_AN_CH4)/'Forage, input data per ha'!C13</f>
        <v>3.9901302719260733E-5</v>
      </c>
      <c r="G34" s="4">
        <f>EF_capital_goods_CH4</f>
        <v>9.5000000000000005E-5</v>
      </c>
      <c r="H34" s="4"/>
      <c r="I34" s="4"/>
      <c r="J34" s="4">
        <f>'Forage, input data per ha'!J13*EF_diesel_CH4*Heating_value_diesel/'Forage, input data per ha'!C13</f>
        <v>6.5167028052549126E-6</v>
      </c>
      <c r="K34" s="4"/>
      <c r="L34" s="4">
        <f>'Forage, input data per ha'!K13*'Parameters, general'!$C$17/'Forage, input data per ha'!C13</f>
        <v>0</v>
      </c>
      <c r="M34" s="4"/>
      <c r="N34" s="4"/>
      <c r="O34" s="4"/>
      <c r="P34" s="4"/>
    </row>
    <row r="35" spans="1:19" x14ac:dyDescent="0.35">
      <c r="B35" t="s">
        <v>285</v>
      </c>
      <c r="C35" t="s">
        <v>297</v>
      </c>
      <c r="D35" t="s">
        <v>44</v>
      </c>
      <c r="E35" s="4">
        <f t="shared" si="5"/>
        <v>0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</row>
    <row r="36" spans="1:19" x14ac:dyDescent="0.35">
      <c r="B36" t="s">
        <v>285</v>
      </c>
      <c r="C36" t="s">
        <v>89</v>
      </c>
      <c r="D36" t="s">
        <v>44</v>
      </c>
      <c r="E36" s="4">
        <f t="shared" si="5"/>
        <v>2.4076715964597344E-4</v>
      </c>
      <c r="F36" s="4">
        <f>'Forage, input data per ha'!E13*(Frac_BAT_IE*EF_min_fert_BAT_N2O+Frac_AN_IE*EF_min_fert_AN_N2O)/'Forage, input data per ha'!C13</f>
        <v>4.7791180802654258E-5</v>
      </c>
      <c r="G36" s="4">
        <f>EF_capital_goods_N2O</f>
        <v>1.1000000000000001E-6</v>
      </c>
      <c r="H36" s="4">
        <f>('Forage, input data per ha'!E13*'Parameters, country spec'!G79+'Forage, input data per ha'!H13*'Parameters, country spec'!G80)*44/28/'Forage, input data per ha'!C13</f>
        <v>1.7407334076117385E-4</v>
      </c>
      <c r="I36" s="4">
        <f>H36*0.1</f>
        <v>1.7407334076117384E-5</v>
      </c>
      <c r="J36" s="4">
        <f>'Forage, input data per ha'!J13*EF_diesel_N2O*Heating_value_diesel/'Forage, input data per ha'!C13</f>
        <v>3.9530400602795185E-7</v>
      </c>
      <c r="K36" s="4"/>
      <c r="L36" s="4">
        <f>'Forage, input data per ha'!K13*'Parameters, general'!$D$17/'Forage, input data per ha'!C13</f>
        <v>0</v>
      </c>
      <c r="M36" s="4"/>
      <c r="N36" s="4"/>
      <c r="O36" s="4"/>
      <c r="P36" s="4"/>
    </row>
    <row r="37" spans="1:19" ht="15" customHeight="1" x14ac:dyDescent="0.35">
      <c r="A37" s="152"/>
      <c r="B37" s="152" t="s">
        <v>285</v>
      </c>
      <c r="C37" s="152" t="s">
        <v>90</v>
      </c>
      <c r="D37" s="152" t="s">
        <v>44</v>
      </c>
      <c r="E37" s="338">
        <f>SUM(F37:P37)</f>
        <v>0.13340629528261472</v>
      </c>
      <c r="F37" s="338">
        <f>SUMPRODUCT(F33:F36,'Parameters, general'!$B$23:$B$26)</f>
        <v>3.5987145443398816E-2</v>
      </c>
      <c r="G37" s="338">
        <f>SUMPRODUCT(G33:G36,'Parameters, general'!$B$23:$B$26)</f>
        <v>3.01313E-2</v>
      </c>
      <c r="H37" s="338">
        <f>SUMPRODUCT(H33:H36,'Parameters, general'!$B$23:$B$26)</f>
        <v>4.752202202780046E-2</v>
      </c>
      <c r="I37" s="338">
        <f>SUMPRODUCT(I33:I36,'Parameters, general'!$B$23:$B$26)</f>
        <v>4.7522022027800459E-3</v>
      </c>
      <c r="J37" s="338">
        <f>SUMPRODUCT(J33:J36,'Parameters, general'!$B$23:$B$26)</f>
        <v>1.5013625608635414E-2</v>
      </c>
      <c r="K37" s="338">
        <f>SUMPRODUCT(K33:K36,'Parameters, general'!$B$23:$B$26)</f>
        <v>0</v>
      </c>
      <c r="L37" s="338">
        <f>SUMPRODUCT(L33:L36,'Parameters, general'!$B$23:$B$26)</f>
        <v>0</v>
      </c>
      <c r="M37" s="338">
        <f>SUMPRODUCT(M33:M36,'Parameters, general'!$B$23:$B$26)</f>
        <v>0</v>
      </c>
      <c r="N37" s="338">
        <f>SUMPRODUCT(N33:N36,'Parameters, general'!$B$23:$B$26)</f>
        <v>0</v>
      </c>
      <c r="O37" s="338">
        <f>SUMPRODUCT(O33:O36,'Parameters, general'!$B$23:$B$26)</f>
        <v>0</v>
      </c>
      <c r="P37" s="338"/>
      <c r="R37" s="122"/>
      <c r="S37" s="6"/>
    </row>
    <row r="38" spans="1:19" x14ac:dyDescent="0.35">
      <c r="B38" t="s">
        <v>285</v>
      </c>
      <c r="C38" t="s">
        <v>86</v>
      </c>
      <c r="D38" t="s">
        <v>46</v>
      </c>
      <c r="E38" s="4">
        <f t="shared" ref="E38:E41" si="6">SUM(F38:P38)</f>
        <v>6.5758588190639095E-2</v>
      </c>
      <c r="F38" s="4">
        <f>'Forage, input data per ha'!E14*(Frac_BAT_IT*EF_min_fert_BAT_CO2+Frac_AN_IT*EF_min_fert_AN_CO2)/'Forage, input data per ha'!C14</f>
        <v>2.6632985559113014E-2</v>
      </c>
      <c r="G38" s="4">
        <f>EF_capital_goods_CO2</f>
        <v>2.7E-2</v>
      </c>
      <c r="H38" s="4"/>
      <c r="I38" s="4"/>
      <c r="J38" s="4">
        <f>'Forage, input data per ha'!J14*EF_diesel_CO2*Heating_value_diesel/'Forage, input data per ha'!C14</f>
        <v>1.2125602631526086E-2</v>
      </c>
      <c r="K38" s="4"/>
      <c r="L38" s="4">
        <f>'Forage, input data per ha'!K14*'Parameters, general'!$B$17/'Forage, input data per ha'!C14</f>
        <v>0</v>
      </c>
      <c r="M38" s="4"/>
      <c r="N38" s="4"/>
      <c r="O38" s="4"/>
      <c r="P38" s="4"/>
    </row>
    <row r="39" spans="1:19" x14ac:dyDescent="0.35">
      <c r="B39" t="s">
        <v>285</v>
      </c>
      <c r="C39" t="s">
        <v>87</v>
      </c>
      <c r="D39" t="s">
        <v>46</v>
      </c>
      <c r="E39" s="4">
        <f t="shared" si="6"/>
        <v>1.4922812306244335E-4</v>
      </c>
      <c r="F39" s="4">
        <f>'Forage, input data per ha'!E14*(Frac_BAT_IT*EF_min_fert_BAT_CH4+Frac_AN_IT*EF_min_fert_AN_CH4)/'Forage, input data per ha'!C14</f>
        <v>4.8856889968420392E-5</v>
      </c>
      <c r="G39" s="4">
        <f>EF_capital_goods_CH4</f>
        <v>9.5000000000000005E-5</v>
      </c>
      <c r="H39" s="4"/>
      <c r="I39" s="4"/>
      <c r="J39" s="4">
        <f>'Forage, input data per ha'!J14*EF_diesel_CH4*Heating_value_diesel/'Forage, input data per ha'!C14</f>
        <v>5.371233094022949E-6</v>
      </c>
      <c r="K39" s="4"/>
      <c r="L39" s="4">
        <f>'Forage, input data per ha'!K14*'Parameters, general'!$C$17/'Forage, input data per ha'!C14</f>
        <v>0</v>
      </c>
      <c r="M39" s="4"/>
      <c r="N39" s="4"/>
      <c r="O39" s="4"/>
      <c r="P39" s="4"/>
    </row>
    <row r="40" spans="1:19" x14ac:dyDescent="0.35">
      <c r="B40" t="s">
        <v>285</v>
      </c>
      <c r="C40" t="s">
        <v>297</v>
      </c>
      <c r="D40" t="s">
        <v>46</v>
      </c>
      <c r="E40" s="4">
        <f t="shared" si="6"/>
        <v>0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</row>
    <row r="41" spans="1:19" x14ac:dyDescent="0.35">
      <c r="B41" t="s">
        <v>285</v>
      </c>
      <c r="C41" t="s">
        <v>89</v>
      </c>
      <c r="D41" t="s">
        <v>46</v>
      </c>
      <c r="E41" s="4">
        <f t="shared" si="6"/>
        <v>2.8728599685336193E-4</v>
      </c>
      <c r="F41" s="4">
        <f>'Forage, input data per ha'!E14*(Frac_BAT_IT*EF_min_fert_BAT_N2O+Frac_AN_IT*EF_min_fert_AN_N2O)/'Forage, input data per ha'!C14</f>
        <v>5.8517599747666185E-5</v>
      </c>
      <c r="G41" s="4">
        <f>EF_capital_goods_N2O</f>
        <v>1.1000000000000001E-6</v>
      </c>
      <c r="H41" s="4">
        <f>('Forage, input data per ha'!E14*'Parameters, country spec'!H79+'Forage, input data per ha'!H14*'Parameters, country spec'!H80)*44/28/'Forage, input data per ha'!C14</f>
        <v>2.0667507039582464E-4</v>
      </c>
      <c r="I41" s="4">
        <f>H41*0.1</f>
        <v>2.0667507039582464E-5</v>
      </c>
      <c r="J41" s="4">
        <f>'Forage, input data per ha'!J14*EF_diesel_N2O*Heating_value_diesel/'Forage, input data per ha'!C14</f>
        <v>3.2581967028863559E-7</v>
      </c>
      <c r="K41" s="4"/>
      <c r="L41" s="4">
        <f>'Forage, input data per ha'!K14*'Parameters, general'!$D$17/'Forage, input data per ha'!C14</f>
        <v>0</v>
      </c>
      <c r="M41" s="4"/>
      <c r="N41" s="4"/>
      <c r="O41" s="4"/>
      <c r="P41" s="4"/>
    </row>
    <row r="42" spans="1:19" ht="15" customHeight="1" x14ac:dyDescent="0.35">
      <c r="A42" s="152"/>
      <c r="B42" s="152" t="s">
        <v>285</v>
      </c>
      <c r="C42" s="152" t="s">
        <v>90</v>
      </c>
      <c r="D42" s="152" t="s">
        <v>46</v>
      </c>
      <c r="E42" s="338">
        <f>SUM(F42:P42)</f>
        <v>0.14863466339886772</v>
      </c>
      <c r="F42" s="338">
        <f>SUMPRODUCT(F38:F41,'Parameters, general'!$B$23:$B$26)</f>
        <v>4.4064225611284813E-2</v>
      </c>
      <c r="G42" s="338">
        <f>SUMPRODUCT(G38:G41,'Parameters, general'!$B$23:$B$26)</f>
        <v>3.01313E-2</v>
      </c>
      <c r="H42" s="338">
        <f>SUMPRODUCT(H38:H41,'Parameters, general'!$B$23:$B$26)</f>
        <v>5.6422294218060123E-2</v>
      </c>
      <c r="I42" s="338">
        <f>SUMPRODUCT(I38:I41,'Parameters, general'!$B$23:$B$26)</f>
        <v>5.6422294218060123E-3</v>
      </c>
      <c r="J42" s="338">
        <f>SUMPRODUCT(J38:J41,'Parameters, general'!$B$23:$B$26)</f>
        <v>1.2374614147716767E-2</v>
      </c>
      <c r="K42" s="338">
        <f>SUMPRODUCT(K38:K41,'Parameters, general'!$B$23:$B$26)</f>
        <v>0</v>
      </c>
      <c r="L42" s="338">
        <f>SUMPRODUCT(L38:L41,'Parameters, general'!$B$23:$B$26)</f>
        <v>0</v>
      </c>
      <c r="M42" s="338">
        <f>SUMPRODUCT(M38:M41,'Parameters, general'!$B$23:$B$26)</f>
        <v>0</v>
      </c>
      <c r="N42" s="338">
        <f>SUMPRODUCT(N38:N41,'Parameters, general'!$B$23:$B$26)</f>
        <v>0</v>
      </c>
      <c r="O42" s="338">
        <f>SUMPRODUCT(O38:O41,'Parameters, general'!$B$23:$B$26)</f>
        <v>0</v>
      </c>
      <c r="P42" s="338"/>
      <c r="R42" s="122"/>
      <c r="S42" s="6"/>
    </row>
    <row r="43" spans="1:19" x14ac:dyDescent="0.35">
      <c r="B43" t="s">
        <v>285</v>
      </c>
      <c r="C43" t="s">
        <v>86</v>
      </c>
      <c r="D43" t="s">
        <v>48</v>
      </c>
      <c r="E43" s="4">
        <f t="shared" ref="E43:E46" si="7">SUM(F43:P43)</f>
        <v>0.14480219901619124</v>
      </c>
      <c r="F43" s="4">
        <f>'Forage, input data per ha'!E15*(Frac_BAT_NL*EF_min_fert_BAT_CO2+Frac_AN_NL*EF_min_fert_AN_CO2)/'Forage, input data per ha'!C15</f>
        <v>9.7200179188847394E-2</v>
      </c>
      <c r="G43" s="4">
        <f>EF_capital_goods_CO2</f>
        <v>2.7E-2</v>
      </c>
      <c r="H43" s="4"/>
      <c r="I43" s="4"/>
      <c r="J43" s="4">
        <f>'Forage, input data per ha'!J15*EF_diesel_CO2*Heating_value_diesel/'Forage, input data per ha'!C15</f>
        <v>2.0602019827343845E-2</v>
      </c>
      <c r="K43" s="4"/>
      <c r="L43" s="4">
        <f>'Forage, input data per ha'!K15*'Parameters, general'!$B$17/'Forage, input data per ha'!C15</f>
        <v>0</v>
      </c>
      <c r="M43" s="4"/>
      <c r="N43" s="271"/>
      <c r="O43" s="4"/>
      <c r="P43" s="4"/>
    </row>
    <row r="44" spans="1:19" x14ac:dyDescent="0.35">
      <c r="B44" t="s">
        <v>285</v>
      </c>
      <c r="C44" t="s">
        <v>87</v>
      </c>
      <c r="D44" t="s">
        <v>48</v>
      </c>
      <c r="E44" s="4">
        <f t="shared" si="7"/>
        <v>2.8243490387347279E-4</v>
      </c>
      <c r="F44" s="4">
        <f>'Forage, input data per ha'!E15*(Frac_BAT_NL*EF_min_fert_BAT_CH4+Frac_AN_NL*EF_min_fert_AN_CH4)/'Forage, input data per ha'!C15</f>
        <v>1.7830890378398945E-4</v>
      </c>
      <c r="G44" s="4">
        <f>EF_capital_goods_CH4</f>
        <v>9.5000000000000005E-5</v>
      </c>
      <c r="H44" s="4"/>
      <c r="I44" s="4"/>
      <c r="J44" s="4">
        <f>'Forage, input data per ha'!J15*EF_diesel_CH4*Heating_value_diesel/'Forage, input data per ha'!C15</f>
        <v>9.1260000894833206E-6</v>
      </c>
      <c r="K44" s="4"/>
      <c r="L44" s="4">
        <f>'Forage, input data per ha'!K15*'Parameters, general'!$C$17/'Forage, input data per ha'!C15</f>
        <v>0</v>
      </c>
      <c r="M44" s="4"/>
      <c r="N44" s="4"/>
      <c r="O44" s="4"/>
      <c r="P44" s="4"/>
    </row>
    <row r="45" spans="1:19" x14ac:dyDescent="0.35">
      <c r="B45" t="s">
        <v>285</v>
      </c>
      <c r="C45" t="s">
        <v>297</v>
      </c>
      <c r="D45" t="s">
        <v>48</v>
      </c>
      <c r="E45" s="4">
        <f t="shared" si="7"/>
        <v>0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</row>
    <row r="46" spans="1:19" x14ac:dyDescent="0.35">
      <c r="B46" t="s">
        <v>285</v>
      </c>
      <c r="C46" t="s">
        <v>89</v>
      </c>
      <c r="D46" t="s">
        <v>48</v>
      </c>
      <c r="E46" s="4">
        <f t="shared" si="7"/>
        <v>9.6094274791355889E-4</v>
      </c>
      <c r="F46" s="4">
        <f>'Forage, input data per ha'!E15*(Frac_BAT_NL*EF_min_fert_BAT_N2O+Frac_AN_NL*EF_min_fert_AN_N2O)/'Forage, input data per ha'!C15</f>
        <v>2.1356678801743158E-4</v>
      </c>
      <c r="G46" s="4">
        <f>EF_capital_goods_N2O</f>
        <v>1.1000000000000001E-6</v>
      </c>
      <c r="H46" s="4">
        <f>('Forage, input data per ha'!E15*'Parameters, country spec'!I79+'Forage, input data per ha'!H15*'Parameters, country spec'!I80)*44/28/'Forage, input data per ha'!C15</f>
        <v>6.7792943235542443E-4</v>
      </c>
      <c r="I46" s="4">
        <f>H46*0.1</f>
        <v>6.7792943235542451E-5</v>
      </c>
      <c r="J46" s="4">
        <f>'Forage, input data per ha'!J15*EF_diesel_N2O*Heating_value_diesel/'Forage, input data per ha'!C15</f>
        <v>5.5358430516045113E-7</v>
      </c>
      <c r="K46" s="4"/>
      <c r="L46" s="4">
        <f>'Forage, input data per ha'!K15*'Parameters, general'!$D$17/'Forage, input data per ha'!C15</f>
        <v>0</v>
      </c>
      <c r="M46" s="4"/>
      <c r="N46" s="4"/>
      <c r="O46" s="4"/>
      <c r="P46" s="4"/>
    </row>
    <row r="47" spans="1:19" ht="15" customHeight="1" x14ac:dyDescent="0.35">
      <c r="A47" s="152"/>
      <c r="B47" s="152" t="s">
        <v>285</v>
      </c>
      <c r="C47" s="152" t="s">
        <v>90</v>
      </c>
      <c r="D47" s="152" t="s">
        <v>48</v>
      </c>
      <c r="E47" s="338">
        <f>SUM(F47:P47)</f>
        <v>0.41555612933202235</v>
      </c>
      <c r="F47" s="338">
        <f>SUMPRODUCT(F43:F46,'Parameters, general'!$B$23:$B$26)</f>
        <v>0.16081751765036911</v>
      </c>
      <c r="G47" s="338">
        <f>SUMPRODUCT(G43:G46,'Parameters, general'!$B$23:$B$26)</f>
        <v>3.01313E-2</v>
      </c>
      <c r="H47" s="338">
        <f>SUMPRODUCT(H43:H46,'Parameters, general'!$B$23:$B$26)</f>
        <v>0.18507473503303087</v>
      </c>
      <c r="I47" s="338">
        <f>SUMPRODUCT(I43:I46,'Parameters, general'!$B$23:$B$26)</f>
        <v>1.850747350330309E-2</v>
      </c>
      <c r="J47" s="338">
        <f>SUMPRODUCT(J43:J46,'Parameters, general'!$B$23:$B$26)</f>
        <v>2.1025103145319253E-2</v>
      </c>
      <c r="K47" s="338">
        <f>SUMPRODUCT(K43:K46,'Parameters, general'!$B$23:$B$26)</f>
        <v>0</v>
      </c>
      <c r="L47" s="338">
        <f>SUMPRODUCT(L43:L46,'Parameters, general'!$B$23:$B$26)</f>
        <v>0</v>
      </c>
      <c r="M47" s="338">
        <f>SUMPRODUCT(M43:M46,'Parameters, general'!$B$23:$B$26)</f>
        <v>0</v>
      </c>
      <c r="N47" s="338">
        <f>SUMPRODUCT(N43:N46,'Parameters, general'!$B$23:$B$26)</f>
        <v>0</v>
      </c>
      <c r="O47" s="338">
        <f>SUMPRODUCT(O43:O46,'Parameters, general'!$B$23:$B$26)</f>
        <v>0</v>
      </c>
      <c r="P47" s="338"/>
      <c r="R47" s="122"/>
      <c r="S47" s="6"/>
    </row>
    <row r="48" spans="1:19" x14ac:dyDescent="0.35">
      <c r="B48" t="s">
        <v>285</v>
      </c>
      <c r="C48" t="s">
        <v>86</v>
      </c>
      <c r="D48" t="s">
        <v>50</v>
      </c>
      <c r="E48" s="4">
        <f t="shared" ref="E48:E51" si="8">SUM(F48:P48)</f>
        <v>6.3973911802340508E-2</v>
      </c>
      <c r="F48" s="4">
        <f>'Forage, input data per ha'!E16*(Frac_BAT_PL*EF_min_fert_BAT_CO2+Frac_AN_PL*EF_min_fert_AN_CO2)/'Forage, input data per ha'!C16</f>
        <v>2.1751094263240234E-2</v>
      </c>
      <c r="G48" s="4">
        <f>EF_capital_goods_CO2</f>
        <v>2.7E-2</v>
      </c>
      <c r="H48" s="4"/>
      <c r="I48" s="4"/>
      <c r="J48" s="4">
        <f>'Forage, input data per ha'!J16*EF_diesel_CO2*Heating_value_diesel/'Forage, input data per ha'!C16</f>
        <v>1.5222817539100278E-2</v>
      </c>
      <c r="K48" s="4"/>
      <c r="L48" s="4">
        <f>'Forage, input data per ha'!K16*'Parameters, general'!$B$17/'Forage, input data per ha'!C16</f>
        <v>0</v>
      </c>
      <c r="M48" s="4"/>
      <c r="N48" s="271"/>
      <c r="O48" s="4"/>
      <c r="P48" s="4"/>
    </row>
    <row r="49" spans="1:19" x14ac:dyDescent="0.35">
      <c r="B49" t="s">
        <v>285</v>
      </c>
      <c r="C49" t="s">
        <v>87</v>
      </c>
      <c r="D49" t="s">
        <v>50</v>
      </c>
      <c r="E49" s="4">
        <f t="shared" si="8"/>
        <v>1.4164449758016619E-4</v>
      </c>
      <c r="F49" s="4">
        <f>'Forage, input data per ha'!E16*(Frac_BAT_PL*EF_min_fert_BAT_CH4+Frac_AN_PL*EF_min_fert_AN_CH4)/'Forage, input data per ha'!C16</f>
        <v>3.9901302719260733E-5</v>
      </c>
      <c r="G49" s="4">
        <f>EF_capital_goods_CH4</f>
        <v>9.5000000000000005E-5</v>
      </c>
      <c r="H49" s="4"/>
      <c r="I49" s="4"/>
      <c r="J49" s="4">
        <f>'Forage, input data per ha'!J16*EF_diesel_CH4*Heating_value_diesel/'Forage, input data per ha'!C16</f>
        <v>6.7431948609054584E-6</v>
      </c>
      <c r="K49" s="4"/>
      <c r="L49" s="4">
        <f>'Forage, input data per ha'!K16*'Parameters, general'!$C$17/'Forage, input data per ha'!C16</f>
        <v>0</v>
      </c>
      <c r="M49" s="4"/>
      <c r="N49" s="4"/>
      <c r="O49" s="4"/>
      <c r="P49" s="4"/>
    </row>
    <row r="50" spans="1:19" x14ac:dyDescent="0.35">
      <c r="B50" t="s">
        <v>285</v>
      </c>
      <c r="C50" t="s">
        <v>297</v>
      </c>
      <c r="D50" t="s">
        <v>50</v>
      </c>
      <c r="E50" s="4">
        <f t="shared" si="8"/>
        <v>0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</row>
    <row r="51" spans="1:19" x14ac:dyDescent="0.35">
      <c r="B51" t="s">
        <v>285</v>
      </c>
      <c r="C51" t="s">
        <v>89</v>
      </c>
      <c r="D51" t="s">
        <v>50</v>
      </c>
      <c r="E51" s="4">
        <f t="shared" si="8"/>
        <v>2.4078089868235546E-4</v>
      </c>
      <c r="F51" s="4">
        <f>'Forage, input data per ha'!E16*(Frac_BAT_PL*EF_min_fert_BAT_N2O+Frac_AN_PL*EF_min_fert_AN_N2O)/'Forage, input data per ha'!C16</f>
        <v>4.7791180802654265E-5</v>
      </c>
      <c r="G51" s="4">
        <f>EF_capital_goods_N2O</f>
        <v>1.1000000000000001E-6</v>
      </c>
      <c r="H51" s="4">
        <f>('Forage, input data per ha'!E16*'Parameters, country spec'!J79+'Forage, input data per ha'!H16*'Parameters, country spec'!J80)*44/28/'Forage, input data per ha'!C16</f>
        <v>1.7407334076117385E-4</v>
      </c>
      <c r="I51" s="4">
        <f>H51*0.1</f>
        <v>1.7407334076117384E-5</v>
      </c>
      <c r="J51" s="4">
        <f>'Forage, input data per ha'!J16*EF_diesel_N2O*Heating_value_diesel/'Forage, input data per ha'!C16</f>
        <v>4.0904304240996531E-7</v>
      </c>
      <c r="K51" s="4"/>
      <c r="L51" s="4">
        <f>'Forage, input data per ha'!K16*'Parameters, general'!$D$17/'Forage, input data per ha'!C16</f>
        <v>0</v>
      </c>
      <c r="M51" s="4"/>
      <c r="N51" s="4"/>
      <c r="O51" s="4"/>
      <c r="P51" s="4"/>
    </row>
    <row r="52" spans="1:19" ht="15" customHeight="1" x14ac:dyDescent="0.35">
      <c r="A52" s="152"/>
      <c r="B52" s="152" t="s">
        <v>285</v>
      </c>
      <c r="C52" s="152" t="s">
        <v>90</v>
      </c>
      <c r="D52" s="152" t="s">
        <v>50</v>
      </c>
      <c r="E52" s="338">
        <f>SUM(F52:P52)</f>
        <v>0.13392810317051249</v>
      </c>
      <c r="F52" s="338">
        <f>SUMPRODUCT(F48:F51,'Parameters, general'!$B$23:$B$26)</f>
        <v>3.5987145443398816E-2</v>
      </c>
      <c r="G52" s="338">
        <f>SUMPRODUCT(G48:G51,'Parameters, general'!$B$23:$B$26)</f>
        <v>3.01313E-2</v>
      </c>
      <c r="H52" s="338">
        <f>SUMPRODUCT(H48:H51,'Parameters, general'!$B$23:$B$26)</f>
        <v>4.752202202780046E-2</v>
      </c>
      <c r="I52" s="338">
        <f>SUMPRODUCT(I48:I51,'Parameters, general'!$B$23:$B$26)</f>
        <v>4.7522022027800459E-3</v>
      </c>
      <c r="J52" s="338">
        <f>SUMPRODUCT(J48:J51,'Parameters, general'!$B$23:$B$26)</f>
        <v>1.553543349653318E-2</v>
      </c>
      <c r="K52" s="338">
        <f>SUMPRODUCT(K48:K51,'Parameters, general'!$B$23:$B$26)</f>
        <v>0</v>
      </c>
      <c r="L52" s="338">
        <f>SUMPRODUCT(L48:L51,'Parameters, general'!$B$23:$B$26)</f>
        <v>0</v>
      </c>
      <c r="M52" s="338">
        <f>SUMPRODUCT(M48:M51,'Parameters, general'!$B$23:$B$26)</f>
        <v>0</v>
      </c>
      <c r="N52" s="338">
        <f>SUMPRODUCT(N48:N51,'Parameters, general'!$B$23:$B$26)</f>
        <v>0</v>
      </c>
      <c r="O52" s="338">
        <f>SUMPRODUCT(O48:O51,'Parameters, general'!$B$23:$B$26)</f>
        <v>0</v>
      </c>
      <c r="P52" s="338"/>
      <c r="R52" s="122"/>
      <c r="S52" s="6"/>
    </row>
    <row r="53" spans="1:19" x14ac:dyDescent="0.35">
      <c r="B53" t="s">
        <v>285</v>
      </c>
      <c r="C53" t="s">
        <v>86</v>
      </c>
      <c r="D53" t="s">
        <v>52</v>
      </c>
      <c r="E53" s="4">
        <f t="shared" ref="E53:E56" si="9">SUM(F53:P53)</f>
        <v>7.0670207474978319E-2</v>
      </c>
      <c r="F53" s="4">
        <f>'Forage, input data per ha'!E17*(Frac_BAT_ES*EF_min_fert_BAT_CO2+Frac_AN_ES*EF_min_fert_AN_CO2)/'Forage, input data per ha'!C17</f>
        <v>2.1751094263240234E-2</v>
      </c>
      <c r="G53" s="4">
        <f>EF_capital_goods_CO2</f>
        <v>2.7E-2</v>
      </c>
      <c r="H53" s="4"/>
      <c r="I53" s="4"/>
      <c r="J53" s="4">
        <f>'Forage, input data per ha'!J17*EF_diesel_CO2*Heating_value_diesel/'Forage, input data per ha'!C17</f>
        <v>2.1919113211738082E-2</v>
      </c>
      <c r="K53" s="4"/>
      <c r="L53" s="4">
        <f>'Forage, input data per ha'!K17*'Parameters, general'!$B$17/'Forage, input data per ha'!C17</f>
        <v>0</v>
      </c>
      <c r="M53" s="4"/>
      <c r="N53" s="4"/>
      <c r="O53" s="4"/>
      <c r="P53" s="4"/>
    </row>
    <row r="54" spans="1:19" x14ac:dyDescent="0.35">
      <c r="B54" t="s">
        <v>285</v>
      </c>
      <c r="C54" t="s">
        <v>87</v>
      </c>
      <c r="D54" t="s">
        <v>52</v>
      </c>
      <c r="E54" s="4">
        <f t="shared" si="9"/>
        <v>1.4461073076603038E-4</v>
      </c>
      <c r="F54" s="4">
        <f>'Forage, input data per ha'!E17*(Frac_BAT_ES*EF_min_fert_BAT_CH4+Frac_AN_ES*EF_min_fert_AN_CH4)/'Forage, input data per ha'!C17</f>
        <v>3.9901302719260733E-5</v>
      </c>
      <c r="G54" s="4">
        <f>EF_capital_goods_CH4</f>
        <v>9.5000000000000005E-5</v>
      </c>
      <c r="H54" s="4"/>
      <c r="I54" s="4"/>
      <c r="J54" s="4">
        <f>'Forage, input data per ha'!J17*EF_diesel_CH4*Heating_value_diesel/'Forage, input data per ha'!C17</f>
        <v>9.7094280467696498E-6</v>
      </c>
      <c r="K54" s="4"/>
      <c r="L54" s="4">
        <f>'Forage, input data per ha'!K17*'Parameters, general'!$C$17/'Forage, input data per ha'!C17</f>
        <v>0</v>
      </c>
      <c r="M54" s="4"/>
      <c r="N54" s="4"/>
      <c r="O54" s="4"/>
      <c r="P54" s="4"/>
    </row>
    <row r="55" spans="1:19" x14ac:dyDescent="0.35">
      <c r="B55" t="s">
        <v>285</v>
      </c>
      <c r="C55" t="s">
        <v>297</v>
      </c>
      <c r="D55" t="s">
        <v>52</v>
      </c>
      <c r="E55" s="4">
        <f t="shared" si="9"/>
        <v>0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</row>
    <row r="56" spans="1:19" x14ac:dyDescent="0.35">
      <c r="B56" t="s">
        <v>285</v>
      </c>
      <c r="C56" t="s">
        <v>89</v>
      </c>
      <c r="D56" t="s">
        <v>52</v>
      </c>
      <c r="E56" s="4">
        <f t="shared" si="9"/>
        <v>2.4096083075785839E-4</v>
      </c>
      <c r="F56" s="4">
        <f>'Forage, input data per ha'!E17*(Frac_BAT_ES*EF_min_fert_BAT_N2O+Frac_AN_ES*EF_min_fert_AN_N2O)/'Forage, input data per ha'!C17</f>
        <v>4.7791180802654265E-5</v>
      </c>
      <c r="G56" s="4">
        <f>EF_capital_goods_N2O</f>
        <v>1.1000000000000001E-6</v>
      </c>
      <c r="H56" s="4">
        <f>('Forage, input data per ha'!E17*'Parameters, country spec'!K79+'Forage, input data per ha'!H17*'Parameters, country spec'!K80)*44/28/'Forage, input data per ha'!C17</f>
        <v>1.7407334076117385E-4</v>
      </c>
      <c r="I56" s="4">
        <f>H56*0.1</f>
        <v>1.7407334076117384E-5</v>
      </c>
      <c r="J56" s="4">
        <f>'Forage, input data per ha'!J17*EF_diesel_N2O*Heating_value_diesel/'Forage, input data per ha'!C17</f>
        <v>5.8897511791287795E-7</v>
      </c>
      <c r="K56" s="4"/>
      <c r="L56" s="4">
        <f>'Forage, input data per ha'!K17*'Parameters, general'!$D$17/'Forage, input data per ha'!C17</f>
        <v>0</v>
      </c>
      <c r="M56" s="4"/>
      <c r="N56" s="4"/>
      <c r="O56" s="4"/>
      <c r="P56" s="4"/>
    </row>
    <row r="57" spans="1:19" ht="15" customHeight="1" x14ac:dyDescent="0.35">
      <c r="A57" s="152"/>
      <c r="B57" s="152" t="s">
        <v>285</v>
      </c>
      <c r="C57" s="152" t="s">
        <v>90</v>
      </c>
      <c r="D57" s="152" t="s">
        <v>52</v>
      </c>
      <c r="E57" s="338">
        <f>SUM(F57:P57)</f>
        <v>0.14076191404870134</v>
      </c>
      <c r="F57" s="338">
        <f>SUMPRODUCT(F53:F56,'Parameters, general'!$B$23:$B$26)</f>
        <v>3.5987145443398816E-2</v>
      </c>
      <c r="G57" s="338">
        <f>SUMPRODUCT(G53:G56,'Parameters, general'!$B$23:$B$26)</f>
        <v>3.01313E-2</v>
      </c>
      <c r="H57" s="338">
        <f>SUMPRODUCT(H53:H56,'Parameters, general'!$B$23:$B$26)</f>
        <v>4.752202202780046E-2</v>
      </c>
      <c r="I57" s="338">
        <f>SUMPRODUCT(I53:I56,'Parameters, general'!$B$23:$B$26)</f>
        <v>4.7522022027800459E-3</v>
      </c>
      <c r="J57" s="338">
        <f>SUMPRODUCT(J53:J56,'Parameters, general'!$B$23:$B$26)</f>
        <v>2.2369244374722035E-2</v>
      </c>
      <c r="K57" s="338">
        <f>SUMPRODUCT(K53:K56,'Parameters, general'!$B$23:$B$26)</f>
        <v>0</v>
      </c>
      <c r="L57" s="338">
        <f>SUMPRODUCT(L53:L56,'Parameters, general'!$B$23:$B$26)</f>
        <v>0</v>
      </c>
      <c r="M57" s="338">
        <f>SUMPRODUCT(M53:M56,'Parameters, general'!$B$23:$B$26)</f>
        <v>0</v>
      </c>
      <c r="N57" s="338">
        <f>SUMPRODUCT(N53:N56,'Parameters, general'!$B$23:$B$26)</f>
        <v>0</v>
      </c>
      <c r="O57" s="338">
        <f>SUMPRODUCT(O53:O56,'Parameters, general'!$B$23:$B$26)</f>
        <v>0</v>
      </c>
      <c r="P57" s="338"/>
      <c r="R57" s="122"/>
      <c r="S57" s="6"/>
    </row>
    <row r="58" spans="1:19" x14ac:dyDescent="0.35">
      <c r="B58" t="s">
        <v>285</v>
      </c>
      <c r="C58" t="s">
        <v>86</v>
      </c>
      <c r="D58" t="s">
        <v>54</v>
      </c>
      <c r="E58" s="4">
        <f t="shared" ref="E58:E61" si="10">SUM(F58:P58)</f>
        <v>6.0039825186889023E-2</v>
      </c>
      <c r="F58" s="4">
        <f>'Forage, input data per ha'!E18*(Frac_BAT_SE*EF_min_fert_BAT_CO2+Frac_AN_SE*EF_min_fert_AN_CO2)/'Forage, input data per ha'!C18</f>
        <v>0</v>
      </c>
      <c r="G58" s="4">
        <f>EF_capital_goods_CO2</f>
        <v>2.7E-2</v>
      </c>
      <c r="H58" s="4"/>
      <c r="I58" s="4"/>
      <c r="J58" s="4">
        <f>'Forage, input data per ha'!J18*EF_diesel_CO2*Heating_value_diesel/'Forage, input data per ha'!C18</f>
        <v>3.303982518688902E-2</v>
      </c>
      <c r="K58" s="4"/>
      <c r="L58" s="4">
        <f>'Forage, input data per ha'!K18*'Parameters, general'!$B$17/'Forage, input data per ha'!C18</f>
        <v>0</v>
      </c>
      <c r="M58" s="4"/>
      <c r="N58" s="271"/>
      <c r="O58" s="4"/>
      <c r="P58" s="4"/>
    </row>
    <row r="59" spans="1:19" x14ac:dyDescent="0.35">
      <c r="B59" t="s">
        <v>285</v>
      </c>
      <c r="C59" t="s">
        <v>87</v>
      </c>
      <c r="D59" t="s">
        <v>54</v>
      </c>
      <c r="E59" s="4">
        <f t="shared" si="10"/>
        <v>1.0963552846463486E-4</v>
      </c>
      <c r="F59" s="4">
        <f>'Forage, input data per ha'!E18*(Frac_BAT_SE*EF_min_fert_BAT_CH4+Frac_AN_SE*EF_min_fert_AN_CH4)/'Forage, input data per ha'!C18</f>
        <v>0</v>
      </c>
      <c r="G59" s="4">
        <f>EF_capital_goods_CH4</f>
        <v>9.5000000000000005E-5</v>
      </c>
      <c r="H59" s="4"/>
      <c r="I59" s="4"/>
      <c r="J59" s="4">
        <f>'Forage, input data per ha'!J18*EF_diesel_CH4*Heating_value_diesel/'Forage, input data per ha'!C18</f>
        <v>1.463552846463485E-5</v>
      </c>
      <c r="K59" s="4"/>
      <c r="L59" s="4">
        <f>'Forage, input data per ha'!K18*'Parameters, general'!$C$17/'Forage, input data per ha'!C18</f>
        <v>0</v>
      </c>
      <c r="M59" s="4"/>
      <c r="N59" s="4"/>
      <c r="O59" s="4"/>
      <c r="P59" s="4"/>
    </row>
    <row r="60" spans="1:19" x14ac:dyDescent="0.35">
      <c r="B60" t="s">
        <v>285</v>
      </c>
      <c r="C60" t="s">
        <v>297</v>
      </c>
      <c r="D60" t="s">
        <v>54</v>
      </c>
      <c r="E60" s="4">
        <f t="shared" si="10"/>
        <v>0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</row>
    <row r="61" spans="1:19" x14ac:dyDescent="0.35">
      <c r="B61" t="s">
        <v>285</v>
      </c>
      <c r="C61" t="s">
        <v>89</v>
      </c>
      <c r="D61" t="s">
        <v>54</v>
      </c>
      <c r="E61" s="4">
        <f t="shared" si="10"/>
        <v>7.520505556662538E-5</v>
      </c>
      <c r="F61" s="4">
        <f>'Forage, input data per ha'!E18*(Frac_BAT_SE*EF_min_fert_BAT_N2O+Frac_AN_SE*EF_min_fert_AN_N2O)/'Forage, input data per ha'!C18</f>
        <v>0</v>
      </c>
      <c r="G61" s="4">
        <f>EF_capital_goods_N2O</f>
        <v>1.1000000000000001E-6</v>
      </c>
      <c r="H61" s="4">
        <f>('Forage, input data per ha'!E18*'Parameters, country spec'!L79+'Forage, input data per ha'!H18*'Parameters, country spec'!L80)*44/28/'Forage, input data per ha'!C18</f>
        <v>6.6561147801955938E-5</v>
      </c>
      <c r="I61" s="4">
        <f>H61*0.1</f>
        <v>6.6561147801955938E-6</v>
      </c>
      <c r="J61" s="4">
        <f>'Forage, input data per ha'!J18*EF_diesel_N2O*Heating_value_diesel/'Forage, input data per ha'!C18</f>
        <v>8.8779298447383559E-7</v>
      </c>
      <c r="K61" s="4"/>
      <c r="L61" s="4">
        <f>'Forage, input data per ha'!K18*'Parameters, general'!$D$17/'Forage, input data per ha'!C18</f>
        <v>0</v>
      </c>
      <c r="M61" s="4"/>
      <c r="N61" s="4"/>
      <c r="O61" s="4"/>
      <c r="P61" s="4"/>
    </row>
    <row r="62" spans="1:19" ht="15" customHeight="1" x14ac:dyDescent="0.35">
      <c r="A62" s="152"/>
      <c r="B62" s="152" t="s">
        <v>285</v>
      </c>
      <c r="C62" s="152" t="s">
        <v>90</v>
      </c>
      <c r="D62" s="152" t="s">
        <v>54</v>
      </c>
      <c r="E62" s="338">
        <f>SUM(F62:P62)</f>
        <v>8.3837944104823869E-2</v>
      </c>
      <c r="F62" s="338">
        <f>SUMPRODUCT(F58:F61,'Parameters, general'!$B$23:$B$26)</f>
        <v>0</v>
      </c>
      <c r="G62" s="338">
        <f>SUMPRODUCT(G58:G61,'Parameters, general'!$B$23:$B$26)</f>
        <v>3.01313E-2</v>
      </c>
      <c r="H62" s="338">
        <f>SUMPRODUCT(H58:H61,'Parameters, general'!$B$23:$B$26)</f>
        <v>1.8171193349933973E-2</v>
      </c>
      <c r="I62" s="338">
        <f>SUMPRODUCT(I58:I61,'Parameters, general'!$B$23:$B$26)</f>
        <v>1.817119334993397E-3</v>
      </c>
      <c r="J62" s="338">
        <f>SUMPRODUCT(J58:J61,'Parameters, general'!$B$23:$B$26)</f>
        <v>3.3718331419896497E-2</v>
      </c>
      <c r="K62" s="338">
        <f>SUMPRODUCT(K58:K61,'Parameters, general'!$B$23:$B$26)</f>
        <v>0</v>
      </c>
      <c r="L62" s="338">
        <f>SUMPRODUCT(L58:L61,'Parameters, general'!$B$23:$B$26)</f>
        <v>0</v>
      </c>
      <c r="M62" s="338">
        <f>SUMPRODUCT(M58:M61,'Parameters, general'!$B$23:$B$26)</f>
        <v>0</v>
      </c>
      <c r="N62" s="338">
        <f>SUMPRODUCT(N58:N61,'Parameters, general'!$B$23:$B$26)</f>
        <v>0</v>
      </c>
      <c r="O62" s="338">
        <f>SUMPRODUCT(O58:O61,'Parameters, general'!$B$23:$B$26)</f>
        <v>0</v>
      </c>
      <c r="P62" s="338"/>
      <c r="R62" s="122"/>
      <c r="S62" s="6"/>
    </row>
    <row r="63" spans="1:19" x14ac:dyDescent="0.35">
      <c r="B63" t="s">
        <v>285</v>
      </c>
      <c r="C63" t="s">
        <v>86</v>
      </c>
      <c r="D63" t="s">
        <v>493</v>
      </c>
      <c r="E63" s="4">
        <f t="shared" ref="E63:E66" si="11">SUM(F63:P63)</f>
        <v>0.10735008316998949</v>
      </c>
      <c r="F63" s="4">
        <f>'Forage, input data per ha'!E19*(Frac_BAT_GB*EF_min_fert_BAT_CO2+Frac_AN_GB*EF_min_fert_AN_CO2)/'Forage, input data per ha'!C19</f>
        <v>6.5638573298596306E-2</v>
      </c>
      <c r="G63" s="4">
        <f>EF_capital_goods_CO2</f>
        <v>2.7E-2</v>
      </c>
      <c r="H63" s="4"/>
      <c r="I63" s="4"/>
      <c r="J63" s="4">
        <f>'Forage, input data per ha'!J19*EF_diesel_CO2*Heating_value_diesel/'Forage, input data per ha'!C19</f>
        <v>1.4711509871393188E-2</v>
      </c>
      <c r="K63" s="4"/>
      <c r="L63" s="4">
        <f>'Forage, input data per ha'!K19*'Parameters, general'!$B$17/'Forage, input data per ha'!C19</f>
        <v>0</v>
      </c>
      <c r="M63" s="4"/>
      <c r="N63" s="271"/>
      <c r="O63" s="4"/>
      <c r="P63" s="4"/>
    </row>
    <row r="64" spans="1:19" x14ac:dyDescent="0.35">
      <c r="B64" t="s">
        <v>285</v>
      </c>
      <c r="C64" t="s">
        <v>87</v>
      </c>
      <c r="D64" t="s">
        <v>493</v>
      </c>
      <c r="E64" s="4">
        <f t="shared" si="11"/>
        <v>2.219274072760615E-4</v>
      </c>
      <c r="F64" s="4">
        <f>'Forage, input data per ha'!E19*(Frac_BAT_GB*EF_min_fert_BAT_CH4+Frac_AN_GB*EF_min_fert_AN_CH4)/'Forage, input data per ha'!C19</f>
        <v>1.2041070447080657E-4</v>
      </c>
      <c r="G64" s="4">
        <f>EF_capital_goods_CH4</f>
        <v>9.5000000000000005E-5</v>
      </c>
      <c r="H64" s="4"/>
      <c r="I64" s="4"/>
      <c r="J64" s="4">
        <f>'Forage, input data per ha'!J19*EF_diesel_CH4*Heating_value_diesel/'Forage, input data per ha'!C19</f>
        <v>6.5167028052549126E-6</v>
      </c>
      <c r="K64" s="4"/>
      <c r="L64" s="4">
        <f>'Forage, input data per ha'!K19*'Parameters, general'!$C$17/'Forage, input data per ha'!C19</f>
        <v>0</v>
      </c>
      <c r="M64" s="4"/>
      <c r="N64" s="4"/>
      <c r="O64" s="4"/>
      <c r="P64" s="4"/>
    </row>
    <row r="65" spans="1:19" x14ac:dyDescent="0.35">
      <c r="B65" t="s">
        <v>285</v>
      </c>
      <c r="C65" t="s">
        <v>297</v>
      </c>
      <c r="D65" t="s">
        <v>493</v>
      </c>
      <c r="E65" s="4">
        <f t="shared" si="11"/>
        <v>0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</row>
    <row r="66" spans="1:19" x14ac:dyDescent="0.35">
      <c r="B66" t="s">
        <v>285</v>
      </c>
      <c r="C66" t="s">
        <v>89</v>
      </c>
      <c r="D66" t="s">
        <v>493</v>
      </c>
      <c r="E66" s="4">
        <f t="shared" si="11"/>
        <v>6.5958926384665874E-4</v>
      </c>
      <c r="F66" s="4">
        <f>'Forage, input data per ha'!E19*(Frac_BAT_GB*EF_min_fert_BAT_N2O+Frac_AN_GB*EF_min_fert_AN_N2O)/'Forage, input data per ha'!C19</f>
        <v>1.4422009698348775E-4</v>
      </c>
      <c r="G66" s="4">
        <f>EF_capital_goods_N2O</f>
        <v>1.1000000000000001E-6</v>
      </c>
      <c r="H66" s="4">
        <f>('Forage, input data per ha'!E19*'Parameters, country spec'!$M$79+'Forage, input data per ha'!H19*'Parameters, country spec'!$M$80)*44/28/'Forage, input data per ha'!C19</f>
        <v>4.6715805714285719E-4</v>
      </c>
      <c r="I66" s="4">
        <f>H66*0.1</f>
        <v>4.6715805714285725E-5</v>
      </c>
      <c r="J66" s="4">
        <f>'Forage, input data per ha'!J19*EF_diesel_N2O*Heating_value_diesel/'Forage, input data per ha'!C19</f>
        <v>3.9530400602795185E-7</v>
      </c>
      <c r="K66" s="4"/>
      <c r="L66" s="4">
        <f>'Forage, input data per ha'!K19*'Parameters, general'!$D$17/'Forage, input data per ha'!C19</f>
        <v>0</v>
      </c>
      <c r="M66" s="4"/>
      <c r="N66" s="4"/>
      <c r="O66" s="4"/>
      <c r="P66" s="4"/>
    </row>
    <row r="67" spans="1:19" ht="15" customHeight="1" x14ac:dyDescent="0.35">
      <c r="A67" s="152"/>
      <c r="B67" s="152" t="s">
        <v>285</v>
      </c>
      <c r="C67" s="152" t="s">
        <v>90</v>
      </c>
      <c r="D67" s="152" t="s">
        <v>493</v>
      </c>
      <c r="E67" s="338">
        <f>SUM(F67:P67)</f>
        <v>0.29403138893695385</v>
      </c>
      <c r="F67" s="338">
        <f>SUMPRODUCT(F63:F66,'Parameters, general'!$B$23:$B$26)</f>
        <v>0.10859889876831849</v>
      </c>
      <c r="G67" s="338">
        <f>SUMPRODUCT(G63:G66,'Parameters, general'!$B$23:$B$26)</f>
        <v>3.01313E-2</v>
      </c>
      <c r="H67" s="338">
        <f>SUMPRODUCT(H63:H66,'Parameters, general'!$B$23:$B$26)</f>
        <v>0.12753414960000001</v>
      </c>
      <c r="I67" s="338">
        <f>SUMPRODUCT(I63:I66,'Parameters, general'!$B$23:$B$26)</f>
        <v>1.2753414960000002E-2</v>
      </c>
      <c r="J67" s="338">
        <f>SUMPRODUCT(J63:J66,'Parameters, general'!$B$23:$B$26)</f>
        <v>1.5013625608635414E-2</v>
      </c>
      <c r="K67" s="338">
        <f>SUMPRODUCT(K63:K66,'Parameters, general'!$B$23:$B$26)</f>
        <v>0</v>
      </c>
      <c r="L67" s="338">
        <f>SUMPRODUCT(L63:L66,'Parameters, general'!$B$23:$B$26)</f>
        <v>0</v>
      </c>
      <c r="M67" s="338">
        <f>SUMPRODUCT(M63:M66,'Parameters, general'!$B$23:$B$26)</f>
        <v>0</v>
      </c>
      <c r="N67" s="338">
        <f>SUMPRODUCT(N63:N66,'Parameters, general'!$B$23:$B$26)</f>
        <v>0</v>
      </c>
      <c r="O67" s="338">
        <f>SUMPRODUCT(O63:O66,'Parameters, general'!$B$23:$B$26)</f>
        <v>0</v>
      </c>
      <c r="P67" s="338"/>
      <c r="R67" s="122"/>
      <c r="S67" s="6"/>
    </row>
    <row r="69" spans="1:19" ht="18.5" x14ac:dyDescent="0.45">
      <c r="A69" s="260" t="s">
        <v>368</v>
      </c>
      <c r="B69" s="107"/>
      <c r="C69" s="107"/>
      <c r="D69" s="107"/>
      <c r="E69" s="107"/>
      <c r="F69" s="107"/>
      <c r="G69" s="107"/>
      <c r="H69" s="107"/>
      <c r="I69" s="107"/>
      <c r="J69" s="107"/>
      <c r="K69" s="107"/>
      <c r="L69" s="107"/>
      <c r="M69" s="107"/>
      <c r="N69" s="107"/>
      <c r="O69" s="107"/>
      <c r="P69" s="107"/>
    </row>
    <row r="71" spans="1:19" x14ac:dyDescent="0.35">
      <c r="A71" s="261" t="s">
        <v>215</v>
      </c>
      <c r="B71" s="262"/>
      <c r="C71" s="262"/>
      <c r="D71" s="262"/>
      <c r="E71" s="263" t="s">
        <v>60</v>
      </c>
      <c r="F71" s="263" t="s">
        <v>61</v>
      </c>
      <c r="G71" s="264"/>
      <c r="H71" s="263" t="s">
        <v>62</v>
      </c>
      <c r="I71" s="265"/>
      <c r="J71" s="266" t="s">
        <v>63</v>
      </c>
      <c r="K71" s="265"/>
      <c r="L71" s="265"/>
      <c r="M71" s="265"/>
      <c r="N71" s="266" t="s">
        <v>64</v>
      </c>
      <c r="O71" s="266" t="s">
        <v>291</v>
      </c>
      <c r="P71" s="266" t="s">
        <v>65</v>
      </c>
    </row>
    <row r="72" spans="1:19" ht="37.15" customHeight="1" x14ac:dyDescent="0.35">
      <c r="A72" s="267" t="s">
        <v>14</v>
      </c>
      <c r="B72" s="267" t="s">
        <v>215</v>
      </c>
      <c r="C72" s="267" t="s">
        <v>69</v>
      </c>
      <c r="D72" s="268" t="s">
        <v>292</v>
      </c>
      <c r="E72" s="269"/>
      <c r="F72" s="46" t="s">
        <v>218</v>
      </c>
      <c r="G72" s="46" t="s">
        <v>71</v>
      </c>
      <c r="H72" s="46" t="s">
        <v>219</v>
      </c>
      <c r="I72" s="46" t="s">
        <v>437</v>
      </c>
      <c r="J72" s="46" t="s">
        <v>72</v>
      </c>
      <c r="K72" s="46" t="s">
        <v>73</v>
      </c>
      <c r="L72" s="46" t="s">
        <v>74</v>
      </c>
      <c r="M72" s="46" t="s">
        <v>75</v>
      </c>
      <c r="N72" s="46" t="s">
        <v>76</v>
      </c>
      <c r="O72" s="46"/>
      <c r="P72" s="46"/>
      <c r="R72" s="122"/>
      <c r="S72" s="6"/>
    </row>
    <row r="73" spans="1:19" x14ac:dyDescent="0.35">
      <c r="B73" t="s">
        <v>334</v>
      </c>
      <c r="C73" t="s">
        <v>86</v>
      </c>
      <c r="D73" t="s">
        <v>85</v>
      </c>
      <c r="E73" s="4">
        <f t="shared" ref="E73:E86" si="12">SUM(F73:P73)</f>
        <v>0.10194537808820778</v>
      </c>
      <c r="F73" s="4">
        <f>'Forage, input data per ha'!E26*(Frac_BAT_DK*EF_min_fert_BAT_CO2+Frac_AN_DK*EF_min_fert_AN_CO2)/'Forage, input data per ha'!C26</f>
        <v>9.4395684303457683E-3</v>
      </c>
      <c r="G73" s="4">
        <f>EF_capital_goods_CO2</f>
        <v>2.7E-2</v>
      </c>
      <c r="H73" s="4"/>
      <c r="I73" s="4"/>
      <c r="J73" s="4">
        <f>'Forage, input data per ha'!J26*EF_diesel_CO2*Heating_value_diesel/'Forage, input data per ha'!C26</f>
        <v>1.5780775925181002E-2</v>
      </c>
      <c r="K73" s="4"/>
      <c r="L73" s="4">
        <f>'Forage, input data per ha'!K26*'Parameters, general'!$B$17/'Forage, input data per ha'!C26</f>
        <v>3.0250337326810095E-3</v>
      </c>
      <c r="M73" s="4"/>
      <c r="N73" s="4"/>
      <c r="O73" s="4">
        <f>'Parameters, general'!$B$20</f>
        <v>4.6700000000000005E-2</v>
      </c>
      <c r="P73" s="4"/>
    </row>
    <row r="74" spans="1:19" x14ac:dyDescent="0.35">
      <c r="B74" t="s">
        <v>334</v>
      </c>
      <c r="C74" t="s">
        <v>87</v>
      </c>
      <c r="D74" t="s">
        <v>85</v>
      </c>
      <c r="E74" s="4">
        <f t="shared" si="12"/>
        <v>8.3198290605482003E-4</v>
      </c>
      <c r="F74" s="4">
        <f>'Forage, input data per ha'!E26*(Frac_BAT_DK*EF_min_fert_BAT_CH4+Frac_AN_DK*EF_min_fert_AN_CH4)/'Forage, input data per ha'!C26</f>
        <v>1.187544333864606E-5</v>
      </c>
      <c r="G74" s="4">
        <f>EF_capital_goods_CH4</f>
        <v>9.5000000000000005E-5</v>
      </c>
      <c r="H74" s="4"/>
      <c r="I74" s="4"/>
      <c r="J74" s="4">
        <f>'Forage, input data per ha'!J26*EF_diesel_CH4*Heating_value_diesel/'Forage, input data per ha'!C26</f>
        <v>6.9903516117470652E-6</v>
      </c>
      <c r="K74" s="4"/>
      <c r="L74" s="4">
        <f>'Forage, input data per ha'!K26*'Parameters, general'!$C$17/'Forage, input data per ha'!C26</f>
        <v>1.0117111104426938E-5</v>
      </c>
      <c r="M74" s="4"/>
      <c r="N74" s="4"/>
      <c r="O74" s="4">
        <f>'Parameters, general'!$C$20</f>
        <v>7.0799999999999997E-4</v>
      </c>
      <c r="P74" s="4"/>
    </row>
    <row r="75" spans="1:19" x14ac:dyDescent="0.35">
      <c r="B75" t="s">
        <v>334</v>
      </c>
      <c r="C75" t="s">
        <v>297</v>
      </c>
      <c r="D75" t="s">
        <v>85</v>
      </c>
      <c r="E75" s="4">
        <f t="shared" si="12"/>
        <v>0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</row>
    <row r="76" spans="1:19" x14ac:dyDescent="0.35">
      <c r="B76" t="s">
        <v>334</v>
      </c>
      <c r="C76" t="s">
        <v>89</v>
      </c>
      <c r="D76" t="s">
        <v>85</v>
      </c>
      <c r="E76" s="4">
        <f t="shared" si="12"/>
        <v>1.9153570715459384E-4</v>
      </c>
      <c r="F76" s="4">
        <f>'Forage, input data per ha'!E26*(Frac_BAT_DK*EF_min_fert_BAT_N2O+Frac_AN_DK*EF_min_fert_AN_N2O)/'Forage, input data per ha'!C26</f>
        <v>1.9849248903347439E-5</v>
      </c>
      <c r="G76" s="4">
        <f>EF_capital_goods_N2O</f>
        <v>1.1000000000000001E-6</v>
      </c>
      <c r="H76" s="4">
        <f>('Forage, input data per ha'!E26*'Parameters, country spec'!B79+'Forage, input data per ha'!H26*'Parameters, country spec'!B80)*44/28/'Forage, input data per ha'!C26</f>
        <v>9.2670829535701108E-5</v>
      </c>
      <c r="I76" s="4">
        <f>H76*0.1</f>
        <v>9.2670829535701108E-6</v>
      </c>
      <c r="J76" s="4">
        <f>'Forage, input data per ha'!J26*EF_diesel_N2O*Heating_value_diesel/'Forage, input data per ha'!C26</f>
        <v>4.2403560178305126E-7</v>
      </c>
      <c r="K76" s="4"/>
      <c r="L76" s="4">
        <f>'Forage, input data per ha'!K26*'Parameters, general'!$D$17/'Forage, input data per ha'!C26</f>
        <v>1.2451016019215161E-7</v>
      </c>
      <c r="M76" s="4"/>
      <c r="N76" s="4"/>
      <c r="O76" s="4">
        <f>'Parameters, general'!$D$20</f>
        <v>6.8099999999999988E-5</v>
      </c>
      <c r="P76" s="4"/>
    </row>
    <row r="77" spans="1:19" ht="15" customHeight="1" x14ac:dyDescent="0.35">
      <c r="A77" s="152"/>
      <c r="B77" s="152" t="s">
        <v>334</v>
      </c>
      <c r="C77" s="152" t="s">
        <v>90</v>
      </c>
      <c r="D77" s="152" t="s">
        <v>85</v>
      </c>
      <c r="E77" s="338">
        <f>SUM(F77:P77)</f>
        <v>0.17902771674184556</v>
      </c>
      <c r="F77" s="338">
        <f>SUMPRODUCT(F73:F76,'Parameters, general'!$B$23:$B$26)</f>
        <v>1.5212301592451271E-2</v>
      </c>
      <c r="G77" s="338">
        <f>SUMPRODUCT(G73:G76,'Parameters, general'!$B$23:$B$26)</f>
        <v>3.01313E-2</v>
      </c>
      <c r="H77" s="338">
        <f>SUMPRODUCT(H73:H76,'Parameters, general'!$B$23:$B$26)</f>
        <v>2.5299136463246403E-2</v>
      </c>
      <c r="I77" s="338">
        <f>SUMPRODUCT(I73:I76,'Parameters, general'!$B$23:$B$26)</f>
        <v>2.5299136463246405E-3</v>
      </c>
      <c r="J77" s="338">
        <f>SUMPRODUCT(J73:J76,'Parameters, general'!$B$23:$B$26)</f>
        <v>1.6104850122497835E-2</v>
      </c>
      <c r="K77" s="338">
        <f>SUMPRODUCT(K73:K76,'Parameters, general'!$B$23:$B$26)</f>
        <v>0</v>
      </c>
      <c r="L77" s="338">
        <f>SUMPRODUCT(L73:L76,'Parameters, general'!$B$23:$B$26)</f>
        <v>3.3605149173253895E-3</v>
      </c>
      <c r="M77" s="338">
        <f>SUMPRODUCT(M73:M76,'Parameters, general'!$B$23:$B$26)</f>
        <v>0</v>
      </c>
      <c r="N77" s="338">
        <f>SUMPRODUCT(N73:N76,'Parameters, general'!$B$23:$B$26)</f>
        <v>0</v>
      </c>
      <c r="O77" s="338">
        <f>SUMPRODUCT(O73:O76,'Parameters, general'!$B$23:$B$26)</f>
        <v>8.6389700000000014E-2</v>
      </c>
      <c r="P77" s="338"/>
      <c r="R77" s="122"/>
      <c r="S77" s="6"/>
    </row>
    <row r="78" spans="1:19" x14ac:dyDescent="0.35">
      <c r="B78" t="s">
        <v>334</v>
      </c>
      <c r="C78" t="s">
        <v>86</v>
      </c>
      <c r="D78" t="s">
        <v>36</v>
      </c>
      <c r="E78" s="4">
        <f t="shared" si="12"/>
        <v>0.1152552491010753</v>
      </c>
      <c r="F78" s="4">
        <f>'Forage, input data per ha'!E27*(Frac_BAT_FR*EF_min_fert_BAT_CO2+Frac_AN_FR*EF_min_fert_AN_CO2)/'Forage, input data per ha'!C27</f>
        <v>1.8290244595307845E-2</v>
      </c>
      <c r="G78" s="4">
        <f>EF_capital_goods_CO2</f>
        <v>2.7E-2</v>
      </c>
      <c r="H78" s="4"/>
      <c r="I78" s="4"/>
      <c r="J78" s="4">
        <f>'Forage, input data per ha'!J27*EF_diesel_CO2*Heating_value_diesel/'Forage, input data per ha'!C27</f>
        <v>1.6437442716420066E-2</v>
      </c>
      <c r="K78" s="4"/>
      <c r="L78" s="4">
        <f>'Forage, input data per ha'!K27*'Parameters, general'!$B$17/'Forage, input data per ha'!C27</f>
        <v>6.8275617893473915E-3</v>
      </c>
      <c r="M78" s="4"/>
      <c r="N78" s="271"/>
      <c r="O78" s="4">
        <f>'Parameters, general'!$B$20</f>
        <v>4.6700000000000005E-2</v>
      </c>
      <c r="P78" s="4"/>
    </row>
    <row r="79" spans="1:19" x14ac:dyDescent="0.35">
      <c r="B79" t="s">
        <v>334</v>
      </c>
      <c r="C79" t="s">
        <v>87</v>
      </c>
      <c r="D79" t="s">
        <v>36</v>
      </c>
      <c r="E79" s="4">
        <f t="shared" si="12"/>
        <v>8.6666830127486087E-4</v>
      </c>
      <c r="F79" s="4">
        <f>'Forage, input data per ha'!E27*(Frac_BAT_FR*EF_min_fert_BAT_CH4+Frac_AN_FR*EF_min_fert_AN_CH4)/'Forage, input data per ha'!C27</f>
        <v>3.3552545797205459E-5</v>
      </c>
      <c r="G79" s="4">
        <f>EF_capital_goods_CH4</f>
        <v>9.5000000000000005E-5</v>
      </c>
      <c r="H79" s="4"/>
      <c r="I79" s="4"/>
      <c r="J79" s="4">
        <f>'Forage, input data per ha'!J27*EF_diesel_CH4*Heating_value_diesel/'Forage, input data per ha'!C27</f>
        <v>7.2812328576555162E-6</v>
      </c>
      <c r="K79" s="4"/>
      <c r="L79" s="4">
        <f>'Forage, input data per ha'!K27*'Parameters, general'!$C$17/'Forage, input data per ha'!C27</f>
        <v>2.2834522620000003E-5</v>
      </c>
      <c r="M79" s="4"/>
      <c r="N79" s="4"/>
      <c r="O79" s="4">
        <f>'Parameters, general'!$C$20</f>
        <v>7.0799999999999997E-4</v>
      </c>
      <c r="P79" s="4"/>
    </row>
    <row r="80" spans="1:19" x14ac:dyDescent="0.35">
      <c r="B80" t="s">
        <v>334</v>
      </c>
      <c r="C80" t="s">
        <v>297</v>
      </c>
      <c r="D80" t="s">
        <v>36</v>
      </c>
      <c r="E80" s="4">
        <f t="shared" si="12"/>
        <v>0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</row>
    <row r="81" spans="1:19" x14ac:dyDescent="0.35">
      <c r="B81" t="s">
        <v>334</v>
      </c>
      <c r="C81" t="s">
        <v>89</v>
      </c>
      <c r="D81" t="s">
        <v>36</v>
      </c>
      <c r="E81" s="4">
        <f t="shared" si="12"/>
        <v>2.6318615090141582E-4</v>
      </c>
      <c r="F81" s="4">
        <f>'Forage, input data per ha'!E27*(Frac_BAT_FR*EF_min_fert_BAT_N2O+Frac_AN_FR*EF_min_fert_AN_N2O)/'Forage, input data per ha'!C27</f>
        <v>4.0187053386844723E-5</v>
      </c>
      <c r="G81" s="4">
        <f>EF_capital_goods_N2O</f>
        <v>1.1000000000000001E-6</v>
      </c>
      <c r="H81" s="4">
        <f>('Forage, input data per ha'!E27*'Parameters, country spec'!C79+'Forage, input data per ha'!H27*'Parameters, country spec'!C80)*44/28/'Forage, input data per ha'!C27</f>
        <v>1.3916035917453407E-4</v>
      </c>
      <c r="I81" s="4">
        <f>H81*0.1</f>
        <v>1.3916035917453407E-5</v>
      </c>
      <c r="J81" s="4">
        <f>'Forage, input data per ha'!J27*EF_diesel_N2O*Heating_value_diesel/'Forage, input data per ha'!C27</f>
        <v>4.4168049448757817E-7</v>
      </c>
      <c r="K81" s="4"/>
      <c r="L81" s="4">
        <f>'Forage, input data per ha'!K27*'Parameters, general'!$D$17/'Forage, input data per ha'!C27</f>
        <v>2.8102192809599998E-7</v>
      </c>
      <c r="M81" s="4"/>
      <c r="N81" s="4"/>
      <c r="O81" s="4">
        <f>'Parameters, general'!$D$20</f>
        <v>6.8099999999999988E-5</v>
      </c>
      <c r="P81" s="4"/>
    </row>
    <row r="82" spans="1:19" ht="15" customHeight="1" x14ac:dyDescent="0.35">
      <c r="A82" s="152"/>
      <c r="B82" s="152" t="s">
        <v>334</v>
      </c>
      <c r="C82" s="152" t="s">
        <v>90</v>
      </c>
      <c r="D82" s="152" t="s">
        <v>36</v>
      </c>
      <c r="E82" s="338">
        <f>SUM(F82:P82)</f>
        <v>0.21293178367515267</v>
      </c>
      <c r="F82" s="338">
        <f>SUMPRODUCT(F78:F81,'Parameters, general'!$B$23:$B$26)</f>
        <v>3.0261176034673178E-2</v>
      </c>
      <c r="G82" s="338">
        <f>SUMPRODUCT(G78:G81,'Parameters, general'!$B$23:$B$26)</f>
        <v>3.01313E-2</v>
      </c>
      <c r="H82" s="338">
        <f>SUMPRODUCT(H78:H81,'Parameters, general'!$B$23:$B$26)</f>
        <v>3.7990778054647803E-2</v>
      </c>
      <c r="I82" s="338">
        <f>SUMPRODUCT(I78:I81,'Parameters, general'!$B$23:$B$26)</f>
        <v>3.79907780546478E-3</v>
      </c>
      <c r="J82" s="338">
        <f>SUMPRODUCT(J78:J81,'Parameters, general'!$B$23:$B$26)</f>
        <v>1.6775002230573311E-2</v>
      </c>
      <c r="K82" s="338">
        <f>SUMPRODUCT(K78:K81,'Parameters, general'!$B$23:$B$26)</f>
        <v>0</v>
      </c>
      <c r="L82" s="338">
        <f>SUMPRODUCT(L78:L81,'Parameters, general'!$B$23:$B$26)</f>
        <v>7.5847495497935995E-3</v>
      </c>
      <c r="M82" s="338">
        <f>SUMPRODUCT(M78:M81,'Parameters, general'!$B$23:$B$26)</f>
        <v>0</v>
      </c>
      <c r="N82" s="338">
        <f>SUMPRODUCT(N78:N81,'Parameters, general'!$B$23:$B$26)</f>
        <v>0</v>
      </c>
      <c r="O82" s="338">
        <f>SUMPRODUCT(O78:O81,'Parameters, general'!$B$23:$B$26)</f>
        <v>8.6389700000000014E-2</v>
      </c>
      <c r="P82" s="338"/>
      <c r="R82" s="122"/>
      <c r="S82" s="6"/>
    </row>
    <row r="83" spans="1:19" x14ac:dyDescent="0.35">
      <c r="B83" t="s">
        <v>334</v>
      </c>
      <c r="C83" t="s">
        <v>86</v>
      </c>
      <c r="D83" t="s">
        <v>38</v>
      </c>
      <c r="E83" s="4">
        <f t="shared" si="12"/>
        <v>0.10091146196851433</v>
      </c>
      <c r="F83" s="4">
        <f>'Forage, input data per ha'!E28*(Frac_BAT_DE*EF_min_fert_BAT_CO2+Frac_AN_DE*EF_min_fert_AN_CO2)/'Forage, input data per ha'!C28</f>
        <v>1.2251094124540752E-2</v>
      </c>
      <c r="G83" s="4">
        <f>EF_capital_goods_CO2</f>
        <v>2.7E-2</v>
      </c>
      <c r="H83" s="4"/>
      <c r="I83" s="4"/>
      <c r="J83" s="4">
        <f>'Forage, input data per ha'!J28*EF_diesel_CO2*Heating_value_diesel/'Forage, input data per ha'!C28</f>
        <v>1.3384776661816474E-2</v>
      </c>
      <c r="K83" s="4"/>
      <c r="L83" s="4">
        <f>'Forage, input data per ha'!K28*'Parameters, general'!$B$17/'Forage, input data per ha'!C28</f>
        <v>1.5755911821570903E-3</v>
      </c>
      <c r="M83" s="4"/>
      <c r="N83" s="4"/>
      <c r="O83" s="4">
        <f>'Parameters, general'!$B$20</f>
        <v>4.6700000000000005E-2</v>
      </c>
      <c r="P83" s="4"/>
    </row>
    <row r="84" spans="1:19" x14ac:dyDescent="0.35">
      <c r="B84" t="s">
        <v>334</v>
      </c>
      <c r="C84" t="s">
        <v>87</v>
      </c>
      <c r="D84" t="s">
        <v>38</v>
      </c>
      <c r="E84" s="4">
        <f t="shared" si="12"/>
        <v>8.3667253398757248E-4</v>
      </c>
      <c r="F84" s="4">
        <f>'Forage, input data per ha'!E28*(Frac_BAT_DE*EF_min_fert_BAT_CH4+Frac_AN_DE*EF_min_fert_AN_CH4)/'Forage, input data per ha'!C28</f>
        <v>2.2474024037107735E-5</v>
      </c>
      <c r="G84" s="4">
        <f>EF_capital_goods_CH4</f>
        <v>9.5000000000000005E-5</v>
      </c>
      <c r="H84" s="4"/>
      <c r="I84" s="4"/>
      <c r="J84" s="4">
        <f>'Forage, input data per ha'!J28*EF_diesel_CH4*Heating_value_diesel/'Forage, input data per ha'!C28</f>
        <v>5.9290047304648054E-6</v>
      </c>
      <c r="K84" s="4"/>
      <c r="L84" s="4">
        <f>'Forage, input data per ha'!K28*'Parameters, general'!$C$17/'Forage, input data per ha'!C28</f>
        <v>5.26950522E-6</v>
      </c>
      <c r="M84" s="4"/>
      <c r="N84" s="4"/>
      <c r="O84" s="4">
        <f>'Parameters, general'!$C$20</f>
        <v>7.0799999999999997E-4</v>
      </c>
      <c r="P84" s="4"/>
    </row>
    <row r="85" spans="1:19" x14ac:dyDescent="0.35">
      <c r="B85" t="s">
        <v>334</v>
      </c>
      <c r="C85" t="s">
        <v>297</v>
      </c>
      <c r="D85" t="s">
        <v>38</v>
      </c>
      <c r="E85" s="4">
        <f t="shared" si="12"/>
        <v>0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</row>
    <row r="86" spans="1:19" x14ac:dyDescent="0.35">
      <c r="B86" t="s">
        <v>334</v>
      </c>
      <c r="C86" t="s">
        <v>89</v>
      </c>
      <c r="D86" t="s">
        <v>38</v>
      </c>
      <c r="E86" s="4">
        <f t="shared" si="12"/>
        <v>2.0525580539015881E-4</v>
      </c>
      <c r="F86" s="4">
        <f>'Forage, input data per ha'!E28*(Frac_BAT_DE*EF_min_fert_BAT_N2O+Frac_AN_DE*EF_min_fert_AN_N2O)/'Forage, input data per ha'!C28</f>
        <v>2.691792179512361E-5</v>
      </c>
      <c r="G86" s="4">
        <f>EF_capital_goods_N2O</f>
        <v>1.1000000000000001E-6</v>
      </c>
      <c r="H86" s="4">
        <f>('Forage, input data per ha'!E28*'Parameters, country spec'!D79+'Forage, input data per ha'!H28*'Parameters, country spec'!D80)*44/28/'Forage, input data per ha'!C28</f>
        <v>9.8830343830404321E-5</v>
      </c>
      <c r="I86" s="4">
        <f>H86*0.1</f>
        <v>9.8830343830404331E-6</v>
      </c>
      <c r="J86" s="4">
        <f>'Forage, input data per ha'!J28*EF_diesel_N2O*Heating_value_diesel/'Forage, input data per ha'!C28</f>
        <v>3.5965416741445745E-7</v>
      </c>
      <c r="K86" s="4"/>
      <c r="L86" s="4">
        <f>'Forage, input data per ha'!K28*'Parameters, general'!$D$17/'Forage, input data per ha'!C28</f>
        <v>6.4851214175999985E-8</v>
      </c>
      <c r="M86" s="4"/>
      <c r="N86" s="4"/>
      <c r="O86" s="4">
        <f>'Parameters, general'!$D$20</f>
        <v>6.8099999999999988E-5</v>
      </c>
      <c r="P86" s="4"/>
    </row>
    <row r="87" spans="1:19" ht="15" customHeight="1" x14ac:dyDescent="0.35">
      <c r="A87" s="152"/>
      <c r="B87" s="152" t="s">
        <v>334</v>
      </c>
      <c r="C87" s="152" t="s">
        <v>90</v>
      </c>
      <c r="D87" s="152" t="s">
        <v>38</v>
      </c>
      <c r="E87" s="338">
        <f>SUM(F87:P87)</f>
        <v>0.18187913835285735</v>
      </c>
      <c r="F87" s="338">
        <f>SUMPRODUCT(F83:F86,'Parameters, general'!$B$23:$B$26)</f>
        <v>2.0269412690915308E-2</v>
      </c>
      <c r="G87" s="338">
        <f>SUMPRODUCT(G83:G86,'Parameters, general'!$B$23:$B$26)</f>
        <v>3.01313E-2</v>
      </c>
      <c r="H87" s="338">
        <f>SUMPRODUCT(H83:H86,'Parameters, general'!$B$23:$B$26)</f>
        <v>2.6980683865700381E-2</v>
      </c>
      <c r="I87" s="338">
        <f>SUMPRODUCT(I83:I86,'Parameters, general'!$B$23:$B$26)</f>
        <v>2.6980683865700382E-3</v>
      </c>
      <c r="J87" s="338">
        <f>SUMPRODUCT(J83:J86,'Parameters, general'!$B$23:$B$26)</f>
        <v>1.3659646590488472E-2</v>
      </c>
      <c r="K87" s="338">
        <f>SUMPRODUCT(K83:K86,'Parameters, general'!$B$23:$B$26)</f>
        <v>0</v>
      </c>
      <c r="L87" s="338">
        <f>SUMPRODUCT(L83:L86,'Parameters, general'!$B$23:$B$26)</f>
        <v>1.7503268191831382E-3</v>
      </c>
      <c r="M87" s="338">
        <f>SUMPRODUCT(M83:M86,'Parameters, general'!$B$23:$B$26)</f>
        <v>0</v>
      </c>
      <c r="N87" s="338">
        <f>SUMPRODUCT(N83:N86,'Parameters, general'!$B$23:$B$26)</f>
        <v>0</v>
      </c>
      <c r="O87" s="338">
        <f>SUMPRODUCT(O83:O86,'Parameters, general'!$B$23:$B$26)</f>
        <v>8.6389700000000014E-2</v>
      </c>
      <c r="P87" s="338"/>
      <c r="R87" s="122"/>
      <c r="S87" s="6"/>
    </row>
    <row r="88" spans="1:19" x14ac:dyDescent="0.35">
      <c r="B88" t="s">
        <v>334</v>
      </c>
      <c r="C88" t="s">
        <v>86</v>
      </c>
      <c r="D88" t="s">
        <v>40</v>
      </c>
      <c r="E88" s="4">
        <f t="shared" ref="E88:E96" si="13">SUM(F88:P88)</f>
        <v>0.22000118826753179</v>
      </c>
      <c r="F88" s="4">
        <f>'Forage, input data per ha'!E29*(Frac_BAT_GR*EF_min_fert_BAT_CO2+Frac_AN_GR*EF_min_fert_AN_CO2)/'Forage, input data per ha'!C29</f>
        <v>9.9916129362765033E-2</v>
      </c>
      <c r="G88" s="4">
        <f>EF_capital_goods_CO2</f>
        <v>2.7E-2</v>
      </c>
      <c r="H88" s="4"/>
      <c r="I88" s="4"/>
      <c r="J88" s="4">
        <f>'Forage, input data per ha'!J29*EF_diesel_CO2*Heating_value_diesel/'Forage, input data per ha'!C29</f>
        <v>3.0929259689321011E-2</v>
      </c>
      <c r="K88" s="4"/>
      <c r="L88" s="4">
        <f>'Forage, input data per ha'!K29*'Parameters, general'!$B$17/'Forage, input data per ha'!C29</f>
        <v>1.5455799215445744E-2</v>
      </c>
      <c r="M88" s="4"/>
      <c r="N88" s="271"/>
      <c r="O88" s="4">
        <f>'Parameters, general'!$B$20</f>
        <v>4.6700000000000005E-2</v>
      </c>
      <c r="P88" s="4"/>
    </row>
    <row r="89" spans="1:19" x14ac:dyDescent="0.35">
      <c r="B89" t="s">
        <v>334</v>
      </c>
      <c r="C89" t="s">
        <v>87</v>
      </c>
      <c r="D89" t="s">
        <v>40</v>
      </c>
      <c r="E89" s="4">
        <f t="shared" si="13"/>
        <v>1.0516831355973388E-3</v>
      </c>
      <c r="F89" s="4">
        <f>'Forage, input data per ha'!E29*(Frac_BAT_GR*EF_min_fert_BAT_CH4+Frac_AN_GR*EF_min_fert_AN_CH4)/'Forage, input data per ha'!C29</f>
        <v>1.8329117956048056E-4</v>
      </c>
      <c r="G89" s="4">
        <f>EF_capital_goods_CH4</f>
        <v>9.5000000000000005E-5</v>
      </c>
      <c r="H89" s="4"/>
      <c r="I89" s="4"/>
      <c r="J89" s="4">
        <f>'Forage, input data per ha'!J29*EF_diesel_CH4*Heating_value_diesel/'Forage, input data per ha'!C29</f>
        <v>1.3700619116858083E-5</v>
      </c>
      <c r="K89" s="4"/>
      <c r="L89" s="4">
        <f>'Forage, input data per ha'!K29*'Parameters, general'!$C$17/'Forage, input data per ha'!C29</f>
        <v>5.169133692E-5</v>
      </c>
      <c r="M89" s="4"/>
      <c r="N89" s="4"/>
      <c r="O89" s="4">
        <f>'Parameters, general'!$C$20</f>
        <v>7.0799999999999997E-4</v>
      </c>
      <c r="P89" s="4"/>
    </row>
    <row r="90" spans="1:19" x14ac:dyDescent="0.35">
      <c r="B90" t="s">
        <v>334</v>
      </c>
      <c r="C90" t="s">
        <v>297</v>
      </c>
      <c r="D90" t="s">
        <v>40</v>
      </c>
      <c r="E90" s="4">
        <f t="shared" si="13"/>
        <v>0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</row>
    <row r="91" spans="1:19" x14ac:dyDescent="0.35">
      <c r="B91" t="s">
        <v>334</v>
      </c>
      <c r="C91" t="s">
        <v>89</v>
      </c>
      <c r="D91" t="s">
        <v>40</v>
      </c>
      <c r="E91" s="4">
        <f t="shared" si="13"/>
        <v>1.0428937458682038E-3</v>
      </c>
      <c r="F91" s="4">
        <f>'Forage, input data per ha'!E29*(Frac_BAT_GR*EF_min_fert_BAT_N2O+Frac_AN_GR*EF_min_fert_AN_N2O)/'Forage, input data per ha'!C29</f>
        <v>2.1953423334417359E-4</v>
      </c>
      <c r="G91" s="4">
        <f>EF_capital_goods_N2O</f>
        <v>1.1000000000000001E-6</v>
      </c>
      <c r="H91" s="4">
        <f>('Forage, input data per ha'!E29*'Parameters, country spec'!E79+'Forage, input data per ha'!H29*'Parameters, country spec'!E80)*44/28/'Forage, input data per ha'!C29</f>
        <v>6.842657015707418E-4</v>
      </c>
      <c r="I91" s="4">
        <f>H91*0.1</f>
        <v>6.842657015707418E-5</v>
      </c>
      <c r="J91" s="4">
        <f>'Forage, input data per ha'!J29*EF_diesel_N2O*Heating_value_diesel/'Forage, input data per ha'!C29</f>
        <v>8.3108126667827814E-7</v>
      </c>
      <c r="K91" s="4"/>
      <c r="L91" s="4">
        <f>'Forage, input data per ha'!K29*'Parameters, general'!$D$17/'Forage, input data per ha'!C29</f>
        <v>6.3615952953599989E-7</v>
      </c>
      <c r="M91" s="4"/>
      <c r="N91" s="4"/>
      <c r="O91" s="4">
        <f>'Parameters, general'!$D$20</f>
        <v>6.8099999999999988E-5</v>
      </c>
      <c r="P91" s="4"/>
    </row>
    <row r="92" spans="1:19" ht="15" customHeight="1" x14ac:dyDescent="0.35">
      <c r="A92" s="152"/>
      <c r="B92" s="152" t="s">
        <v>334</v>
      </c>
      <c r="C92" s="152" t="s">
        <v>90</v>
      </c>
      <c r="D92" s="152" t="s">
        <v>40</v>
      </c>
      <c r="E92" s="338">
        <f>SUM(F92:P92)</f>
        <v>0.53605133833035223</v>
      </c>
      <c r="F92" s="338">
        <f>SUMPRODUCT(F88:F91,'Parameters, general'!$B$23:$B$26)</f>
        <v>0.16531105221662676</v>
      </c>
      <c r="G92" s="338">
        <f>SUMPRODUCT(G88:G91,'Parameters, general'!$B$23:$B$26)</f>
        <v>3.01313E-2</v>
      </c>
      <c r="H92" s="338">
        <f>SUMPRODUCT(H88:H91,'Parameters, general'!$B$23:$B$26)</f>
        <v>0.18680453652881251</v>
      </c>
      <c r="I92" s="338">
        <f>SUMPRODUCT(I88:I91,'Parameters, general'!$B$23:$B$26)</f>
        <v>1.8680453652881252E-2</v>
      </c>
      <c r="J92" s="338">
        <f>SUMPRODUCT(J88:J91,'Parameters, general'!$B$23:$B$26)</f>
        <v>3.1564423324806551E-2</v>
      </c>
      <c r="K92" s="338">
        <f>SUMPRODUCT(K88:K91,'Parameters, general'!$B$23:$B$26)</f>
        <v>0</v>
      </c>
      <c r="L92" s="338">
        <f>SUMPRODUCT(L88:L91,'Parameters, general'!$B$23:$B$26)</f>
        <v>1.7169872607225072E-2</v>
      </c>
      <c r="M92" s="338">
        <f>SUMPRODUCT(M88:M91,'Parameters, general'!$B$23:$B$26)</f>
        <v>0</v>
      </c>
      <c r="N92" s="338">
        <f>SUMPRODUCT(N88:N91,'Parameters, general'!$B$23:$B$26)</f>
        <v>0</v>
      </c>
      <c r="O92" s="338">
        <f>SUMPRODUCT(O88:O91,'Parameters, general'!$B$23:$B$26)</f>
        <v>8.6389700000000014E-2</v>
      </c>
      <c r="P92" s="338"/>
      <c r="R92" s="122"/>
      <c r="S92" s="6"/>
    </row>
    <row r="93" spans="1:19" x14ac:dyDescent="0.35">
      <c r="B93" t="s">
        <v>334</v>
      </c>
      <c r="C93" t="s">
        <v>86</v>
      </c>
      <c r="D93" t="s">
        <v>91</v>
      </c>
      <c r="E93" s="4">
        <f t="shared" si="13"/>
        <v>0.1415611128946816</v>
      </c>
      <c r="F93" s="4">
        <f>'Forage, input data per ha'!E30*(Frac_BAT_HU*EF_min_fert_BAT_CO2+Frac_AN_HU*EF_min_fert_AN_CO2)/'Forage, input data per ha'!C30</f>
        <v>4.6200863620897606E-2</v>
      </c>
      <c r="G93" s="4">
        <f>EF_capital_goods_CO2</f>
        <v>2.7E-2</v>
      </c>
      <c r="H93" s="4"/>
      <c r="I93" s="4"/>
      <c r="J93" s="4">
        <f>'Forage, input data per ha'!J30*EF_diesel_CO2*Heating_value_diesel/'Forage, input data per ha'!C30</f>
        <v>2.151019297072139E-2</v>
      </c>
      <c r="K93" s="4"/>
      <c r="L93" s="4">
        <f>'Forage, input data per ha'!K30*'Parameters, general'!$B$17/'Forage, input data per ha'!C30</f>
        <v>1.5005630306258E-4</v>
      </c>
      <c r="M93" s="4"/>
      <c r="N93" s="4"/>
      <c r="O93" s="4">
        <f>'Parameters, general'!$B$20</f>
        <v>4.6700000000000005E-2</v>
      </c>
      <c r="P93" s="4"/>
    </row>
    <row r="94" spans="1:19" x14ac:dyDescent="0.35">
      <c r="B94" t="s">
        <v>334</v>
      </c>
      <c r="C94" t="s">
        <v>87</v>
      </c>
      <c r="D94" t="s">
        <v>91</v>
      </c>
      <c r="E94" s="4">
        <f t="shared" si="13"/>
        <v>8.9778333874785895E-4</v>
      </c>
      <c r="F94" s="4">
        <f>'Forage, input data per ha'!E30*(Frac_BAT_HU*EF_min_fert_BAT_CH4+Frac_AN_HU*EF_min_fert_AN_CH4)/'Forage, input data per ha'!C30</f>
        <v>8.475319093918984E-5</v>
      </c>
      <c r="G94" s="4">
        <f>EF_capital_goods_CH4</f>
        <v>9.5000000000000005E-5</v>
      </c>
      <c r="H94" s="4"/>
      <c r="I94" s="4"/>
      <c r="J94" s="4">
        <f>'Forage, input data per ha'!J30*EF_diesel_CH4*Heating_value_diesel/'Forage, input data per ha'!C30</f>
        <v>9.5282901686691296E-6</v>
      </c>
      <c r="K94" s="4"/>
      <c r="L94" s="4">
        <f>'Forage, input data per ha'!K30*'Parameters, general'!$C$17/'Forage, input data per ha'!C30</f>
        <v>5.0185763999999998E-7</v>
      </c>
      <c r="M94" s="4"/>
      <c r="N94" s="4"/>
      <c r="O94" s="4">
        <f>'Parameters, general'!$C$20</f>
        <v>7.0799999999999997E-4</v>
      </c>
      <c r="P94" s="4"/>
    </row>
    <row r="95" spans="1:19" x14ac:dyDescent="0.35">
      <c r="B95" t="s">
        <v>334</v>
      </c>
      <c r="C95" t="s">
        <v>297</v>
      </c>
      <c r="D95" t="s">
        <v>91</v>
      </c>
      <c r="E95" s="4">
        <f t="shared" si="13"/>
        <v>0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</row>
    <row r="96" spans="1:19" x14ac:dyDescent="0.35">
      <c r="B96" t="s">
        <v>334</v>
      </c>
      <c r="C96" t="s">
        <v>89</v>
      </c>
      <c r="D96" t="s">
        <v>91</v>
      </c>
      <c r="E96" s="4">
        <f t="shared" si="13"/>
        <v>5.2940112441992693E-4</v>
      </c>
      <c r="F96" s="4">
        <f>'Forage, input data per ha'!E30*(Frac_BAT_HU*EF_min_fert_BAT_N2O+Frac_AN_HU*EF_min_fert_AN_N2O)/'Forage, input data per ha'!C30</f>
        <v>1.0151185038431108E-4</v>
      </c>
      <c r="G96" s="4">
        <f>EF_capital_goods_N2O</f>
        <v>1.1000000000000001E-6</v>
      </c>
      <c r="H96" s="4">
        <f>('Forage, input data per ha'!E30*'Parameters, country spec'!F79+'Forage, input data per ha'!H30*'Parameters, country spec'!F80)*44/28/'Forage, input data per ha'!C30</f>
        <v>3.2555010041627146E-4</v>
      </c>
      <c r="I96" s="4">
        <f>H96*0.1</f>
        <v>3.2555010041627146E-5</v>
      </c>
      <c r="J96" s="4">
        <f>'Forage, input data per ha'!J30*EF_diesel_N2O*Heating_value_diesel/'Forage, input data per ha'!C30</f>
        <v>5.7798727160526391E-7</v>
      </c>
      <c r="K96" s="4"/>
      <c r="L96" s="4">
        <f>'Forage, input data per ha'!K30*'Parameters, general'!$D$17/'Forage, input data per ha'!C30</f>
        <v>6.1763061119999986E-9</v>
      </c>
      <c r="M96" s="4"/>
      <c r="N96" s="4"/>
      <c r="O96" s="4">
        <f>'Parameters, general'!$D$20</f>
        <v>6.8099999999999988E-5</v>
      </c>
      <c r="P96" s="4"/>
    </row>
    <row r="97" spans="1:19" ht="15" customHeight="1" x14ac:dyDescent="0.35">
      <c r="A97" s="152"/>
      <c r="B97" s="152" t="s">
        <v>334</v>
      </c>
      <c r="C97" s="152" t="s">
        <v>90</v>
      </c>
      <c r="D97" s="152" t="s">
        <v>91</v>
      </c>
      <c r="E97" s="338">
        <f>SUM(F97:P97)</f>
        <v>0.31284156335600782</v>
      </c>
      <c r="F97" s="338">
        <f>SUMPRODUCT(F93:F96,'Parameters, general'!$B$23:$B$26)</f>
        <v>7.6439243865802392E-2</v>
      </c>
      <c r="G97" s="338">
        <f>SUMPRODUCT(G93:G96,'Parameters, general'!$B$23:$B$26)</f>
        <v>3.01313E-2</v>
      </c>
      <c r="H97" s="338">
        <f>SUMPRODUCT(H93:H96,'Parameters, general'!$B$23:$B$26)</f>
        <v>8.8875177413642106E-2</v>
      </c>
      <c r="I97" s="338">
        <f>SUMPRODUCT(I93:I96,'Parameters, general'!$B$23:$B$26)</f>
        <v>8.8875177413642106E-3</v>
      </c>
      <c r="J97" s="338">
        <f>SUMPRODUCT(J93:J96,'Parameters, general'!$B$23:$B$26)</f>
        <v>2.1951926542895964E-2</v>
      </c>
      <c r="K97" s="338">
        <f>SUMPRODUCT(K93:K96,'Parameters, general'!$B$23:$B$26)</f>
        <v>0</v>
      </c>
      <c r="L97" s="338">
        <f>SUMPRODUCT(L93:L96,'Parameters, general'!$B$23:$B$26)</f>
        <v>1.6669779230315599E-4</v>
      </c>
      <c r="M97" s="338">
        <f>SUMPRODUCT(M93:M96,'Parameters, general'!$B$23:$B$26)</f>
        <v>0</v>
      </c>
      <c r="N97" s="338">
        <f>SUMPRODUCT(N93:N96,'Parameters, general'!$B$23:$B$26)</f>
        <v>0</v>
      </c>
      <c r="O97" s="338">
        <f>SUMPRODUCT(O93:O96,'Parameters, general'!$B$23:$B$26)</f>
        <v>8.6389700000000014E-2</v>
      </c>
      <c r="P97" s="338"/>
      <c r="R97" s="122"/>
      <c r="S97" s="6"/>
    </row>
    <row r="98" spans="1:19" x14ac:dyDescent="0.35">
      <c r="B98" t="s">
        <v>334</v>
      </c>
      <c r="C98" t="s">
        <v>86</v>
      </c>
      <c r="D98" t="s">
        <v>44</v>
      </c>
      <c r="E98" s="4">
        <f t="shared" ref="E98:E106" si="14">SUM(F98:P98)</f>
        <v>0.12587247674228075</v>
      </c>
      <c r="F98" s="4">
        <f>'Forage, input data per ha'!E31*(Frac_BAT_IE*EF_min_fert_BAT_CO2+Frac_AN_IE*EF_min_fert_AN_CO2)/'Forage, input data per ha'!C31</f>
        <v>3.2650334455802711E-2</v>
      </c>
      <c r="G98" s="4">
        <f>EF_capital_goods_CO2</f>
        <v>2.7E-2</v>
      </c>
      <c r="H98" s="4"/>
      <c r="I98" s="4"/>
      <c r="J98" s="4">
        <f>'Forage, input data per ha'!J31*EF_diesel_CO2*Heating_value_diesel/'Forage, input data per ha'!C31</f>
        <v>1.2994693103255812E-2</v>
      </c>
      <c r="K98" s="4"/>
      <c r="L98" s="4">
        <f>'Forage, input data per ha'!K31*'Parameters, general'!$B$17/'Forage, input data per ha'!C31</f>
        <v>6.5274491832222319E-3</v>
      </c>
      <c r="M98" s="4"/>
      <c r="N98" s="271"/>
      <c r="O98" s="4">
        <f>'Parameters, general'!$B$20</f>
        <v>4.6700000000000005E-2</v>
      </c>
      <c r="P98" s="4"/>
    </row>
    <row r="99" spans="1:19" x14ac:dyDescent="0.35">
      <c r="B99" t="s">
        <v>334</v>
      </c>
      <c r="C99" t="s">
        <v>87</v>
      </c>
      <c r="D99" t="s">
        <v>44</v>
      </c>
      <c r="E99" s="4">
        <f t="shared" si="14"/>
        <v>8.9048243603061044E-4</v>
      </c>
      <c r="F99" s="4">
        <f>'Forage, input data per ha'!E31*(Frac_BAT_IE*EF_min_fert_BAT_CH4+Frac_AN_IE*EF_min_fert_AN_CH4)/'Forage, input data per ha'!C31</f>
        <v>5.989541782308556E-5</v>
      </c>
      <c r="G99" s="4">
        <f>EF_capital_goods_CH4</f>
        <v>9.5000000000000005E-5</v>
      </c>
      <c r="H99" s="4"/>
      <c r="I99" s="4"/>
      <c r="J99" s="4">
        <f>'Forage, input data per ha'!J31*EF_diesel_CH4*Heating_value_diesel/'Forage, input data per ha'!C31</f>
        <v>5.756210867524934E-6</v>
      </c>
      <c r="K99" s="4"/>
      <c r="L99" s="4">
        <f>'Forage, input data per ha'!K31*'Parameters, general'!$C$17/'Forage, input data per ha'!C31</f>
        <v>2.1830807340000004E-5</v>
      </c>
      <c r="M99" s="4"/>
      <c r="N99" s="4"/>
      <c r="O99" s="4">
        <f>'Parameters, general'!$C$20</f>
        <v>7.0799999999999997E-4</v>
      </c>
      <c r="P99" s="4"/>
    </row>
    <row r="100" spans="1:19" x14ac:dyDescent="0.35">
      <c r="B100" t="s">
        <v>334</v>
      </c>
      <c r="C100" t="s">
        <v>297</v>
      </c>
      <c r="D100" t="s">
        <v>44</v>
      </c>
      <c r="E100" s="4">
        <f t="shared" si="14"/>
        <v>0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</row>
    <row r="101" spans="1:19" x14ac:dyDescent="0.35">
      <c r="B101" t="s">
        <v>334</v>
      </c>
      <c r="C101" t="s">
        <v>89</v>
      </c>
      <c r="D101" t="s">
        <v>44</v>
      </c>
      <c r="E101" s="4">
        <f t="shared" si="14"/>
        <v>4.0012090119890626E-4</v>
      </c>
      <c r="F101" s="4">
        <f>'Forage, input data per ha'!E31*(Frac_BAT_IE*EF_min_fert_BAT_N2O+Frac_AN_IE*EF_min_fert_AN_N2O)/'Forage, input data per ha'!C31</f>
        <v>7.1738829245087782E-5</v>
      </c>
      <c r="G101" s="4">
        <f>EF_capital_goods_N2O</f>
        <v>1.1000000000000001E-6</v>
      </c>
      <c r="H101" s="4">
        <f>('Forage, input data per ha'!E31*'Parameters, country spec'!G79+'Forage, input data per ha'!H31*'Parameters, country spec'!G80)*44/28/'Forage, input data per ha'!C31</f>
        <v>2.3505839106167088E-4</v>
      </c>
      <c r="I101" s="4">
        <f>H101*0.1</f>
        <v>2.350583910616709E-5</v>
      </c>
      <c r="J101" s="4">
        <f>'Forage, input data per ha'!J31*EF_diesel_N2O*Heating_value_diesel/'Forage, input data per ha'!C31</f>
        <v>3.4917247010855983E-7</v>
      </c>
      <c r="K101" s="4"/>
      <c r="L101" s="4">
        <f>'Forage, input data per ha'!K31*'Parameters, general'!$D$17/'Forage, input data per ha'!C31</f>
        <v>2.6866931587199997E-7</v>
      </c>
      <c r="M101" s="4"/>
      <c r="N101" s="4"/>
      <c r="O101" s="4">
        <f>'Parameters, general'!$D$20</f>
        <v>6.8099999999999988E-5</v>
      </c>
      <c r="P101" s="4"/>
    </row>
    <row r="102" spans="1:19" ht="15" customHeight="1" x14ac:dyDescent="0.35">
      <c r="A102" s="152"/>
      <c r="B102" s="152" t="s">
        <v>334</v>
      </c>
      <c r="C102" s="152" t="s">
        <v>90</v>
      </c>
      <c r="D102" s="152" t="s">
        <v>44</v>
      </c>
      <c r="E102" s="338">
        <f>SUM(F102:P102)</f>
        <v>0.26164185936329437</v>
      </c>
      <c r="F102" s="338">
        <f>SUMPRODUCT(F98:F101,'Parameters, general'!$B$23:$B$26)</f>
        <v>5.4019918290839623E-2</v>
      </c>
      <c r="G102" s="338">
        <f>SUMPRODUCT(G98:G101,'Parameters, general'!$B$23:$B$26)</f>
        <v>3.01313E-2</v>
      </c>
      <c r="H102" s="338">
        <f>SUMPRODUCT(H98:H101,'Parameters, general'!$B$23:$B$26)</f>
        <v>6.4170940759836148E-2</v>
      </c>
      <c r="I102" s="338">
        <f>SUMPRODUCT(I98:I101,'Parameters, general'!$B$23:$B$26)</f>
        <v>6.417094075983616E-3</v>
      </c>
      <c r="J102" s="338">
        <f>SUMPRODUCT(J98:J101,'Parameters, general'!$B$23:$B$26)</f>
        <v>1.3261552271447692E-2</v>
      </c>
      <c r="K102" s="338">
        <f>SUMPRODUCT(K98:K101,'Parameters, general'!$B$23:$B$26)</f>
        <v>0</v>
      </c>
      <c r="L102" s="338">
        <f>SUMPRODUCT(L98:L101,'Parameters, general'!$B$23:$B$26)</f>
        <v>7.251353965187288E-3</v>
      </c>
      <c r="M102" s="338">
        <f>SUMPRODUCT(M98:M101,'Parameters, general'!$B$23:$B$26)</f>
        <v>0</v>
      </c>
      <c r="N102" s="338">
        <f>SUMPRODUCT(N98:N101,'Parameters, general'!$B$23:$B$26)</f>
        <v>0</v>
      </c>
      <c r="O102" s="338">
        <f>SUMPRODUCT(O98:O101,'Parameters, general'!$B$23:$B$26)</f>
        <v>8.6389700000000014E-2</v>
      </c>
      <c r="P102" s="338"/>
      <c r="R102" s="122"/>
      <c r="S102" s="6"/>
    </row>
    <row r="103" spans="1:19" x14ac:dyDescent="0.35">
      <c r="B103" t="s">
        <v>334</v>
      </c>
      <c r="C103" t="s">
        <v>86</v>
      </c>
      <c r="D103" t="s">
        <v>46</v>
      </c>
      <c r="E103" s="4">
        <f t="shared" si="14"/>
        <v>0.1271940167309322</v>
      </c>
      <c r="F103" s="4">
        <f>'Forage, input data per ha'!E32*(Frac_BAT_IT*EF_min_fert_BAT_CO2+Frac_AN_IT*EF_min_fert_AN_CO2)/'Forage, input data per ha'!C32</f>
        <v>3.5198917995755127E-2</v>
      </c>
      <c r="G103" s="4">
        <f>EF_capital_goods_CO2</f>
        <v>2.7E-2</v>
      </c>
      <c r="H103" s="4"/>
      <c r="I103" s="4"/>
      <c r="J103" s="4">
        <f>'Forage, input data per ha'!J32*EF_diesel_CO2*Heating_value_diesel/'Forage, input data per ha'!C32</f>
        <v>1.0792283582048061E-2</v>
      </c>
      <c r="K103" s="4"/>
      <c r="L103" s="4">
        <f>'Forage, input data per ha'!K32*'Parameters, general'!$B$17/'Forage, input data per ha'!C32</f>
        <v>7.5028151531290012E-3</v>
      </c>
      <c r="M103" s="4"/>
      <c r="N103" s="4"/>
      <c r="O103" s="4">
        <f>'Parameters, general'!$B$20</f>
        <v>4.6700000000000005E-2</v>
      </c>
      <c r="P103" s="4"/>
    </row>
    <row r="104" spans="1:19" x14ac:dyDescent="0.35">
      <c r="B104" t="s">
        <v>334</v>
      </c>
      <c r="C104" t="s">
        <v>87</v>
      </c>
      <c r="D104" t="s">
        <v>46</v>
      </c>
      <c r="E104" s="4">
        <f t="shared" si="14"/>
        <v>8.9744416753174039E-4</v>
      </c>
      <c r="F104" s="4">
        <f>'Forage, input data per ha'!E32*(Frac_BAT_IT*EF_min_fert_BAT_CH4+Frac_AN_IT*EF_min_fert_AN_CH4)/'Forage, input data per ha'!C32</f>
        <v>6.4570667817511238E-5</v>
      </c>
      <c r="G104" s="4">
        <f>EF_capital_goods_CH4</f>
        <v>9.5000000000000005E-5</v>
      </c>
      <c r="H104" s="4"/>
      <c r="I104" s="4"/>
      <c r="J104" s="4">
        <f>'Forage, input data per ha'!J32*EF_diesel_CH4*Heating_value_diesel/'Forage, input data per ha'!C32</f>
        <v>4.7806177142291395E-6</v>
      </c>
      <c r="K104" s="4"/>
      <c r="L104" s="4">
        <f>'Forage, input data per ha'!K32*'Parameters, general'!$C$17/'Forage, input data per ha'!C32</f>
        <v>2.5092882000000002E-5</v>
      </c>
      <c r="M104" s="4"/>
      <c r="N104" s="4"/>
      <c r="O104" s="4">
        <f>'Parameters, general'!$C$20</f>
        <v>7.0799999999999997E-4</v>
      </c>
      <c r="P104" s="4"/>
    </row>
    <row r="105" spans="1:19" x14ac:dyDescent="0.35">
      <c r="B105" t="s">
        <v>334</v>
      </c>
      <c r="C105" t="s">
        <v>297</v>
      </c>
      <c r="D105" t="s">
        <v>46</v>
      </c>
      <c r="E105" s="4">
        <f t="shared" si="14"/>
        <v>0</v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</row>
    <row r="106" spans="1:19" x14ac:dyDescent="0.35">
      <c r="B106" t="s">
        <v>334</v>
      </c>
      <c r="C106" t="s">
        <v>89</v>
      </c>
      <c r="D106" t="s">
        <v>46</v>
      </c>
      <c r="E106" s="4">
        <f t="shared" si="14"/>
        <v>4.2442322630608601E-4</v>
      </c>
      <c r="F106" s="4">
        <f>'Forage, input data per ha'!E32*(Frac_BAT_IT*EF_min_fert_BAT_N2O+Frac_AN_IT*EF_min_fert_AN_N2O)/'Forage, input data per ha'!C32</f>
        <v>7.7338539092990867E-5</v>
      </c>
      <c r="G106" s="4">
        <f>EF_capital_goods_N2O</f>
        <v>1.1000000000000001E-6</v>
      </c>
      <c r="H106" s="4">
        <f>('Forage, input data per ha'!E32*'Parameters, country spec'!H79+'Forage, input data per ha'!H32*'Parameters, country spec'!H80)*44/28/'Forage, input data per ha'!C32</f>
        <v>2.5207807185445986E-4</v>
      </c>
      <c r="I106" s="4">
        <f>H106*0.1</f>
        <v>2.5207807185445987E-5</v>
      </c>
      <c r="J106" s="4">
        <f>'Forage, input data per ha'!J32*EF_diesel_N2O*Heating_value_diesel/'Forage, input data per ha'!C32</f>
        <v>2.8999286758927875E-7</v>
      </c>
      <c r="K106" s="4"/>
      <c r="L106" s="4">
        <f>'Forage, input data per ha'!K32*'Parameters, general'!$D$17/'Forage, input data per ha'!C32</f>
        <v>3.0881530559999997E-7</v>
      </c>
      <c r="M106" s="4"/>
      <c r="N106" s="4"/>
      <c r="O106" s="4">
        <f>'Parameters, general'!$D$20</f>
        <v>6.8099999999999988E-5</v>
      </c>
      <c r="P106" s="4"/>
    </row>
    <row r="107" spans="1:19" ht="15" customHeight="1" x14ac:dyDescent="0.35">
      <c r="A107" s="152"/>
      <c r="B107" s="152" t="s">
        <v>334</v>
      </c>
      <c r="C107" s="152" t="s">
        <v>90</v>
      </c>
      <c r="D107" s="152" t="s">
        <v>46</v>
      </c>
      <c r="E107" s="338">
        <f>SUM(F107:P107)</f>
        <v>0.26980539370493956</v>
      </c>
      <c r="F107" s="338">
        <f>SUMPRODUCT(F103:F106,'Parameters, general'!$B$23:$B$26)</f>
        <v>5.8236545069103474E-2</v>
      </c>
      <c r="G107" s="338">
        <f>SUMPRODUCT(G103:G106,'Parameters, general'!$B$23:$B$26)</f>
        <v>3.01313E-2</v>
      </c>
      <c r="H107" s="338">
        <f>SUMPRODUCT(H103:H106,'Parameters, general'!$B$23:$B$26)</f>
        <v>6.8817313616267542E-2</v>
      </c>
      <c r="I107" s="338">
        <f>SUMPRODUCT(I103:I106,'Parameters, general'!$B$23:$B$26)</f>
        <v>6.881731361626754E-3</v>
      </c>
      <c r="J107" s="338">
        <f>SUMPRODUCT(J103:J106,'Parameters, general'!$B$23:$B$26)</f>
        <v>1.1013914042783962E-2</v>
      </c>
      <c r="K107" s="338">
        <f>SUMPRODUCT(K103:K106,'Parameters, general'!$B$23:$B$26)</f>
        <v>0</v>
      </c>
      <c r="L107" s="338">
        <f>SUMPRODUCT(L103:L106,'Parameters, general'!$B$23:$B$26)</f>
        <v>8.3348896151578013E-3</v>
      </c>
      <c r="M107" s="338">
        <f>SUMPRODUCT(M103:M106,'Parameters, general'!$B$23:$B$26)</f>
        <v>0</v>
      </c>
      <c r="N107" s="338">
        <f>SUMPRODUCT(N103:N106,'Parameters, general'!$B$23:$B$26)</f>
        <v>0</v>
      </c>
      <c r="O107" s="338">
        <f>SUMPRODUCT(O103:O106,'Parameters, general'!$B$23:$B$26)</f>
        <v>8.6389700000000014E-2</v>
      </c>
      <c r="P107" s="338"/>
      <c r="R107" s="122"/>
      <c r="S107" s="6"/>
    </row>
    <row r="108" spans="1:19" x14ac:dyDescent="0.35">
      <c r="B108" t="s">
        <v>334</v>
      </c>
      <c r="C108" t="s">
        <v>86</v>
      </c>
      <c r="D108" t="s">
        <v>48</v>
      </c>
      <c r="E108" s="4">
        <f t="shared" ref="E108:E111" si="15">SUM(F108:P108)</f>
        <v>0.12979309771217384</v>
      </c>
      <c r="F108" s="4">
        <f>'Forage, input data per ha'!E33*(Frac_BAT_NL*EF_min_fert_BAT_CO2+Frac_AN_NL*EF_min_fert_AN_CO2)/'Forage, input data per ha'!C33</f>
        <v>3.8562751771624527E-2</v>
      </c>
      <c r="G108" s="4">
        <f>EF_capital_goods_CO2</f>
        <v>2.7E-2</v>
      </c>
      <c r="H108" s="4"/>
      <c r="I108" s="4"/>
      <c r="J108" s="4">
        <f>'Forage, input data per ha'!J33*EF_diesel_CO2*Heating_value_diesel/'Forage, input data per ha'!C33</f>
        <v>1.2901809267049416E-2</v>
      </c>
      <c r="K108" s="4"/>
      <c r="L108" s="4">
        <f>'Forage, input data per ha'!K33*'Parameters, general'!$B$17/'Forage, input data per ha'!C33</f>
        <v>4.6285366734998955E-3</v>
      </c>
      <c r="M108" s="4"/>
      <c r="N108" s="271"/>
      <c r="O108" s="4">
        <f>'Parameters, general'!$B$20</f>
        <v>4.6700000000000005E-2</v>
      </c>
      <c r="P108" s="4"/>
    </row>
    <row r="109" spans="1:19" x14ac:dyDescent="0.35">
      <c r="B109" t="s">
        <v>334</v>
      </c>
      <c r="C109" t="s">
        <v>87</v>
      </c>
      <c r="D109" t="s">
        <v>48</v>
      </c>
      <c r="E109" s="4">
        <f t="shared" si="15"/>
        <v>8.9493648650889061E-4</v>
      </c>
      <c r="F109" s="4">
        <f>'Forage, input data per ha'!E33*(Frac_BAT_NL*EF_min_fert_BAT_CH4+Frac_AN_NL*EF_min_fert_AN_CH4)/'Forage, input data per ha'!C33</f>
        <v>7.074145390136706E-5</v>
      </c>
      <c r="G109" s="4">
        <f>EF_capital_goods_CH4</f>
        <v>9.5000000000000005E-5</v>
      </c>
      <c r="H109" s="4"/>
      <c r="I109" s="4"/>
      <c r="J109" s="4">
        <f>'Forage, input data per ha'!J33*EF_diesel_CH4*Heating_value_diesel/'Forage, input data per ha'!C33</f>
        <v>5.7150664601010523E-6</v>
      </c>
      <c r="K109" s="4"/>
      <c r="L109" s="4">
        <f>'Forage, input data per ha'!K33*'Parameters, general'!$C$17/'Forage, input data per ha'!C33</f>
        <v>1.5479966147422487E-5</v>
      </c>
      <c r="M109" s="4"/>
      <c r="N109" s="4"/>
      <c r="O109" s="4">
        <f>'Parameters, general'!$C$20</f>
        <v>7.0799999999999997E-4</v>
      </c>
      <c r="P109" s="4"/>
    </row>
    <row r="110" spans="1:19" x14ac:dyDescent="0.35">
      <c r="B110" t="s">
        <v>334</v>
      </c>
      <c r="C110" t="s">
        <v>297</v>
      </c>
      <c r="D110" t="s">
        <v>48</v>
      </c>
      <c r="E110" s="4">
        <f t="shared" si="15"/>
        <v>0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</row>
    <row r="111" spans="1:19" x14ac:dyDescent="0.35">
      <c r="B111" t="s">
        <v>334</v>
      </c>
      <c r="C111" t="s">
        <v>89</v>
      </c>
      <c r="D111" t="s">
        <v>48</v>
      </c>
      <c r="E111" s="4">
        <f t="shared" si="15"/>
        <v>4.5646296901282141E-4</v>
      </c>
      <c r="F111" s="4">
        <f>'Forage, input data per ha'!E33*(Frac_BAT_NL*EF_min_fert_BAT_N2O+Frac_AN_NL*EF_min_fert_AN_N2O)/'Forage, input data per ha'!C33</f>
        <v>8.472950463371495E-5</v>
      </c>
      <c r="G111" s="4">
        <f>EF_capital_goods_N2O</f>
        <v>1.1000000000000001E-6</v>
      </c>
      <c r="H111" s="4">
        <f>('Forage, input data per ha'!E33*'Parameters, country spec'!I79+'Forage, input data per ha'!H33*'Parameters, country spec'!I80)*44/28/'Forage, input data per ha'!C33</f>
        <v>2.7454207046694734E-4</v>
      </c>
      <c r="I111" s="4">
        <f>H111*0.1</f>
        <v>2.7454207046694736E-5</v>
      </c>
      <c r="J111" s="4">
        <f>'Forage, input data per ha'!J33*EF_diesel_N2O*Heating_value_diesel/'Forage, input data per ha'!C33</f>
        <v>3.466766452157641E-7</v>
      </c>
      <c r="K111" s="4"/>
      <c r="L111" s="4">
        <f>'Forage, input data per ha'!K33*'Parameters, general'!$D$17/'Forage, input data per ha'!C33</f>
        <v>1.905102202486717E-7</v>
      </c>
      <c r="M111" s="4"/>
      <c r="N111" s="4"/>
      <c r="O111" s="4">
        <f>'Parameters, general'!$D$20</f>
        <v>6.8099999999999988E-5</v>
      </c>
      <c r="P111" s="4"/>
    </row>
    <row r="112" spans="1:19" ht="15" customHeight="1" x14ac:dyDescent="0.35">
      <c r="A112" s="152"/>
      <c r="B112" s="152" t="s">
        <v>334</v>
      </c>
      <c r="C112" s="152" t="s">
        <v>90</v>
      </c>
      <c r="D112" s="152" t="s">
        <v>48</v>
      </c>
      <c r="E112" s="338">
        <f>SUM(F112:P112)</f>
        <v>0.28107659555063902</v>
      </c>
      <c r="F112" s="338">
        <f>SUMPRODUCT(F108:F111,'Parameters, general'!$B$23:$B$26)</f>
        <v>6.3802001862889451E-2</v>
      </c>
      <c r="G112" s="338">
        <f>SUMPRODUCT(G108:G111,'Parameters, general'!$B$23:$B$26)</f>
        <v>3.01313E-2</v>
      </c>
      <c r="H112" s="338">
        <f>SUMPRODUCT(H108:H111,'Parameters, general'!$B$23:$B$26)</f>
        <v>7.4949985237476618E-2</v>
      </c>
      <c r="I112" s="338">
        <f>SUMPRODUCT(I108:I111,'Parameters, general'!$B$23:$B$26)</f>
        <v>7.4949985237476625E-3</v>
      </c>
      <c r="J112" s="338">
        <f>SUMPRODUCT(J108:J111,'Parameters, general'!$B$23:$B$26)</f>
        <v>1.3166760971704331E-2</v>
      </c>
      <c r="K112" s="338">
        <f>SUMPRODUCT(K108:K111,'Parameters, general'!$B$23:$B$26)</f>
        <v>0</v>
      </c>
      <c r="L112" s="338">
        <f>SUMPRODUCT(L108:L111,'Parameters, general'!$B$23:$B$26)</f>
        <v>5.1418489548209732E-3</v>
      </c>
      <c r="M112" s="338">
        <f>SUMPRODUCT(M108:M111,'Parameters, general'!$B$23:$B$26)</f>
        <v>0</v>
      </c>
      <c r="N112" s="338">
        <f>SUMPRODUCT(N108:N111,'Parameters, general'!$B$23:$B$26)</f>
        <v>0</v>
      </c>
      <c r="O112" s="338">
        <f>SUMPRODUCT(O108:O111,'Parameters, general'!$B$23:$B$26)</f>
        <v>8.6389700000000014E-2</v>
      </c>
      <c r="P112" s="338"/>
      <c r="R112" s="122"/>
      <c r="S112" s="6"/>
    </row>
    <row r="113" spans="1:19" x14ac:dyDescent="0.35">
      <c r="B113" t="s">
        <v>334</v>
      </c>
      <c r="C113" t="s">
        <v>86</v>
      </c>
      <c r="D113" t="s">
        <v>50</v>
      </c>
      <c r="E113" s="4">
        <f t="shared" ref="E113:E121" si="16">SUM(F113:P113)</f>
        <v>0.11991341539820453</v>
      </c>
      <c r="F113" s="4">
        <f>'Forage, input data per ha'!E34*(Frac_BAT_PL*EF_min_fert_BAT_CO2+Frac_AN_PL*EF_min_fert_AN_CO2)/'Forage, input data per ha'!C34</f>
        <v>3.2020898078759276E-2</v>
      </c>
      <c r="G113" s="4">
        <f>EF_capital_goods_CO2</f>
        <v>2.7E-2</v>
      </c>
      <c r="H113" s="4"/>
      <c r="I113" s="4"/>
      <c r="J113" s="4">
        <f>'Forage, input data per ha'!J34*EF_diesel_CO2*Heating_value_diesel/'Forage, input data per ha'!C34</f>
        <v>1.329217950106977E-2</v>
      </c>
      <c r="K113" s="4"/>
      <c r="L113" s="4">
        <f>'Forage, input data per ha'!K34*'Parameters, general'!$B$17/'Forage, input data per ha'!C34</f>
        <v>9.003378183754802E-4</v>
      </c>
      <c r="M113" s="4"/>
      <c r="N113" s="271"/>
      <c r="O113" s="4">
        <f>'Parameters, general'!$B$20</f>
        <v>4.6700000000000005E-2</v>
      </c>
      <c r="P113" s="4"/>
    </row>
    <row r="114" spans="1:19" x14ac:dyDescent="0.35">
      <c r="B114" t="s">
        <v>334</v>
      </c>
      <c r="C114" t="s">
        <v>87</v>
      </c>
      <c r="D114" t="s">
        <v>50</v>
      </c>
      <c r="E114" s="4">
        <f t="shared" si="16"/>
        <v>8.7063988118471285E-4</v>
      </c>
      <c r="F114" s="4">
        <f>'Forage, input data per ha'!E34*(Frac_BAT_PL*EF_min_fert_BAT_CH4+Frac_AN_PL*EF_min_fert_AN_CH4)/'Forage, input data per ha'!C34</f>
        <v>5.8740748034109932E-5</v>
      </c>
      <c r="G114" s="4">
        <f>EF_capital_goods_CH4</f>
        <v>9.5000000000000005E-5</v>
      </c>
      <c r="H114" s="4"/>
      <c r="I114" s="4"/>
      <c r="J114" s="4">
        <f>'Forage, input data per ha'!J34*EF_diesel_CH4*Heating_value_diesel/'Forage, input data per ha'!C34</f>
        <v>5.8879873106029554E-6</v>
      </c>
      <c r="K114" s="4"/>
      <c r="L114" s="4">
        <f>'Forage, input data per ha'!K34*'Parameters, general'!$C$17/'Forage, input data per ha'!C34</f>
        <v>3.0111458400000005E-6</v>
      </c>
      <c r="M114" s="4"/>
      <c r="N114" s="4"/>
      <c r="O114" s="4">
        <f>'Parameters, general'!$C$20</f>
        <v>7.0799999999999997E-4</v>
      </c>
      <c r="P114" s="4"/>
    </row>
    <row r="115" spans="1:19" x14ac:dyDescent="0.35">
      <c r="B115" t="s">
        <v>334</v>
      </c>
      <c r="C115" t="s">
        <v>297</v>
      </c>
      <c r="D115" t="s">
        <v>50</v>
      </c>
      <c r="E115" s="4">
        <f t="shared" si="16"/>
        <v>0</v>
      </c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</row>
    <row r="116" spans="1:19" x14ac:dyDescent="0.35">
      <c r="B116" t="s">
        <v>334</v>
      </c>
      <c r="C116" t="s">
        <v>89</v>
      </c>
      <c r="D116" t="s">
        <v>50</v>
      </c>
      <c r="E116" s="4">
        <f t="shared" si="16"/>
        <v>3.9389051613317232E-4</v>
      </c>
      <c r="F116" s="4">
        <f>'Forage, input data per ha'!E34*(Frac_BAT_PL*EF_min_fert_BAT_N2O+Frac_AN_PL*EF_min_fert_AN_N2O)/'Forage, input data per ha'!C34</f>
        <v>7.0355840999301517E-5</v>
      </c>
      <c r="G116" s="4">
        <f>EF_capital_goods_N2O</f>
        <v>1.1000000000000001E-6</v>
      </c>
      <c r="H116" s="4">
        <f>('Forage, input data per ha'!E34*'Parameters, country spec'!J79+'Forage, input data per ha'!H34*'Parameters, country spec'!J80)*44/28/'Forage, input data per ha'!C34</f>
        <v>2.3085495568326891E-4</v>
      </c>
      <c r="I116" s="4">
        <f>H116*0.1</f>
        <v>2.3085495568326894E-5</v>
      </c>
      <c r="J116" s="4">
        <f>'Forage, input data per ha'!J34*EF_diesel_N2O*Heating_value_diesel/'Forage, input data per ha'!C34</f>
        <v>3.571660456030339E-7</v>
      </c>
      <c r="K116" s="4"/>
      <c r="L116" s="4">
        <f>'Forage, input data per ha'!K34*'Parameters, general'!$D$17/'Forage, input data per ha'!C34</f>
        <v>3.7057836671999995E-8</v>
      </c>
      <c r="M116" s="4"/>
      <c r="N116" s="4"/>
      <c r="O116" s="4">
        <f>'Parameters, general'!$D$20</f>
        <v>6.8099999999999988E-5</v>
      </c>
      <c r="P116" s="4"/>
    </row>
    <row r="117" spans="1:19" ht="15" customHeight="1" x14ac:dyDescent="0.35">
      <c r="A117" s="152"/>
      <c r="B117" s="152" t="s">
        <v>334</v>
      </c>
      <c r="C117" s="152" t="s">
        <v>90</v>
      </c>
      <c r="D117" s="152" t="s">
        <v>50</v>
      </c>
      <c r="E117" s="338">
        <f>SUM(F117:P117)</f>
        <v>0.2533905947618651</v>
      </c>
      <c r="F117" s="338">
        <f>SUMPRODUCT(F113:F116,'Parameters, general'!$B$23:$B$26)</f>
        <v>5.297851696298507E-2</v>
      </c>
      <c r="G117" s="338">
        <f>SUMPRODUCT(G113:G116,'Parameters, general'!$B$23:$B$26)</f>
        <v>3.01313E-2</v>
      </c>
      <c r="H117" s="338">
        <f>SUMPRODUCT(H113:H116,'Parameters, general'!$B$23:$B$26)</f>
        <v>6.302340290153241E-2</v>
      </c>
      <c r="I117" s="338">
        <f>SUMPRODUCT(I113:I116,'Parameters, general'!$B$23:$B$26)</f>
        <v>6.3023402901532417E-3</v>
      </c>
      <c r="J117" s="338">
        <f>SUMPRODUCT(J113:J116,'Parameters, general'!$B$23:$B$26)</f>
        <v>1.3565147853375367E-2</v>
      </c>
      <c r="K117" s="338">
        <f>SUMPRODUCT(K113:K116,'Parameters, general'!$B$23:$B$26)</f>
        <v>0</v>
      </c>
      <c r="L117" s="338">
        <f>SUMPRODUCT(L113:L116,'Parameters, general'!$B$23:$B$26)</f>
        <v>1.0001867538189362E-3</v>
      </c>
      <c r="M117" s="338">
        <f>SUMPRODUCT(M113:M116,'Parameters, general'!$B$23:$B$26)</f>
        <v>0</v>
      </c>
      <c r="N117" s="338">
        <f>SUMPRODUCT(N113:N116,'Parameters, general'!$B$23:$B$26)</f>
        <v>0</v>
      </c>
      <c r="O117" s="338">
        <f>SUMPRODUCT(O113:O116,'Parameters, general'!$B$23:$B$26)</f>
        <v>8.6389700000000014E-2</v>
      </c>
      <c r="P117" s="338"/>
      <c r="R117" s="122"/>
      <c r="S117" s="6"/>
    </row>
    <row r="118" spans="1:19" x14ac:dyDescent="0.35">
      <c r="B118" t="s">
        <v>334</v>
      </c>
      <c r="C118" t="s">
        <v>86</v>
      </c>
      <c r="D118" t="s">
        <v>52</v>
      </c>
      <c r="E118" s="4">
        <f t="shared" si="16"/>
        <v>0.14348138326468057</v>
      </c>
      <c r="F118" s="4">
        <f>'Forage, input data per ha'!E35*(Frac_BAT_ES*EF_min_fert_BAT_CO2+Frac_AN_ES*EF_min_fert_AN_CO2)/'Forage, input data per ha'!C35</f>
        <v>2.1225258539773455E-2</v>
      </c>
      <c r="G118" s="4">
        <f>EF_capital_goods_CO2</f>
        <v>2.7E-2</v>
      </c>
      <c r="H118" s="4"/>
      <c r="I118" s="4"/>
      <c r="J118" s="4">
        <f>'Forage, input data per ha'!J35*EF_diesel_CO2*Heating_value_diesel/'Forage, input data per ha'!C35</f>
        <v>2.150288478884789E-2</v>
      </c>
      <c r="K118" s="4"/>
      <c r="L118" s="4">
        <f>'Forage, input data per ha'!K35*'Parameters, general'!$B$17/'Forage, input data per ha'!C35</f>
        <v>2.7053239936059206E-2</v>
      </c>
      <c r="M118" s="4"/>
      <c r="N118" s="4"/>
      <c r="O118" s="4">
        <f>'Parameters, general'!$B$20</f>
        <v>4.6700000000000005E-2</v>
      </c>
      <c r="P118" s="4"/>
    </row>
    <row r="119" spans="1:19" x14ac:dyDescent="0.35">
      <c r="B119" t="s">
        <v>334</v>
      </c>
      <c r="C119" t="s">
        <v>87</v>
      </c>
      <c r="D119" t="s">
        <v>52</v>
      </c>
      <c r="E119" s="4">
        <f t="shared" si="16"/>
        <v>9.4194027560908812E-4</v>
      </c>
      <c r="F119" s="4">
        <f>'Forage, input data per ha'!E35*(Frac_BAT_ES*EF_min_fert_BAT_CH4+Frac_AN_ES*EF_min_fert_AN_CH4)/'Forage, input data per ha'!C35</f>
        <v>3.8936683186619176E-5</v>
      </c>
      <c r="G119" s="4">
        <f>EF_capital_goods_CH4</f>
        <v>9.5000000000000005E-5</v>
      </c>
      <c r="H119" s="4"/>
      <c r="I119" s="4"/>
      <c r="J119" s="4">
        <f>'Forage, input data per ha'!J35*EF_diesel_CH4*Heating_value_diesel/'Forage, input data per ha'!C35</f>
        <v>9.5250528905289057E-6</v>
      </c>
      <c r="K119" s="4"/>
      <c r="L119" s="4">
        <f>'Forage, input data per ha'!K35*'Parameters, general'!$C$17/'Forage, input data per ha'!C35</f>
        <v>9.0478539531940063E-5</v>
      </c>
      <c r="M119" s="4"/>
      <c r="N119" s="4"/>
      <c r="O119" s="4">
        <f>'Parameters, general'!$C$20</f>
        <v>7.0799999999999997E-4</v>
      </c>
      <c r="P119" s="4"/>
    </row>
    <row r="120" spans="1:19" x14ac:dyDescent="0.35">
      <c r="B120" t="s">
        <v>334</v>
      </c>
      <c r="C120" t="s">
        <v>297</v>
      </c>
      <c r="D120" t="s">
        <v>52</v>
      </c>
      <c r="E120" s="4">
        <f t="shared" si="16"/>
        <v>0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</row>
    <row r="121" spans="1:19" x14ac:dyDescent="0.35">
      <c r="B121" t="s">
        <v>334</v>
      </c>
      <c r="C121" t="s">
        <v>89</v>
      </c>
      <c r="D121" t="s">
        <v>52</v>
      </c>
      <c r="E121" s="4">
        <f t="shared" si="16"/>
        <v>2.921638470286316E-4</v>
      </c>
      <c r="F121" s="4">
        <f>'Forage, input data per ha'!E35*(Frac_BAT_ES*EF_min_fert_BAT_N2O+Frac_AN_ES*EF_min_fert_AN_N2O)/'Forage, input data per ha'!C35</f>
        <v>4.6635822372013562E-5</v>
      </c>
      <c r="G121" s="4">
        <f>EF_capital_goods_N2O</f>
        <v>1.1000000000000001E-6</v>
      </c>
      <c r="H121" s="4">
        <f>('Forage, input data per ha'!E35*'Parameters, country spec'!K79+'Forage, input data per ha'!H35*'Parameters, country spec'!K80)*44/28/'Forage, input data per ha'!C35</f>
        <v>1.58760658585603E-4</v>
      </c>
      <c r="I121" s="4">
        <f>H121*0.1</f>
        <v>1.58760658585603E-5</v>
      </c>
      <c r="J121" s="4">
        <f>'Forage, input data per ha'!J35*EF_diesel_N2O*Heating_value_diesel/'Forage, input data per ha'!C35</f>
        <v>5.7779089790897923E-7</v>
      </c>
      <c r="K121" s="4"/>
      <c r="L121" s="4">
        <f>'Forage, input data per ha'!K35*'Parameters, general'!$D$17/'Forage, input data per ha'!C35</f>
        <v>1.1135093145457642E-6</v>
      </c>
      <c r="M121" s="4"/>
      <c r="N121" s="4"/>
      <c r="O121" s="4">
        <f>'Parameters, general'!$D$20</f>
        <v>6.8099999999999988E-5</v>
      </c>
      <c r="P121" s="4"/>
    </row>
    <row r="122" spans="1:19" x14ac:dyDescent="0.35">
      <c r="A122" s="152"/>
      <c r="B122" s="152" t="s">
        <v>334</v>
      </c>
      <c r="C122" s="152" t="s">
        <v>90</v>
      </c>
      <c r="D122" s="152" t="s">
        <v>52</v>
      </c>
      <c r="E122" s="338">
        <f>SUM(F122:P122)</f>
        <v>0.25131193371664784</v>
      </c>
      <c r="F122" s="338">
        <f>SUMPRODUCT(F118:F121,'Parameters, general'!$B$23:$B$26)</f>
        <v>3.5117151206294411E-2</v>
      </c>
      <c r="G122" s="338">
        <f>SUMPRODUCT(G118:G121,'Parameters, general'!$B$23:$B$26)</f>
        <v>3.01313E-2</v>
      </c>
      <c r="H122" s="338">
        <f>SUMPRODUCT(H118:H121,'Parameters, general'!$B$23:$B$26)</f>
        <v>4.334165979386962E-2</v>
      </c>
      <c r="I122" s="338">
        <f>SUMPRODUCT(I118:I121,'Parameters, general'!$B$23:$B$26)</f>
        <v>4.3341659793869614E-3</v>
      </c>
      <c r="J122" s="338">
        <f>SUMPRODUCT(J118:J121,'Parameters, general'!$B$23:$B$26)</f>
        <v>2.1944468280114801E-2</v>
      </c>
      <c r="K122" s="338">
        <f>SUMPRODUCT(K118:K121,'Parameters, general'!$B$23:$B$26)</f>
        <v>0</v>
      </c>
      <c r="L122" s="338">
        <f>SUMPRODUCT(L118:L121,'Parameters, general'!$B$23:$B$26)</f>
        <v>3.0053488456982014E-2</v>
      </c>
      <c r="M122" s="338">
        <f>SUMPRODUCT(M118:M121,'Parameters, general'!$B$23:$B$26)</f>
        <v>0</v>
      </c>
      <c r="N122" s="338">
        <f>SUMPRODUCT(N118:N121,'Parameters, general'!$B$23:$B$26)</f>
        <v>0</v>
      </c>
      <c r="O122" s="338">
        <f>SUMPRODUCT(O118:O121,'Parameters, general'!$B$23:$B$26)</f>
        <v>8.6389700000000014E-2</v>
      </c>
      <c r="P122" s="338"/>
    </row>
    <row r="123" spans="1:19" x14ac:dyDescent="0.35">
      <c r="B123" t="s">
        <v>334</v>
      </c>
      <c r="C123" t="s">
        <v>86</v>
      </c>
      <c r="D123" t="s">
        <v>54</v>
      </c>
      <c r="E123" s="4">
        <f t="shared" ref="E123:E126" si="17">SUM(F123:P123)</f>
        <v>0.11670621990044418</v>
      </c>
      <c r="F123" s="4">
        <f>'Forage, input data per ha'!E36*(Frac_BAT_SE*EF_min_fert_BAT_CO2+Frac_AN_SE*EF_min_fert_AN_CO2)/'Forage, input data per ha'!C36</f>
        <v>2.0076143571985575E-2</v>
      </c>
      <c r="G123" s="4">
        <f>EF_capital_goods_CO2</f>
        <v>2.7E-2</v>
      </c>
      <c r="H123" s="4"/>
      <c r="I123" s="4"/>
      <c r="J123" s="4">
        <f>'Forage, input data per ha'!J36*EF_diesel_CO2*Heating_value_diesel/'Forage, input data per ha'!C36</f>
        <v>1.9178668751894105E-2</v>
      </c>
      <c r="K123" s="4"/>
      <c r="L123" s="4">
        <f>'Forage, input data per ha'!K36*'Parameters, general'!$B$17/'Forage, input data per ha'!C36</f>
        <v>3.7514075765645014E-3</v>
      </c>
      <c r="M123" s="4"/>
      <c r="N123" s="271"/>
      <c r="O123" s="4">
        <f>'Parameters, general'!$B$20</f>
        <v>4.6700000000000005E-2</v>
      </c>
      <c r="P123" s="4"/>
    </row>
    <row r="124" spans="1:19" x14ac:dyDescent="0.35">
      <c r="B124" t="s">
        <v>334</v>
      </c>
      <c r="C124" t="s">
        <v>87</v>
      </c>
      <c r="D124" t="s">
        <v>54</v>
      </c>
      <c r="E124" s="4">
        <f t="shared" si="17"/>
        <v>8.4929872480248177E-4</v>
      </c>
      <c r="F124" s="4">
        <f>'Forage, input data per ha'!E36*(Frac_BAT_SE*EF_min_fert_BAT_CH4+Frac_AN_SE*EF_min_fert_AN_CH4)/'Forage, input data per ha'!C36</f>
        <v>2.5256780244444398E-5</v>
      </c>
      <c r="G124" s="4">
        <f>EF_capital_goods_CH4</f>
        <v>9.5000000000000005E-5</v>
      </c>
      <c r="H124" s="4"/>
      <c r="I124" s="4"/>
      <c r="J124" s="4">
        <f>'Forage, input data per ha'!J36*EF_diesel_CH4*Heating_value_diesel/'Forage, input data per ha'!C36</f>
        <v>8.4955035580373929E-6</v>
      </c>
      <c r="K124" s="4"/>
      <c r="L124" s="4">
        <f>'Forage, input data per ha'!K36*'Parameters, general'!$C$17/'Forage, input data per ha'!C36</f>
        <v>1.2546441000000003E-5</v>
      </c>
      <c r="M124" s="4"/>
      <c r="N124" s="4"/>
      <c r="O124" s="4">
        <f>'Parameters, general'!$C$20</f>
        <v>7.0799999999999997E-4</v>
      </c>
      <c r="P124" s="4"/>
    </row>
    <row r="125" spans="1:19" x14ac:dyDescent="0.35">
      <c r="B125" t="s">
        <v>334</v>
      </c>
      <c r="C125" t="s">
        <v>297</v>
      </c>
      <c r="D125" t="s">
        <v>54</v>
      </c>
      <c r="E125" s="4">
        <f t="shared" si="17"/>
        <v>0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</row>
    <row r="126" spans="1:19" x14ac:dyDescent="0.35">
      <c r="B126" t="s">
        <v>334</v>
      </c>
      <c r="C126" t="s">
        <v>89</v>
      </c>
      <c r="D126" t="s">
        <v>54</v>
      </c>
      <c r="E126" s="4">
        <f t="shared" si="17"/>
        <v>3.0779597131143279E-4</v>
      </c>
      <c r="F126" s="4">
        <f>'Forage, input data per ha'!E36*(Frac_BAT_SE*EF_min_fert_BAT_N2O+Frac_AN_SE*EF_min_fert_AN_N2O)/'Forage, input data per ha'!C36</f>
        <v>4.2215528572113299E-5</v>
      </c>
      <c r="G126" s="4">
        <f>EF_capital_goods_N2O</f>
        <v>1.1000000000000001E-6</v>
      </c>
      <c r="H126" s="4">
        <f>('Forage, input data per ha'!E36*'Parameters, country spec'!L79+'Forage, input data per ha'!H36*'Parameters, country spec'!L80)*44/28/'Forage, input data per ha'!C36</f>
        <v>1.7791881525427124E-4</v>
      </c>
      <c r="I126" s="4">
        <f>H126*0.1</f>
        <v>1.7791881525427124E-5</v>
      </c>
      <c r="J126" s="4">
        <f>'Forage, input data per ha'!J36*EF_diesel_N2O*Heating_value_diesel/'Forage, input data per ha'!C36</f>
        <v>5.1533830682117992E-7</v>
      </c>
      <c r="K126" s="4"/>
      <c r="L126" s="4">
        <f>'Forage, input data per ha'!K36*'Parameters, general'!$D$17/'Forage, input data per ha'!C36</f>
        <v>1.5440765280000001E-7</v>
      </c>
      <c r="M126" s="4"/>
      <c r="N126" s="4"/>
      <c r="O126" s="4">
        <f>'Parameters, general'!$D$20</f>
        <v>6.8099999999999988E-5</v>
      </c>
      <c r="P126" s="4"/>
    </row>
    <row r="127" spans="1:19" x14ac:dyDescent="0.35">
      <c r="A127" s="152"/>
      <c r="B127" s="152" t="s">
        <v>334</v>
      </c>
      <c r="C127" s="152" t="s">
        <v>90</v>
      </c>
      <c r="D127" s="152" t="s">
        <v>54</v>
      </c>
      <c r="E127" s="338">
        <f>SUM(F127:P127)</f>
        <v>0.22604362206757933</v>
      </c>
      <c r="F127" s="338">
        <f>SUMPRODUCT(F123:F126,'Parameters, general'!$B$23:$B$26)</f>
        <v>3.2353634923456949E-2</v>
      </c>
      <c r="G127" s="338">
        <f>SUMPRODUCT(G123:G126,'Parameters, general'!$B$23:$B$26)</f>
        <v>3.01313E-2</v>
      </c>
      <c r="H127" s="338">
        <f>SUMPRODUCT(H123:H126,'Parameters, general'!$B$23:$B$26)</f>
        <v>4.8571836564416049E-2</v>
      </c>
      <c r="I127" s="338">
        <f>SUMPRODUCT(I123:I126,'Parameters, general'!$B$23:$B$26)</f>
        <v>4.8571836564416044E-3</v>
      </c>
      <c r="J127" s="338">
        <f>SUMPRODUCT(J123:J126,'Parameters, general'!$B$23:$B$26)</f>
        <v>1.95725221156858E-2</v>
      </c>
      <c r="K127" s="338">
        <f>SUMPRODUCT(K123:K126,'Parameters, general'!$B$23:$B$26)</f>
        <v>0</v>
      </c>
      <c r="L127" s="338">
        <f>SUMPRODUCT(L123:L126,'Parameters, general'!$B$23:$B$26)</f>
        <v>4.1674448075789015E-3</v>
      </c>
      <c r="M127" s="338">
        <f>SUMPRODUCT(M123:M126,'Parameters, general'!$B$23:$B$26)</f>
        <v>0</v>
      </c>
      <c r="N127" s="338">
        <f>SUMPRODUCT(N123:N126,'Parameters, general'!$B$23:$B$26)</f>
        <v>0</v>
      </c>
      <c r="O127" s="338">
        <f>SUMPRODUCT(O123:O126,'Parameters, general'!$B$23:$B$26)</f>
        <v>8.6389700000000014E-2</v>
      </c>
      <c r="P127" s="338"/>
    </row>
    <row r="128" spans="1:19" x14ac:dyDescent="0.35">
      <c r="B128" t="s">
        <v>334</v>
      </c>
      <c r="C128" t="s">
        <v>86</v>
      </c>
      <c r="D128" t="s">
        <v>493</v>
      </c>
      <c r="E128" s="4">
        <f t="shared" ref="E128:E131" si="18">SUM(F128:P128)</f>
        <v>0.10073778158324222</v>
      </c>
      <c r="F128" s="4">
        <f>'Forage, input data per ha'!E37*(Frac_BAT_GB*EF_min_fert_BAT_CO2+Frac_AN_GB*EF_min_fert_AN_CO2)/'Forage, input data per ha'!C37</f>
        <v>5.4215639296764179E-2</v>
      </c>
      <c r="G128" s="4">
        <f>EF_capital_goods_CO2</f>
        <v>2.7E-2</v>
      </c>
      <c r="H128" s="4"/>
      <c r="I128" s="4"/>
      <c r="J128" s="4">
        <f>'Forage, input data per ha'!J37*EF_diesel_CO2*Heating_value_diesel/'Forage, input data per ha'!C37</f>
        <v>1.2994693103255812E-2</v>
      </c>
      <c r="K128" s="4"/>
      <c r="L128" s="4">
        <f>'Forage, input data per ha'!K37*'Parameters, general'!$B$17/'Forage, input data per ha'!C37</f>
        <v>6.5274491832222319E-3</v>
      </c>
      <c r="M128" s="4"/>
      <c r="N128" s="271"/>
      <c r="O128" s="4"/>
      <c r="P128" s="4"/>
    </row>
    <row r="129" spans="1:19" x14ac:dyDescent="0.35">
      <c r="B129" t="s">
        <v>334</v>
      </c>
      <c r="C129" t="s">
        <v>87</v>
      </c>
      <c r="D129" t="s">
        <v>493</v>
      </c>
      <c r="E129" s="4">
        <f t="shared" si="18"/>
        <v>2.2204291727713688E-4</v>
      </c>
      <c r="F129" s="4">
        <f>'Forage, input data per ha'!E37*(Frac_BAT_GB*EF_min_fert_BAT_CH4+Frac_AN_GB*EF_min_fert_AN_CH4)/'Forage, input data per ha'!C37</f>
        <v>9.9455899069611934E-5</v>
      </c>
      <c r="G129" s="4">
        <f>EF_capital_goods_CH4</f>
        <v>9.5000000000000005E-5</v>
      </c>
      <c r="H129" s="4"/>
      <c r="I129" s="4"/>
      <c r="J129" s="4">
        <f>'Forage, input data per ha'!J37*EF_diesel_CH4*Heating_value_diesel/'Forage, input data per ha'!C37</f>
        <v>5.756210867524934E-6</v>
      </c>
      <c r="K129" s="4"/>
      <c r="L129" s="4">
        <f>'Forage, input data per ha'!K37*'Parameters, general'!$C$17/'Forage, input data per ha'!C37</f>
        <v>2.1830807340000004E-5</v>
      </c>
      <c r="M129" s="4"/>
      <c r="N129" s="4"/>
      <c r="O129" s="4"/>
      <c r="P129" s="4"/>
    </row>
    <row r="130" spans="1:19" x14ac:dyDescent="0.35">
      <c r="B130" t="s">
        <v>334</v>
      </c>
      <c r="C130" t="s">
        <v>297</v>
      </c>
      <c r="D130" t="s">
        <v>493</v>
      </c>
      <c r="E130" s="4">
        <f t="shared" si="18"/>
        <v>0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</row>
    <row r="131" spans="1:19" x14ac:dyDescent="0.35">
      <c r="B131" t="s">
        <v>334</v>
      </c>
      <c r="C131" t="s">
        <v>89</v>
      </c>
      <c r="D131" t="s">
        <v>493</v>
      </c>
      <c r="E131" s="4">
        <f t="shared" si="18"/>
        <v>5.3782051762126762E-4</v>
      </c>
      <c r="F131" s="4">
        <f>'Forage, input data per ha'!E37*(Frac_BAT_GB*EF_min_fert_BAT_N2O+Frac_AN_GB*EF_min_fert_AN_N2O)/'Forage, input data per ha'!C37</f>
        <v>1.1912179629242993E-4</v>
      </c>
      <c r="G131" s="4">
        <f>EF_capital_goods_N2O</f>
        <v>1.1000000000000001E-6</v>
      </c>
      <c r="H131" s="4">
        <f>('Forage, input data per ha'!E37*'Parameters, country spec'!$M$79+'Forage, input data per ha'!H37*'Parameters, country spec'!$M$80)*44/28/'Forage, input data per ha'!C37</f>
        <v>3.7907352685714283E-4</v>
      </c>
      <c r="I131" s="4">
        <f>H131*0.1</f>
        <v>3.7907352685714287E-5</v>
      </c>
      <c r="J131" s="4">
        <f>'Forage, input data per ha'!J37*EF_diesel_N2O*Heating_value_diesel/'Forage, input data per ha'!C37</f>
        <v>3.4917247010855983E-7</v>
      </c>
      <c r="K131" s="4"/>
      <c r="L131" s="4">
        <f>'Forage, input data per ha'!K37*'Parameters, general'!$D$17/'Forage, input data per ha'!C37</f>
        <v>2.6866931587199997E-7</v>
      </c>
      <c r="M131" s="4"/>
      <c r="N131" s="4"/>
      <c r="O131" s="4"/>
      <c r="P131" s="4"/>
    </row>
    <row r="132" spans="1:19" ht="15" customHeight="1" x14ac:dyDescent="0.35">
      <c r="A132" s="152"/>
      <c r="B132" s="152" t="s">
        <v>334</v>
      </c>
      <c r="C132" s="152" t="s">
        <v>90</v>
      </c>
      <c r="D132" s="152" t="s">
        <v>493</v>
      </c>
      <c r="E132" s="338">
        <f>SUM(F132:P132)</f>
        <v>0.25417966182870694</v>
      </c>
      <c r="F132" s="338">
        <f>SUMPRODUCT(F128:F131,'Parameters, general'!$B$23:$B$26)</f>
        <v>8.9699675476871993E-2</v>
      </c>
      <c r="G132" s="338">
        <f>SUMPRODUCT(G128:G131,'Parameters, general'!$B$23:$B$26)</f>
        <v>3.01313E-2</v>
      </c>
      <c r="H132" s="338">
        <f>SUMPRODUCT(H128:H131,'Parameters, general'!$B$23:$B$26)</f>
        <v>0.103487072832</v>
      </c>
      <c r="I132" s="338">
        <f>SUMPRODUCT(I128:I131,'Parameters, general'!$B$23:$B$26)</f>
        <v>1.03487072832E-2</v>
      </c>
      <c r="J132" s="338">
        <f>SUMPRODUCT(J128:J131,'Parameters, general'!$B$23:$B$26)</f>
        <v>1.3261552271447692E-2</v>
      </c>
      <c r="K132" s="338">
        <f>SUMPRODUCT(K128:K131,'Parameters, general'!$B$23:$B$26)</f>
        <v>0</v>
      </c>
      <c r="L132" s="338">
        <f>SUMPRODUCT(L128:L131,'Parameters, general'!$B$23:$B$26)</f>
        <v>7.251353965187288E-3</v>
      </c>
      <c r="M132" s="338">
        <f>SUMPRODUCT(M128:M131,'Parameters, general'!$B$23:$B$26)</f>
        <v>0</v>
      </c>
      <c r="N132" s="338">
        <f>SUMPRODUCT(N128:N131,'Parameters, general'!$B$23:$B$26)</f>
        <v>0</v>
      </c>
      <c r="O132" s="338">
        <f>SUMPRODUCT(O128:O131,'Parameters, general'!$B$23:$B$26)</f>
        <v>0</v>
      </c>
      <c r="P132" s="338"/>
      <c r="R132" s="122"/>
      <c r="S132" s="6"/>
    </row>
    <row r="133" spans="1:19" x14ac:dyDescent="0.35"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</row>
    <row r="134" spans="1:19" ht="18.5" x14ac:dyDescent="0.45">
      <c r="A134" s="260" t="s">
        <v>367</v>
      </c>
      <c r="B134" s="107"/>
      <c r="C134" s="107"/>
      <c r="D134" s="107"/>
      <c r="E134" s="107"/>
      <c r="F134" s="107"/>
      <c r="G134" s="107"/>
      <c r="H134" s="107"/>
      <c r="I134" s="107"/>
      <c r="J134" s="107"/>
      <c r="K134" s="107"/>
      <c r="L134" s="107"/>
      <c r="M134" s="107"/>
      <c r="N134" s="107"/>
      <c r="O134" s="107"/>
      <c r="P134" s="107"/>
    </row>
    <row r="136" spans="1:19" x14ac:dyDescent="0.35">
      <c r="A136" s="261" t="s">
        <v>215</v>
      </c>
      <c r="B136" s="262"/>
      <c r="C136" s="262"/>
      <c r="D136" s="262"/>
      <c r="E136" s="263" t="s">
        <v>60</v>
      </c>
      <c r="F136" s="263" t="s">
        <v>61</v>
      </c>
      <c r="G136" s="264"/>
      <c r="H136" s="263" t="s">
        <v>62</v>
      </c>
      <c r="I136" s="265"/>
      <c r="J136" s="266" t="s">
        <v>63</v>
      </c>
      <c r="K136" s="265"/>
      <c r="L136" s="265"/>
      <c r="M136" s="265"/>
      <c r="N136" s="266" t="s">
        <v>64</v>
      </c>
      <c r="O136" s="266" t="s">
        <v>291</v>
      </c>
      <c r="P136" s="266" t="s">
        <v>65</v>
      </c>
    </row>
    <row r="137" spans="1:19" ht="43.5" x14ac:dyDescent="0.35">
      <c r="A137" s="267" t="s">
        <v>14</v>
      </c>
      <c r="B137" s="267" t="s">
        <v>215</v>
      </c>
      <c r="C137" s="267" t="s">
        <v>69</v>
      </c>
      <c r="D137" s="268" t="s">
        <v>292</v>
      </c>
      <c r="E137" s="269"/>
      <c r="F137" s="46" t="s">
        <v>218</v>
      </c>
      <c r="G137" s="46" t="s">
        <v>71</v>
      </c>
      <c r="H137" s="46" t="s">
        <v>219</v>
      </c>
      <c r="I137" s="46" t="s">
        <v>220</v>
      </c>
      <c r="J137" s="46" t="s">
        <v>72</v>
      </c>
      <c r="K137" s="46" t="s">
        <v>73</v>
      </c>
      <c r="L137" s="46" t="s">
        <v>74</v>
      </c>
      <c r="M137" s="46" t="s">
        <v>75</v>
      </c>
      <c r="N137" s="46" t="s">
        <v>76</v>
      </c>
      <c r="O137" s="46"/>
      <c r="P137" s="46"/>
    </row>
    <row r="138" spans="1:19" x14ac:dyDescent="0.35">
      <c r="B138" t="s">
        <v>367</v>
      </c>
      <c r="C138" t="s">
        <v>86</v>
      </c>
      <c r="D138" t="s">
        <v>85</v>
      </c>
      <c r="E138" s="4">
        <f t="shared" ref="E138:E141" si="19">SUM(F138:P138)</f>
        <v>9.2258412802680323E-2</v>
      </c>
      <c r="F138" s="4">
        <f>'Forage, input data per ha'!E44*(Frac_BAT_DK*EF_min_fert_BAT_CO2+Frac_AN_DK*EF_min_fert_AN_CO2)/'Forage, input data per ha'!C44</f>
        <v>8.4353634553484096E-3</v>
      </c>
      <c r="G138" s="4">
        <f>EF_capital_goods_CO2</f>
        <v>2.7E-2</v>
      </c>
      <c r="H138" s="4"/>
      <c r="I138" s="4"/>
      <c r="J138" s="4">
        <f>'Forage, input data per ha'!J44*EF_diesel_CO2*Heating_value_diesel/'Forage, input data per ha'!C44</f>
        <v>1.012304934733191E-2</v>
      </c>
      <c r="K138" s="4"/>
      <c r="L138" s="4">
        <f>'Forage, input data per ha'!K44*'Parameters, general'!$B$17/'Forage, input data per ha'!C44</f>
        <v>0</v>
      </c>
      <c r="M138" s="4"/>
      <c r="N138" s="4"/>
      <c r="O138" s="4">
        <f>'Parameters, general'!$B$20</f>
        <v>4.6700000000000005E-2</v>
      </c>
      <c r="P138" s="4"/>
    </row>
    <row r="139" spans="1:19" x14ac:dyDescent="0.35">
      <c r="B139" t="s">
        <v>367</v>
      </c>
      <c r="C139" t="s">
        <v>87</v>
      </c>
      <c r="D139" t="s">
        <v>85</v>
      </c>
      <c r="E139" s="4">
        <f t="shared" si="19"/>
        <v>8.1809627339353734E-4</v>
      </c>
      <c r="F139" s="4">
        <f>'Forage, input data per ha'!E44*(Frac_BAT_DK*EF_min_fert_BAT_CH4+Frac_AN_DK*EF_min_fert_AN_CH4)/'Forage, input data per ha'!C44</f>
        <v>1.0612103878906502E-5</v>
      </c>
      <c r="G139" s="4">
        <f>EF_capital_goods_CH4</f>
        <v>9.5000000000000005E-5</v>
      </c>
      <c r="H139" s="4"/>
      <c r="I139" s="4"/>
      <c r="J139" s="4">
        <f>'Forage, input data per ha'!J44*EF_diesel_CH4*Heating_value_diesel/'Forage, input data per ha'!C44</f>
        <v>4.4841695146308248E-6</v>
      </c>
      <c r="K139" s="4"/>
      <c r="L139" s="4">
        <f>'Forage, input data per ha'!K44*'Parameters, general'!$C$17/'Forage, input data per ha'!C44</f>
        <v>0</v>
      </c>
      <c r="M139" s="4"/>
      <c r="N139" s="4"/>
      <c r="O139" s="4">
        <f>'Parameters, general'!$C$20</f>
        <v>7.0799999999999997E-4</v>
      </c>
      <c r="P139" s="4"/>
    </row>
    <row r="140" spans="1:19" x14ac:dyDescent="0.35">
      <c r="B140" t="s">
        <v>367</v>
      </c>
      <c r="C140" t="s">
        <v>297</v>
      </c>
      <c r="D140" t="s">
        <v>85</v>
      </c>
      <c r="E140" s="4">
        <f t="shared" si="19"/>
        <v>0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</row>
    <row r="141" spans="1:19" x14ac:dyDescent="0.35">
      <c r="B141" t="s">
        <v>367</v>
      </c>
      <c r="C141" t="s">
        <v>89</v>
      </c>
      <c r="D141" t="s">
        <v>85</v>
      </c>
      <c r="E141" s="4">
        <f t="shared" si="19"/>
        <v>1.9327562993822904E-4</v>
      </c>
      <c r="F141" s="4">
        <f>'Forage, input data per ha'!E44*(Frac_BAT_DK*EF_min_fert_BAT_N2O+Frac_AN_DK*EF_min_fert_AN_N2O)/'Forage, input data per ha'!C44</f>
        <v>1.7737636000089721E-5</v>
      </c>
      <c r="G141" s="4">
        <f>EF_capital_goods_N2O</f>
        <v>1.1000000000000001E-6</v>
      </c>
      <c r="H141" s="4">
        <f>('Forage, input data per ha'!E44*'Parameters, country spec'!B79+'Forage, input data per ha'!H44*'Parameters, country spec'!B80)*44/28/'Forage, input data per ha'!C44</f>
        <v>9.6423621504873331E-5</v>
      </c>
      <c r="I141" s="4">
        <f>H141*0.1</f>
        <v>9.6423621504873331E-6</v>
      </c>
      <c r="J141" s="4">
        <f>'Forage, input data per ha'!J44*EF_diesel_N2O*Heating_value_diesel/'Forage, input data per ha'!C44</f>
        <v>2.720102827786762E-7</v>
      </c>
      <c r="K141" s="4"/>
      <c r="L141" s="4">
        <f>'Forage, input data per ha'!K44*'Parameters, general'!$D$17/'Forage, input data per ha'!C44</f>
        <v>0</v>
      </c>
      <c r="M141" s="4"/>
      <c r="N141" s="4"/>
      <c r="O141" s="4">
        <f>'Parameters, general'!$D$20</f>
        <v>6.8099999999999988E-5</v>
      </c>
      <c r="P141" s="4"/>
    </row>
    <row r="142" spans="1:19" x14ac:dyDescent="0.35">
      <c r="A142" s="152"/>
      <c r="B142" s="152" t="s">
        <v>367</v>
      </c>
      <c r="C142" s="152" t="s">
        <v>90</v>
      </c>
      <c r="D142" s="152" t="s">
        <v>85</v>
      </c>
      <c r="E142" s="338">
        <f>SUM(F142:P142)</f>
        <v>0.16940192872294429</v>
      </c>
      <c r="F142" s="338">
        <f>SUMPRODUCT(F138:F141,'Parameters, general'!$B$23:$B$26)</f>
        <v>1.3593978778964316E-2</v>
      </c>
      <c r="G142" s="338">
        <f>SUMPRODUCT(G138:G141,'Parameters, general'!$B$23:$B$26)</f>
        <v>3.01313E-2</v>
      </c>
      <c r="H142" s="338">
        <f>SUMPRODUCT(H138:H141,'Parameters, general'!$B$23:$B$26)</f>
        <v>2.6323648670830421E-2</v>
      </c>
      <c r="I142" s="338">
        <f>SUMPRODUCT(I138:I141,'Parameters, general'!$B$23:$B$26)</f>
        <v>2.632364867083042E-3</v>
      </c>
      <c r="J142" s="338">
        <f>SUMPRODUCT(J138:J141,'Parameters, general'!$B$23:$B$26)</f>
        <v>1.0330936406066488E-2</v>
      </c>
      <c r="K142" s="338">
        <f>SUMPRODUCT(K138:K141,'Parameters, general'!$B$23:$B$26)</f>
        <v>0</v>
      </c>
      <c r="L142" s="338">
        <f>SUMPRODUCT(L138:L141,'Parameters, general'!$B$23:$B$26)</f>
        <v>0</v>
      </c>
      <c r="M142" s="338">
        <f>SUMPRODUCT(M138:M141,'Parameters, general'!$B$23:$B$26)</f>
        <v>0</v>
      </c>
      <c r="N142" s="338">
        <f>SUMPRODUCT(N138:N141,'Parameters, general'!$B$23:$B$26)</f>
        <v>0</v>
      </c>
      <c r="O142" s="338">
        <f>SUMPRODUCT(O138:O141,'Parameters, general'!$B$23:$B$26)</f>
        <v>8.6389700000000014E-2</v>
      </c>
      <c r="P142" s="338">
        <f>SUMPRODUCT(P138:P141,'Parameters, general'!$B$23:$B$26)</f>
        <v>0</v>
      </c>
    </row>
    <row r="143" spans="1:19" x14ac:dyDescent="0.35">
      <c r="B143" t="s">
        <v>367</v>
      </c>
      <c r="C143" t="s">
        <v>86</v>
      </c>
      <c r="D143" t="s">
        <v>36</v>
      </c>
      <c r="E143" s="4">
        <f t="shared" ref="E143:E151" si="20">SUM(F143:P143)</f>
        <v>0.10483794372422073</v>
      </c>
      <c r="F143" s="4">
        <f>'Forage, input data per ha'!E45*(Frac_BAT_FR*EF_min_fert_BAT_CO2+Frac_AN_FR*EF_min_fert_AN_CO2)/'Forage, input data per ha'!C45</f>
        <v>1.8033196435898471E-2</v>
      </c>
      <c r="G143" s="4">
        <f>EF_capital_goods_CO2</f>
        <v>2.7E-2</v>
      </c>
      <c r="H143" s="4"/>
      <c r="I143" s="4"/>
      <c r="J143" s="4">
        <f>'Forage, input data per ha'!J45*EF_diesel_CO2*Heating_value_diesel/'Forage, input data per ha'!C45</f>
        <v>1.3104747288322258E-2</v>
      </c>
      <c r="K143" s="4"/>
      <c r="L143" s="4">
        <f>'Forage, input data per ha'!K45*'Parameters, general'!$B$17/'Forage, input data per ha'!C45</f>
        <v>0</v>
      </c>
      <c r="M143" s="4"/>
      <c r="N143" s="271"/>
      <c r="O143" s="4">
        <f>'Parameters, general'!$B$20</f>
        <v>4.6700000000000005E-2</v>
      </c>
      <c r="P143" s="4"/>
    </row>
    <row r="144" spans="1:19" x14ac:dyDescent="0.35">
      <c r="B144" t="s">
        <v>367</v>
      </c>
      <c r="C144" t="s">
        <v>87</v>
      </c>
      <c r="D144" t="s">
        <v>36</v>
      </c>
      <c r="E144" s="4">
        <f t="shared" si="20"/>
        <v>8.4188596486894549E-4</v>
      </c>
      <c r="F144" s="4">
        <f>'Forage, input data per ha'!E45*(Frac_BAT_FR*EF_min_fert_BAT_CH4+Frac_AN_FR*EF_min_fert_AN_CH4)/'Forage, input data per ha'!C45</f>
        <v>3.3081003708430824E-5</v>
      </c>
      <c r="G144" s="4">
        <f>EF_capital_goods_CH4</f>
        <v>9.5000000000000005E-5</v>
      </c>
      <c r="H144" s="4"/>
      <c r="I144" s="4"/>
      <c r="J144" s="4">
        <f>'Forage, input data per ha'!J45*EF_diesel_CH4*Heating_value_diesel/'Forage, input data per ha'!C45</f>
        <v>5.8049611605147208E-6</v>
      </c>
      <c r="K144" s="4"/>
      <c r="L144" s="4">
        <f>'Forage, input data per ha'!K45*'Parameters, general'!$C$17/'Forage, input data per ha'!C45</f>
        <v>0</v>
      </c>
      <c r="M144" s="4"/>
      <c r="N144" s="4"/>
      <c r="O144" s="4">
        <f>'Parameters, general'!$C$20</f>
        <v>7.0799999999999997E-4</v>
      </c>
      <c r="P144" s="4"/>
    </row>
    <row r="145" spans="1:16" x14ac:dyDescent="0.35">
      <c r="B145" t="s">
        <v>367</v>
      </c>
      <c r="C145" t="s">
        <v>297</v>
      </c>
      <c r="D145" t="s">
        <v>36</v>
      </c>
      <c r="E145" s="4">
        <f t="shared" si="20"/>
        <v>0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</row>
    <row r="146" spans="1:16" x14ac:dyDescent="0.35">
      <c r="B146" t="s">
        <v>367</v>
      </c>
      <c r="C146" t="s">
        <v>89</v>
      </c>
      <c r="D146" t="s">
        <v>36</v>
      </c>
      <c r="E146" s="4">
        <f t="shared" si="20"/>
        <v>2.7334375665426876E-4</v>
      </c>
      <c r="F146" s="4">
        <f>'Forage, input data per ha'!E45*(Frac_BAT_FR*EF_min_fert_BAT_N2O+Frac_AN_FR*EF_min_fert_AN_N2O)/'Forage, input data per ha'!C45</f>
        <v>3.9622270994168309E-5</v>
      </c>
      <c r="G146" s="4">
        <f>EF_capital_goods_N2O</f>
        <v>1.1000000000000001E-6</v>
      </c>
      <c r="H146" s="4">
        <f>('Forage, input data per ha'!E45*'Parameters, country spec'!C79+'Forage, input data per ha'!H45*'Parameters, country spec'!C80)*44/28/'Forage, input data per ha'!C45</f>
        <v>1.492448690828462E-4</v>
      </c>
      <c r="I146" s="4">
        <f>H146*0.1</f>
        <v>1.4924486908284621E-5</v>
      </c>
      <c r="J146" s="4">
        <f>'Forage, input data per ha'!J45*EF_diesel_N2O*Heating_value_diesel/'Forage, input data per ha'!C45</f>
        <v>3.521296689696708E-7</v>
      </c>
      <c r="K146" s="4"/>
      <c r="L146" s="4">
        <f>'Forage, input data per ha'!K45*'Parameters, general'!$D$17/'Forage, input data per ha'!C45</f>
        <v>0</v>
      </c>
      <c r="M146" s="4"/>
      <c r="N146" s="4"/>
      <c r="O146" s="4">
        <f>'Parameters, general'!$D$20</f>
        <v>6.8099999999999988E-5</v>
      </c>
      <c r="P146" s="4"/>
    </row>
    <row r="147" spans="1:16" x14ac:dyDescent="0.35">
      <c r="A147" s="152"/>
      <c r="B147" s="152" t="s">
        <v>367</v>
      </c>
      <c r="C147" s="152" t="s">
        <v>90</v>
      </c>
      <c r="D147" s="152" t="s">
        <v>36</v>
      </c>
      <c r="E147" s="338">
        <f>SUM(F147:P147)</f>
        <v>0.20454899104393071</v>
      </c>
      <c r="F147" s="338">
        <f>SUMPRODUCT(F143:F146,'Parameters, general'!$B$23:$B$26)</f>
        <v>2.9835890327817659E-2</v>
      </c>
      <c r="G147" s="338">
        <f>SUMPRODUCT(G143:G146,'Parameters, general'!$B$23:$B$26)</f>
        <v>3.01313E-2</v>
      </c>
      <c r="H147" s="338">
        <f>SUMPRODUCT(H143:H146,'Parameters, general'!$B$23:$B$26)</f>
        <v>4.0743849259617014E-2</v>
      </c>
      <c r="I147" s="338">
        <f>SUMPRODUCT(I143:I146,'Parameters, general'!$B$23:$B$26)</f>
        <v>4.0743849259617018E-3</v>
      </c>
      <c r="J147" s="338">
        <f>SUMPRODUCT(J143:J146,'Parameters, general'!$B$23:$B$26)</f>
        <v>1.3373866530534318E-2</v>
      </c>
      <c r="K147" s="338">
        <f>SUMPRODUCT(K143:K146,'Parameters, general'!$B$23:$B$26)</f>
        <v>0</v>
      </c>
      <c r="L147" s="338">
        <f>SUMPRODUCT(L143:L146,'Parameters, general'!$B$23:$B$26)</f>
        <v>0</v>
      </c>
      <c r="M147" s="338">
        <f>SUMPRODUCT(M143:M146,'Parameters, general'!$B$23:$B$26)</f>
        <v>0</v>
      </c>
      <c r="N147" s="338">
        <f>SUMPRODUCT(N143:N146,'Parameters, general'!$B$23:$B$26)</f>
        <v>0</v>
      </c>
      <c r="O147" s="338">
        <f>SUMPRODUCT(O143:O146,'Parameters, general'!$B$23:$B$26)</f>
        <v>8.6389700000000014E-2</v>
      </c>
      <c r="P147" s="338">
        <f>SUMPRODUCT(P143:P146,'Parameters, general'!$B$23:$B$26)</f>
        <v>0</v>
      </c>
    </row>
    <row r="148" spans="1:16" x14ac:dyDescent="0.35">
      <c r="B148" t="s">
        <v>367</v>
      </c>
      <c r="C148" t="s">
        <v>86</v>
      </c>
      <c r="D148" t="s">
        <v>38</v>
      </c>
      <c r="E148" s="4">
        <f t="shared" si="20"/>
        <v>0.10799551367465239</v>
      </c>
      <c r="F148" s="4">
        <f>'Forage, input data per ha'!E46*(Frac_BAT_DE*EF_min_fert_BAT_CO2+Frac_AN_DE*EF_min_fert_AN_CO2)/'Forage, input data per ha'!C46</f>
        <v>2.1132412362766816E-2</v>
      </c>
      <c r="G148" s="4">
        <f>EF_capital_goods_CO2</f>
        <v>2.7E-2</v>
      </c>
      <c r="H148" s="4"/>
      <c r="I148" s="4"/>
      <c r="J148" s="4">
        <f>'Forage, input data per ha'!J46*EF_diesel_CO2*Heating_value_diesel/'Forage, input data per ha'!C46</f>
        <v>1.3163101311885569E-2</v>
      </c>
      <c r="K148" s="4"/>
      <c r="L148" s="4">
        <f>'Forage, input data per ha'!K46*'Parameters, general'!$B$17/'Forage, input data per ha'!C46</f>
        <v>0</v>
      </c>
      <c r="M148" s="4"/>
      <c r="N148" s="4"/>
      <c r="O148" s="4">
        <f>'Parameters, general'!$B$20</f>
        <v>4.6700000000000005E-2</v>
      </c>
      <c r="P148" s="4"/>
    </row>
    <row r="149" spans="1:16" x14ac:dyDescent="0.35">
      <c r="B149" t="s">
        <v>367</v>
      </c>
      <c r="C149" t="s">
        <v>87</v>
      </c>
      <c r="D149" t="s">
        <v>38</v>
      </c>
      <c r="E149" s="4">
        <f t="shared" si="20"/>
        <v>8.475971715089821E-4</v>
      </c>
      <c r="F149" s="4">
        <f>'Forage, input data per ha'!E46*(Frac_BAT_DE*EF_min_fert_BAT_CH4+Frac_AN_DE*EF_min_fert_AN_CH4)/'Forage, input data per ha'!C46</f>
        <v>3.8766361483709314E-5</v>
      </c>
      <c r="G149" s="4">
        <f>EF_capital_goods_CH4</f>
        <v>9.5000000000000005E-5</v>
      </c>
      <c r="H149" s="4"/>
      <c r="I149" s="4"/>
      <c r="J149" s="4">
        <f>'Forage, input data per ha'!J46*EF_diesel_CH4*Heating_value_diesel/'Forage, input data per ha'!C46</f>
        <v>5.8308100252728102E-6</v>
      </c>
      <c r="K149" s="4"/>
      <c r="L149" s="4">
        <f>'Forage, input data per ha'!K46*'Parameters, general'!$C$17/'Forage, input data per ha'!C46</f>
        <v>0</v>
      </c>
      <c r="M149" s="4"/>
      <c r="N149" s="4"/>
      <c r="O149" s="4">
        <f>'Parameters, general'!$C$20</f>
        <v>7.0799999999999997E-4</v>
      </c>
      <c r="P149" s="4"/>
    </row>
    <row r="150" spans="1:16" x14ac:dyDescent="0.35">
      <c r="B150" t="s">
        <v>367</v>
      </c>
      <c r="C150" t="s">
        <v>297</v>
      </c>
      <c r="D150" t="s">
        <v>38</v>
      </c>
      <c r="E150" s="4">
        <f t="shared" si="20"/>
        <v>0</v>
      </c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</row>
    <row r="151" spans="1:16" x14ac:dyDescent="0.35">
      <c r="B151" t="s">
        <v>367</v>
      </c>
      <c r="C151" t="s">
        <v>89</v>
      </c>
      <c r="D151" t="s">
        <v>38</v>
      </c>
      <c r="E151" s="4">
        <f t="shared" si="20"/>
        <v>3.029214170658229E-4</v>
      </c>
      <c r="F151" s="4">
        <f>'Forage, input data per ha'!E46*(Frac_BAT_DE*EF_min_fert_BAT_N2O+Frac_AN_DE*EF_min_fert_AN_N2O)/'Forage, input data per ha'!C46</f>
        <v>4.6431822132832091E-5</v>
      </c>
      <c r="G151" s="4">
        <f>EF_capital_goods_N2O</f>
        <v>1.1000000000000001E-6</v>
      </c>
      <c r="H151" s="4">
        <f>('Forage, input data per ha'!E46*'Parameters, country spec'!D79+'Forage, input data per ha'!H46*'Parameters, country spec'!D80)*44/28/'Forage, input data per ha'!C46</f>
        <v>1.6994172478968788E-4</v>
      </c>
      <c r="I151" s="4">
        <f>H151*0.1</f>
        <v>1.6994172478968787E-5</v>
      </c>
      <c r="J151" s="4">
        <f>'Forage, input data per ha'!J46*EF_diesel_N2O*Heating_value_diesel/'Forage, input data per ha'!C46</f>
        <v>3.5369766433412225E-7</v>
      </c>
      <c r="K151" s="4"/>
      <c r="L151" s="4">
        <f>'Forage, input data per ha'!K46*'Parameters, general'!$D$17/'Forage, input data per ha'!C46</f>
        <v>0</v>
      </c>
      <c r="M151" s="4"/>
      <c r="N151" s="4"/>
      <c r="O151" s="4">
        <f>'Parameters, general'!$D$20</f>
        <v>6.8099999999999988E-5</v>
      </c>
      <c r="P151" s="4"/>
    </row>
    <row r="152" spans="1:16" x14ac:dyDescent="0.35">
      <c r="A152" s="152"/>
      <c r="B152" s="152" t="s">
        <v>367</v>
      </c>
      <c r="C152" s="152" t="s">
        <v>90</v>
      </c>
      <c r="D152" s="152" t="s">
        <v>38</v>
      </c>
      <c r="E152" s="338">
        <f>SUM(F152:P152)</f>
        <v>0.21595145624458972</v>
      </c>
      <c r="F152" s="338">
        <f>SUMPRODUCT(F148:F151,'Parameters, general'!$B$23:$B$26)</f>
        <v>3.4963537377244516E-2</v>
      </c>
      <c r="G152" s="338">
        <f>SUMPRODUCT(G148:G151,'Parameters, general'!$B$23:$B$26)</f>
        <v>3.01313E-2</v>
      </c>
      <c r="H152" s="338">
        <f>SUMPRODUCT(H148:H151,'Parameters, general'!$B$23:$B$26)</f>
        <v>4.6394090867584795E-2</v>
      </c>
      <c r="I152" s="338">
        <f>SUMPRODUCT(I148:I151,'Parameters, general'!$B$23:$B$26)</f>
        <v>4.6394090867584786E-3</v>
      </c>
      <c r="J152" s="338">
        <f>SUMPRODUCT(J148:J151,'Parameters, general'!$B$23:$B$26)</f>
        <v>1.3433418913001914E-2</v>
      </c>
      <c r="K152" s="338">
        <f>SUMPRODUCT(K148:K151,'Parameters, general'!$B$23:$B$26)</f>
        <v>0</v>
      </c>
      <c r="L152" s="338">
        <f>SUMPRODUCT(L148:L151,'Parameters, general'!$B$23:$B$26)</f>
        <v>0</v>
      </c>
      <c r="M152" s="338">
        <f>SUMPRODUCT(M148:M151,'Parameters, general'!$B$23:$B$26)</f>
        <v>0</v>
      </c>
      <c r="N152" s="338">
        <f>SUMPRODUCT(N148:N151,'Parameters, general'!$B$23:$B$26)</f>
        <v>0</v>
      </c>
      <c r="O152" s="338">
        <f>SUMPRODUCT(O148:O151,'Parameters, general'!$B$23:$B$26)</f>
        <v>8.6389700000000014E-2</v>
      </c>
      <c r="P152" s="338">
        <f>SUMPRODUCT(P148:P151,'Parameters, general'!$B$23:$B$26)</f>
        <v>0</v>
      </c>
    </row>
    <row r="153" spans="1:16" x14ac:dyDescent="0.35">
      <c r="B153" t="s">
        <v>367</v>
      </c>
      <c r="C153" t="s">
        <v>86</v>
      </c>
      <c r="D153" t="s">
        <v>40</v>
      </c>
      <c r="E153" s="4">
        <f t="shared" ref="E153:E161" si="21">SUM(F153:P153)</f>
        <v>0.12786808282506407</v>
      </c>
      <c r="F153" s="4">
        <f>'Forage, input data per ha'!E47*(Frac_BAT_GR*EF_min_fert_BAT_CO2+Frac_AN_GR*EF_min_fert_AN_CO2)/'Forage, input data per ha'!C47</f>
        <v>2.175109426324023E-2</v>
      </c>
      <c r="G153" s="4">
        <f>EF_capital_goods_CO2</f>
        <v>2.7E-2</v>
      </c>
      <c r="H153" s="4"/>
      <c r="I153" s="4"/>
      <c r="J153" s="4">
        <f>'Forage, input data per ha'!J47*EF_diesel_CO2*Heating_value_diesel/'Forage, input data per ha'!C47</f>
        <v>3.241698856182381E-2</v>
      </c>
      <c r="K153" s="4"/>
      <c r="L153" s="4">
        <f>'Forage, input data per ha'!K47*'Parameters, general'!$B$17/'Forage, input data per ha'!C47</f>
        <v>0</v>
      </c>
      <c r="M153" s="4"/>
      <c r="N153" s="271"/>
      <c r="O153" s="4">
        <f>'Parameters, general'!$B$20</f>
        <v>4.6700000000000005E-2</v>
      </c>
      <c r="P153" s="4"/>
    </row>
    <row r="154" spans="1:16" x14ac:dyDescent="0.35">
      <c r="B154" t="s">
        <v>367</v>
      </c>
      <c r="C154" t="s">
        <v>87</v>
      </c>
      <c r="D154" t="s">
        <v>40</v>
      </c>
      <c r="E154" s="4">
        <f t="shared" si="21"/>
        <v>8.5726093556085891E-4</v>
      </c>
      <c r="F154" s="4">
        <f>'Forage, input data per ha'!E47*(Frac_BAT_GR*EF_min_fert_BAT_CH4+Frac_AN_GR*EF_min_fert_AN_CH4)/'Forage, input data per ha'!C47</f>
        <v>3.9901302719260733E-5</v>
      </c>
      <c r="G154" s="4">
        <f>EF_capital_goods_CH4</f>
        <v>9.5000000000000005E-5</v>
      </c>
      <c r="H154" s="4"/>
      <c r="I154" s="4"/>
      <c r="J154" s="4">
        <f>'Forage, input data per ha'!J47*EF_diesel_CH4*Heating_value_diesel/'Forage, input data per ha'!C47</f>
        <v>1.4359632841598194E-5</v>
      </c>
      <c r="K154" s="4"/>
      <c r="L154" s="4">
        <f>'Forage, input data per ha'!K47*'Parameters, general'!$C$17/'Forage, input data per ha'!C47</f>
        <v>0</v>
      </c>
      <c r="M154" s="4"/>
      <c r="N154" s="4"/>
      <c r="O154" s="4">
        <f>'Parameters, general'!$C$20</f>
        <v>7.0799999999999997E-4</v>
      </c>
      <c r="P154" s="4"/>
    </row>
    <row r="155" spans="1:16" x14ac:dyDescent="0.35">
      <c r="B155" t="s">
        <v>367</v>
      </c>
      <c r="C155" t="s">
        <v>297</v>
      </c>
      <c r="D155" t="s">
        <v>40</v>
      </c>
      <c r="E155" s="4">
        <f t="shared" si="21"/>
        <v>0</v>
      </c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</row>
    <row r="156" spans="1:16" x14ac:dyDescent="0.35">
      <c r="B156" t="s">
        <v>367</v>
      </c>
      <c r="C156" t="s">
        <v>89</v>
      </c>
      <c r="D156" t="s">
        <v>40</v>
      </c>
      <c r="E156" s="4">
        <f t="shared" si="21"/>
        <v>3.093429127614697E-4</v>
      </c>
      <c r="F156" s="4">
        <f>'Forage, input data per ha'!E47*(Frac_BAT_GR*EF_min_fert_BAT_N2O+Frac_AN_GR*EF_min_fert_AN_N2O)/'Forage, input data per ha'!C47</f>
        <v>4.7791180802654265E-5</v>
      </c>
      <c r="G156" s="4">
        <f>EF_capital_goods_N2O</f>
        <v>1.1000000000000001E-6</v>
      </c>
      <c r="H156" s="4">
        <f>('Forage, input data per ha'!E47*'Parameters, country spec'!E79+'Forage, input data per ha'!H47*'Parameters, country spec'!E80)*44/28/'Forage, input data per ha'!C47</f>
        <v>1.7407334076117382E-4</v>
      </c>
      <c r="I156" s="4">
        <f>H156*0.1</f>
        <v>1.7407334076117384E-5</v>
      </c>
      <c r="J156" s="4">
        <f>'Forage, input data per ha'!J47*EF_diesel_N2O*Heating_value_diesel/'Forage, input data per ha'!C47</f>
        <v>8.7105712152424362E-7</v>
      </c>
      <c r="K156" s="4"/>
      <c r="L156" s="4">
        <f>'Forage, input data per ha'!K47*'Parameters, general'!$D$17/'Forage, input data per ha'!C47</f>
        <v>0</v>
      </c>
      <c r="M156" s="4"/>
      <c r="N156" s="4"/>
      <c r="O156" s="4">
        <f>'Parameters, general'!$D$20</f>
        <v>6.8099999999999988E-5</v>
      </c>
      <c r="P156" s="4"/>
    </row>
    <row r="157" spans="1:16" x14ac:dyDescent="0.35">
      <c r="A157" s="152"/>
      <c r="B157" s="152" t="s">
        <v>367</v>
      </c>
      <c r="C157" s="152" t="s">
        <v>90</v>
      </c>
      <c r="D157" s="152" t="s">
        <v>40</v>
      </c>
      <c r="E157" s="338">
        <f>SUM(F157:P157)</f>
        <v>0.23786507388865888</v>
      </c>
      <c r="F157" s="338">
        <f>SUMPRODUCT(F153:F156,'Parameters, general'!$B$23:$B$26)</f>
        <v>3.5987145443398816E-2</v>
      </c>
      <c r="G157" s="338">
        <f>SUMPRODUCT(G153:G156,'Parameters, general'!$B$23:$B$26)</f>
        <v>3.01313E-2</v>
      </c>
      <c r="H157" s="338">
        <f>SUMPRODUCT(H153:H156,'Parameters, general'!$B$23:$B$26)</f>
        <v>4.7522022027800453E-2</v>
      </c>
      <c r="I157" s="338">
        <f>SUMPRODUCT(I153:I156,'Parameters, general'!$B$23:$B$26)</f>
        <v>4.7522022027800459E-3</v>
      </c>
      <c r="J157" s="338">
        <f>SUMPRODUCT(J153:J156,'Parameters, general'!$B$23:$B$26)</f>
        <v>3.3082704214679549E-2</v>
      </c>
      <c r="K157" s="338">
        <f>SUMPRODUCT(K153:K156,'Parameters, general'!$B$23:$B$26)</f>
        <v>0</v>
      </c>
      <c r="L157" s="338">
        <f>SUMPRODUCT(L153:L156,'Parameters, general'!$B$23:$B$26)</f>
        <v>0</v>
      </c>
      <c r="M157" s="338">
        <f>SUMPRODUCT(M153:M156,'Parameters, general'!$B$23:$B$26)</f>
        <v>0</v>
      </c>
      <c r="N157" s="338">
        <f>SUMPRODUCT(N153:N156,'Parameters, general'!$B$23:$B$26)</f>
        <v>0</v>
      </c>
      <c r="O157" s="338">
        <f>SUMPRODUCT(O153:O156,'Parameters, general'!$B$23:$B$26)</f>
        <v>8.6389700000000014E-2</v>
      </c>
      <c r="P157" s="338">
        <f>SUMPRODUCT(P153:P156,'Parameters, general'!$B$23:$B$26)</f>
        <v>0</v>
      </c>
    </row>
    <row r="158" spans="1:16" x14ac:dyDescent="0.35">
      <c r="B158" t="s">
        <v>367</v>
      </c>
      <c r="C158" t="s">
        <v>86</v>
      </c>
      <c r="D158" t="s">
        <v>91</v>
      </c>
      <c r="E158" s="4">
        <f t="shared" si="21"/>
        <v>0.1441492768067118</v>
      </c>
      <c r="F158" s="4">
        <f>'Forage, input data per ha'!E48*(Frac_BAT_HU*EF_min_fert_BAT_CO2+Frac_AN_HU*EF_min_fert_AN_CO2)/'Forage, input data per ha'!C48</f>
        <v>2.1751094263240234E-2</v>
      </c>
      <c r="G158" s="4">
        <f>EF_capital_goods_CO2</f>
        <v>2.7E-2</v>
      </c>
      <c r="H158" s="4"/>
      <c r="I158" s="4"/>
      <c r="J158" s="4">
        <f>'Forage, input data per ha'!J48*EF_diesel_CO2*Heating_value_diesel/'Forage, input data per ha'!C48</f>
        <v>4.869818254347158E-2</v>
      </c>
      <c r="K158" s="4"/>
      <c r="L158" s="4">
        <f>'Forage, input data per ha'!K48*'Parameters, general'!$B$17/'Forage, input data per ha'!C48</f>
        <v>0</v>
      </c>
      <c r="M158" s="4"/>
      <c r="N158" s="4"/>
      <c r="O158" s="4">
        <f>'Parameters, general'!$B$20</f>
        <v>4.6700000000000005E-2</v>
      </c>
      <c r="P158" s="4"/>
    </row>
    <row r="159" spans="1:16" x14ac:dyDescent="0.35">
      <c r="B159" t="s">
        <v>367</v>
      </c>
      <c r="C159" t="s">
        <v>87</v>
      </c>
      <c r="D159" t="s">
        <v>91</v>
      </c>
      <c r="E159" s="4">
        <f t="shared" si="21"/>
        <v>8.6447295549767146E-4</v>
      </c>
      <c r="F159" s="4">
        <f>'Forage, input data per ha'!E48*(Frac_BAT_HU*EF_min_fert_BAT_CH4+Frac_AN_HU*EF_min_fert_AN_CH4)/'Forage, input data per ha'!C48</f>
        <v>3.9901302719260733E-5</v>
      </c>
      <c r="G159" s="4">
        <f>EF_capital_goods_CH4</f>
        <v>9.5000000000000005E-5</v>
      </c>
      <c r="H159" s="4"/>
      <c r="I159" s="4"/>
      <c r="J159" s="4">
        <f>'Forage, input data per ha'!J48*EF_diesel_CH4*Heating_value_diesel/'Forage, input data per ha'!C48</f>
        <v>2.1571652778410818E-5</v>
      </c>
      <c r="K159" s="4"/>
      <c r="L159" s="4">
        <f>'Forage, input data per ha'!K48*'Parameters, general'!$C$17/'Forage, input data per ha'!C48</f>
        <v>0</v>
      </c>
      <c r="M159" s="4"/>
      <c r="N159" s="4"/>
      <c r="O159" s="4">
        <f>'Parameters, general'!$C$20</f>
        <v>7.0799999999999997E-4</v>
      </c>
      <c r="P159" s="4"/>
    </row>
    <row r="160" spans="1:16" x14ac:dyDescent="0.35">
      <c r="B160" t="s">
        <v>367</v>
      </c>
      <c r="C160" t="s">
        <v>297</v>
      </c>
      <c r="D160" t="s">
        <v>91</v>
      </c>
      <c r="E160" s="4">
        <f t="shared" si="21"/>
        <v>0</v>
      </c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</row>
    <row r="161" spans="1:16" x14ac:dyDescent="0.35">
      <c r="B161" t="s">
        <v>367</v>
      </c>
      <c r="C161" t="s">
        <v>89</v>
      </c>
      <c r="D161" t="s">
        <v>91</v>
      </c>
      <c r="E161" s="4">
        <f t="shared" si="21"/>
        <v>3.0978039479153508E-4</v>
      </c>
      <c r="F161" s="4">
        <f>'Forage, input data per ha'!E48*(Frac_BAT_HU*EF_min_fert_BAT_N2O+Frac_AN_HU*EF_min_fert_AN_N2O)/'Forage, input data per ha'!C48</f>
        <v>4.7791180802654265E-5</v>
      </c>
      <c r="G161" s="4">
        <f>EF_capital_goods_N2O</f>
        <v>1.1000000000000001E-6</v>
      </c>
      <c r="H161" s="4">
        <f>('Forage, input data per ha'!E48*'Parameters, country spec'!F79+'Forage, input data per ha'!H48*'Parameters, country spec'!F80)*44/28/'Forage, input data per ha'!C48</f>
        <v>1.7407334076117385E-4</v>
      </c>
      <c r="I161" s="4">
        <f>H161*0.1</f>
        <v>1.7407334076117384E-5</v>
      </c>
      <c r="J161" s="4">
        <f>'Forage, input data per ha'!J48*EF_diesel_N2O*Heating_value_diesel/'Forage, input data per ha'!C48</f>
        <v>1.3085391515895945E-6</v>
      </c>
      <c r="K161" s="4"/>
      <c r="L161" s="4">
        <f>'Forage, input data per ha'!K48*'Parameters, general'!$D$17/'Forage, input data per ha'!C48</f>
        <v>0</v>
      </c>
      <c r="M161" s="4"/>
      <c r="N161" s="4"/>
      <c r="O161" s="4">
        <f>'Parameters, general'!$D$20</f>
        <v>6.8099999999999988E-5</v>
      </c>
      <c r="P161" s="4"/>
    </row>
    <row r="162" spans="1:16" x14ac:dyDescent="0.35">
      <c r="A162" s="152"/>
      <c r="B162" s="152" t="s">
        <v>367</v>
      </c>
      <c r="C162" s="152" t="s">
        <v>90</v>
      </c>
      <c r="D162" s="152" t="s">
        <v>91</v>
      </c>
      <c r="E162" s="338">
        <f>SUM(F162:P162)</f>
        <v>0.25448061865863147</v>
      </c>
      <c r="F162" s="338">
        <f>SUMPRODUCT(F158:F161,'Parameters, general'!$B$23:$B$26)</f>
        <v>3.5987145443398816E-2</v>
      </c>
      <c r="G162" s="338">
        <f>SUMPRODUCT(G158:G161,'Parameters, general'!$B$23:$B$26)</f>
        <v>3.01313E-2</v>
      </c>
      <c r="H162" s="338">
        <f>SUMPRODUCT(H158:H161,'Parameters, general'!$B$23:$B$26)</f>
        <v>4.752202202780046E-2</v>
      </c>
      <c r="I162" s="338">
        <f>SUMPRODUCT(I158:I161,'Parameters, general'!$B$23:$B$26)</f>
        <v>4.7522022027800459E-3</v>
      </c>
      <c r="J162" s="338">
        <f>SUMPRODUCT(J158:J161,'Parameters, general'!$B$23:$B$26)</f>
        <v>4.969824898465218E-2</v>
      </c>
      <c r="K162" s="338">
        <f>SUMPRODUCT(K158:K161,'Parameters, general'!$B$23:$B$26)</f>
        <v>0</v>
      </c>
      <c r="L162" s="338">
        <f>SUMPRODUCT(L158:L161,'Parameters, general'!$B$23:$B$26)</f>
        <v>0</v>
      </c>
      <c r="M162" s="338">
        <f>SUMPRODUCT(M158:M161,'Parameters, general'!$B$23:$B$26)</f>
        <v>0</v>
      </c>
      <c r="N162" s="338">
        <f>SUMPRODUCT(N158:N161,'Parameters, general'!$B$23:$B$26)</f>
        <v>0</v>
      </c>
      <c r="O162" s="338">
        <f>SUMPRODUCT(O158:O161,'Parameters, general'!$B$23:$B$26)</f>
        <v>8.6389700000000014E-2</v>
      </c>
      <c r="P162" s="338">
        <f>SUMPRODUCT(P158:P161,'Parameters, general'!$B$23:$B$26)</f>
        <v>0</v>
      </c>
    </row>
    <row r="163" spans="1:16" x14ac:dyDescent="0.35">
      <c r="B163" t="s">
        <v>367</v>
      </c>
      <c r="C163" t="s">
        <v>86</v>
      </c>
      <c r="D163" t="s">
        <v>44</v>
      </c>
      <c r="E163" s="4">
        <f t="shared" ref="E163:E171" si="22">SUM(F163:P163)</f>
        <v>0.11016260413463343</v>
      </c>
      <c r="F163" s="4">
        <f>'Forage, input data per ha'!E49*(Frac_BAT_IE*EF_min_fert_BAT_CO2+Frac_AN_IE*EF_min_fert_AN_CO2)/'Forage, input data per ha'!C49</f>
        <v>2.1751094263240234E-2</v>
      </c>
      <c r="G163" s="4">
        <f>EF_capital_goods_CO2</f>
        <v>2.7E-2</v>
      </c>
      <c r="H163" s="4"/>
      <c r="I163" s="4"/>
      <c r="J163" s="4">
        <f>'Forage, input data per ha'!J49*EF_diesel_CO2*Heating_value_diesel/'Forage, input data per ha'!C49</f>
        <v>1.4711509871393188E-2</v>
      </c>
      <c r="K163" s="4"/>
      <c r="L163" s="4">
        <f>'Forage, input data per ha'!K49*'Parameters, general'!$B$17/'Forage, input data per ha'!C49</f>
        <v>0</v>
      </c>
      <c r="M163" s="4"/>
      <c r="N163" s="271"/>
      <c r="O163" s="4">
        <f>'Parameters, general'!$B$20</f>
        <v>4.6700000000000005E-2</v>
      </c>
      <c r="P163" s="4"/>
    </row>
    <row r="164" spans="1:16" x14ac:dyDescent="0.35">
      <c r="B164" t="s">
        <v>367</v>
      </c>
      <c r="C164" t="s">
        <v>87</v>
      </c>
      <c r="D164" t="s">
        <v>44</v>
      </c>
      <c r="E164" s="4">
        <f t="shared" si="22"/>
        <v>8.4941800552451564E-4</v>
      </c>
      <c r="F164" s="4">
        <f>'Forage, input data per ha'!E49*(Frac_BAT_IE*EF_min_fert_BAT_CH4+Frac_AN_IE*EF_min_fert_AN_CH4)/'Forage, input data per ha'!C49</f>
        <v>3.9901302719260733E-5</v>
      </c>
      <c r="G164" s="4">
        <f>EF_capital_goods_CH4</f>
        <v>9.5000000000000005E-5</v>
      </c>
      <c r="H164" s="4"/>
      <c r="I164" s="4"/>
      <c r="J164" s="4">
        <f>'Forage, input data per ha'!J49*EF_diesel_CH4*Heating_value_diesel/'Forage, input data per ha'!C49</f>
        <v>6.5167028052549126E-6</v>
      </c>
      <c r="K164" s="4"/>
      <c r="L164" s="4">
        <f>'Forage, input data per ha'!K49*'Parameters, general'!$C$17/'Forage, input data per ha'!C49</f>
        <v>0</v>
      </c>
      <c r="M164" s="4"/>
      <c r="N164" s="4"/>
      <c r="O164" s="4">
        <f>'Parameters, general'!$C$20</f>
        <v>7.0799999999999997E-4</v>
      </c>
      <c r="P164" s="4"/>
    </row>
    <row r="165" spans="1:16" x14ac:dyDescent="0.35">
      <c r="B165" t="s">
        <v>367</v>
      </c>
      <c r="C165" t="s">
        <v>297</v>
      </c>
      <c r="D165" t="s">
        <v>44</v>
      </c>
      <c r="E165" s="4">
        <f t="shared" si="22"/>
        <v>0</v>
      </c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</row>
    <row r="166" spans="1:16" x14ac:dyDescent="0.35">
      <c r="B166" t="s">
        <v>367</v>
      </c>
      <c r="C166" t="s">
        <v>89</v>
      </c>
      <c r="D166" t="s">
        <v>44</v>
      </c>
      <c r="E166" s="4">
        <f t="shared" si="22"/>
        <v>3.0886715964597341E-4</v>
      </c>
      <c r="F166" s="4">
        <f>'Forage, input data per ha'!E49*(Frac_BAT_IE*EF_min_fert_BAT_N2O+Frac_AN_IE*EF_min_fert_AN_N2O)/'Forage, input data per ha'!C49</f>
        <v>4.7791180802654258E-5</v>
      </c>
      <c r="G166" s="4">
        <f>EF_capital_goods_N2O</f>
        <v>1.1000000000000001E-6</v>
      </c>
      <c r="H166" s="4">
        <f>('Forage, input data per ha'!E49*'Parameters, country spec'!G79+'Forage, input data per ha'!H49*'Parameters, country spec'!G80)*44/28/'Forage, input data per ha'!C49</f>
        <v>1.7407334076117385E-4</v>
      </c>
      <c r="I166" s="4">
        <f>H166*0.1</f>
        <v>1.7407334076117384E-5</v>
      </c>
      <c r="J166" s="4">
        <f>'Forage, input data per ha'!J49*EF_diesel_N2O*Heating_value_diesel/'Forage, input data per ha'!C49</f>
        <v>3.9530400602795185E-7</v>
      </c>
      <c r="K166" s="4"/>
      <c r="L166" s="4">
        <f>'Forage, input data per ha'!K49*'Parameters, general'!$D$17/'Forage, input data per ha'!C49</f>
        <v>0</v>
      </c>
      <c r="M166" s="4"/>
      <c r="N166" s="4"/>
      <c r="O166" s="4">
        <f>'Parameters, general'!$D$20</f>
        <v>6.8099999999999988E-5</v>
      </c>
      <c r="P166" s="4"/>
    </row>
    <row r="167" spans="1:16" x14ac:dyDescent="0.35">
      <c r="A167" s="152"/>
      <c r="B167" s="152" t="s">
        <v>367</v>
      </c>
      <c r="C167" s="152" t="s">
        <v>90</v>
      </c>
      <c r="D167" s="152" t="s">
        <v>44</v>
      </c>
      <c r="E167" s="338">
        <f>SUM(F167:P167)</f>
        <v>0.21979599528261473</v>
      </c>
      <c r="F167" s="338">
        <f>SUMPRODUCT(F163:F166,'Parameters, general'!$B$23:$B$26)</f>
        <v>3.5987145443398816E-2</v>
      </c>
      <c r="G167" s="338">
        <f>SUMPRODUCT(G163:G166,'Parameters, general'!$B$23:$B$26)</f>
        <v>3.01313E-2</v>
      </c>
      <c r="H167" s="338">
        <f>SUMPRODUCT(H163:H166,'Parameters, general'!$B$23:$B$26)</f>
        <v>4.752202202780046E-2</v>
      </c>
      <c r="I167" s="338">
        <f>SUMPRODUCT(I163:I166,'Parameters, general'!$B$23:$B$26)</f>
        <v>4.7522022027800459E-3</v>
      </c>
      <c r="J167" s="338">
        <f>SUMPRODUCT(J163:J166,'Parameters, general'!$B$23:$B$26)</f>
        <v>1.5013625608635414E-2</v>
      </c>
      <c r="K167" s="338">
        <f>SUMPRODUCT(K163:K166,'Parameters, general'!$B$23:$B$26)</f>
        <v>0</v>
      </c>
      <c r="L167" s="338">
        <f>SUMPRODUCT(L163:L166,'Parameters, general'!$B$23:$B$26)</f>
        <v>0</v>
      </c>
      <c r="M167" s="338">
        <f>SUMPRODUCT(M163:M166,'Parameters, general'!$B$23:$B$26)</f>
        <v>0</v>
      </c>
      <c r="N167" s="338">
        <f>SUMPRODUCT(N163:N166,'Parameters, general'!$B$23:$B$26)</f>
        <v>0</v>
      </c>
      <c r="O167" s="338">
        <f>SUMPRODUCT(O163:O166,'Parameters, general'!$B$23:$B$26)</f>
        <v>8.6389700000000014E-2</v>
      </c>
      <c r="P167" s="338">
        <f>SUMPRODUCT(P163:P166,'Parameters, general'!$B$23:$B$26)</f>
        <v>0</v>
      </c>
    </row>
    <row r="168" spans="1:16" x14ac:dyDescent="0.35">
      <c r="B168" t="s">
        <v>367</v>
      </c>
      <c r="C168" t="s">
        <v>86</v>
      </c>
      <c r="D168" t="s">
        <v>46</v>
      </c>
      <c r="E168" s="4">
        <f t="shared" si="22"/>
        <v>0.1124585881906391</v>
      </c>
      <c r="F168" s="4">
        <f>'Forage, input data per ha'!E50*(Frac_BAT_IT*EF_min_fert_BAT_CO2+Frac_AN_IT*EF_min_fert_AN_CO2)/'Forage, input data per ha'!C50</f>
        <v>2.6632985559113014E-2</v>
      </c>
      <c r="G168" s="4">
        <f>EF_capital_goods_CO2</f>
        <v>2.7E-2</v>
      </c>
      <c r="H168" s="4"/>
      <c r="I168" s="4"/>
      <c r="J168" s="4">
        <f>'Forage, input data per ha'!J50*EF_diesel_CO2*Heating_value_diesel/'Forage, input data per ha'!C50</f>
        <v>1.2125602631526086E-2</v>
      </c>
      <c r="K168" s="4"/>
      <c r="L168" s="4">
        <f>'Forage, input data per ha'!K50*'Parameters, general'!$B$17/'Forage, input data per ha'!C50</f>
        <v>0</v>
      </c>
      <c r="M168" s="4"/>
      <c r="N168" s="4"/>
      <c r="O168" s="4">
        <f>'Parameters, general'!$B$20</f>
        <v>4.6700000000000005E-2</v>
      </c>
      <c r="P168" s="4"/>
    </row>
    <row r="169" spans="1:16" x14ac:dyDescent="0.35">
      <c r="B169" t="s">
        <v>367</v>
      </c>
      <c r="C169" t="s">
        <v>87</v>
      </c>
      <c r="D169" t="s">
        <v>46</v>
      </c>
      <c r="E169" s="4">
        <f t="shared" si="22"/>
        <v>8.5722812306244329E-4</v>
      </c>
      <c r="F169" s="4">
        <f>'Forage, input data per ha'!E50*(Frac_BAT_IT*EF_min_fert_BAT_CH4+Frac_AN_IT*EF_min_fert_AN_CH4)/'Forage, input data per ha'!C50</f>
        <v>4.8856889968420392E-5</v>
      </c>
      <c r="G169" s="4">
        <f>EF_capital_goods_CH4</f>
        <v>9.5000000000000005E-5</v>
      </c>
      <c r="H169" s="4"/>
      <c r="I169" s="4"/>
      <c r="J169" s="4">
        <f>'Forage, input data per ha'!J50*EF_diesel_CH4*Heating_value_diesel/'Forage, input data per ha'!C50</f>
        <v>5.371233094022949E-6</v>
      </c>
      <c r="K169" s="4"/>
      <c r="L169" s="4">
        <f>'Forage, input data per ha'!K50*'Parameters, general'!$C$17/'Forage, input data per ha'!C50</f>
        <v>0</v>
      </c>
      <c r="M169" s="4"/>
      <c r="N169" s="4"/>
      <c r="O169" s="4">
        <f>'Parameters, general'!$C$20</f>
        <v>7.0799999999999997E-4</v>
      </c>
      <c r="P169" s="4"/>
    </row>
    <row r="170" spans="1:16" x14ac:dyDescent="0.35">
      <c r="B170" t="s">
        <v>367</v>
      </c>
      <c r="C170" t="s">
        <v>297</v>
      </c>
      <c r="D170" t="s">
        <v>46</v>
      </c>
      <c r="E170" s="4">
        <f t="shared" si="22"/>
        <v>0</v>
      </c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</row>
    <row r="171" spans="1:16" x14ac:dyDescent="0.35">
      <c r="B171" t="s">
        <v>367</v>
      </c>
      <c r="C171" t="s">
        <v>89</v>
      </c>
      <c r="D171" t="s">
        <v>46</v>
      </c>
      <c r="E171" s="4">
        <f t="shared" si="22"/>
        <v>3.553859968533619E-4</v>
      </c>
      <c r="F171" s="4">
        <f>'Forage, input data per ha'!E50*(Frac_BAT_IT*EF_min_fert_BAT_N2O+Frac_AN_IT*EF_min_fert_AN_N2O)/'Forage, input data per ha'!C50</f>
        <v>5.8517599747666185E-5</v>
      </c>
      <c r="G171" s="4">
        <f>EF_capital_goods_N2O</f>
        <v>1.1000000000000001E-6</v>
      </c>
      <c r="H171" s="4">
        <f>('Forage, input data per ha'!E50*'Parameters, country spec'!H79+'Forage, input data per ha'!H50*'Parameters, country spec'!H80)*44/28/'Forage, input data per ha'!C50</f>
        <v>2.0667507039582464E-4</v>
      </c>
      <c r="I171" s="4">
        <f>H171*0.1</f>
        <v>2.0667507039582464E-5</v>
      </c>
      <c r="J171" s="4">
        <f>'Forage, input data per ha'!J50*EF_diesel_N2O*Heating_value_diesel/'Forage, input data per ha'!C50</f>
        <v>3.2581967028863559E-7</v>
      </c>
      <c r="K171" s="4"/>
      <c r="L171" s="4">
        <f>'Forage, input data per ha'!K50*'Parameters, general'!$D$17/'Forage, input data per ha'!C50</f>
        <v>0</v>
      </c>
      <c r="M171" s="4"/>
      <c r="N171" s="4"/>
      <c r="O171" s="4">
        <f>'Parameters, general'!$D$20</f>
        <v>6.8099999999999988E-5</v>
      </c>
      <c r="P171" s="4"/>
    </row>
    <row r="172" spans="1:16" x14ac:dyDescent="0.35">
      <c r="A172" s="152"/>
      <c r="B172" s="152" t="s">
        <v>367</v>
      </c>
      <c r="C172" s="152" t="s">
        <v>90</v>
      </c>
      <c r="D172" s="152" t="s">
        <v>46</v>
      </c>
      <c r="E172" s="338">
        <f>SUM(F172:P172)</f>
        <v>0.23502436339886773</v>
      </c>
      <c r="F172" s="338">
        <f>SUMPRODUCT(F168:F171,'Parameters, general'!$B$23:$B$26)</f>
        <v>4.4064225611284813E-2</v>
      </c>
      <c r="G172" s="338">
        <f>SUMPRODUCT(G168:G171,'Parameters, general'!$B$23:$B$26)</f>
        <v>3.01313E-2</v>
      </c>
      <c r="H172" s="338">
        <f>SUMPRODUCT(H168:H171,'Parameters, general'!$B$23:$B$26)</f>
        <v>5.6422294218060123E-2</v>
      </c>
      <c r="I172" s="338">
        <f>SUMPRODUCT(I168:I171,'Parameters, general'!$B$23:$B$26)</f>
        <v>5.6422294218060123E-3</v>
      </c>
      <c r="J172" s="338">
        <f>SUMPRODUCT(J168:J171,'Parameters, general'!$B$23:$B$26)</f>
        <v>1.2374614147716767E-2</v>
      </c>
      <c r="K172" s="338">
        <f>SUMPRODUCT(K168:K171,'Parameters, general'!$B$23:$B$26)</f>
        <v>0</v>
      </c>
      <c r="L172" s="338">
        <f>SUMPRODUCT(L168:L171,'Parameters, general'!$B$23:$B$26)</f>
        <v>0</v>
      </c>
      <c r="M172" s="338">
        <f>SUMPRODUCT(M168:M171,'Parameters, general'!$B$23:$B$26)</f>
        <v>0</v>
      </c>
      <c r="N172" s="338">
        <f>SUMPRODUCT(N168:N171,'Parameters, general'!$B$23:$B$26)</f>
        <v>0</v>
      </c>
      <c r="O172" s="338">
        <f>SUMPRODUCT(O168:O171,'Parameters, general'!$B$23:$B$26)</f>
        <v>8.6389700000000014E-2</v>
      </c>
      <c r="P172" s="338">
        <f>SUMPRODUCT(P168:P171,'Parameters, general'!$B$23:$B$26)</f>
        <v>0</v>
      </c>
    </row>
    <row r="173" spans="1:16" x14ac:dyDescent="0.35">
      <c r="B173" t="s">
        <v>367</v>
      </c>
      <c r="C173" t="s">
        <v>86</v>
      </c>
      <c r="D173" t="s">
        <v>48</v>
      </c>
      <c r="E173" s="4">
        <f t="shared" ref="E173:E176" si="23">SUM(F173:P173)</f>
        <v>0.19150219901619125</v>
      </c>
      <c r="F173" s="4">
        <f>'Forage, input data per ha'!E51*(Frac_BAT_NL*EF_min_fert_BAT_CO2+Frac_AN_NL*EF_min_fert_AN_CO2)/'Forage, input data per ha'!C51</f>
        <v>9.7200179188847394E-2</v>
      </c>
      <c r="G173" s="4">
        <f>EF_capital_goods_CO2</f>
        <v>2.7E-2</v>
      </c>
      <c r="H173" s="4"/>
      <c r="I173" s="4"/>
      <c r="J173" s="4">
        <f>'Forage, input data per ha'!J51*EF_diesel_CO2*Heating_value_diesel/'Forage, input data per ha'!C51</f>
        <v>2.0602019827343845E-2</v>
      </c>
      <c r="K173" s="4"/>
      <c r="L173" s="4">
        <f>'Forage, input data per ha'!K51*'Parameters, general'!$B$17/'Forage, input data per ha'!C51</f>
        <v>0</v>
      </c>
      <c r="M173" s="4"/>
      <c r="N173" s="271"/>
      <c r="O173" s="4">
        <f>'Parameters, general'!$B$20</f>
        <v>4.6700000000000005E-2</v>
      </c>
      <c r="P173" s="4"/>
    </row>
    <row r="174" spans="1:16" x14ac:dyDescent="0.35">
      <c r="B174" t="s">
        <v>367</v>
      </c>
      <c r="C174" t="s">
        <v>87</v>
      </c>
      <c r="D174" t="s">
        <v>48</v>
      </c>
      <c r="E174" s="4">
        <f t="shared" si="23"/>
        <v>9.904349038734727E-4</v>
      </c>
      <c r="F174" s="4">
        <f>'Forage, input data per ha'!E51*(Frac_BAT_NL*EF_min_fert_BAT_CH4+Frac_AN_NL*EF_min_fert_AN_CH4)/'Forage, input data per ha'!C51</f>
        <v>1.7830890378398945E-4</v>
      </c>
      <c r="G174" s="4">
        <f>EF_capital_goods_CH4</f>
        <v>9.5000000000000005E-5</v>
      </c>
      <c r="H174" s="4"/>
      <c r="I174" s="4"/>
      <c r="J174" s="4">
        <f>'Forage, input data per ha'!J51*EF_diesel_CH4*Heating_value_diesel/'Forage, input data per ha'!C51</f>
        <v>9.1260000894833206E-6</v>
      </c>
      <c r="K174" s="4"/>
      <c r="L174" s="4">
        <f>'Forage, input data per ha'!K51*'Parameters, general'!$C$17/'Forage, input data per ha'!C51</f>
        <v>0</v>
      </c>
      <c r="M174" s="4"/>
      <c r="N174" s="4"/>
      <c r="O174" s="4">
        <f>'Parameters, general'!$C$20</f>
        <v>7.0799999999999997E-4</v>
      </c>
      <c r="P174" s="4"/>
    </row>
    <row r="175" spans="1:16" x14ac:dyDescent="0.35">
      <c r="B175" t="s">
        <v>367</v>
      </c>
      <c r="C175" t="s">
        <v>297</v>
      </c>
      <c r="D175" t="s">
        <v>48</v>
      </c>
      <c r="E175" s="4">
        <f t="shared" si="23"/>
        <v>0</v>
      </c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</row>
    <row r="176" spans="1:16" x14ac:dyDescent="0.35">
      <c r="B176" t="s">
        <v>367</v>
      </c>
      <c r="C176" t="s">
        <v>89</v>
      </c>
      <c r="D176" t="s">
        <v>48</v>
      </c>
      <c r="E176" s="4">
        <f t="shared" si="23"/>
        <v>1.029042747913559E-3</v>
      </c>
      <c r="F176" s="4">
        <f>'Forage, input data per ha'!E51*(Frac_BAT_NL*EF_min_fert_BAT_N2O+Frac_AN_NL*EF_min_fert_AN_N2O)/'Forage, input data per ha'!C51</f>
        <v>2.1356678801743158E-4</v>
      </c>
      <c r="G176" s="4">
        <f>EF_capital_goods_N2O</f>
        <v>1.1000000000000001E-6</v>
      </c>
      <c r="H176" s="4">
        <f>('Forage, input data per ha'!E51*'Parameters, country spec'!I79+'Forage, input data per ha'!H51*'Parameters, country spec'!I80)*44/28/'Forage, input data per ha'!C51</f>
        <v>6.7792943235542443E-4</v>
      </c>
      <c r="I176" s="4">
        <f>H176*0.1</f>
        <v>6.7792943235542451E-5</v>
      </c>
      <c r="J176" s="4">
        <f>'Forage, input data per ha'!J51*EF_diesel_N2O*Heating_value_diesel/'Forage, input data per ha'!C51</f>
        <v>5.5358430516045113E-7</v>
      </c>
      <c r="K176" s="4"/>
      <c r="L176" s="4">
        <f>'Forage, input data per ha'!K51*'Parameters, general'!$D$17/'Forage, input data per ha'!C51</f>
        <v>0</v>
      </c>
      <c r="M176" s="4"/>
      <c r="N176" s="4"/>
      <c r="O176" s="4">
        <f>'Parameters, general'!$D$20</f>
        <v>6.8099999999999988E-5</v>
      </c>
      <c r="P176" s="4"/>
    </row>
    <row r="177" spans="1:16" x14ac:dyDescent="0.35">
      <c r="A177" s="152"/>
      <c r="B177" s="152" t="s">
        <v>367</v>
      </c>
      <c r="C177" s="152" t="s">
        <v>90</v>
      </c>
      <c r="D177" s="152" t="s">
        <v>48</v>
      </c>
      <c r="E177" s="338">
        <f>SUM(F177:P177)</f>
        <v>0.50194582933202236</v>
      </c>
      <c r="F177" s="338">
        <f>SUMPRODUCT(F173:F176,'Parameters, general'!$B$23:$B$26)</f>
        <v>0.16081751765036911</v>
      </c>
      <c r="G177" s="338">
        <f>SUMPRODUCT(G173:G176,'Parameters, general'!$B$23:$B$26)</f>
        <v>3.01313E-2</v>
      </c>
      <c r="H177" s="338">
        <f>SUMPRODUCT(H173:H176,'Parameters, general'!$B$23:$B$26)</f>
        <v>0.18507473503303087</v>
      </c>
      <c r="I177" s="338">
        <f>SUMPRODUCT(I173:I176,'Parameters, general'!$B$23:$B$26)</f>
        <v>1.850747350330309E-2</v>
      </c>
      <c r="J177" s="338">
        <f>SUMPRODUCT(J173:J176,'Parameters, general'!$B$23:$B$26)</f>
        <v>2.1025103145319253E-2</v>
      </c>
      <c r="K177" s="338">
        <f>SUMPRODUCT(K173:K176,'Parameters, general'!$B$23:$B$26)</f>
        <v>0</v>
      </c>
      <c r="L177" s="338">
        <f>SUMPRODUCT(L173:L176,'Parameters, general'!$B$23:$B$26)</f>
        <v>0</v>
      </c>
      <c r="M177" s="338">
        <f>SUMPRODUCT(M173:M176,'Parameters, general'!$B$23:$B$26)</f>
        <v>0</v>
      </c>
      <c r="N177" s="338">
        <f>SUMPRODUCT(N173:N176,'Parameters, general'!$B$23:$B$26)</f>
        <v>0</v>
      </c>
      <c r="O177" s="338">
        <f>SUMPRODUCT(O173:O176,'Parameters, general'!$B$23:$B$26)</f>
        <v>8.6389700000000014E-2</v>
      </c>
      <c r="P177" s="338">
        <f>SUMPRODUCT(P173:P176,'Parameters, general'!$B$23:$B$26)</f>
        <v>0</v>
      </c>
    </row>
    <row r="178" spans="1:16" x14ac:dyDescent="0.35">
      <c r="B178" t="s">
        <v>367</v>
      </c>
      <c r="C178" t="s">
        <v>86</v>
      </c>
      <c r="D178" t="s">
        <v>50</v>
      </c>
      <c r="E178" s="4">
        <f t="shared" ref="E178:E186" si="24">SUM(F178:P178)</f>
        <v>0.11067391180234051</v>
      </c>
      <c r="F178" s="4">
        <f>'Forage, input data per ha'!E52*(Frac_BAT_PL*EF_min_fert_BAT_CO2+Frac_AN_PL*EF_min_fert_AN_CO2)/'Forage, input data per ha'!C52</f>
        <v>2.1751094263240234E-2</v>
      </c>
      <c r="G178" s="4">
        <f>EF_capital_goods_CO2</f>
        <v>2.7E-2</v>
      </c>
      <c r="H178" s="4"/>
      <c r="I178" s="4"/>
      <c r="J178" s="4">
        <f>'Forage, input data per ha'!J52*EF_diesel_CO2*Heating_value_diesel/'Forage, input data per ha'!C52</f>
        <v>1.5222817539100278E-2</v>
      </c>
      <c r="K178" s="4"/>
      <c r="L178" s="4">
        <f>'Forage, input data per ha'!K52*'Parameters, general'!$B$17/'Forage, input data per ha'!C52</f>
        <v>0</v>
      </c>
      <c r="M178" s="4"/>
      <c r="N178" s="271"/>
      <c r="O178" s="4">
        <f>'Parameters, general'!$B$20</f>
        <v>4.6700000000000005E-2</v>
      </c>
      <c r="P178" s="4"/>
    </row>
    <row r="179" spans="1:16" x14ac:dyDescent="0.35">
      <c r="B179" t="s">
        <v>367</v>
      </c>
      <c r="C179" t="s">
        <v>87</v>
      </c>
      <c r="D179" t="s">
        <v>50</v>
      </c>
      <c r="E179" s="4">
        <f t="shared" si="24"/>
        <v>8.4964449758016618E-4</v>
      </c>
      <c r="F179" s="4">
        <f>'Forage, input data per ha'!E52*(Frac_BAT_PL*EF_min_fert_BAT_CH4+Frac_AN_PL*EF_min_fert_AN_CH4)/'Forage, input data per ha'!C52</f>
        <v>3.9901302719260733E-5</v>
      </c>
      <c r="G179" s="4">
        <f>EF_capital_goods_CH4</f>
        <v>9.5000000000000005E-5</v>
      </c>
      <c r="H179" s="4"/>
      <c r="I179" s="4"/>
      <c r="J179" s="4">
        <f>'Forage, input data per ha'!J52*EF_diesel_CH4*Heating_value_diesel/'Forage, input data per ha'!C52</f>
        <v>6.7431948609054584E-6</v>
      </c>
      <c r="K179" s="4"/>
      <c r="L179" s="4">
        <f>'Forage, input data per ha'!K52*'Parameters, general'!$C$17/'Forage, input data per ha'!C52</f>
        <v>0</v>
      </c>
      <c r="M179" s="4"/>
      <c r="N179" s="4"/>
      <c r="O179" s="4">
        <f>'Parameters, general'!$C$20</f>
        <v>7.0799999999999997E-4</v>
      </c>
      <c r="P179" s="4"/>
    </row>
    <row r="180" spans="1:16" x14ac:dyDescent="0.35">
      <c r="B180" t="s">
        <v>367</v>
      </c>
      <c r="C180" t="s">
        <v>297</v>
      </c>
      <c r="D180" t="s">
        <v>50</v>
      </c>
      <c r="E180" s="4">
        <f t="shared" si="24"/>
        <v>0</v>
      </c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</row>
    <row r="181" spans="1:16" x14ac:dyDescent="0.35">
      <c r="B181" t="s">
        <v>367</v>
      </c>
      <c r="C181" t="s">
        <v>89</v>
      </c>
      <c r="D181" t="s">
        <v>50</v>
      </c>
      <c r="E181" s="4">
        <f t="shared" si="24"/>
        <v>3.0888089868235546E-4</v>
      </c>
      <c r="F181" s="4">
        <f>'Forage, input data per ha'!E52*(Frac_BAT_PL*EF_min_fert_BAT_N2O+Frac_AN_PL*EF_min_fert_AN_N2O)/'Forage, input data per ha'!C52</f>
        <v>4.7791180802654265E-5</v>
      </c>
      <c r="G181" s="4">
        <f>EF_capital_goods_N2O</f>
        <v>1.1000000000000001E-6</v>
      </c>
      <c r="H181" s="4">
        <f>('Forage, input data per ha'!E52*'Parameters, country spec'!J79+'Forage, input data per ha'!H52*'Parameters, country spec'!J80)*44/28/'Forage, input data per ha'!C52</f>
        <v>1.7407334076117385E-4</v>
      </c>
      <c r="I181" s="4">
        <f>H181*0.1</f>
        <v>1.7407334076117384E-5</v>
      </c>
      <c r="J181" s="4">
        <f>'Forage, input data per ha'!J52*EF_diesel_N2O*Heating_value_diesel/'Forage, input data per ha'!C52</f>
        <v>4.0904304240996531E-7</v>
      </c>
      <c r="K181" s="4"/>
      <c r="L181" s="4">
        <f>'Forage, input data per ha'!K52*'Parameters, general'!$D$17/'Forage, input data per ha'!C52</f>
        <v>0</v>
      </c>
      <c r="M181" s="4"/>
      <c r="N181" s="4"/>
      <c r="O181" s="4">
        <f>'Parameters, general'!$D$20</f>
        <v>6.8099999999999988E-5</v>
      </c>
      <c r="P181" s="4"/>
    </row>
    <row r="182" spans="1:16" x14ac:dyDescent="0.35">
      <c r="A182" s="152"/>
      <c r="B182" s="152" t="s">
        <v>367</v>
      </c>
      <c r="C182" s="152" t="s">
        <v>90</v>
      </c>
      <c r="D182" s="152" t="s">
        <v>50</v>
      </c>
      <c r="E182" s="338">
        <f>SUM(F182:P182)</f>
        <v>0.2203178031705125</v>
      </c>
      <c r="F182" s="338">
        <f>SUMPRODUCT(F178:F181,'Parameters, general'!$B$23:$B$26)</f>
        <v>3.5987145443398816E-2</v>
      </c>
      <c r="G182" s="338">
        <f>SUMPRODUCT(G178:G181,'Parameters, general'!$B$23:$B$26)</f>
        <v>3.01313E-2</v>
      </c>
      <c r="H182" s="338">
        <f>SUMPRODUCT(H178:H181,'Parameters, general'!$B$23:$B$26)</f>
        <v>4.752202202780046E-2</v>
      </c>
      <c r="I182" s="338">
        <f>SUMPRODUCT(I178:I181,'Parameters, general'!$B$23:$B$26)</f>
        <v>4.7522022027800459E-3</v>
      </c>
      <c r="J182" s="338">
        <f>SUMPRODUCT(J178:J181,'Parameters, general'!$B$23:$B$26)</f>
        <v>1.553543349653318E-2</v>
      </c>
      <c r="K182" s="338">
        <f>SUMPRODUCT(K178:K181,'Parameters, general'!$B$23:$B$26)</f>
        <v>0</v>
      </c>
      <c r="L182" s="338">
        <f>SUMPRODUCT(L178:L181,'Parameters, general'!$B$23:$B$26)</f>
        <v>0</v>
      </c>
      <c r="M182" s="338">
        <f>SUMPRODUCT(M178:M181,'Parameters, general'!$B$23:$B$26)</f>
        <v>0</v>
      </c>
      <c r="N182" s="338">
        <f>SUMPRODUCT(N178:N181,'Parameters, general'!$B$23:$B$26)</f>
        <v>0</v>
      </c>
      <c r="O182" s="338">
        <f>SUMPRODUCT(O178:O181,'Parameters, general'!$B$23:$B$26)</f>
        <v>8.6389700000000014E-2</v>
      </c>
      <c r="P182" s="338">
        <f>SUMPRODUCT(P178:P181,'Parameters, general'!$B$23:$B$26)</f>
        <v>0</v>
      </c>
    </row>
    <row r="183" spans="1:16" x14ac:dyDescent="0.35">
      <c r="B183" t="s">
        <v>367</v>
      </c>
      <c r="C183" t="s">
        <v>86</v>
      </c>
      <c r="D183" t="s">
        <v>52</v>
      </c>
      <c r="E183" s="4">
        <f t="shared" si="24"/>
        <v>0.11737020747497832</v>
      </c>
      <c r="F183" s="4">
        <f>'Forage, input data per ha'!E53*(Frac_BAT_ES*EF_min_fert_BAT_CO2+Frac_AN_ES*EF_min_fert_AN_CO2)/'Forage, input data per ha'!C53</f>
        <v>2.1751094263240234E-2</v>
      </c>
      <c r="G183" s="4">
        <f>EF_capital_goods_CO2</f>
        <v>2.7E-2</v>
      </c>
      <c r="H183" s="4"/>
      <c r="I183" s="4"/>
      <c r="J183" s="4">
        <f>'Forage, input data per ha'!J53*EF_diesel_CO2*Heating_value_diesel/'Forage, input data per ha'!C53</f>
        <v>2.1919113211738082E-2</v>
      </c>
      <c r="K183" s="4"/>
      <c r="L183" s="4">
        <f>'Forage, input data per ha'!K53*'Parameters, general'!$B$17/'Forage, input data per ha'!C53</f>
        <v>0</v>
      </c>
      <c r="M183" s="4"/>
      <c r="N183" s="4"/>
      <c r="O183" s="4">
        <f>'Parameters, general'!$B$20</f>
        <v>4.6700000000000005E-2</v>
      </c>
      <c r="P183" s="4"/>
    </row>
    <row r="184" spans="1:16" x14ac:dyDescent="0.35">
      <c r="B184" t="s">
        <v>367</v>
      </c>
      <c r="C184" t="s">
        <v>87</v>
      </c>
      <c r="D184" t="s">
        <v>52</v>
      </c>
      <c r="E184" s="4">
        <f t="shared" si="24"/>
        <v>8.5261073076603033E-4</v>
      </c>
      <c r="F184" s="4">
        <f>'Forage, input data per ha'!E53*(Frac_BAT_ES*EF_min_fert_BAT_CH4+Frac_AN_ES*EF_min_fert_AN_CH4)/'Forage, input data per ha'!C53</f>
        <v>3.9901302719260733E-5</v>
      </c>
      <c r="G184" s="4">
        <f>EF_capital_goods_CH4</f>
        <v>9.5000000000000005E-5</v>
      </c>
      <c r="H184" s="4"/>
      <c r="I184" s="4"/>
      <c r="J184" s="4">
        <f>'Forage, input data per ha'!J53*EF_diesel_CH4*Heating_value_diesel/'Forage, input data per ha'!C53</f>
        <v>9.7094280467696498E-6</v>
      </c>
      <c r="K184" s="4"/>
      <c r="L184" s="4">
        <f>'Forage, input data per ha'!K53*'Parameters, general'!$C$17/'Forage, input data per ha'!C53</f>
        <v>0</v>
      </c>
      <c r="M184" s="4"/>
      <c r="N184" s="4"/>
      <c r="O184" s="4">
        <f>'Parameters, general'!$C$20</f>
        <v>7.0799999999999997E-4</v>
      </c>
      <c r="P184" s="4"/>
    </row>
    <row r="185" spans="1:16" x14ac:dyDescent="0.35">
      <c r="B185" t="s">
        <v>367</v>
      </c>
      <c r="C185" t="s">
        <v>297</v>
      </c>
      <c r="D185" t="s">
        <v>52</v>
      </c>
      <c r="E185" s="4">
        <f t="shared" si="24"/>
        <v>0</v>
      </c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</row>
    <row r="186" spans="1:16" x14ac:dyDescent="0.35">
      <c r="B186" t="s">
        <v>367</v>
      </c>
      <c r="C186" t="s">
        <v>89</v>
      </c>
      <c r="D186" t="s">
        <v>52</v>
      </c>
      <c r="E186" s="4">
        <f t="shared" si="24"/>
        <v>3.0906083075785839E-4</v>
      </c>
      <c r="F186" s="4">
        <f>'Forage, input data per ha'!E53*(Frac_BAT_ES*EF_min_fert_BAT_N2O+Frac_AN_ES*EF_min_fert_AN_N2O)/'Forage, input data per ha'!C53</f>
        <v>4.7791180802654265E-5</v>
      </c>
      <c r="G186" s="4">
        <f>EF_capital_goods_N2O</f>
        <v>1.1000000000000001E-6</v>
      </c>
      <c r="H186" s="4">
        <f>('Forage, input data per ha'!E53*'Parameters, country spec'!K79+'Forage, input data per ha'!H53*'Parameters, country spec'!K80)*44/28/'Forage, input data per ha'!C53</f>
        <v>1.7407334076117385E-4</v>
      </c>
      <c r="I186" s="4">
        <f>H186*0.1</f>
        <v>1.7407334076117384E-5</v>
      </c>
      <c r="J186" s="4">
        <f>'Forage, input data per ha'!J53*EF_diesel_N2O*Heating_value_diesel/'Forage, input data per ha'!C53</f>
        <v>5.8897511791287795E-7</v>
      </c>
      <c r="K186" s="4"/>
      <c r="L186" s="4">
        <f>'Forage, input data per ha'!K53*'Parameters, general'!$D$17/'Forage, input data per ha'!C53</f>
        <v>0</v>
      </c>
      <c r="M186" s="4"/>
      <c r="N186" s="4"/>
      <c r="O186" s="4">
        <f>'Parameters, general'!$D$20</f>
        <v>6.8099999999999988E-5</v>
      </c>
      <c r="P186" s="4"/>
    </row>
    <row r="187" spans="1:16" x14ac:dyDescent="0.35">
      <c r="A187" s="152"/>
      <c r="B187" s="152" t="s">
        <v>367</v>
      </c>
      <c r="C187" s="152" t="s">
        <v>90</v>
      </c>
      <c r="D187" s="152" t="s">
        <v>52</v>
      </c>
      <c r="E187" s="338">
        <f>SUM(F187:P187)</f>
        <v>0.22715161404870135</v>
      </c>
      <c r="F187" s="338">
        <f>SUMPRODUCT(F183:F186,'Parameters, general'!$B$23:$B$26)</f>
        <v>3.5987145443398816E-2</v>
      </c>
      <c r="G187" s="338">
        <f>SUMPRODUCT(G183:G186,'Parameters, general'!$B$23:$B$26)</f>
        <v>3.01313E-2</v>
      </c>
      <c r="H187" s="338">
        <f>SUMPRODUCT(H183:H186,'Parameters, general'!$B$23:$B$26)</f>
        <v>4.752202202780046E-2</v>
      </c>
      <c r="I187" s="338">
        <f>SUMPRODUCT(I183:I186,'Parameters, general'!$B$23:$B$26)</f>
        <v>4.7522022027800459E-3</v>
      </c>
      <c r="J187" s="338">
        <f>SUMPRODUCT(J183:J186,'Parameters, general'!$B$23:$B$26)</f>
        <v>2.2369244374722035E-2</v>
      </c>
      <c r="K187" s="338">
        <f>SUMPRODUCT(K183:K186,'Parameters, general'!$B$23:$B$26)</f>
        <v>0</v>
      </c>
      <c r="L187" s="338">
        <f>SUMPRODUCT(L183:L186,'Parameters, general'!$B$23:$B$26)</f>
        <v>0</v>
      </c>
      <c r="M187" s="338">
        <f>SUMPRODUCT(M183:M186,'Parameters, general'!$B$23:$B$26)</f>
        <v>0</v>
      </c>
      <c r="N187" s="338">
        <f>SUMPRODUCT(N183:N186,'Parameters, general'!$B$23:$B$26)</f>
        <v>0</v>
      </c>
      <c r="O187" s="338">
        <f>SUMPRODUCT(O183:O186,'Parameters, general'!$B$23:$B$26)</f>
        <v>8.6389700000000014E-2</v>
      </c>
      <c r="P187" s="338">
        <f>SUMPRODUCT(P183:P186,'Parameters, general'!$B$23:$B$26)</f>
        <v>0</v>
      </c>
    </row>
    <row r="188" spans="1:16" x14ac:dyDescent="0.35">
      <c r="B188" t="s">
        <v>367</v>
      </c>
      <c r="C188" t="s">
        <v>86</v>
      </c>
      <c r="D188" t="s">
        <v>54</v>
      </c>
      <c r="E188" s="4">
        <f t="shared" ref="E188:E191" si="25">SUM(F188:P188)</f>
        <v>0.10245357628963847</v>
      </c>
      <c r="F188" s="4">
        <f>'Forage, input data per ha'!E54*(Frac_BAT_SE*EF_min_fert_BAT_CO2+Frac_AN_SE*EF_min_fert_AN_CO2)/'Forage, input data per ha'!C54</f>
        <v>1.444906499787716E-2</v>
      </c>
      <c r="G188" s="4">
        <f>EF_capital_goods_CO2</f>
        <v>2.7E-2</v>
      </c>
      <c r="H188" s="4"/>
      <c r="I188" s="4"/>
      <c r="J188" s="4">
        <f>'Forage, input data per ha'!J54*EF_diesel_CO2*Heating_value_diesel/'Forage, input data per ha'!C54</f>
        <v>1.4304511291761302E-2</v>
      </c>
      <c r="K188" s="4"/>
      <c r="L188" s="4">
        <f>'Forage, input data per ha'!K54*'Parameters, general'!$B$17/'Forage, input data per ha'!C54</f>
        <v>0</v>
      </c>
      <c r="M188" s="4"/>
      <c r="N188" s="271"/>
      <c r="O188" s="4">
        <f>'Parameters, general'!$B$20</f>
        <v>4.6700000000000005E-2</v>
      </c>
      <c r="P188" s="4"/>
    </row>
    <row r="189" spans="1:16" x14ac:dyDescent="0.35">
      <c r="B189" t="s">
        <v>367</v>
      </c>
      <c r="C189" t="s">
        <v>87</v>
      </c>
      <c r="D189" t="s">
        <v>54</v>
      </c>
      <c r="E189" s="4">
        <f t="shared" si="25"/>
        <v>8.275140536154915E-4</v>
      </c>
      <c r="F189" s="4">
        <f>'Forage, input data per ha'!E54*(Frac_BAT_SE*EF_min_fert_BAT_CH4+Frac_AN_SE*EF_min_fert_AN_CH4)/'Forage, input data per ha'!C54</f>
        <v>1.8177637457141569E-5</v>
      </c>
      <c r="G189" s="4">
        <f>EF_capital_goods_CH4</f>
        <v>9.5000000000000005E-5</v>
      </c>
      <c r="H189" s="4"/>
      <c r="I189" s="4"/>
      <c r="J189" s="4">
        <f>'Forage, input data per ha'!J54*EF_diesel_CH4*Heating_value_diesel/'Forage, input data per ha'!C54</f>
        <v>6.336416158350008E-6</v>
      </c>
      <c r="K189" s="4"/>
      <c r="L189" s="4">
        <f>'Forage, input data per ha'!K54*'Parameters, general'!$C$17/'Forage, input data per ha'!C54</f>
        <v>0</v>
      </c>
      <c r="M189" s="4"/>
      <c r="N189" s="4"/>
      <c r="O189" s="4">
        <f>'Parameters, general'!$C$20</f>
        <v>7.0799999999999997E-4</v>
      </c>
      <c r="P189" s="4"/>
    </row>
    <row r="190" spans="1:16" x14ac:dyDescent="0.35">
      <c r="B190" t="s">
        <v>367</v>
      </c>
      <c r="C190" t="s">
        <v>297</v>
      </c>
      <c r="D190" t="s">
        <v>54</v>
      </c>
      <c r="E190" s="4">
        <f t="shared" si="25"/>
        <v>0</v>
      </c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</row>
    <row r="191" spans="1:16" x14ac:dyDescent="0.35">
      <c r="B191" t="s">
        <v>367</v>
      </c>
      <c r="C191" t="s">
        <v>89</v>
      </c>
      <c r="D191" t="s">
        <v>54</v>
      </c>
      <c r="E191" s="4">
        <f t="shared" si="25"/>
        <v>2.5905063344168667E-4</v>
      </c>
      <c r="F191" s="4">
        <f>'Forage, input data per ha'!E54*(Frac_BAT_SE*EF_min_fert_BAT_N2O+Frac_AN_SE*EF_min_fert_AN_N2O)/'Forage, input data per ha'!C54</f>
        <v>3.0383072031292393E-5</v>
      </c>
      <c r="G191" s="4">
        <f>EF_capital_goods_N2O</f>
        <v>1.1000000000000001E-6</v>
      </c>
      <c r="H191" s="4">
        <f>('Forage, input data per ha'!E54*'Parameters, country spec'!L79+'Forage, input data per ha'!H54*'Parameters, country spec'!L80)*44/28/'Forage, input data per ha'!C54</f>
        <v>1.4462108510443936E-4</v>
      </c>
      <c r="I191" s="4">
        <f>H191*0.1</f>
        <v>1.4462108510443936E-5</v>
      </c>
      <c r="J191" s="4">
        <f>'Forage, input data per ha'!J54*EF_diesel_N2O*Heating_value_diesel/'Forage, input data per ha'!C54</f>
        <v>3.8436779551097283E-7</v>
      </c>
      <c r="K191" s="4"/>
      <c r="L191" s="4">
        <f>'Forage, input data per ha'!K54*'Parameters, general'!$D$17/'Forage, input data per ha'!C54</f>
        <v>0</v>
      </c>
      <c r="M191" s="4"/>
      <c r="N191" s="4"/>
      <c r="O191" s="4">
        <f>'Parameters, general'!$D$20</f>
        <v>6.8099999999999988E-5</v>
      </c>
      <c r="P191" s="4"/>
    </row>
    <row r="192" spans="1:16" x14ac:dyDescent="0.35">
      <c r="A192" s="152"/>
      <c r="B192" s="152" t="s">
        <v>367</v>
      </c>
      <c r="C192" s="152" t="s">
        <v>90</v>
      </c>
      <c r="D192" s="152" t="s">
        <v>54</v>
      </c>
      <c r="E192" s="338">
        <f>SUM(F192:P192)</f>
        <v>0.19783431801696061</v>
      </c>
      <c r="F192" s="338">
        <f>SUMPRODUCT(F188:F191,'Parameters, general'!$B$23:$B$26)</f>
        <v>2.3285337258642805E-2</v>
      </c>
      <c r="G192" s="338">
        <f>SUMPRODUCT(G188:G191,'Parameters, general'!$B$23:$B$26)</f>
        <v>3.01313E-2</v>
      </c>
      <c r="H192" s="338">
        <f>SUMPRODUCT(H188:H191,'Parameters, general'!$B$23:$B$26)</f>
        <v>3.9481556233511947E-2</v>
      </c>
      <c r="I192" s="338">
        <f>SUMPRODUCT(I188:I191,'Parameters, general'!$B$23:$B$26)</f>
        <v>3.9481556233511945E-3</v>
      </c>
      <c r="J192" s="338">
        <f>SUMPRODUCT(J188:J191,'Parameters, general'!$B$23:$B$26)</f>
        <v>1.4598268901454627E-2</v>
      </c>
      <c r="K192" s="338">
        <f>SUMPRODUCT(K188:K191,'Parameters, general'!$B$23:$B$26)</f>
        <v>0</v>
      </c>
      <c r="L192" s="338">
        <f>SUMPRODUCT(L188:L191,'Parameters, general'!$B$23:$B$26)</f>
        <v>0</v>
      </c>
      <c r="M192" s="338">
        <f>SUMPRODUCT(M188:M191,'Parameters, general'!$B$23:$B$26)</f>
        <v>0</v>
      </c>
      <c r="N192" s="338">
        <f>SUMPRODUCT(N188:N191,'Parameters, general'!$B$23:$B$26)</f>
        <v>0</v>
      </c>
      <c r="O192" s="338">
        <f>SUMPRODUCT(O188:O191,'Parameters, general'!$B$23:$B$26)</f>
        <v>8.6389700000000014E-2</v>
      </c>
      <c r="P192" s="338">
        <f>SUMPRODUCT(P188:P191,'Parameters, general'!$B$23:$B$26)</f>
        <v>0</v>
      </c>
    </row>
    <row r="193" spans="1:19" x14ac:dyDescent="0.35">
      <c r="B193" t="s">
        <v>367</v>
      </c>
      <c r="C193" t="s">
        <v>86</v>
      </c>
      <c r="D193" t="s">
        <v>493</v>
      </c>
      <c r="E193" s="4">
        <f t="shared" ref="E193:E196" si="26">SUM(F193:P193)</f>
        <v>0.10735008316998949</v>
      </c>
      <c r="F193" s="4">
        <f>'Forage, input data per ha'!E55*(Frac_BAT_GB*EF_min_fert_BAT_CO2+Frac_AN_GB*EF_min_fert_AN_CO2)/'Forage, input data per ha'!C55</f>
        <v>6.5638573298596306E-2</v>
      </c>
      <c r="G193" s="4">
        <f>EF_capital_goods_CO2</f>
        <v>2.7E-2</v>
      </c>
      <c r="H193" s="4"/>
      <c r="I193" s="4"/>
      <c r="J193" s="4">
        <f>'Forage, input data per ha'!J55*EF_diesel_CO2*Heating_value_diesel/'Forage, input data per ha'!C55</f>
        <v>1.4711509871393188E-2</v>
      </c>
      <c r="K193" s="4"/>
      <c r="L193" s="4">
        <f>'Forage, input data per ha'!K55*'Parameters, general'!$B$17/'Forage, input data per ha'!C55</f>
        <v>0</v>
      </c>
      <c r="M193" s="4"/>
      <c r="N193" s="271"/>
      <c r="O193" s="4"/>
      <c r="P193" s="4"/>
    </row>
    <row r="194" spans="1:19" x14ac:dyDescent="0.35">
      <c r="B194" t="s">
        <v>367</v>
      </c>
      <c r="C194" t="s">
        <v>87</v>
      </c>
      <c r="D194" t="s">
        <v>493</v>
      </c>
      <c r="E194" s="4">
        <f t="shared" si="26"/>
        <v>2.219274072760615E-4</v>
      </c>
      <c r="F194" s="4">
        <f>'Forage, input data per ha'!E55*(Frac_BAT_GB*EF_min_fert_BAT_CH4+Frac_AN_GB*EF_min_fert_AN_CH4)/'Forage, input data per ha'!C55</f>
        <v>1.2041070447080657E-4</v>
      </c>
      <c r="G194" s="4">
        <f>EF_capital_goods_CH4</f>
        <v>9.5000000000000005E-5</v>
      </c>
      <c r="H194" s="4"/>
      <c r="I194" s="4"/>
      <c r="J194" s="4">
        <f>'Forage, input data per ha'!J55*EF_diesel_CH4*Heating_value_diesel/'Forage, input data per ha'!C55</f>
        <v>6.5167028052549126E-6</v>
      </c>
      <c r="K194" s="4"/>
      <c r="L194" s="4">
        <f>'Forage, input data per ha'!K55*'Parameters, general'!$C$17/'Forage, input data per ha'!C55</f>
        <v>0</v>
      </c>
      <c r="M194" s="4"/>
      <c r="N194" s="4"/>
      <c r="O194" s="4"/>
      <c r="P194" s="4"/>
    </row>
    <row r="195" spans="1:19" x14ac:dyDescent="0.35">
      <c r="B195" t="s">
        <v>367</v>
      </c>
      <c r="C195" t="s">
        <v>297</v>
      </c>
      <c r="D195" t="s">
        <v>493</v>
      </c>
      <c r="E195" s="4">
        <f t="shared" si="26"/>
        <v>0</v>
      </c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</row>
    <row r="196" spans="1:19" x14ac:dyDescent="0.35">
      <c r="B196" t="s">
        <v>367</v>
      </c>
      <c r="C196" t="s">
        <v>89</v>
      </c>
      <c r="D196" t="s">
        <v>493</v>
      </c>
      <c r="E196" s="4">
        <f t="shared" si="26"/>
        <v>6.5958926384665874E-4</v>
      </c>
      <c r="F196" s="4">
        <f>'Forage, input data per ha'!E55*(Frac_BAT_GB*EF_min_fert_BAT_N2O+Frac_AN_GB*EF_min_fert_AN_N2O)/'Forage, input data per ha'!C55</f>
        <v>1.4422009698348775E-4</v>
      </c>
      <c r="G196" s="4">
        <f>EF_capital_goods_N2O</f>
        <v>1.1000000000000001E-6</v>
      </c>
      <c r="H196" s="4">
        <f>('Forage, input data per ha'!E55*'Parameters, country spec'!$M$79+'Forage, input data per ha'!H55*'Parameters, country spec'!$M$80)*44/28/'Forage, input data per ha'!C55</f>
        <v>4.6715805714285719E-4</v>
      </c>
      <c r="I196" s="4">
        <f>H196*0.1</f>
        <v>4.6715805714285725E-5</v>
      </c>
      <c r="J196" s="4">
        <f>'Forage, input data per ha'!J55*EF_diesel_N2O*Heating_value_diesel/'Forage, input data per ha'!C55</f>
        <v>3.9530400602795185E-7</v>
      </c>
      <c r="K196" s="4"/>
      <c r="L196" s="4">
        <f>'Forage, input data per ha'!K55*'Parameters, general'!$D$17/'Forage, input data per ha'!C55</f>
        <v>0</v>
      </c>
      <c r="M196" s="4"/>
      <c r="N196" s="4"/>
      <c r="O196" s="4"/>
      <c r="P196" s="4"/>
    </row>
    <row r="197" spans="1:19" ht="15" customHeight="1" x14ac:dyDescent="0.35">
      <c r="A197" s="152"/>
      <c r="B197" s="152" t="s">
        <v>367</v>
      </c>
      <c r="C197" s="152" t="s">
        <v>90</v>
      </c>
      <c r="D197" s="152" t="s">
        <v>493</v>
      </c>
      <c r="E197" s="338">
        <f>SUM(F197:P197)</f>
        <v>0.29403138893695385</v>
      </c>
      <c r="F197" s="338">
        <f>SUMPRODUCT(F193:F196,'Parameters, general'!$B$23:$B$26)</f>
        <v>0.10859889876831849</v>
      </c>
      <c r="G197" s="338">
        <f>SUMPRODUCT(G193:G196,'Parameters, general'!$B$23:$B$26)</f>
        <v>3.01313E-2</v>
      </c>
      <c r="H197" s="338">
        <f>SUMPRODUCT(H193:H196,'Parameters, general'!$B$23:$B$26)</f>
        <v>0.12753414960000001</v>
      </c>
      <c r="I197" s="338">
        <f>SUMPRODUCT(I193:I196,'Parameters, general'!$B$23:$B$26)</f>
        <v>1.2753414960000002E-2</v>
      </c>
      <c r="J197" s="338">
        <f>SUMPRODUCT(J193:J196,'Parameters, general'!$B$23:$B$26)</f>
        <v>1.5013625608635414E-2</v>
      </c>
      <c r="K197" s="338">
        <f>SUMPRODUCT(K193:K196,'Parameters, general'!$B$23:$B$26)</f>
        <v>0</v>
      </c>
      <c r="L197" s="338">
        <f>SUMPRODUCT(L193:L196,'Parameters, general'!$B$23:$B$26)</f>
        <v>0</v>
      </c>
      <c r="M197" s="338">
        <f>SUMPRODUCT(M193:M196,'Parameters, general'!$B$23:$B$26)</f>
        <v>0</v>
      </c>
      <c r="N197" s="338">
        <f>SUMPRODUCT(N193:N196,'Parameters, general'!$B$23:$B$26)</f>
        <v>0</v>
      </c>
      <c r="O197" s="338">
        <f>SUMPRODUCT(O193:O196,'Parameters, general'!$B$23:$B$26)</f>
        <v>0</v>
      </c>
      <c r="P197" s="338"/>
      <c r="R197" s="122"/>
      <c r="S197" s="6"/>
    </row>
    <row r="198" spans="1:19" x14ac:dyDescent="0.35"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</row>
    <row r="199" spans="1:19" ht="18.5" x14ac:dyDescent="0.45">
      <c r="A199" s="260" t="s">
        <v>412</v>
      </c>
      <c r="B199" s="107"/>
      <c r="C199" s="107"/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</row>
    <row r="201" spans="1:19" x14ac:dyDescent="0.35">
      <c r="A201" s="261" t="s">
        <v>215</v>
      </c>
      <c r="B201" s="262"/>
      <c r="C201" s="262"/>
      <c r="D201" s="262"/>
      <c r="E201" s="263" t="s">
        <v>60</v>
      </c>
      <c r="F201" s="263" t="s">
        <v>61</v>
      </c>
      <c r="G201" s="264"/>
      <c r="H201" s="263" t="s">
        <v>62</v>
      </c>
      <c r="I201" s="265"/>
      <c r="J201" s="266" t="s">
        <v>63</v>
      </c>
      <c r="K201" s="265"/>
      <c r="L201" s="265"/>
      <c r="M201" s="265"/>
      <c r="N201" s="266" t="s">
        <v>64</v>
      </c>
      <c r="O201" s="266" t="s">
        <v>291</v>
      </c>
      <c r="P201" s="266" t="s">
        <v>65</v>
      </c>
    </row>
    <row r="202" spans="1:19" ht="43.5" x14ac:dyDescent="0.35">
      <c r="A202" s="267" t="s">
        <v>14</v>
      </c>
      <c r="B202" s="267" t="s">
        <v>215</v>
      </c>
      <c r="C202" s="267" t="s">
        <v>69</v>
      </c>
      <c r="D202" s="268" t="s">
        <v>292</v>
      </c>
      <c r="E202" s="269"/>
      <c r="F202" s="46" t="s">
        <v>218</v>
      </c>
      <c r="G202" s="46" t="s">
        <v>71</v>
      </c>
      <c r="H202" s="46" t="s">
        <v>219</v>
      </c>
      <c r="I202" s="46" t="s">
        <v>220</v>
      </c>
      <c r="J202" s="46" t="s">
        <v>72</v>
      </c>
      <c r="K202" s="46" t="s">
        <v>73</v>
      </c>
      <c r="L202" s="46" t="s">
        <v>74</v>
      </c>
      <c r="M202" s="46" t="s">
        <v>75</v>
      </c>
      <c r="N202" s="46" t="s">
        <v>76</v>
      </c>
      <c r="O202" s="46"/>
      <c r="P202" s="46"/>
    </row>
    <row r="203" spans="1:19" x14ac:dyDescent="0.35">
      <c r="B203" t="s">
        <v>412</v>
      </c>
      <c r="C203" t="s">
        <v>86</v>
      </c>
      <c r="D203" t="s">
        <v>85</v>
      </c>
      <c r="E203" s="4">
        <f t="shared" ref="E203:E206" si="27">SUM(F203:P203)</f>
        <v>8.3589177669726011E-2</v>
      </c>
      <c r="F203" s="4">
        <f>'Forage, input data per ha'!E62*(Frac_BAT_DK*EF_min_fert_BAT_CO2+Frac_AN_DK*EF_min_fert_AN_CO2)/'Forage, input data per ha'!C62</f>
        <v>0</v>
      </c>
      <c r="G203" s="4">
        <f>EF_capital_goods_CO2</f>
        <v>2.7E-2</v>
      </c>
      <c r="H203" s="4"/>
      <c r="I203" s="4"/>
      <c r="J203" s="4">
        <f>'Forage, input data per ha'!J62*EF_diesel_CO2*Heating_value_diesel/'Forage, input data per ha'!C62</f>
        <v>9.8891776697260011E-3</v>
      </c>
      <c r="K203" s="4"/>
      <c r="L203" s="4">
        <f>'Forage, input data per ha'!K62*'Parameters, general'!$B$17/'Forage, input data per ha'!C62</f>
        <v>0</v>
      </c>
      <c r="M203" s="4"/>
      <c r="N203" s="4"/>
      <c r="O203" s="4">
        <f>'Parameters, general'!$B$20</f>
        <v>4.6700000000000005E-2</v>
      </c>
      <c r="P203" s="4"/>
    </row>
    <row r="204" spans="1:19" x14ac:dyDescent="0.35">
      <c r="B204" t="s">
        <v>412</v>
      </c>
      <c r="C204" t="s">
        <v>87</v>
      </c>
      <c r="D204" t="s">
        <v>85</v>
      </c>
      <c r="E204" s="4">
        <f t="shared" si="27"/>
        <v>8.0738057224753539E-4</v>
      </c>
      <c r="F204" s="4">
        <f>'Forage, input data per ha'!E62*(Frac_BAT_DK*EF_min_fert_BAT_CH4+Frac_AN_DK*EF_min_fert_AN_CH4)/'Forage, input data per ha'!C62</f>
        <v>0</v>
      </c>
      <c r="G204" s="4">
        <f>EF_capital_goods_CH4</f>
        <v>9.5000000000000005E-5</v>
      </c>
      <c r="H204" s="4"/>
      <c r="I204" s="4"/>
      <c r="J204" s="4">
        <f>'Forage, input data per ha'!J62*EF_diesel_CH4*Heating_value_diesel/'Forage, input data per ha'!C62</f>
        <v>4.3805722475353729E-6</v>
      </c>
      <c r="K204" s="4"/>
      <c r="L204" s="4">
        <f>'Forage, input data per ha'!K62*'Parameters, general'!$C$17/'Forage, input data per ha'!C62</f>
        <v>0</v>
      </c>
      <c r="M204" s="4"/>
      <c r="N204" s="4"/>
      <c r="O204" s="4">
        <f>'Parameters, general'!$C$20</f>
        <v>7.0799999999999997E-4</v>
      </c>
      <c r="P204" s="4"/>
    </row>
    <row r="205" spans="1:19" x14ac:dyDescent="0.35">
      <c r="B205" t="s">
        <v>412</v>
      </c>
      <c r="C205" t="s">
        <v>297</v>
      </c>
      <c r="D205" t="s">
        <v>85</v>
      </c>
      <c r="E205" s="4">
        <f t="shared" si="27"/>
        <v>0</v>
      </c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</row>
    <row r="206" spans="1:19" x14ac:dyDescent="0.35">
      <c r="B206" t="s">
        <v>412</v>
      </c>
      <c r="C206" t="s">
        <v>89</v>
      </c>
      <c r="D206" t="s">
        <v>85</v>
      </c>
      <c r="E206" s="4">
        <f t="shared" si="27"/>
        <v>1.0116496034533285E-4</v>
      </c>
      <c r="F206" s="4">
        <f>'Forage, input data per ha'!E62*(Frac_BAT_DK*EF_min_fert_BAT_N2O+Frac_AN_DK*EF_min_fert_AN_N2O)/'Forage, input data per ha'!C62</f>
        <v>0</v>
      </c>
      <c r="G206" s="4">
        <f>EF_capital_goods_N2O</f>
        <v>1.1000000000000001E-6</v>
      </c>
      <c r="H206" s="4">
        <f>('Forage, input data per ha'!E62*'Parameters, country spec'!B79+'Forage, input data per ha'!H62*'Parameters, country spec'!B80)*44/28/'Forage, input data per ha'!C62</f>
        <v>2.8817485714285719E-5</v>
      </c>
      <c r="I206" s="4">
        <f>H206*0.1</f>
        <v>2.881748571428572E-6</v>
      </c>
      <c r="J206" s="4">
        <f>'Forage, input data per ha'!J62*EF_diesel_N2O*Heating_value_diesel/'Forage, input data per ha'!C62</f>
        <v>2.6572605961855961E-7</v>
      </c>
      <c r="K206" s="4"/>
      <c r="L206" s="4">
        <f>'Forage, input data per ha'!K62*'Parameters, general'!$D$17/'Forage, input data per ha'!C62</f>
        <v>0</v>
      </c>
      <c r="M206" s="4"/>
      <c r="N206" s="4"/>
      <c r="O206" s="4">
        <f>'Parameters, general'!$D$20</f>
        <v>6.8099999999999988E-5</v>
      </c>
      <c r="P206" s="4"/>
    </row>
    <row r="207" spans="1:19" x14ac:dyDescent="0.35">
      <c r="A207" s="152"/>
      <c r="B207" s="152" t="s">
        <v>412</v>
      </c>
      <c r="C207" s="152" t="s">
        <v>90</v>
      </c>
      <c r="D207" s="152" t="s">
        <v>85</v>
      </c>
      <c r="E207" s="338">
        <f>SUM(F207:P207)</f>
        <v>0.13526715289697844</v>
      </c>
      <c r="F207" s="338">
        <f>SUMPRODUCT(F203:F206,'Parameters, general'!$B$23:$B$26)</f>
        <v>0</v>
      </c>
      <c r="G207" s="338">
        <f>SUMPRODUCT(G203:G206,'Parameters, general'!$B$23:$B$26)</f>
        <v>3.01313E-2</v>
      </c>
      <c r="H207" s="338">
        <f>SUMPRODUCT(H203:H206,'Parameters, general'!$B$23:$B$26)</f>
        <v>7.8671736000000009E-3</v>
      </c>
      <c r="I207" s="338">
        <f>SUMPRODUCT(I203:I206,'Parameters, general'!$B$23:$B$26)</f>
        <v>7.8671736000000012E-4</v>
      </c>
      <c r="J207" s="338">
        <f>SUMPRODUCT(J203:J206,'Parameters, general'!$B$23:$B$26)</f>
        <v>1.0092261936978422E-2</v>
      </c>
      <c r="K207" s="338">
        <f>SUMPRODUCT(K203:K206,'Parameters, general'!$B$23:$B$26)</f>
        <v>0</v>
      </c>
      <c r="L207" s="338">
        <f>SUMPRODUCT(L203:L206,'Parameters, general'!$B$23:$B$26)</f>
        <v>0</v>
      </c>
      <c r="M207" s="338">
        <f>SUMPRODUCT(M203:M206,'Parameters, general'!$B$23:$B$26)</f>
        <v>0</v>
      </c>
      <c r="N207" s="338">
        <f>SUMPRODUCT(N203:N206,'Parameters, general'!$B$23:$B$26)</f>
        <v>0</v>
      </c>
      <c r="O207" s="338">
        <f>SUMPRODUCT(O203:O206,'Parameters, general'!$B$23:$B$26)</f>
        <v>8.6389700000000014E-2</v>
      </c>
      <c r="P207" s="338">
        <f>SUMPRODUCT(P203:P206,'Parameters, general'!$B$23:$B$26)</f>
        <v>0</v>
      </c>
    </row>
    <row r="208" spans="1:19" x14ac:dyDescent="0.35">
      <c r="B208" t="s">
        <v>412</v>
      </c>
      <c r="C208" t="s">
        <v>86</v>
      </c>
      <c r="D208" t="s">
        <v>36</v>
      </c>
      <c r="E208" s="4">
        <f t="shared" ref="E208:E211" si="28">SUM(F208:P208)</f>
        <v>8.6527922533805673E-2</v>
      </c>
      <c r="F208" s="4">
        <f>'Forage, input data per ha'!E63*(Frac_BAT_FR*EF_min_fert_BAT_CO2+Frac_AN_FR*EF_min_fert_AN_CO2)/'Forage, input data per ha'!C63</f>
        <v>0</v>
      </c>
      <c r="G208" s="4">
        <f>EF_capital_goods_CO2</f>
        <v>2.7E-2</v>
      </c>
      <c r="H208" s="4"/>
      <c r="I208" s="4"/>
      <c r="J208" s="4">
        <f>'Forage, input data per ha'!J63*EF_diesel_CO2*Heating_value_diesel/'Forage, input data per ha'!C63</f>
        <v>1.2827922533805672E-2</v>
      </c>
      <c r="K208" s="4"/>
      <c r="L208" s="4">
        <f>'Forage, input data per ha'!K63*'Parameters, general'!$B$17/'Forage, input data per ha'!C63</f>
        <v>0</v>
      </c>
      <c r="M208" s="4"/>
      <c r="N208" s="271"/>
      <c r="O208" s="4">
        <f>'Parameters, general'!$B$20</f>
        <v>4.6700000000000005E-2</v>
      </c>
      <c r="P208" s="4"/>
    </row>
    <row r="209" spans="1:16" x14ac:dyDescent="0.35">
      <c r="B209" t="s">
        <v>412</v>
      </c>
      <c r="C209" t="s">
        <v>87</v>
      </c>
      <c r="D209" t="s">
        <v>36</v>
      </c>
      <c r="E209" s="4">
        <f t="shared" si="28"/>
        <v>8.0868233712871288E-4</v>
      </c>
      <c r="F209" s="4">
        <f>'Forage, input data per ha'!E63*(Frac_BAT_FR*EF_min_fert_BAT_CH4+Frac_AN_FR*EF_min_fert_AN_CH4)/'Forage, input data per ha'!C63</f>
        <v>0</v>
      </c>
      <c r="G209" s="4">
        <f>EF_capital_goods_CH4</f>
        <v>9.5000000000000005E-5</v>
      </c>
      <c r="H209" s="4"/>
      <c r="I209" s="4"/>
      <c r="J209" s="4">
        <f>'Forage, input data per ha'!J63*EF_diesel_CH4*Heating_value_diesel/'Forage, input data per ha'!C63</f>
        <v>5.6823371287129186E-6</v>
      </c>
      <c r="K209" s="4"/>
      <c r="L209" s="4">
        <f>'Forage, input data per ha'!K63*'Parameters, general'!$C$17/'Forage, input data per ha'!C63</f>
        <v>0</v>
      </c>
      <c r="M209" s="4"/>
      <c r="N209" s="4"/>
      <c r="O209" s="4">
        <f>'Parameters, general'!$C$20</f>
        <v>7.0799999999999997E-4</v>
      </c>
      <c r="P209" s="4"/>
    </row>
    <row r="210" spans="1:16" x14ac:dyDescent="0.35">
      <c r="B210" t="s">
        <v>412</v>
      </c>
      <c r="C210" t="s">
        <v>297</v>
      </c>
      <c r="D210" t="s">
        <v>36</v>
      </c>
      <c r="E210" s="4">
        <f t="shared" si="28"/>
        <v>0</v>
      </c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</row>
    <row r="211" spans="1:16" x14ac:dyDescent="0.35">
      <c r="B211" t="s">
        <v>412</v>
      </c>
      <c r="C211" t="s">
        <v>89</v>
      </c>
      <c r="D211" t="s">
        <v>36</v>
      </c>
      <c r="E211" s="4">
        <f t="shared" si="28"/>
        <v>1.0124392556560053E-4</v>
      </c>
      <c r="F211" s="4">
        <f>'Forage, input data per ha'!E63*(Frac_BAT_FR*EF_min_fert_BAT_N2O+Frac_AN_FR*EF_min_fert_AN_N2O)/'Forage, input data per ha'!C63</f>
        <v>0</v>
      </c>
      <c r="G211" s="4">
        <f>EF_capital_goods_N2O</f>
        <v>1.1000000000000001E-6</v>
      </c>
      <c r="H211" s="4">
        <f>('Forage, input data per ha'!E63*'Parameters, country spec'!C79+'Forage, input data per ha'!H63*'Parameters, country spec'!C80)*44/28/'Forage, input data per ha'!C63</f>
        <v>2.8817485714285722E-5</v>
      </c>
      <c r="I211" s="4">
        <f>H211*0.1</f>
        <v>2.8817485714285724E-6</v>
      </c>
      <c r="J211" s="4">
        <f>'Forage, input data per ha'!J63*EF_diesel_N2O*Heating_value_diesel/'Forage, input data per ha'!C63</f>
        <v>3.4469127988624303E-7</v>
      </c>
      <c r="K211" s="4"/>
      <c r="L211" s="4">
        <f>'Forage, input data per ha'!K63*'Parameters, general'!$D$17/'Forage, input data per ha'!C63</f>
        <v>0</v>
      </c>
      <c r="M211" s="4"/>
      <c r="N211" s="4"/>
      <c r="O211" s="4">
        <f>'Parameters, general'!$D$20</f>
        <v>6.8099999999999988E-5</v>
      </c>
      <c r="P211" s="4"/>
    </row>
    <row r="212" spans="1:16" x14ac:dyDescent="0.35">
      <c r="A212" s="152"/>
      <c r="B212" s="152" t="s">
        <v>412</v>
      </c>
      <c r="C212" s="152" t="s">
        <v>90</v>
      </c>
      <c r="D212" s="152" t="s">
        <v>36</v>
      </c>
      <c r="E212" s="338">
        <f>SUM(F212:P212)</f>
        <v>0.13826624785965028</v>
      </c>
      <c r="F212" s="338">
        <f>SUMPRODUCT(F208:F211,'Parameters, general'!$B$23:$B$26)</f>
        <v>0</v>
      </c>
      <c r="G212" s="338">
        <f>SUMPRODUCT(G208:G211,'Parameters, general'!$B$23:$B$26)</f>
        <v>3.01313E-2</v>
      </c>
      <c r="H212" s="338">
        <f>SUMPRODUCT(H208:H211,'Parameters, general'!$B$23:$B$26)</f>
        <v>7.8671736000000027E-3</v>
      </c>
      <c r="I212" s="338">
        <f>SUMPRODUCT(I208:I211,'Parameters, general'!$B$23:$B$26)</f>
        <v>7.8671736000000022E-4</v>
      </c>
      <c r="J212" s="338">
        <f>SUMPRODUCT(J208:J211,'Parameters, general'!$B$23:$B$26)</f>
        <v>1.3091356899650261E-2</v>
      </c>
      <c r="K212" s="338">
        <f>SUMPRODUCT(K208:K211,'Parameters, general'!$B$23:$B$26)</f>
        <v>0</v>
      </c>
      <c r="L212" s="338">
        <f>SUMPRODUCT(L208:L211,'Parameters, general'!$B$23:$B$26)</f>
        <v>0</v>
      </c>
      <c r="M212" s="338">
        <f>SUMPRODUCT(M208:M211,'Parameters, general'!$B$23:$B$26)</f>
        <v>0</v>
      </c>
      <c r="N212" s="338">
        <f>SUMPRODUCT(N208:N211,'Parameters, general'!$B$23:$B$26)</f>
        <v>0</v>
      </c>
      <c r="O212" s="338">
        <f>SUMPRODUCT(O208:O211,'Parameters, general'!$B$23:$B$26)</f>
        <v>8.6389700000000014E-2</v>
      </c>
      <c r="P212" s="338">
        <f>SUMPRODUCT(P208:P211,'Parameters, general'!$B$23:$B$26)</f>
        <v>0</v>
      </c>
    </row>
    <row r="213" spans="1:16" x14ac:dyDescent="0.35">
      <c r="B213" t="s">
        <v>412</v>
      </c>
      <c r="C213" t="s">
        <v>86</v>
      </c>
      <c r="D213" t="s">
        <v>38</v>
      </c>
      <c r="E213" s="4">
        <f t="shared" ref="E213:E216" si="29">SUM(F213:P213)</f>
        <v>9.0598147836025364E-2</v>
      </c>
      <c r="F213" s="4">
        <f>'Forage, input data per ha'!E64*(Frac_BAT_DE*EF_min_fert_BAT_CO2+Frac_AN_DE*EF_min_fert_AN_CO2)/'Forage, input data per ha'!C64</f>
        <v>0</v>
      </c>
      <c r="G213" s="4">
        <f>EF_capital_goods_CO2</f>
        <v>2.7E-2</v>
      </c>
      <c r="H213" s="4"/>
      <c r="I213" s="4"/>
      <c r="J213" s="4">
        <f>'Forage, input data per ha'!J64*EF_diesel_CO2*Heating_value_diesel/'Forage, input data per ha'!C64</f>
        <v>1.6898147836025362E-2</v>
      </c>
      <c r="K213" s="4"/>
      <c r="L213" s="4">
        <f>'Forage, input data per ha'!K64*'Parameters, general'!$B$17/'Forage, input data per ha'!C64</f>
        <v>0</v>
      </c>
      <c r="M213" s="4"/>
      <c r="N213" s="4"/>
      <c r="O213" s="4">
        <f>'Parameters, general'!$B$20</f>
        <v>4.6700000000000005E-2</v>
      </c>
      <c r="P213" s="4"/>
    </row>
    <row r="214" spans="1:16" x14ac:dyDescent="0.35">
      <c r="B214" t="s">
        <v>412</v>
      </c>
      <c r="C214" t="s">
        <v>87</v>
      </c>
      <c r="D214" t="s">
        <v>38</v>
      </c>
      <c r="E214" s="4">
        <f t="shared" si="29"/>
        <v>8.1048530969079992E-4</v>
      </c>
      <c r="F214" s="4">
        <f>'Forage, input data per ha'!E64*(Frac_BAT_DE*EF_min_fert_BAT_CH4+Frac_AN_DE*EF_min_fert_AN_CH4)/'Forage, input data per ha'!C64</f>
        <v>0</v>
      </c>
      <c r="G214" s="4">
        <f>EF_capital_goods_CH4</f>
        <v>9.5000000000000005E-5</v>
      </c>
      <c r="H214" s="4"/>
      <c r="I214" s="4"/>
      <c r="J214" s="4">
        <f>'Forage, input data per ha'!J64*EF_diesel_CH4*Heating_value_diesel/'Forage, input data per ha'!C64</f>
        <v>7.4853096907999611E-6</v>
      </c>
      <c r="K214" s="4"/>
      <c r="L214" s="4">
        <f>'Forage, input data per ha'!K64*'Parameters, general'!$C$17/'Forage, input data per ha'!C64</f>
        <v>0</v>
      </c>
      <c r="M214" s="4"/>
      <c r="N214" s="4"/>
      <c r="O214" s="4">
        <f>'Parameters, general'!$C$20</f>
        <v>7.0799999999999997E-4</v>
      </c>
      <c r="P214" s="4"/>
    </row>
    <row r="215" spans="1:16" x14ac:dyDescent="0.35">
      <c r="B215" t="s">
        <v>412</v>
      </c>
      <c r="C215" t="s">
        <v>297</v>
      </c>
      <c r="D215" t="s">
        <v>38</v>
      </c>
      <c r="E215" s="4">
        <f t="shared" si="29"/>
        <v>0</v>
      </c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</row>
    <row r="216" spans="1:16" x14ac:dyDescent="0.35">
      <c r="B216" t="s">
        <v>412</v>
      </c>
      <c r="C216" t="s">
        <v>89</v>
      </c>
      <c r="D216" t="s">
        <v>38</v>
      </c>
      <c r="E216" s="4">
        <f t="shared" si="29"/>
        <v>1.0135329410638724E-4</v>
      </c>
      <c r="F216" s="4">
        <f>'Forage, input data per ha'!E64*(Frac_BAT_DE*EF_min_fert_BAT_N2O+Frac_AN_DE*EF_min_fert_AN_N2O)/'Forage, input data per ha'!C64</f>
        <v>0</v>
      </c>
      <c r="G216" s="4">
        <f>EF_capital_goods_N2O</f>
        <v>1.1000000000000001E-6</v>
      </c>
      <c r="H216" s="4">
        <f>('Forage, input data per ha'!E64*'Parameters, country spec'!D79+'Forage, input data per ha'!H64*'Parameters, country spec'!D80)*44/28/'Forage, input data per ha'!C64</f>
        <v>2.8817485714285716E-5</v>
      </c>
      <c r="I216" s="4">
        <f>H216*0.1</f>
        <v>2.8817485714285716E-6</v>
      </c>
      <c r="J216" s="4">
        <f>'Forage, input data per ha'!J64*EF_diesel_N2O*Heating_value_diesel/'Forage, input data per ha'!C64</f>
        <v>4.5405982067296817E-7</v>
      </c>
      <c r="K216" s="4"/>
      <c r="L216" s="4">
        <f>'Forage, input data per ha'!K64*'Parameters, general'!$D$17/'Forage, input data per ha'!C64</f>
        <v>0</v>
      </c>
      <c r="M216" s="4"/>
      <c r="N216" s="4"/>
      <c r="O216" s="4">
        <f>'Parameters, general'!$D$20</f>
        <v>6.8099999999999988E-5</v>
      </c>
      <c r="P216" s="4"/>
    </row>
    <row r="217" spans="1:16" x14ac:dyDescent="0.35">
      <c r="A217" s="152"/>
      <c r="B217" s="152" t="s">
        <v>412</v>
      </c>
      <c r="C217" s="152" t="s">
        <v>90</v>
      </c>
      <c r="D217" s="152" t="s">
        <v>38</v>
      </c>
      <c r="E217" s="338">
        <f>SUM(F217:P217)</f>
        <v>0.14242005935585494</v>
      </c>
      <c r="F217" s="338">
        <f>SUMPRODUCT(F213:F216,'Parameters, general'!$B$23:$B$26)</f>
        <v>0</v>
      </c>
      <c r="G217" s="338">
        <f>SUMPRODUCT(G213:G216,'Parameters, general'!$B$23:$B$26)</f>
        <v>3.01313E-2</v>
      </c>
      <c r="H217" s="338">
        <f>SUMPRODUCT(H213:H216,'Parameters, general'!$B$23:$B$26)</f>
        <v>7.8671736000000009E-3</v>
      </c>
      <c r="I217" s="338">
        <f>SUMPRODUCT(I213:I216,'Parameters, general'!$B$23:$B$26)</f>
        <v>7.8671736000000001E-4</v>
      </c>
      <c r="J217" s="338">
        <f>SUMPRODUCT(J213:J216,'Parameters, general'!$B$23:$B$26)</f>
        <v>1.7245168395854923E-2</v>
      </c>
      <c r="K217" s="338">
        <f>SUMPRODUCT(K213:K216,'Parameters, general'!$B$23:$B$26)</f>
        <v>0</v>
      </c>
      <c r="L217" s="338">
        <f>SUMPRODUCT(L213:L216,'Parameters, general'!$B$23:$B$26)</f>
        <v>0</v>
      </c>
      <c r="M217" s="338">
        <f>SUMPRODUCT(M213:M216,'Parameters, general'!$B$23:$B$26)</f>
        <v>0</v>
      </c>
      <c r="N217" s="338">
        <f>SUMPRODUCT(N213:N216,'Parameters, general'!$B$23:$B$26)</f>
        <v>0</v>
      </c>
      <c r="O217" s="338">
        <f>SUMPRODUCT(O213:O216,'Parameters, general'!$B$23:$B$26)</f>
        <v>8.6389700000000014E-2</v>
      </c>
      <c r="P217" s="338">
        <f>SUMPRODUCT(P213:P216,'Parameters, general'!$B$23:$B$26)</f>
        <v>0</v>
      </c>
    </row>
    <row r="218" spans="1:16" x14ac:dyDescent="0.35">
      <c r="B218" t="s">
        <v>412</v>
      </c>
      <c r="C218" t="s">
        <v>86</v>
      </c>
      <c r="D218" t="s">
        <v>40</v>
      </c>
      <c r="E218" s="4">
        <f t="shared" ref="E218:E221" si="30">SUM(F218:P218)</f>
        <v>0.10006337420666951</v>
      </c>
      <c r="F218" s="4">
        <f>'Forage, input data per ha'!E65*(Frac_BAT_GR*EF_min_fert_BAT_CO2+Frac_AN_GR*EF_min_fert_AN_CO2)/'Forage, input data per ha'!C65</f>
        <v>0</v>
      </c>
      <c r="G218" s="4">
        <f>EF_capital_goods_CO2</f>
        <v>2.7E-2</v>
      </c>
      <c r="H218" s="4"/>
      <c r="I218" s="4"/>
      <c r="J218" s="4">
        <f>'Forage, input data per ha'!J65*EF_diesel_CO2*Heating_value_diesel/'Forage, input data per ha'!C65</f>
        <v>2.6363374206669506E-2</v>
      </c>
      <c r="K218" s="4"/>
      <c r="L218" s="4">
        <f>'Forage, input data per ha'!K65*'Parameters, general'!$B$17/'Forage, input data per ha'!C65</f>
        <v>0</v>
      </c>
      <c r="M218" s="4"/>
      <c r="N218" s="271"/>
      <c r="O218" s="4">
        <f>'Parameters, general'!$B$20</f>
        <v>4.6700000000000005E-2</v>
      </c>
      <c r="P218" s="4"/>
    </row>
    <row r="219" spans="1:16" x14ac:dyDescent="0.35">
      <c r="B219" t="s">
        <v>412</v>
      </c>
      <c r="C219" t="s">
        <v>87</v>
      </c>
      <c r="D219" t="s">
        <v>40</v>
      </c>
      <c r="E219" s="4">
        <f t="shared" si="30"/>
        <v>8.1467808580835477E-4</v>
      </c>
      <c r="F219" s="4">
        <f>'Forage, input data per ha'!E65*(Frac_BAT_GR*EF_min_fert_BAT_CH4+Frac_AN_GR*EF_min_fert_AN_CH4)/'Forage, input data per ha'!C65</f>
        <v>0</v>
      </c>
      <c r="G219" s="4">
        <f>EF_capital_goods_CH4</f>
        <v>9.5000000000000005E-5</v>
      </c>
      <c r="H219" s="4"/>
      <c r="I219" s="4"/>
      <c r="J219" s="4">
        <f>'Forage, input data per ha'!J65*EF_diesel_CH4*Heating_value_diesel/'Forage, input data per ha'!C65</f>
        <v>1.167808580835479E-5</v>
      </c>
      <c r="K219" s="4"/>
      <c r="L219" s="4">
        <f>'Forage, input data per ha'!K65*'Parameters, general'!$C$17/'Forage, input data per ha'!C65</f>
        <v>0</v>
      </c>
      <c r="M219" s="4"/>
      <c r="N219" s="4"/>
      <c r="O219" s="4">
        <f>'Parameters, general'!$C$20</f>
        <v>7.0799999999999997E-4</v>
      </c>
      <c r="P219" s="4"/>
    </row>
    <row r="220" spans="1:16" x14ac:dyDescent="0.35">
      <c r="B220" t="s">
        <v>412</v>
      </c>
      <c r="C220" t="s">
        <v>297</v>
      </c>
      <c r="D220" t="s">
        <v>40</v>
      </c>
      <c r="E220" s="4">
        <f t="shared" si="30"/>
        <v>0</v>
      </c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</row>
    <row r="221" spans="1:16" x14ac:dyDescent="0.35">
      <c r="B221" t="s">
        <v>412</v>
      </c>
      <c r="C221" t="s">
        <v>89</v>
      </c>
      <c r="D221" t="s">
        <v>40</v>
      </c>
      <c r="E221" s="4">
        <f t="shared" si="30"/>
        <v>1.0160762842930762E-4</v>
      </c>
      <c r="F221" s="4">
        <f>'Forage, input data per ha'!E65*(Frac_BAT_GR*EF_min_fert_BAT_N2O+Frac_AN_GR*EF_min_fert_AN_N2O)/'Forage, input data per ha'!C65</f>
        <v>0</v>
      </c>
      <c r="G221" s="4">
        <f>EF_capital_goods_N2O</f>
        <v>1.1000000000000001E-6</v>
      </c>
      <c r="H221" s="4">
        <f>('Forage, input data per ha'!E65*'Parameters, country spec'!E79+'Forage, input data per ha'!H65*'Parameters, country spec'!E80)*44/28/'Forage, input data per ha'!C65</f>
        <v>2.8817485714285719E-5</v>
      </c>
      <c r="I221" s="4">
        <f>H221*0.1</f>
        <v>2.881748571428572E-6</v>
      </c>
      <c r="J221" s="4">
        <f>'Forage, input data per ha'!J65*EF_diesel_N2O*Heating_value_diesel/'Forage, input data per ha'!C65</f>
        <v>7.0839414359333239E-7</v>
      </c>
      <c r="K221" s="4"/>
      <c r="L221" s="4">
        <f>'Forage, input data per ha'!K65*'Parameters, general'!$D$17/'Forage, input data per ha'!C65</f>
        <v>0</v>
      </c>
      <c r="M221" s="4"/>
      <c r="N221" s="4"/>
      <c r="O221" s="4">
        <f>'Parameters, general'!$D$20</f>
        <v>6.8099999999999988E-5</v>
      </c>
      <c r="P221" s="4"/>
    </row>
    <row r="222" spans="1:16" x14ac:dyDescent="0.35">
      <c r="A222" s="152"/>
      <c r="B222" s="152" t="s">
        <v>412</v>
      </c>
      <c r="C222" s="152" t="s">
        <v>90</v>
      </c>
      <c r="D222" s="152" t="s">
        <v>40</v>
      </c>
      <c r="E222" s="338">
        <f>SUM(F222:P222)</f>
        <v>0.15207966372495946</v>
      </c>
      <c r="F222" s="338">
        <f>SUMPRODUCT(F218:F221,'Parameters, general'!$B$23:$B$26)</f>
        <v>0</v>
      </c>
      <c r="G222" s="338">
        <f>SUMPRODUCT(G218:G221,'Parameters, general'!$B$23:$B$26)</f>
        <v>3.01313E-2</v>
      </c>
      <c r="H222" s="338">
        <f>SUMPRODUCT(H218:H221,'Parameters, general'!$B$23:$B$26)</f>
        <v>7.8671736000000009E-3</v>
      </c>
      <c r="I222" s="338">
        <f>SUMPRODUCT(I218:I221,'Parameters, general'!$B$23:$B$26)</f>
        <v>7.8671736000000012E-4</v>
      </c>
      <c r="J222" s="338">
        <f>SUMPRODUCT(J218:J221,'Parameters, general'!$B$23:$B$26)</f>
        <v>2.6904772764959457E-2</v>
      </c>
      <c r="K222" s="338">
        <f>SUMPRODUCT(K218:K221,'Parameters, general'!$B$23:$B$26)</f>
        <v>0</v>
      </c>
      <c r="L222" s="338">
        <f>SUMPRODUCT(L218:L221,'Parameters, general'!$B$23:$B$26)</f>
        <v>0</v>
      </c>
      <c r="M222" s="338">
        <f>SUMPRODUCT(M218:M221,'Parameters, general'!$B$23:$B$26)</f>
        <v>0</v>
      </c>
      <c r="N222" s="338">
        <f>SUMPRODUCT(N218:N221,'Parameters, general'!$B$23:$B$26)</f>
        <v>0</v>
      </c>
      <c r="O222" s="338">
        <f>SUMPRODUCT(O218:O221,'Parameters, general'!$B$23:$B$26)</f>
        <v>8.6389700000000014E-2</v>
      </c>
      <c r="P222" s="338">
        <f>SUMPRODUCT(P218:P221,'Parameters, general'!$B$23:$B$26)</f>
        <v>0</v>
      </c>
    </row>
    <row r="223" spans="1:16" x14ac:dyDescent="0.35">
      <c r="B223" t="s">
        <v>412</v>
      </c>
      <c r="C223" t="s">
        <v>86</v>
      </c>
      <c r="D223" t="s">
        <v>91</v>
      </c>
      <c r="E223" s="4">
        <f t="shared" ref="E223:E226" si="31">SUM(F223:P223)</f>
        <v>0.10131737241923232</v>
      </c>
      <c r="F223" s="4">
        <f>'Forage, input data per ha'!E66*(Frac_BAT_HU*EF_min_fert_BAT_CO2+Frac_AN_HU*EF_min_fert_AN_CO2)/'Forage, input data per ha'!C66</f>
        <v>0</v>
      </c>
      <c r="G223" s="4">
        <f>EF_capital_goods_CO2</f>
        <v>2.7E-2</v>
      </c>
      <c r="H223" s="4"/>
      <c r="I223" s="4"/>
      <c r="J223" s="4">
        <f>'Forage, input data per ha'!J66*EF_diesel_CO2*Heating_value_diesel/'Forage, input data per ha'!C66</f>
        <v>2.7617372419232313E-2</v>
      </c>
      <c r="K223" s="4"/>
      <c r="L223" s="4">
        <f>'Forage, input data per ha'!K66*'Parameters, general'!$B$17/'Forage, input data per ha'!C66</f>
        <v>0</v>
      </c>
      <c r="M223" s="4"/>
      <c r="N223" s="4"/>
      <c r="O223" s="4">
        <f>'Parameters, general'!$B$20</f>
        <v>4.6700000000000005E-2</v>
      </c>
      <c r="P223" s="4"/>
    </row>
    <row r="224" spans="1:16" x14ac:dyDescent="0.35">
      <c r="B224" t="s">
        <v>412</v>
      </c>
      <c r="C224" t="s">
        <v>87</v>
      </c>
      <c r="D224" t="s">
        <v>91</v>
      </c>
      <c r="E224" s="4">
        <f t="shared" si="31"/>
        <v>8.152335647320703E-4</v>
      </c>
      <c r="F224" s="4">
        <f>'Forage, input data per ha'!E66*(Frac_BAT_HU*EF_min_fert_BAT_CH4+Frac_AN_HU*EF_min_fert_AN_CH4)/'Forage, input data per ha'!C66</f>
        <v>0</v>
      </c>
      <c r="G224" s="4">
        <f>EF_capital_goods_CH4</f>
        <v>9.5000000000000005E-5</v>
      </c>
      <c r="H224" s="4"/>
      <c r="I224" s="4"/>
      <c r="J224" s="4">
        <f>'Forage, input data per ha'!J66*EF_diesel_CH4*Heating_value_diesel/'Forage, input data per ha'!C66</f>
        <v>1.2233564732070374E-5</v>
      </c>
      <c r="K224" s="4"/>
      <c r="L224" s="4">
        <f>'Forage, input data per ha'!K66*'Parameters, general'!$C$17/'Forage, input data per ha'!C66</f>
        <v>0</v>
      </c>
      <c r="M224" s="4"/>
      <c r="N224" s="4"/>
      <c r="O224" s="4">
        <f>'Parameters, general'!$C$20</f>
        <v>7.0799999999999997E-4</v>
      </c>
      <c r="P224" s="4"/>
    </row>
    <row r="225" spans="1:16" x14ac:dyDescent="0.35">
      <c r="B225" t="s">
        <v>412</v>
      </c>
      <c r="C225" t="s">
        <v>297</v>
      </c>
      <c r="D225" t="s">
        <v>91</v>
      </c>
      <c r="E225" s="4">
        <f t="shared" si="31"/>
        <v>0</v>
      </c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</row>
    <row r="226" spans="1:16" x14ac:dyDescent="0.35">
      <c r="B226" t="s">
        <v>412</v>
      </c>
      <c r="C226" t="s">
        <v>89</v>
      </c>
      <c r="D226" t="s">
        <v>91</v>
      </c>
      <c r="E226" s="4">
        <f t="shared" si="31"/>
        <v>1.0164132385019312E-4</v>
      </c>
      <c r="F226" s="4">
        <f>'Forage, input data per ha'!E66*(Frac_BAT_HU*EF_min_fert_BAT_N2O+Frac_AN_HU*EF_min_fert_AN_N2O)/'Forage, input data per ha'!C66</f>
        <v>0</v>
      </c>
      <c r="G226" s="4">
        <f>EF_capital_goods_N2O</f>
        <v>1.1000000000000001E-6</v>
      </c>
      <c r="H226" s="4">
        <f>('Forage, input data per ha'!E66*'Parameters, country spec'!F79+'Forage, input data per ha'!H66*'Parameters, country spec'!F80)*44/28/'Forage, input data per ha'!C66</f>
        <v>2.8817485714285716E-5</v>
      </c>
      <c r="I226" s="4">
        <f>H226*0.1</f>
        <v>2.8817485714285716E-6</v>
      </c>
      <c r="J226" s="4">
        <f>'Forage, input data per ha'!J66*EF_diesel_N2O*Heating_value_diesel/'Forage, input data per ha'!C66</f>
        <v>7.4208956447884509E-7</v>
      </c>
      <c r="K226" s="4"/>
      <c r="L226" s="4">
        <f>'Forage, input data per ha'!K66*'Parameters, general'!$D$17/'Forage, input data per ha'!C66</f>
        <v>0</v>
      </c>
      <c r="M226" s="4"/>
      <c r="N226" s="4"/>
      <c r="O226" s="4">
        <f>'Parameters, general'!$D$20</f>
        <v>6.8099999999999988E-5</v>
      </c>
      <c r="P226" s="4"/>
    </row>
    <row r="227" spans="1:16" x14ac:dyDescent="0.35">
      <c r="A227" s="152"/>
      <c r="B227" s="152" t="s">
        <v>412</v>
      </c>
      <c r="C227" s="152" t="s">
        <v>90</v>
      </c>
      <c r="D227" s="152" t="s">
        <v>91</v>
      </c>
      <c r="E227" s="338">
        <f>SUM(F227:P227)</f>
        <v>0.15335941405935075</v>
      </c>
      <c r="F227" s="338">
        <f>SUMPRODUCT(F223:F226,'Parameters, general'!$B$23:$B$26)</f>
        <v>0</v>
      </c>
      <c r="G227" s="338">
        <f>SUMPRODUCT(G223:G226,'Parameters, general'!$B$23:$B$26)</f>
        <v>3.01313E-2</v>
      </c>
      <c r="H227" s="338">
        <f>SUMPRODUCT(H223:H226,'Parameters, general'!$B$23:$B$26)</f>
        <v>7.8671736000000009E-3</v>
      </c>
      <c r="I227" s="338">
        <f>SUMPRODUCT(I223:I226,'Parameters, general'!$B$23:$B$26)</f>
        <v>7.8671736000000001E-4</v>
      </c>
      <c r="J227" s="338">
        <f>SUMPRODUCT(J223:J226,'Parameters, general'!$B$23:$B$26)</f>
        <v>2.8184523099350735E-2</v>
      </c>
      <c r="K227" s="338">
        <f>SUMPRODUCT(K223:K226,'Parameters, general'!$B$23:$B$26)</f>
        <v>0</v>
      </c>
      <c r="L227" s="338">
        <f>SUMPRODUCT(L223:L226,'Parameters, general'!$B$23:$B$26)</f>
        <v>0</v>
      </c>
      <c r="M227" s="338">
        <f>SUMPRODUCT(M223:M226,'Parameters, general'!$B$23:$B$26)</f>
        <v>0</v>
      </c>
      <c r="N227" s="338">
        <f>SUMPRODUCT(N223:N226,'Parameters, general'!$B$23:$B$26)</f>
        <v>0</v>
      </c>
      <c r="O227" s="338">
        <f>SUMPRODUCT(O223:O226,'Parameters, general'!$B$23:$B$26)</f>
        <v>8.6389700000000014E-2</v>
      </c>
      <c r="P227" s="338">
        <f>SUMPRODUCT(P223:P226,'Parameters, general'!$B$23:$B$26)</f>
        <v>0</v>
      </c>
    </row>
    <row r="228" spans="1:16" x14ac:dyDescent="0.35">
      <c r="B228" t="s">
        <v>412</v>
      </c>
      <c r="C228" t="s">
        <v>86</v>
      </c>
      <c r="D228" t="s">
        <v>44</v>
      </c>
      <c r="E228" s="4">
        <f t="shared" ref="E228:E231" si="32">SUM(F228:P228)</f>
        <v>8.8642518733221057E-2</v>
      </c>
      <c r="F228" s="4">
        <f>'Forage, input data per ha'!E67*(Frac_BAT_IE*EF_min_fert_BAT_CO2+Frac_AN_IE*EF_min_fert_AN_CO2)/'Forage, input data per ha'!C67</f>
        <v>0</v>
      </c>
      <c r="G228" s="4">
        <f>EF_capital_goods_CO2</f>
        <v>2.7E-2</v>
      </c>
      <c r="H228" s="4"/>
      <c r="I228" s="4"/>
      <c r="J228" s="4">
        <f>'Forage, input data per ha'!J67*EF_diesel_CO2*Heating_value_diesel/'Forage, input data per ha'!C67</f>
        <v>1.4942518733221052E-2</v>
      </c>
      <c r="K228" s="4"/>
      <c r="L228" s="4">
        <f>'Forage, input data per ha'!K67*'Parameters, general'!$B$17/'Forage, input data per ha'!C67</f>
        <v>0</v>
      </c>
      <c r="M228" s="4"/>
      <c r="N228" s="271"/>
      <c r="O228" s="4">
        <f>'Parameters, general'!$B$20</f>
        <v>4.6700000000000005E-2</v>
      </c>
      <c r="P228" s="4"/>
    </row>
    <row r="229" spans="1:16" x14ac:dyDescent="0.35">
      <c r="B229" t="s">
        <v>412</v>
      </c>
      <c r="C229" t="s">
        <v>87</v>
      </c>
      <c r="D229" t="s">
        <v>44</v>
      </c>
      <c r="E229" s="4">
        <f t="shared" si="32"/>
        <v>8.0961903194149397E-4</v>
      </c>
      <c r="F229" s="4">
        <f>'Forage, input data per ha'!E67*(Frac_BAT_IE*EF_min_fert_BAT_CH4+Frac_AN_IE*EF_min_fert_AN_CH4)/'Forage, input data per ha'!C67</f>
        <v>0</v>
      </c>
      <c r="G229" s="4">
        <f>EF_capital_goods_CH4</f>
        <v>9.5000000000000005E-5</v>
      </c>
      <c r="H229" s="4"/>
      <c r="I229" s="4"/>
      <c r="J229" s="4">
        <f>'Forage, input data per ha'!J67*EF_diesel_CH4*Heating_value_diesel/'Forage, input data per ha'!C67</f>
        <v>6.6190319414939941E-6</v>
      </c>
      <c r="K229" s="4"/>
      <c r="L229" s="4">
        <f>'Forage, input data per ha'!K67*'Parameters, general'!$C$17/'Forage, input data per ha'!C67</f>
        <v>0</v>
      </c>
      <c r="M229" s="4"/>
      <c r="N229" s="4"/>
      <c r="O229" s="4">
        <f>'Parameters, general'!$C$20</f>
        <v>7.0799999999999997E-4</v>
      </c>
      <c r="P229" s="4"/>
    </row>
    <row r="230" spans="1:16" x14ac:dyDescent="0.35">
      <c r="B230" t="s">
        <v>412</v>
      </c>
      <c r="C230" t="s">
        <v>297</v>
      </c>
      <c r="D230" t="s">
        <v>44</v>
      </c>
      <c r="E230" s="4">
        <f t="shared" si="32"/>
        <v>0</v>
      </c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</row>
    <row r="231" spans="1:16" x14ac:dyDescent="0.35">
      <c r="B231" t="s">
        <v>412</v>
      </c>
      <c r="C231" t="s">
        <v>89</v>
      </c>
      <c r="D231" t="s">
        <v>44</v>
      </c>
      <c r="E231" s="4">
        <f t="shared" si="32"/>
        <v>1.0130074558992622E-4</v>
      </c>
      <c r="F231" s="4">
        <f>'Forage, input data per ha'!E67*(Frac_BAT_IE*EF_min_fert_BAT_N2O+Frac_AN_IE*EF_min_fert_AN_N2O)/'Forage, input data per ha'!C67</f>
        <v>0</v>
      </c>
      <c r="G231" s="4">
        <f>EF_capital_goods_N2O</f>
        <v>1.1000000000000001E-6</v>
      </c>
      <c r="H231" s="4">
        <f>('Forage, input data per ha'!E67*'Parameters, country spec'!G79+'Forage, input data per ha'!H67*'Parameters, country spec'!G80)*44/28/'Forage, input data per ha'!C67</f>
        <v>2.8817485714285716E-5</v>
      </c>
      <c r="I231" s="4">
        <f>H231*0.1</f>
        <v>2.8817485714285716E-6</v>
      </c>
      <c r="J231" s="4">
        <f>'Forage, input data per ha'!J67*EF_diesel_N2O*Heating_value_diesel/'Forage, input data per ha'!C67</f>
        <v>4.0151130421194609E-7</v>
      </c>
      <c r="K231" s="4"/>
      <c r="L231" s="4">
        <f>'Forage, input data per ha'!K67*'Parameters, general'!$D$17/'Forage, input data per ha'!C67</f>
        <v>0</v>
      </c>
      <c r="M231" s="4"/>
      <c r="N231" s="4"/>
      <c r="O231" s="4">
        <f>'Parameters, general'!$D$20</f>
        <v>6.8099999999999988E-5</v>
      </c>
      <c r="P231" s="4"/>
    </row>
    <row r="232" spans="1:16" x14ac:dyDescent="0.35">
      <c r="A232" s="152"/>
      <c r="B232" s="152" t="s">
        <v>412</v>
      </c>
      <c r="C232" s="152" t="s">
        <v>90</v>
      </c>
      <c r="D232" s="152" t="s">
        <v>44</v>
      </c>
      <c r="E232" s="338">
        <f>SUM(F232:P232)</f>
        <v>0.14042426943112746</v>
      </c>
      <c r="F232" s="338">
        <f>SUMPRODUCT(F228:F231,'Parameters, general'!$B$23:$B$26)</f>
        <v>0</v>
      </c>
      <c r="G232" s="338">
        <f>SUMPRODUCT(G228:G231,'Parameters, general'!$B$23:$B$26)</f>
        <v>3.01313E-2</v>
      </c>
      <c r="H232" s="338">
        <f>SUMPRODUCT(H228:H231,'Parameters, general'!$B$23:$B$26)</f>
        <v>7.8671736000000009E-3</v>
      </c>
      <c r="I232" s="338">
        <f>SUMPRODUCT(I228:I231,'Parameters, general'!$B$23:$B$26)</f>
        <v>7.8671736000000001E-4</v>
      </c>
      <c r="J232" s="338">
        <f>SUMPRODUCT(J228:J231,'Parameters, general'!$B$23:$B$26)</f>
        <v>1.5249378471127435E-2</v>
      </c>
      <c r="K232" s="338">
        <f>SUMPRODUCT(K228:K231,'Parameters, general'!$B$23:$B$26)</f>
        <v>0</v>
      </c>
      <c r="L232" s="338">
        <f>SUMPRODUCT(L228:L231,'Parameters, general'!$B$23:$B$26)</f>
        <v>0</v>
      </c>
      <c r="M232" s="338">
        <f>SUMPRODUCT(M228:M231,'Parameters, general'!$B$23:$B$26)</f>
        <v>0</v>
      </c>
      <c r="N232" s="338">
        <f>SUMPRODUCT(N228:N231,'Parameters, general'!$B$23:$B$26)</f>
        <v>0</v>
      </c>
      <c r="O232" s="338">
        <f>SUMPRODUCT(O228:O231,'Parameters, general'!$B$23:$B$26)</f>
        <v>8.6389700000000014E-2</v>
      </c>
      <c r="P232" s="338">
        <f>SUMPRODUCT(P228:P231,'Parameters, general'!$B$23:$B$26)</f>
        <v>0</v>
      </c>
    </row>
    <row r="233" spans="1:16" x14ac:dyDescent="0.35">
      <c r="B233" t="s">
        <v>412</v>
      </c>
      <c r="C233" t="s">
        <v>86</v>
      </c>
      <c r="D233" t="s">
        <v>46</v>
      </c>
      <c r="E233" s="4">
        <f t="shared" ref="E233:E236" si="33">SUM(F233:P233)</f>
        <v>8.9514544596593471E-2</v>
      </c>
      <c r="F233" s="4">
        <f>'Forage, input data per ha'!E68*(Frac_BAT_IT*EF_min_fert_BAT_CO2+Frac_AN_IT*EF_min_fert_AN_CO2)/'Forage, input data per ha'!C68</f>
        <v>0</v>
      </c>
      <c r="G233" s="4">
        <f>EF_capital_goods_CO2</f>
        <v>2.7E-2</v>
      </c>
      <c r="H233" s="4"/>
      <c r="I233" s="4"/>
      <c r="J233" s="4">
        <f>'Forage, input data per ha'!J68*EF_diesel_CO2*Heating_value_diesel/'Forage, input data per ha'!C68</f>
        <v>1.5814544596593462E-2</v>
      </c>
      <c r="K233" s="4"/>
      <c r="L233" s="4">
        <f>'Forage, input data per ha'!K68*'Parameters, general'!$B$17/'Forage, input data per ha'!C68</f>
        <v>0</v>
      </c>
      <c r="M233" s="4"/>
      <c r="N233" s="4"/>
      <c r="O233" s="4">
        <f>'Parameters, general'!$B$20</f>
        <v>4.6700000000000005E-2</v>
      </c>
      <c r="P233" s="4"/>
    </row>
    <row r="234" spans="1:16" x14ac:dyDescent="0.35">
      <c r="B234" t="s">
        <v>412</v>
      </c>
      <c r="C234" t="s">
        <v>87</v>
      </c>
      <c r="D234" t="s">
        <v>46</v>
      </c>
      <c r="E234" s="4">
        <f t="shared" si="33"/>
        <v>8.1000530999451317E-4</v>
      </c>
      <c r="F234" s="4">
        <f>'Forage, input data per ha'!E68*(Frac_BAT_IT*EF_min_fert_BAT_CH4+Frac_AN_IT*EF_min_fert_AN_CH4)/'Forage, input data per ha'!C68</f>
        <v>0</v>
      </c>
      <c r="G234" s="4">
        <f>EF_capital_goods_CH4</f>
        <v>9.5000000000000005E-5</v>
      </c>
      <c r="H234" s="4"/>
      <c r="I234" s="4"/>
      <c r="J234" s="4">
        <f>'Forage, input data per ha'!J68*EF_diesel_CH4*Heating_value_diesel/'Forage, input data per ha'!C68</f>
        <v>7.0053099945131471E-6</v>
      </c>
      <c r="K234" s="4"/>
      <c r="L234" s="4">
        <f>'Forage, input data per ha'!K68*'Parameters, general'!$C$17/'Forage, input data per ha'!C68</f>
        <v>0</v>
      </c>
      <c r="M234" s="4"/>
      <c r="N234" s="4"/>
      <c r="O234" s="4">
        <f>'Parameters, general'!$C$20</f>
        <v>7.0799999999999997E-4</v>
      </c>
      <c r="P234" s="4"/>
    </row>
    <row r="235" spans="1:16" x14ac:dyDescent="0.35">
      <c r="B235" t="s">
        <v>412</v>
      </c>
      <c r="C235" t="s">
        <v>297</v>
      </c>
      <c r="D235" t="s">
        <v>46</v>
      </c>
      <c r="E235" s="4">
        <f t="shared" si="33"/>
        <v>0</v>
      </c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</row>
    <row r="236" spans="1:16" x14ac:dyDescent="0.35">
      <c r="B236" t="s">
        <v>412</v>
      </c>
      <c r="C236" t="s">
        <v>89</v>
      </c>
      <c r="D236" t="s">
        <v>46</v>
      </c>
      <c r="E236" s="4">
        <f t="shared" si="33"/>
        <v>1.0132417726486405E-4</v>
      </c>
      <c r="F236" s="4">
        <f>'Forage, input data per ha'!E68*(Frac_BAT_IT*EF_min_fert_BAT_N2O+Frac_AN_IT*EF_min_fert_AN_N2O)/'Forage, input data per ha'!C68</f>
        <v>0</v>
      </c>
      <c r="G236" s="4">
        <f>EF_capital_goods_N2O</f>
        <v>1.1000000000000001E-6</v>
      </c>
      <c r="H236" s="4">
        <f>('Forage, input data per ha'!E68*'Parameters, country spec'!H79+'Forage, input data per ha'!H68*'Parameters, country spec'!H80)*44/28/'Forage, input data per ha'!C68</f>
        <v>2.8817485714285719E-5</v>
      </c>
      <c r="I236" s="4">
        <f>H236*0.1</f>
        <v>2.881748571428572E-6</v>
      </c>
      <c r="J236" s="4">
        <f>'Forage, input data per ha'!J68*EF_diesel_N2O*Heating_value_diesel/'Forage, input data per ha'!C68</f>
        <v>4.2494297914977162E-7</v>
      </c>
      <c r="K236" s="4"/>
      <c r="L236" s="4">
        <f>'Forage, input data per ha'!K68*'Parameters, general'!$D$17/'Forage, input data per ha'!C68</f>
        <v>0</v>
      </c>
      <c r="M236" s="4"/>
      <c r="N236" s="4"/>
      <c r="O236" s="4">
        <f>'Parameters, general'!$D$20</f>
        <v>6.8099999999999988E-5</v>
      </c>
      <c r="P236" s="4"/>
    </row>
    <row r="237" spans="1:16" x14ac:dyDescent="0.35">
      <c r="A237" s="152"/>
      <c r="B237" s="152" t="s">
        <v>412</v>
      </c>
      <c r="C237" s="152" t="s">
        <v>90</v>
      </c>
      <c r="D237" s="152" t="s">
        <v>46</v>
      </c>
      <c r="E237" s="338">
        <f>SUM(F237:P237)</f>
        <v>0.14131420322773786</v>
      </c>
      <c r="F237" s="338">
        <f>SUMPRODUCT(F233:F236,'Parameters, general'!$B$23:$B$26)</f>
        <v>0</v>
      </c>
      <c r="G237" s="338">
        <f>SUMPRODUCT(G233:G236,'Parameters, general'!$B$23:$B$26)</f>
        <v>3.01313E-2</v>
      </c>
      <c r="H237" s="338">
        <f>SUMPRODUCT(H233:H236,'Parameters, general'!$B$23:$B$26)</f>
        <v>7.8671736000000009E-3</v>
      </c>
      <c r="I237" s="338">
        <f>SUMPRODUCT(I233:I236,'Parameters, general'!$B$23:$B$26)</f>
        <v>7.8671736000000012E-4</v>
      </c>
      <c r="J237" s="338">
        <f>SUMPRODUCT(J233:J236,'Parameters, general'!$B$23:$B$26)</f>
        <v>1.6139312267737842E-2</v>
      </c>
      <c r="K237" s="338">
        <f>SUMPRODUCT(K233:K236,'Parameters, general'!$B$23:$B$26)</f>
        <v>0</v>
      </c>
      <c r="L237" s="338">
        <f>SUMPRODUCT(L233:L236,'Parameters, general'!$B$23:$B$26)</f>
        <v>0</v>
      </c>
      <c r="M237" s="338">
        <f>SUMPRODUCT(M233:M236,'Parameters, general'!$B$23:$B$26)</f>
        <v>0</v>
      </c>
      <c r="N237" s="338">
        <f>SUMPRODUCT(N233:N236,'Parameters, general'!$B$23:$B$26)</f>
        <v>0</v>
      </c>
      <c r="O237" s="338">
        <f>SUMPRODUCT(O233:O236,'Parameters, general'!$B$23:$B$26)</f>
        <v>8.6389700000000014E-2</v>
      </c>
      <c r="P237" s="338">
        <f>SUMPRODUCT(P233:P236,'Parameters, general'!$B$23:$B$26)</f>
        <v>0</v>
      </c>
    </row>
    <row r="238" spans="1:16" x14ac:dyDescent="0.35">
      <c r="B238" t="s">
        <v>412</v>
      </c>
      <c r="C238" t="s">
        <v>86</v>
      </c>
      <c r="D238" t="s">
        <v>48</v>
      </c>
      <c r="E238" s="4">
        <f t="shared" ref="E238:E241" si="34">SUM(F238:P238)</f>
        <v>9.0042192210099015E-2</v>
      </c>
      <c r="F238" s="4">
        <f>'Forage, input data per ha'!E69*(Frac_BAT_NL*EF_min_fert_BAT_CO2+Frac_AN_NL*EF_min_fert_AN_CO2)/'Forage, input data per ha'!C69</f>
        <v>0</v>
      </c>
      <c r="G238" s="4">
        <f>EF_capital_goods_CO2</f>
        <v>2.7E-2</v>
      </c>
      <c r="H238" s="4"/>
      <c r="I238" s="4"/>
      <c r="J238" s="4">
        <f>'Forage, input data per ha'!J69*EF_diesel_CO2*Heating_value_diesel/'Forage, input data per ha'!C69</f>
        <v>1.6342192210099006E-2</v>
      </c>
      <c r="K238" s="4"/>
      <c r="L238" s="4">
        <f>'Forage, input data per ha'!K69*'Parameters, general'!$B$17/'Forage, input data per ha'!C69</f>
        <v>0</v>
      </c>
      <c r="M238" s="4"/>
      <c r="N238" s="271"/>
      <c r="O238" s="4">
        <f>'Parameters, general'!$B$20</f>
        <v>4.6700000000000005E-2</v>
      </c>
      <c r="P238" s="4"/>
    </row>
    <row r="239" spans="1:16" x14ac:dyDescent="0.35">
      <c r="B239" t="s">
        <v>412</v>
      </c>
      <c r="C239" t="s">
        <v>87</v>
      </c>
      <c r="D239" t="s">
        <v>48</v>
      </c>
      <c r="E239" s="4">
        <f t="shared" si="34"/>
        <v>8.1023904009517428E-4</v>
      </c>
      <c r="F239" s="4">
        <f>'Forage, input data per ha'!E69*(Frac_BAT_NL*EF_min_fert_BAT_CH4+Frac_AN_NL*EF_min_fert_AN_CH4)/'Forage, input data per ha'!C69</f>
        <v>0</v>
      </c>
      <c r="G239" s="4">
        <f>EF_capital_goods_CH4</f>
        <v>9.5000000000000005E-5</v>
      </c>
      <c r="H239" s="4"/>
      <c r="I239" s="4"/>
      <c r="J239" s="4">
        <f>'Forage, input data per ha'!J69*EF_diesel_CH4*Heating_value_diesel/'Forage, input data per ha'!C69</f>
        <v>7.2390400951742575E-6</v>
      </c>
      <c r="K239" s="4"/>
      <c r="L239" s="4">
        <f>'Forage, input data per ha'!K69*'Parameters, general'!$C$17/'Forage, input data per ha'!C69</f>
        <v>0</v>
      </c>
      <c r="M239" s="4"/>
      <c r="N239" s="4"/>
      <c r="O239" s="4">
        <f>'Parameters, general'!$C$20</f>
        <v>7.0799999999999997E-4</v>
      </c>
      <c r="P239" s="4"/>
    </row>
    <row r="240" spans="1:16" x14ac:dyDescent="0.35">
      <c r="B240" t="s">
        <v>412</v>
      </c>
      <c r="C240" t="s">
        <v>297</v>
      </c>
      <c r="D240" t="s">
        <v>48</v>
      </c>
      <c r="E240" s="4">
        <f t="shared" si="34"/>
        <v>0</v>
      </c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</row>
    <row r="241" spans="1:16" x14ac:dyDescent="0.35">
      <c r="B241" t="s">
        <v>412</v>
      </c>
      <c r="C241" t="s">
        <v>89</v>
      </c>
      <c r="D241" t="s">
        <v>48</v>
      </c>
      <c r="E241" s="4">
        <f t="shared" si="34"/>
        <v>1.0133835536196036E-4</v>
      </c>
      <c r="F241" s="4">
        <f>'Forage, input data per ha'!E69*(Frac_BAT_NL*EF_min_fert_BAT_N2O+Frac_AN_NL*EF_min_fert_AN_N2O)/'Forage, input data per ha'!C69</f>
        <v>0</v>
      </c>
      <c r="G241" s="4">
        <f>EF_capital_goods_N2O</f>
        <v>1.1000000000000001E-6</v>
      </c>
      <c r="H241" s="4">
        <f>('Forage, input data per ha'!E69*'Parameters, country spec'!I79+'Forage, input data per ha'!H69*'Parameters, country spec'!I80)*44/28/'Forage, input data per ha'!C69</f>
        <v>2.8817485714285722E-5</v>
      </c>
      <c r="I241" s="4">
        <f>H241*0.1</f>
        <v>2.8817485714285724E-6</v>
      </c>
      <c r="J241" s="4">
        <f>'Forage, input data per ha'!J69*EF_diesel_N2O*Heating_value_diesel/'Forage, input data per ha'!C69</f>
        <v>4.3912107624607442E-7</v>
      </c>
      <c r="K241" s="4"/>
      <c r="L241" s="4">
        <f>'Forage, input data per ha'!K69*'Parameters, general'!$D$17/'Forage, input data per ha'!C69</f>
        <v>0</v>
      </c>
      <c r="M241" s="4"/>
      <c r="N241" s="4"/>
      <c r="O241" s="4">
        <f>'Parameters, general'!$D$20</f>
        <v>6.8099999999999988E-5</v>
      </c>
      <c r="P241" s="4"/>
    </row>
    <row r="242" spans="1:16" x14ac:dyDescent="0.35">
      <c r="A242" s="152"/>
      <c r="B242" s="152" t="s">
        <v>412</v>
      </c>
      <c r="C242" s="152" t="s">
        <v>90</v>
      </c>
      <c r="D242" s="152" t="s">
        <v>48</v>
      </c>
      <c r="E242" s="338">
        <f>SUM(F242:P242)</f>
        <v>0.14185268661875039</v>
      </c>
      <c r="F242" s="338">
        <f>SUMPRODUCT(F238:F241,'Parameters, general'!$B$23:$B$26)</f>
        <v>0</v>
      </c>
      <c r="G242" s="338">
        <f>SUMPRODUCT(G238:G241,'Parameters, general'!$B$23:$B$26)</f>
        <v>3.01313E-2</v>
      </c>
      <c r="H242" s="338">
        <f>SUMPRODUCT(H238:H241,'Parameters, general'!$B$23:$B$26)</f>
        <v>7.8671736000000027E-3</v>
      </c>
      <c r="I242" s="338">
        <f>SUMPRODUCT(I238:I241,'Parameters, general'!$B$23:$B$26)</f>
        <v>7.8671736000000022E-4</v>
      </c>
      <c r="J242" s="338">
        <f>SUMPRODUCT(J238:J241,'Parameters, general'!$B$23:$B$26)</f>
        <v>1.6677795658750376E-2</v>
      </c>
      <c r="K242" s="338">
        <f>SUMPRODUCT(K238:K241,'Parameters, general'!$B$23:$B$26)</f>
        <v>0</v>
      </c>
      <c r="L242" s="338">
        <f>SUMPRODUCT(L238:L241,'Parameters, general'!$B$23:$B$26)</f>
        <v>0</v>
      </c>
      <c r="M242" s="338">
        <f>SUMPRODUCT(M238:M241,'Parameters, general'!$B$23:$B$26)</f>
        <v>0</v>
      </c>
      <c r="N242" s="338">
        <f>SUMPRODUCT(N238:N241,'Parameters, general'!$B$23:$B$26)</f>
        <v>0</v>
      </c>
      <c r="O242" s="338">
        <f>SUMPRODUCT(O238:O241,'Parameters, general'!$B$23:$B$26)</f>
        <v>8.6389700000000014E-2</v>
      </c>
      <c r="P242" s="338">
        <f>SUMPRODUCT(P238:P241,'Parameters, general'!$B$23:$B$26)</f>
        <v>0</v>
      </c>
    </row>
    <row r="243" spans="1:16" x14ac:dyDescent="0.35">
      <c r="B243" t="s">
        <v>412</v>
      </c>
      <c r="C243" t="s">
        <v>86</v>
      </c>
      <c r="D243" t="s">
        <v>50</v>
      </c>
      <c r="E243" s="4">
        <f t="shared" ref="E243:E246" si="35">SUM(F243:P243)</f>
        <v>8.8424320352496449E-2</v>
      </c>
      <c r="F243" s="4">
        <f>'Forage, input data per ha'!E70*(Frac_BAT_PL*EF_min_fert_BAT_CO2+Frac_AN_PL*EF_min_fert_AN_CO2)/'Forage, input data per ha'!C70</f>
        <v>0</v>
      </c>
      <c r="G243" s="4">
        <f>EF_capital_goods_CO2</f>
        <v>2.7E-2</v>
      </c>
      <c r="H243" s="4"/>
      <c r="I243" s="4"/>
      <c r="J243" s="4">
        <f>'Forage, input data per ha'!J70*EF_diesel_CO2*Heating_value_diesel/'Forage, input data per ha'!C70</f>
        <v>1.4724320352496441E-2</v>
      </c>
      <c r="K243" s="4"/>
      <c r="L243" s="4">
        <f>'Forage, input data per ha'!K70*'Parameters, general'!$B$17/'Forage, input data per ha'!C70</f>
        <v>0</v>
      </c>
      <c r="M243" s="4"/>
      <c r="N243" s="271"/>
      <c r="O243" s="4">
        <f>'Parameters, general'!$B$20</f>
        <v>4.6700000000000005E-2</v>
      </c>
      <c r="P243" s="4"/>
    </row>
    <row r="244" spans="1:16" x14ac:dyDescent="0.35">
      <c r="B244" t="s">
        <v>412</v>
      </c>
      <c r="C244" t="s">
        <v>87</v>
      </c>
      <c r="D244" t="s">
        <v>50</v>
      </c>
      <c r="E244" s="4">
        <f t="shared" si="35"/>
        <v>8.0952237741641802E-4</v>
      </c>
      <c r="F244" s="4">
        <f>'Forage, input data per ha'!E70*(Frac_BAT_PL*EF_min_fert_BAT_CH4+Frac_AN_PL*EF_min_fert_AN_CH4)/'Forage, input data per ha'!C70</f>
        <v>0</v>
      </c>
      <c r="G244" s="4">
        <f>EF_capital_goods_CH4</f>
        <v>9.5000000000000005E-5</v>
      </c>
      <c r="H244" s="4"/>
      <c r="I244" s="4"/>
      <c r="J244" s="4">
        <f>'Forage, input data per ha'!J70*EF_diesel_CH4*Heating_value_diesel/'Forage, input data per ha'!C70</f>
        <v>6.5223774164180114E-6</v>
      </c>
      <c r="K244" s="4"/>
      <c r="L244" s="4">
        <f>'Forage, input data per ha'!K70*'Parameters, general'!$C$17/'Forage, input data per ha'!C70</f>
        <v>0</v>
      </c>
      <c r="M244" s="4"/>
      <c r="N244" s="4"/>
      <c r="O244" s="4">
        <f>'Parameters, general'!$C$20</f>
        <v>7.0799999999999997E-4</v>
      </c>
      <c r="P244" s="4"/>
    </row>
    <row r="245" spans="1:16" x14ac:dyDescent="0.35">
      <c r="B245" t="s">
        <v>412</v>
      </c>
      <c r="C245" t="s">
        <v>297</v>
      </c>
      <c r="D245" t="s">
        <v>50</v>
      </c>
      <c r="E245" s="4">
        <f t="shared" si="35"/>
        <v>0</v>
      </c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</row>
    <row r="246" spans="1:16" x14ac:dyDescent="0.35">
      <c r="B246" t="s">
        <v>412</v>
      </c>
      <c r="C246" t="s">
        <v>89</v>
      </c>
      <c r="D246" t="s">
        <v>50</v>
      </c>
      <c r="E246" s="4">
        <f t="shared" si="35"/>
        <v>1.0129488251436409E-4</v>
      </c>
      <c r="F246" s="4">
        <f>'Forage, input data per ha'!E70*(Frac_BAT_PL*EF_min_fert_BAT_N2O+Frac_AN_PL*EF_min_fert_AN_N2O)/'Forage, input data per ha'!C70</f>
        <v>0</v>
      </c>
      <c r="G246" s="4">
        <f>EF_capital_goods_N2O</f>
        <v>1.1000000000000001E-6</v>
      </c>
      <c r="H246" s="4">
        <f>('Forage, input data per ha'!E70*'Parameters, country spec'!J79+'Forage, input data per ha'!H70*'Parameters, country spec'!J80)*44/28/'Forage, input data per ha'!C70</f>
        <v>2.8817485714285719E-5</v>
      </c>
      <c r="I246" s="4">
        <f>H246*0.1</f>
        <v>2.881748571428572E-6</v>
      </c>
      <c r="J246" s="4">
        <f>'Forage, input data per ha'!J70*EF_diesel_N2O*Heating_value_diesel/'Forage, input data per ha'!C70</f>
        <v>3.9564822864979905E-7</v>
      </c>
      <c r="K246" s="4"/>
      <c r="L246" s="4">
        <f>'Forage, input data per ha'!K70*'Parameters, general'!$D$17/'Forage, input data per ha'!C70</f>
        <v>0</v>
      </c>
      <c r="M246" s="4"/>
      <c r="N246" s="4"/>
      <c r="O246" s="4">
        <f>'Parameters, general'!$D$20</f>
        <v>6.8099999999999988E-5</v>
      </c>
      <c r="P246" s="4"/>
    </row>
    <row r="247" spans="1:16" x14ac:dyDescent="0.35">
      <c r="A247" s="152"/>
      <c r="B247" s="152" t="s">
        <v>412</v>
      </c>
      <c r="C247" s="152" t="s">
        <v>90</v>
      </c>
      <c r="D247" s="152" t="s">
        <v>50</v>
      </c>
      <c r="E247" s="338">
        <f>SUM(F247:P247)</f>
        <v>0.14020159012592712</v>
      </c>
      <c r="F247" s="338">
        <f>SUMPRODUCT(F243:F246,'Parameters, general'!$B$23:$B$26)</f>
        <v>0</v>
      </c>
      <c r="G247" s="338">
        <f>SUMPRODUCT(G243:G246,'Parameters, general'!$B$23:$B$26)</f>
        <v>3.01313E-2</v>
      </c>
      <c r="H247" s="338">
        <f>SUMPRODUCT(H243:H246,'Parameters, general'!$B$23:$B$26)</f>
        <v>7.8671736000000009E-3</v>
      </c>
      <c r="I247" s="338">
        <f>SUMPRODUCT(I243:I246,'Parameters, general'!$B$23:$B$26)</f>
        <v>7.8671736000000012E-4</v>
      </c>
      <c r="J247" s="338">
        <f>SUMPRODUCT(J243:J246,'Parameters, general'!$B$23:$B$26)</f>
        <v>1.5026699165927094E-2</v>
      </c>
      <c r="K247" s="338">
        <f>SUMPRODUCT(K243:K246,'Parameters, general'!$B$23:$B$26)</f>
        <v>0</v>
      </c>
      <c r="L247" s="338">
        <f>SUMPRODUCT(L243:L246,'Parameters, general'!$B$23:$B$26)</f>
        <v>0</v>
      </c>
      <c r="M247" s="338">
        <f>SUMPRODUCT(M243:M246,'Parameters, general'!$B$23:$B$26)</f>
        <v>0</v>
      </c>
      <c r="N247" s="338">
        <f>SUMPRODUCT(N243:N246,'Parameters, general'!$B$23:$B$26)</f>
        <v>0</v>
      </c>
      <c r="O247" s="338">
        <f>SUMPRODUCT(O243:O246,'Parameters, general'!$B$23:$B$26)</f>
        <v>8.6389700000000014E-2</v>
      </c>
      <c r="P247" s="338">
        <f>SUMPRODUCT(P243:P246,'Parameters, general'!$B$23:$B$26)</f>
        <v>0</v>
      </c>
    </row>
    <row r="248" spans="1:16" x14ac:dyDescent="0.35">
      <c r="B248" t="s">
        <v>412</v>
      </c>
      <c r="C248" t="s">
        <v>86</v>
      </c>
      <c r="D248" t="s">
        <v>52</v>
      </c>
      <c r="E248" s="4">
        <f t="shared" ref="E248:E251" si="36">SUM(F248:P248)</f>
        <v>8.7147771750171216E-2</v>
      </c>
      <c r="F248" s="4">
        <f>'Forage, input data per ha'!E71*(Frac_BAT_ES*EF_min_fert_BAT_CO2+Frac_AN_ES*EF_min_fert_AN_CO2)/'Forage, input data per ha'!C71</f>
        <v>0</v>
      </c>
      <c r="G248" s="4">
        <f>EF_capital_goods_CO2</f>
        <v>2.7E-2</v>
      </c>
      <c r="H248" s="4"/>
      <c r="I248" s="4"/>
      <c r="J248" s="4">
        <f>'Forage, input data per ha'!J71*EF_diesel_CO2*Heating_value_diesel/'Forage, input data per ha'!C71</f>
        <v>1.3447771750171205E-2</v>
      </c>
      <c r="K248" s="4"/>
      <c r="L248" s="4">
        <f>'Forage, input data per ha'!K71*'Parameters, general'!$B$17/'Forage, input data per ha'!C71</f>
        <v>0</v>
      </c>
      <c r="M248" s="4"/>
      <c r="N248" s="4"/>
      <c r="O248" s="4">
        <f>'Parameters, general'!$B$20</f>
        <v>4.6700000000000005E-2</v>
      </c>
      <c r="P248" s="4"/>
    </row>
    <row r="249" spans="1:16" x14ac:dyDescent="0.35">
      <c r="B249" t="s">
        <v>412</v>
      </c>
      <c r="C249" t="s">
        <v>87</v>
      </c>
      <c r="D249" t="s">
        <v>52</v>
      </c>
      <c r="E249" s="4">
        <f t="shared" si="36"/>
        <v>8.0895690943043016E-4</v>
      </c>
      <c r="F249" s="4">
        <f>'Forage, input data per ha'!E71*(Frac_BAT_ES*EF_min_fert_BAT_CH4+Frac_AN_ES*EF_min_fert_AN_CH4)/'Forage, input data per ha'!C71</f>
        <v>0</v>
      </c>
      <c r="G249" s="4">
        <f>EF_capital_goods_CH4</f>
        <v>9.5000000000000005E-5</v>
      </c>
      <c r="H249" s="4"/>
      <c r="I249" s="4"/>
      <c r="J249" s="4">
        <f>'Forage, input data per ha'!J71*EF_diesel_CH4*Heating_value_diesel/'Forage, input data per ha'!C71</f>
        <v>5.95690943043016E-6</v>
      </c>
      <c r="K249" s="4"/>
      <c r="L249" s="4">
        <f>'Forage, input data per ha'!K71*'Parameters, general'!$C$17/'Forage, input data per ha'!C71</f>
        <v>0</v>
      </c>
      <c r="M249" s="4"/>
      <c r="N249" s="4"/>
      <c r="O249" s="4">
        <f>'Parameters, general'!$C$20</f>
        <v>7.0799999999999997E-4</v>
      </c>
      <c r="P249" s="4"/>
    </row>
    <row r="250" spans="1:16" x14ac:dyDescent="0.35">
      <c r="B250" t="s">
        <v>412</v>
      </c>
      <c r="C250" t="s">
        <v>297</v>
      </c>
      <c r="D250" t="s">
        <v>52</v>
      </c>
      <c r="E250" s="4">
        <f t="shared" si="36"/>
        <v>0</v>
      </c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</row>
    <row r="251" spans="1:16" x14ac:dyDescent="0.35">
      <c r="B251" t="s">
        <v>412</v>
      </c>
      <c r="C251" t="s">
        <v>89</v>
      </c>
      <c r="D251" t="s">
        <v>52</v>
      </c>
      <c r="E251" s="4">
        <f t="shared" si="36"/>
        <v>1.012605811557136E-4</v>
      </c>
      <c r="F251" s="4">
        <f>'Forage, input data per ha'!E71*(Frac_BAT_ES*EF_min_fert_BAT_N2O+Frac_AN_ES*EF_min_fert_AN_N2O)/'Forage, input data per ha'!C71</f>
        <v>0</v>
      </c>
      <c r="G251" s="4">
        <f>EF_capital_goods_N2O</f>
        <v>1.1000000000000001E-6</v>
      </c>
      <c r="H251" s="4">
        <f>('Forage, input data per ha'!E71*'Parameters, country spec'!K79+'Forage, input data per ha'!H71*'Parameters, country spec'!K80)*44/28/'Forage, input data per ha'!C71</f>
        <v>2.8817485714285722E-5</v>
      </c>
      <c r="I251" s="4">
        <f>H251*0.1</f>
        <v>2.8817485714285724E-6</v>
      </c>
      <c r="J251" s="4">
        <f>'Forage, input data per ha'!J71*EF_diesel_N2O*Heating_value_diesel/'Forage, input data per ha'!C71</f>
        <v>3.6134686999933171E-7</v>
      </c>
      <c r="K251" s="4"/>
      <c r="L251" s="4">
        <f>'Forage, input data per ha'!K71*'Parameters, general'!$D$17/'Forage, input data per ha'!C71</f>
        <v>0</v>
      </c>
      <c r="M251" s="4"/>
      <c r="N251" s="4"/>
      <c r="O251" s="4">
        <f>'Parameters, general'!$D$20</f>
        <v>6.8099999999999988E-5</v>
      </c>
      <c r="P251" s="4"/>
    </row>
    <row r="252" spans="1:16" x14ac:dyDescent="0.35">
      <c r="A252" s="152"/>
      <c r="B252" s="152" t="s">
        <v>412</v>
      </c>
      <c r="C252" s="152" t="s">
        <v>90</v>
      </c>
      <c r="D252" s="152" t="s">
        <v>52</v>
      </c>
      <c r="E252" s="338">
        <f>SUM(F252:P252)</f>
        <v>0.13889882630670786</v>
      </c>
      <c r="F252" s="338">
        <f>SUMPRODUCT(F248:F251,'Parameters, general'!$B$23:$B$26)</f>
        <v>0</v>
      </c>
      <c r="G252" s="338">
        <f>SUMPRODUCT(G248:G251,'Parameters, general'!$B$23:$B$26)</f>
        <v>3.01313E-2</v>
      </c>
      <c r="H252" s="338">
        <f>SUMPRODUCT(H248:H251,'Parameters, general'!$B$23:$B$26)</f>
        <v>7.8671736000000027E-3</v>
      </c>
      <c r="I252" s="338">
        <f>SUMPRODUCT(I248:I251,'Parameters, general'!$B$23:$B$26)</f>
        <v>7.8671736000000022E-4</v>
      </c>
      <c r="J252" s="338">
        <f>SUMPRODUCT(J248:J251,'Parameters, general'!$B$23:$B$26)</f>
        <v>1.3723935346707841E-2</v>
      </c>
      <c r="K252" s="338">
        <f>SUMPRODUCT(K248:K251,'Parameters, general'!$B$23:$B$26)</f>
        <v>0</v>
      </c>
      <c r="L252" s="338">
        <f>SUMPRODUCT(L248:L251,'Parameters, general'!$B$23:$B$26)</f>
        <v>0</v>
      </c>
      <c r="M252" s="338">
        <f>SUMPRODUCT(M248:M251,'Parameters, general'!$B$23:$B$26)</f>
        <v>0</v>
      </c>
      <c r="N252" s="338">
        <f>SUMPRODUCT(N248:N251,'Parameters, general'!$B$23:$B$26)</f>
        <v>0</v>
      </c>
      <c r="O252" s="338">
        <f>SUMPRODUCT(O248:O251,'Parameters, general'!$B$23:$B$26)</f>
        <v>8.6389700000000014E-2</v>
      </c>
      <c r="P252" s="338">
        <f>SUMPRODUCT(P248:P251,'Parameters, general'!$B$23:$B$26)</f>
        <v>0</v>
      </c>
    </row>
    <row r="253" spans="1:16" x14ac:dyDescent="0.35">
      <c r="B253" t="s">
        <v>412</v>
      </c>
      <c r="C253" t="s">
        <v>86</v>
      </c>
      <c r="D253" t="s">
        <v>54</v>
      </c>
      <c r="E253" s="4">
        <f t="shared" ref="E253:E256" si="37">SUM(F253:P253)</f>
        <v>0.10364084681465427</v>
      </c>
      <c r="F253" s="4">
        <f>'Forage, input data per ha'!E72*(Frac_BAT_SE*EF_min_fert_BAT_CO2+Frac_AN_SE*EF_min_fert_AN_CO2)/'Forage, input data per ha'!C72</f>
        <v>0</v>
      </c>
      <c r="G253" s="4">
        <f>EF_capital_goods_CO2</f>
        <v>2.7E-2</v>
      </c>
      <c r="H253" s="4"/>
      <c r="I253" s="4"/>
      <c r="J253" s="4">
        <f>'Forage, input data per ha'!J72*EF_diesel_CO2*Heating_value_diesel/'Forage, input data per ha'!C72</f>
        <v>2.9940846814654261E-2</v>
      </c>
      <c r="K253" s="4"/>
      <c r="L253" s="4">
        <f>'Forage, input data per ha'!K72*'Parameters, general'!$B$17/'Forage, input data per ha'!C72</f>
        <v>0</v>
      </c>
      <c r="M253" s="4"/>
      <c r="N253" s="271"/>
      <c r="O253" s="4">
        <f>'Parameters, general'!$B$20</f>
        <v>4.6700000000000005E-2</v>
      </c>
      <c r="P253" s="4"/>
    </row>
    <row r="254" spans="1:16" x14ac:dyDescent="0.35">
      <c r="B254" t="s">
        <v>412</v>
      </c>
      <c r="C254" t="s">
        <v>87</v>
      </c>
      <c r="D254" t="s">
        <v>54</v>
      </c>
      <c r="E254" s="4">
        <f t="shared" si="37"/>
        <v>8.1626278554237117E-4</v>
      </c>
      <c r="F254" s="4">
        <f>'Forage, input data per ha'!E72*(Frac_BAT_SE*EF_min_fert_BAT_CH4+Frac_AN_SE*EF_min_fert_AN_CH4)/'Forage, input data per ha'!C72</f>
        <v>0</v>
      </c>
      <c r="G254" s="4">
        <f>EF_capital_goods_CH4</f>
        <v>9.5000000000000005E-5</v>
      </c>
      <c r="H254" s="4"/>
      <c r="I254" s="4"/>
      <c r="J254" s="4">
        <f>'Forage, input data per ha'!J72*EF_diesel_CH4*Heating_value_diesel/'Forage, input data per ha'!C72</f>
        <v>1.3262785542371219E-5</v>
      </c>
      <c r="K254" s="4"/>
      <c r="L254" s="4">
        <f>'Forage, input data per ha'!K72*'Parameters, general'!$C$17/'Forage, input data per ha'!C72</f>
        <v>0</v>
      </c>
      <c r="M254" s="4"/>
      <c r="N254" s="4"/>
      <c r="O254" s="4">
        <f>'Parameters, general'!$C$20</f>
        <v>7.0799999999999997E-4</v>
      </c>
      <c r="P254" s="4"/>
    </row>
    <row r="255" spans="1:16" x14ac:dyDescent="0.35">
      <c r="B255" t="s">
        <v>412</v>
      </c>
      <c r="C255" t="s">
        <v>297</v>
      </c>
      <c r="D255" t="s">
        <v>54</v>
      </c>
      <c r="E255" s="4">
        <f t="shared" si="37"/>
        <v>0</v>
      </c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</row>
    <row r="256" spans="1:16" x14ac:dyDescent="0.35">
      <c r="B256" t="s">
        <v>412</v>
      </c>
      <c r="C256" t="s">
        <v>89</v>
      </c>
      <c r="D256" t="s">
        <v>54</v>
      </c>
      <c r="E256" s="4">
        <f t="shared" si="37"/>
        <v>1.0170375651308381E-4</v>
      </c>
      <c r="F256" s="4">
        <f>'Forage, input data per ha'!E72*(Frac_BAT_SE*EF_min_fert_BAT_N2O+Frac_AN_SE*EF_min_fert_AN_N2O)/'Forage, input data per ha'!C72</f>
        <v>0</v>
      </c>
      <c r="G256" s="4">
        <f>EF_capital_goods_N2O</f>
        <v>1.1000000000000001E-6</v>
      </c>
      <c r="H256" s="4">
        <f>('Forage, input data per ha'!E72*'Parameters, country spec'!L79+'Forage, input data per ha'!H72*'Parameters, country spec'!L80)*44/28/'Forage, input data per ha'!C72</f>
        <v>2.8817485714285719E-5</v>
      </c>
      <c r="I256" s="4">
        <f>H256*0.1</f>
        <v>2.881748571428572E-6</v>
      </c>
      <c r="J256" s="4">
        <f>'Forage, input data per ha'!J72*EF_diesel_N2O*Heating_value_diesel/'Forage, input data per ha'!C72</f>
        <v>8.045222273695297E-7</v>
      </c>
      <c r="K256" s="4"/>
      <c r="L256" s="4">
        <f>'Forage, input data per ha'!K72*'Parameters, general'!$D$17/'Forage, input data per ha'!C72</f>
        <v>0</v>
      </c>
      <c r="M256" s="4"/>
      <c r="N256" s="4"/>
      <c r="O256" s="4">
        <f>'Parameters, general'!$D$20</f>
        <v>6.8099999999999988E-5</v>
      </c>
      <c r="P256" s="4"/>
    </row>
    <row r="257" spans="1:19" x14ac:dyDescent="0.35">
      <c r="A257" s="152"/>
      <c r="B257" s="152" t="s">
        <v>412</v>
      </c>
      <c r="C257" s="152" t="s">
        <v>90</v>
      </c>
      <c r="D257" s="152" t="s">
        <v>54</v>
      </c>
      <c r="E257" s="338">
        <f>SUM(F257:P257)</f>
        <v>0.15573060335188882</v>
      </c>
      <c r="F257" s="338">
        <f>SUMPRODUCT(F253:F256,'Parameters, general'!$B$23:$B$26)</f>
        <v>0</v>
      </c>
      <c r="G257" s="338">
        <f>SUMPRODUCT(G253:G256,'Parameters, general'!$B$23:$B$26)</f>
        <v>3.01313E-2</v>
      </c>
      <c r="H257" s="338">
        <f>SUMPRODUCT(H253:H256,'Parameters, general'!$B$23:$B$26)</f>
        <v>7.8671736000000009E-3</v>
      </c>
      <c r="I257" s="338">
        <f>SUMPRODUCT(I253:I256,'Parameters, general'!$B$23:$B$26)</f>
        <v>7.8671736000000012E-4</v>
      </c>
      <c r="J257" s="338">
        <f>SUMPRODUCT(J253:J256,'Parameters, general'!$B$23:$B$26)</f>
        <v>3.0555712391888805E-2</v>
      </c>
      <c r="K257" s="338">
        <f>SUMPRODUCT(K253:K256,'Parameters, general'!$B$23:$B$26)</f>
        <v>0</v>
      </c>
      <c r="L257" s="338">
        <f>SUMPRODUCT(L253:L256,'Parameters, general'!$B$23:$B$26)</f>
        <v>0</v>
      </c>
      <c r="M257" s="338">
        <f>SUMPRODUCT(M253:M256,'Parameters, general'!$B$23:$B$26)</f>
        <v>0</v>
      </c>
      <c r="N257" s="338">
        <f>SUMPRODUCT(N253:N256,'Parameters, general'!$B$23:$B$26)</f>
        <v>0</v>
      </c>
      <c r="O257" s="338">
        <f>SUMPRODUCT(O253:O256,'Parameters, general'!$B$23:$B$26)</f>
        <v>8.6389700000000014E-2</v>
      </c>
      <c r="P257" s="338">
        <f>SUMPRODUCT(P253:P256,'Parameters, general'!$B$23:$B$26)</f>
        <v>0</v>
      </c>
    </row>
    <row r="258" spans="1:19" x14ac:dyDescent="0.35">
      <c r="B258" t="s">
        <v>412</v>
      </c>
      <c r="C258" t="s">
        <v>86</v>
      </c>
      <c r="D258" t="s">
        <v>493</v>
      </c>
      <c r="E258" s="4">
        <f t="shared" ref="E258:E261" si="38">SUM(F258:P258)</f>
        <v>4.1942518733221051E-2</v>
      </c>
      <c r="F258" s="4">
        <f>'Forage, input data per ha'!E73*(Frac_BAT_GB*EF_min_fert_BAT_CO2+Frac_AN_GB*EF_min_fert_AN_CO2)/'Forage, input data per ha'!C73</f>
        <v>0</v>
      </c>
      <c r="G258" s="4">
        <f>EF_capital_goods_CO2</f>
        <v>2.7E-2</v>
      </c>
      <c r="H258" s="4"/>
      <c r="I258" s="4"/>
      <c r="J258" s="4">
        <f>'Forage, input data per ha'!J73*EF_diesel_CO2*Heating_value_diesel/'Forage, input data per ha'!C73</f>
        <v>1.4942518733221052E-2</v>
      </c>
      <c r="K258" s="4"/>
      <c r="L258" s="4">
        <f>'Forage, input data per ha'!K73*'Parameters, general'!$B$17/'Forage, input data per ha'!C73</f>
        <v>0</v>
      </c>
      <c r="M258" s="4"/>
      <c r="N258" s="271"/>
      <c r="O258" s="4"/>
      <c r="P258" s="4"/>
    </row>
    <row r="259" spans="1:19" x14ac:dyDescent="0.35">
      <c r="B259" t="s">
        <v>412</v>
      </c>
      <c r="C259" t="s">
        <v>87</v>
      </c>
      <c r="D259" t="s">
        <v>493</v>
      </c>
      <c r="E259" s="4">
        <f t="shared" si="38"/>
        <v>1.01619031941494E-4</v>
      </c>
      <c r="F259" s="4">
        <f>'Forage, input data per ha'!E73*(Frac_BAT_GB*EF_min_fert_BAT_CH4+Frac_AN_GB*EF_min_fert_AN_CH4)/'Forage, input data per ha'!C73</f>
        <v>0</v>
      </c>
      <c r="G259" s="4">
        <f>EF_capital_goods_CH4</f>
        <v>9.5000000000000005E-5</v>
      </c>
      <c r="H259" s="4"/>
      <c r="I259" s="4"/>
      <c r="J259" s="4">
        <f>'Forage, input data per ha'!J73*EF_diesel_CH4*Heating_value_diesel/'Forage, input data per ha'!C73</f>
        <v>6.6190319414939941E-6</v>
      </c>
      <c r="K259" s="4"/>
      <c r="L259" s="4">
        <f>'Forage, input data per ha'!K73*'Parameters, general'!$C$17/'Forage, input data per ha'!C73</f>
        <v>0</v>
      </c>
      <c r="M259" s="4"/>
      <c r="N259" s="4"/>
      <c r="O259" s="4"/>
      <c r="P259" s="4"/>
    </row>
    <row r="260" spans="1:19" x14ac:dyDescent="0.35">
      <c r="B260" t="s">
        <v>412</v>
      </c>
      <c r="C260" t="s">
        <v>297</v>
      </c>
      <c r="D260" t="s">
        <v>493</v>
      </c>
      <c r="E260" s="4">
        <f t="shared" si="38"/>
        <v>0</v>
      </c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</row>
    <row r="261" spans="1:19" x14ac:dyDescent="0.35">
      <c r="B261" t="s">
        <v>412</v>
      </c>
      <c r="C261" t="s">
        <v>89</v>
      </c>
      <c r="D261" t="s">
        <v>493</v>
      </c>
      <c r="E261" s="4">
        <f t="shared" si="38"/>
        <v>3.3200745589926232E-5</v>
      </c>
      <c r="F261" s="4">
        <f>'Forage, input data per ha'!E73*(Frac_BAT_GB*EF_min_fert_BAT_N2O+Frac_AN_GB*EF_min_fert_AN_N2O)/'Forage, input data per ha'!C73</f>
        <v>0</v>
      </c>
      <c r="G261" s="4">
        <f>EF_capital_goods_N2O</f>
        <v>1.1000000000000001E-6</v>
      </c>
      <c r="H261" s="4">
        <f>('Forage, input data per ha'!E73*'Parameters, country spec'!$M$79+'Forage, input data per ha'!H73*'Parameters, country spec'!$M$80)*44/28/'Forage, input data per ha'!C73</f>
        <v>2.8817485714285716E-5</v>
      </c>
      <c r="I261" s="4">
        <f>H261*0.1</f>
        <v>2.8817485714285716E-6</v>
      </c>
      <c r="J261" s="4">
        <f>'Forage, input data per ha'!J73*EF_diesel_N2O*Heating_value_diesel/'Forage, input data per ha'!C73</f>
        <v>4.0151130421194609E-7</v>
      </c>
      <c r="K261" s="4"/>
      <c r="L261" s="4">
        <f>'Forage, input data per ha'!K73*'Parameters, general'!$D$17/'Forage, input data per ha'!C73</f>
        <v>0</v>
      </c>
      <c r="M261" s="4"/>
      <c r="N261" s="4"/>
      <c r="O261" s="4"/>
      <c r="P261" s="4"/>
    </row>
    <row r="262" spans="1:19" ht="15" customHeight="1" x14ac:dyDescent="0.35">
      <c r="A262" s="152"/>
      <c r="B262" s="152" t="s">
        <v>412</v>
      </c>
      <c r="C262" s="152" t="s">
        <v>90</v>
      </c>
      <c r="D262" s="152" t="s">
        <v>493</v>
      </c>
      <c r="E262" s="338">
        <f>SUM(F262:P262)</f>
        <v>5.4034569431127437E-2</v>
      </c>
      <c r="F262" s="338">
        <f>SUMPRODUCT(F258:F261,'Parameters, general'!$B$23:$B$26)</f>
        <v>0</v>
      </c>
      <c r="G262" s="338">
        <f>SUMPRODUCT(G258:G261,'Parameters, general'!$B$23:$B$26)</f>
        <v>3.01313E-2</v>
      </c>
      <c r="H262" s="338">
        <f>SUMPRODUCT(H258:H261,'Parameters, general'!$B$23:$B$26)</f>
        <v>7.8671736000000009E-3</v>
      </c>
      <c r="I262" s="338">
        <f>SUMPRODUCT(I258:I261,'Parameters, general'!$B$23:$B$26)</f>
        <v>7.8671736000000001E-4</v>
      </c>
      <c r="J262" s="338">
        <f>SUMPRODUCT(J258:J261,'Parameters, general'!$B$23:$B$26)</f>
        <v>1.5249378471127435E-2</v>
      </c>
      <c r="K262" s="338">
        <f>SUMPRODUCT(K258:K261,'Parameters, general'!$B$23:$B$26)</f>
        <v>0</v>
      </c>
      <c r="L262" s="338">
        <f>SUMPRODUCT(L258:L261,'Parameters, general'!$B$23:$B$26)</f>
        <v>0</v>
      </c>
      <c r="M262" s="338">
        <f>SUMPRODUCT(M258:M261,'Parameters, general'!$B$23:$B$26)</f>
        <v>0</v>
      </c>
      <c r="N262" s="338">
        <f>SUMPRODUCT(N258:N261,'Parameters, general'!$B$23:$B$26)</f>
        <v>0</v>
      </c>
      <c r="O262" s="338">
        <f>SUMPRODUCT(O258:O261,'Parameters, general'!$B$23:$B$26)</f>
        <v>0</v>
      </c>
      <c r="P262" s="338"/>
      <c r="R262" s="122"/>
      <c r="S262" s="6"/>
    </row>
  </sheetData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5D1C5-6441-4F5C-A9A8-DE7B309E0B29}">
  <dimension ref="A2:P88"/>
  <sheetViews>
    <sheetView topLeftCell="A7" zoomScale="80" zoomScaleNormal="80" workbookViewId="0">
      <selection activeCell="F8" sqref="F8"/>
    </sheetView>
  </sheetViews>
  <sheetFormatPr defaultColWidth="8.7265625" defaultRowHeight="14.5" x14ac:dyDescent="0.35"/>
  <cols>
    <col min="1" max="1" width="15.26953125" customWidth="1"/>
    <col min="2" max="2" width="18.26953125" customWidth="1"/>
    <col min="3" max="3" width="12.453125" customWidth="1"/>
    <col min="4" max="4" width="16.7265625" customWidth="1"/>
    <col min="5" max="5" width="12.26953125" customWidth="1"/>
    <col min="6" max="7" width="14.7265625" customWidth="1"/>
    <col min="8" max="8" width="11.26953125" customWidth="1"/>
    <col min="9" max="9" width="12.26953125" customWidth="1"/>
    <col min="10" max="10" width="14.26953125" customWidth="1"/>
    <col min="11" max="11" width="12" customWidth="1"/>
    <col min="12" max="12" width="14.7265625" customWidth="1"/>
    <col min="13" max="13" width="14.26953125" customWidth="1"/>
    <col min="14" max="14" width="15" customWidth="1"/>
    <col min="15" max="15" width="15.453125" customWidth="1"/>
    <col min="16" max="16" width="15" customWidth="1"/>
    <col min="17" max="17" width="17.7265625" customWidth="1"/>
    <col min="18" max="18" width="24.7265625" customWidth="1"/>
    <col min="20" max="24" width="10.7265625" customWidth="1"/>
    <col min="25" max="25" width="13.7265625" customWidth="1"/>
    <col min="36" max="36" width="30.453125" customWidth="1"/>
    <col min="37" max="37" width="32.453125" customWidth="1"/>
  </cols>
  <sheetData>
    <row r="2" spans="1:16" ht="21" x14ac:dyDescent="0.5">
      <c r="A2" s="2" t="s">
        <v>413</v>
      </c>
    </row>
    <row r="4" spans="1:16" ht="18.5" x14ac:dyDescent="0.45">
      <c r="A4" s="260" t="s">
        <v>285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</row>
    <row r="6" spans="1:16" x14ac:dyDescent="0.35">
      <c r="A6" s="153" t="s">
        <v>215</v>
      </c>
      <c r="B6" s="154"/>
      <c r="C6" s="154"/>
      <c r="D6" s="154"/>
      <c r="E6" s="154"/>
      <c r="F6" s="155" t="s">
        <v>7</v>
      </c>
      <c r="G6" s="155" t="s">
        <v>238</v>
      </c>
      <c r="H6" s="155" t="s">
        <v>8</v>
      </c>
      <c r="I6" s="155" t="s">
        <v>9</v>
      </c>
      <c r="J6" s="156" t="s">
        <v>10</v>
      </c>
      <c r="K6" s="156" t="s">
        <v>11</v>
      </c>
      <c r="L6" s="156" t="s">
        <v>12</v>
      </c>
      <c r="M6" s="280"/>
      <c r="N6" s="281"/>
      <c r="O6" s="281"/>
      <c r="P6" s="282"/>
    </row>
    <row r="7" spans="1:16" ht="43.5" x14ac:dyDescent="0.35">
      <c r="A7" s="158" t="s">
        <v>14</v>
      </c>
      <c r="B7" s="158" t="s">
        <v>215</v>
      </c>
      <c r="C7" s="158" t="s">
        <v>217</v>
      </c>
      <c r="D7" s="158" t="s">
        <v>17</v>
      </c>
      <c r="E7" s="146" t="s">
        <v>18</v>
      </c>
      <c r="F7" s="162" t="s">
        <v>494</v>
      </c>
      <c r="G7" s="162" t="s">
        <v>239</v>
      </c>
      <c r="H7" s="162" t="s">
        <v>240</v>
      </c>
      <c r="I7" s="163" t="s">
        <v>28</v>
      </c>
      <c r="J7" s="164" t="s">
        <v>29</v>
      </c>
      <c r="K7" s="165" t="s">
        <v>30</v>
      </c>
      <c r="L7" s="165" t="s">
        <v>31</v>
      </c>
      <c r="M7" s="281"/>
    </row>
    <row r="8" spans="1:16" x14ac:dyDescent="0.35">
      <c r="B8" s="15" t="s">
        <v>285</v>
      </c>
      <c r="C8" s="15" t="s">
        <v>369</v>
      </c>
      <c r="D8" t="s">
        <v>34</v>
      </c>
      <c r="E8" t="s">
        <v>35</v>
      </c>
      <c r="F8" s="10">
        <f>1/'Forage, input data per ha'!C8*10000</f>
        <v>1.7618706912145321</v>
      </c>
      <c r="G8" s="99">
        <f>('Forage, input data per ha'!E8+'Forage, input data per ha'!G8)/'Forage, input data per ha'!C8</f>
        <v>1.1160547067428667E-2</v>
      </c>
      <c r="H8" s="308">
        <f>'Forage, input data per ha'!I8/'Forage, input data per ha'!C8</f>
        <v>3.8463374244824279E-5</v>
      </c>
      <c r="I8" s="4">
        <f>'Forage, input data per ha'!K8/'Forage, input data per ha'!C8</f>
        <v>0</v>
      </c>
      <c r="J8" s="42">
        <f>'Forage, input data per ha'!L8/'Forage, input data per ha'!C8</f>
        <v>0</v>
      </c>
      <c r="K8" s="42">
        <f>1/'Forage, input data per ha'!C8*SUM('Forage, input data per ha'!T8:X8)*10000/(No_species/1000000)</f>
        <v>3.5793844576218395E-12</v>
      </c>
      <c r="L8" s="99">
        <f>'Forage, input data per ha'!E8/'Forage, input data per ha'!C8*EF_NH3*N_to_NH3</f>
        <v>1.6346941566851479E-4</v>
      </c>
    </row>
    <row r="9" spans="1:16" x14ac:dyDescent="0.35">
      <c r="B9" s="15" t="s">
        <v>285</v>
      </c>
      <c r="C9" s="15" t="s">
        <v>369</v>
      </c>
      <c r="D9" t="s">
        <v>36</v>
      </c>
      <c r="E9" t="s">
        <v>37</v>
      </c>
      <c r="F9" s="10">
        <f>1/'Forage, input data per ha'!C9*10000</f>
        <v>2.2808216547075846</v>
      </c>
      <c r="G9" s="99">
        <f>('Forage, input data per ha'!E9+'Forage, input data per ha'!G9)/'Forage, input data per ha'!C9</f>
        <v>1.3261392141552593E-2</v>
      </c>
      <c r="H9" s="308">
        <f>'Forage, input data per ha'!I9/'Forage, input data per ha'!C9</f>
        <v>2.9377625397606846E-4</v>
      </c>
      <c r="I9" s="4">
        <f>'Forage, input data per ha'!K9/'Forage, input data per ha'!C9</f>
        <v>0</v>
      </c>
      <c r="J9" s="42">
        <f>'Forage, input data per ha'!L9/'Forage, input data per ha'!C9</f>
        <v>0</v>
      </c>
      <c r="K9" s="42">
        <f>1/'Forage, input data per ha'!C9*SUM('Forage, input data per ha'!T9:X9)*10000/(No_species/1000000)</f>
        <v>3.2252454611020728E-11</v>
      </c>
      <c r="L9" s="99">
        <f>'Forage, input data per ha'!E9/'Forage, input data per ha'!C9*EF_NH3*N_to_NH3</f>
        <v>2.9118945728129586E-4</v>
      </c>
    </row>
    <row r="10" spans="1:16" x14ac:dyDescent="0.35">
      <c r="B10" s="15" t="s">
        <v>285</v>
      </c>
      <c r="C10" s="15" t="s">
        <v>369</v>
      </c>
      <c r="D10" t="s">
        <v>38</v>
      </c>
      <c r="E10" t="s">
        <v>39</v>
      </c>
      <c r="F10" s="10">
        <f>1/'Forage, input data per ha'!C10*10000</f>
        <v>2.2909779070682172</v>
      </c>
      <c r="G10" s="99">
        <f>('Forage, input data per ha'!E10+'Forage, input data per ha'!G10)/'Forage, input data per ha'!C10</f>
        <v>1.4084562538983799E-2</v>
      </c>
      <c r="H10" s="308">
        <f>'Forage, input data per ha'!I10/'Forage, input data per ha'!C10</f>
        <v>1.5004291926573534E-4</v>
      </c>
      <c r="I10" s="4">
        <f>'Forage, input data per ha'!K10/'Forage, input data per ha'!C10</f>
        <v>0</v>
      </c>
      <c r="J10" s="42">
        <f>'Forage, input data per ha'!L10/'Forage, input data per ha'!C10</f>
        <v>0</v>
      </c>
      <c r="K10" s="42">
        <f>1/'Forage, input data per ha'!C10*SUM('Forage, input data per ha'!T10:X10)*10000/(No_species/1000000)</f>
        <v>1.3537280465961739E-11</v>
      </c>
      <c r="L10" s="99">
        <f>'Forage, input data per ha'!E10/'Forage, input data per ha'!C10*EF_NH3*N_to_NH3</f>
        <v>3.4123377454641629E-4</v>
      </c>
    </row>
    <row r="11" spans="1:16" x14ac:dyDescent="0.35">
      <c r="B11" s="15" t="s">
        <v>285</v>
      </c>
      <c r="C11" s="15" t="s">
        <v>369</v>
      </c>
      <c r="D11" t="s">
        <v>40</v>
      </c>
      <c r="E11" t="s">
        <v>41</v>
      </c>
      <c r="F11" s="10">
        <f>1/'Forage, input data per ha'!C11*10000</f>
        <v>5.6420294009104612</v>
      </c>
      <c r="G11" s="99">
        <f>('Forage, input data per ha'!E11+'Forage, input data per ha'!G11)/'Forage, input data per ha'!C11</f>
        <v>1.4248888174213355E-2</v>
      </c>
      <c r="H11" s="308">
        <f>'Forage, input data per ha'!I11/'Forage, input data per ha'!C11</f>
        <v>2.3847872238080535E-4</v>
      </c>
      <c r="I11" s="4">
        <f>'Forage, input data per ha'!K11/'Forage, input data per ha'!C11</f>
        <v>0</v>
      </c>
      <c r="J11" s="42">
        <f>'Forage, input data per ha'!L11/'Forage, input data per ha'!C11</f>
        <v>0</v>
      </c>
      <c r="K11" s="42">
        <f>1/'Forage, input data per ha'!C11*SUM('Forage, input data per ha'!T11:X11)*10000/(No_species/1000000)</f>
        <v>1.7393226708176552E-10</v>
      </c>
      <c r="L11" s="99">
        <f>'Forage, input data per ha'!E11/'Forage, input data per ha'!C11*EF_NH3*N_to_NH3</f>
        <v>3.5122388625340054E-4</v>
      </c>
    </row>
    <row r="12" spans="1:16" x14ac:dyDescent="0.35">
      <c r="B12" s="15" t="s">
        <v>285</v>
      </c>
      <c r="C12" s="15" t="s">
        <v>369</v>
      </c>
      <c r="D12" t="s">
        <v>42</v>
      </c>
      <c r="E12" t="s">
        <v>43</v>
      </c>
      <c r="F12" s="10">
        <f>1/'Forage, input data per ha'!C12*10000</f>
        <v>8.4756971535826438</v>
      </c>
      <c r="G12" s="99">
        <f>('Forage, input data per ha'!E12+'Forage, input data per ha'!G12)/'Forage, input data per ha'!C12</f>
        <v>1.4248888174213355E-2</v>
      </c>
      <c r="H12" s="308">
        <f>'Forage, input data per ha'!I12/'Forage, input data per ha'!C12</f>
        <v>2.3847872238080535E-4</v>
      </c>
      <c r="I12" s="4">
        <f>'Forage, input data per ha'!K12/'Forage, input data per ha'!C12</f>
        <v>0</v>
      </c>
      <c r="J12" s="42">
        <f>'Forage, input data per ha'!L12/'Forage, input data per ha'!C12</f>
        <v>0</v>
      </c>
      <c r="K12" s="42">
        <f>1/'Forage, input data per ha'!C12*SUM('Forage, input data per ha'!T12:X12)*10000/(No_species/1000000)</f>
        <v>5.2095311566368996E-11</v>
      </c>
      <c r="L12" s="99">
        <f>'Forage, input data per ha'!E12/'Forage, input data per ha'!C12*EF_NH3*N_to_NH3</f>
        <v>3.5122388625340054E-4</v>
      </c>
    </row>
    <row r="13" spans="1:16" x14ac:dyDescent="0.35">
      <c r="B13" s="15" t="s">
        <v>285</v>
      </c>
      <c r="C13" s="15" t="s">
        <v>369</v>
      </c>
      <c r="D13" t="s">
        <v>44</v>
      </c>
      <c r="E13" t="s">
        <v>45</v>
      </c>
      <c r="F13" s="10">
        <f>1/'Forage, input data per ha'!C13*10000</f>
        <v>2.5604713734555182</v>
      </c>
      <c r="G13" s="99">
        <f>('Forage, input data per ha'!E13+'Forage, input data per ha'!G13)/'Forage, input data per ha'!C13</f>
        <v>1.4248888174213353E-2</v>
      </c>
      <c r="H13" s="308">
        <f>'Forage, input data per ha'!I13/'Forage, input data per ha'!C13</f>
        <v>2.3847872238080538E-4</v>
      </c>
      <c r="I13" s="4">
        <f>'Forage, input data per ha'!K13/'Forage, input data per ha'!C13</f>
        <v>0</v>
      </c>
      <c r="J13" s="42">
        <f>'Forage, input data per ha'!L13/'Forage, input data per ha'!C13</f>
        <v>0</v>
      </c>
      <c r="K13" s="42">
        <f>1/'Forage, input data per ha'!C13*SUM('Forage, input data per ha'!T13:X13)*10000/(No_species/1000000)</f>
        <v>3.5392110708600907E-12</v>
      </c>
      <c r="L13" s="99">
        <f>'Forage, input data per ha'!E13/'Forage, input data per ha'!C13*EF_NH3*N_to_NH3</f>
        <v>3.5122388625340054E-4</v>
      </c>
    </row>
    <row r="14" spans="1:16" x14ac:dyDescent="0.35">
      <c r="B14" s="15" t="s">
        <v>285</v>
      </c>
      <c r="C14" s="15" t="s">
        <v>369</v>
      </c>
      <c r="D14" t="s">
        <v>46</v>
      </c>
      <c r="E14" t="s">
        <v>47</v>
      </c>
      <c r="F14" s="10">
        <f>1/'Forage, input data per ha'!C14*10000</f>
        <v>2.1104059811217226</v>
      </c>
      <c r="G14" s="99">
        <f>('Forage, input data per ha'!E14+'Forage, input data per ha'!G14)/'Forage, input data per ha'!C14</f>
        <v>1.5545547875591511E-2</v>
      </c>
      <c r="H14" s="308">
        <f>'Forage, input data per ha'!I14/'Forage, input data per ha'!C14</f>
        <v>2.3847872238080535E-4</v>
      </c>
      <c r="I14" s="4">
        <f>'Forage, input data per ha'!K14/'Forage, input data per ha'!C14</f>
        <v>0</v>
      </c>
      <c r="J14" s="42">
        <f>'Forage, input data per ha'!L14/'Forage, input data per ha'!C14</f>
        <v>0</v>
      </c>
      <c r="K14" s="42">
        <f>1/'Forage, input data per ha'!C14*SUM('Forage, input data per ha'!T14:X14)*10000/(No_species/1000000)</f>
        <v>8.6954670873459043E-11</v>
      </c>
      <c r="L14" s="99">
        <f>'Forage, input data per ha'!E14/'Forage, input data per ha'!C14*EF_NH3*N_to_NH3</f>
        <v>4.3005379763403658E-4</v>
      </c>
    </row>
    <row r="15" spans="1:16" x14ac:dyDescent="0.35">
      <c r="B15" s="15" t="s">
        <v>285</v>
      </c>
      <c r="C15" s="15" t="s">
        <v>369</v>
      </c>
      <c r="D15" t="s">
        <v>48</v>
      </c>
      <c r="E15" t="s">
        <v>49</v>
      </c>
      <c r="F15" s="10">
        <f>1/'Forage, input data per ha'!C15*10000</f>
        <v>3.5856878365593201</v>
      </c>
      <c r="G15" s="99">
        <f>('Forage, input data per ha'!E15+'Forage, input data per ha'!G15)/'Forage, input data per ha'!C15</f>
        <v>3.4288619089893765E-2</v>
      </c>
      <c r="H15" s="308">
        <f>'Forage, input data per ha'!I15/'Forage, input data per ha'!C15</f>
        <v>0</v>
      </c>
      <c r="I15" s="4">
        <f>'Forage, input data per ha'!K15/'Forage, input data per ha'!C15</f>
        <v>0</v>
      </c>
      <c r="J15" s="42">
        <f>'Forage, input data per ha'!L15/'Forage, input data per ha'!C15</f>
        <v>0</v>
      </c>
      <c r="K15" s="42">
        <f>1/'Forage, input data per ha'!C15*SUM('Forage, input data per ha'!T15:X15)*10000/(No_species/1000000)</f>
        <v>1.4439923961886749E-11</v>
      </c>
      <c r="L15" s="99">
        <f>'Forage, input data per ha'!E15/'Forage, input data per ha'!C15*EF_NH3*N_to_NH3</f>
        <v>1.5695313654600586E-3</v>
      </c>
    </row>
    <row r="16" spans="1:16" x14ac:dyDescent="0.35">
      <c r="B16" s="15" t="s">
        <v>285</v>
      </c>
      <c r="C16" s="15" t="s">
        <v>369</v>
      </c>
      <c r="D16" t="s">
        <v>50</v>
      </c>
      <c r="E16" t="s">
        <v>51</v>
      </c>
      <c r="F16" s="10">
        <f>1/'Forage, input data per ha'!C16*10000</f>
        <v>2.6494621471855524</v>
      </c>
      <c r="G16" s="99">
        <f>('Forage, input data per ha'!E16+'Forage, input data per ha'!G16)/'Forage, input data per ha'!C16</f>
        <v>1.4248888174213353E-2</v>
      </c>
      <c r="H16" s="308">
        <f>'Forage, input data per ha'!I16/'Forage, input data per ha'!C16</f>
        <v>2.3847872238080535E-4</v>
      </c>
      <c r="I16" s="4">
        <f>'Forage, input data per ha'!K16/'Forage, input data per ha'!C16</f>
        <v>0</v>
      </c>
      <c r="J16" s="42">
        <f>'Forage, input data per ha'!L16/'Forage, input data per ha'!C16</f>
        <v>0</v>
      </c>
      <c r="K16" s="42">
        <f>1/'Forage, input data per ha'!C16*SUM('Forage, input data per ha'!T16:X16)*10000/(No_species/1000000)</f>
        <v>5.6886322522779026E-12</v>
      </c>
      <c r="L16" s="99">
        <f>'Forage, input data per ha'!E16/'Forage, input data per ha'!C16*EF_NH3*N_to_NH3</f>
        <v>3.5122388625340054E-4</v>
      </c>
    </row>
    <row r="17" spans="1:16" x14ac:dyDescent="0.35">
      <c r="B17" s="15" t="s">
        <v>285</v>
      </c>
      <c r="C17" s="15" t="s">
        <v>369</v>
      </c>
      <c r="D17" t="s">
        <v>52</v>
      </c>
      <c r="E17" t="s">
        <v>53</v>
      </c>
      <c r="F17" s="10">
        <f>1/'Forage, input data per ha'!C17*10000</f>
        <v>3.8149219489237312</v>
      </c>
      <c r="G17" s="99">
        <f>('Forage, input data per ha'!E17+'Forage, input data per ha'!G17)/'Forage, input data per ha'!C17</f>
        <v>1.4248888174213355E-2</v>
      </c>
      <c r="H17" s="308">
        <f>'Forage, input data per ha'!I17/'Forage, input data per ha'!C17</f>
        <v>2.3847872238080535E-4</v>
      </c>
      <c r="I17" s="4">
        <f>'Forage, input data per ha'!K17/'Forage, input data per ha'!C17</f>
        <v>0</v>
      </c>
      <c r="J17" s="42">
        <f>'Forage, input data per ha'!L17/'Forage, input data per ha'!C17</f>
        <v>0</v>
      </c>
      <c r="K17" s="42">
        <f>1/'Forage, input data per ha'!C17*SUM('Forage, input data per ha'!T17:X17)*10000/(No_species/1000000)</f>
        <v>1.1723811931033969E-10</v>
      </c>
      <c r="L17" s="99">
        <f>'Forage, input data per ha'!E17/'Forage, input data per ha'!C17*EF_NH3*N_to_NH3</f>
        <v>3.5122388625340054E-4</v>
      </c>
    </row>
    <row r="18" spans="1:16" x14ac:dyDescent="0.35">
      <c r="B18" s="15" t="s">
        <v>285</v>
      </c>
      <c r="C18" s="15" t="s">
        <v>369</v>
      </c>
      <c r="D18" s="16" t="s">
        <v>54</v>
      </c>
      <c r="E18" t="s">
        <v>55</v>
      </c>
      <c r="F18" s="10">
        <f>1/'Forage, input data per ha'!C18*10000</f>
        <v>5.7504312823461756</v>
      </c>
      <c r="G18" s="99">
        <f>('Forage, input data per ha'!E18+'Forage, input data per ha'!G18)/'Forage, input data per ha'!C18</f>
        <v>1.9567420375240063E-2</v>
      </c>
      <c r="H18" s="308">
        <f>'Forage, input data per ha'!I18/'Forage, input data per ha'!C18</f>
        <v>0</v>
      </c>
      <c r="I18" s="4">
        <f>'Forage, input data per ha'!K18/'Forage, input data per ha'!C18</f>
        <v>0</v>
      </c>
      <c r="J18" s="42">
        <f>'Forage, input data per ha'!L18/'Forage, input data per ha'!C18</f>
        <v>0</v>
      </c>
      <c r="K18" s="42">
        <f>1/'Forage, input data per ha'!C18*SUM('Forage, input data per ha'!T18:X18)*10000/(No_species/1000000)</f>
        <v>-1.608036288990619E-11</v>
      </c>
      <c r="L18" s="99">
        <f>'Forage, input data per ha'!E18/'Forage, input data per ha'!C18*EF_NH3*N_to_NH3</f>
        <v>0</v>
      </c>
    </row>
    <row r="19" spans="1:16" x14ac:dyDescent="0.35">
      <c r="A19" s="20"/>
      <c r="B19" s="15" t="s">
        <v>285</v>
      </c>
      <c r="C19" s="15" t="s">
        <v>369</v>
      </c>
      <c r="D19" s="16" t="s">
        <v>493</v>
      </c>
      <c r="E19" t="s">
        <v>495</v>
      </c>
      <c r="F19" s="10">
        <f>1/'Forage, input data per ha'!C19*10000</f>
        <v>2.5604713734555182</v>
      </c>
      <c r="G19" s="99">
        <f>('Forage, input data per ha'!E19+'Forage, input data per ha'!G19)/'Forage, input data per ha'!C19</f>
        <v>2.5905666666666671E-2</v>
      </c>
      <c r="H19" s="308">
        <f>'Forage, input data per ha'!I19/'Forage, input data per ha'!C19</f>
        <v>2.3847872238080538E-4</v>
      </c>
      <c r="I19" s="4">
        <f>'Forage, input data per ha'!K19/'Forage, input data per ha'!C19</f>
        <v>0</v>
      </c>
      <c r="J19" s="42">
        <f>'Forage, input data per ha'!L19/'Forage, input data per ha'!C19</f>
        <v>0</v>
      </c>
      <c r="K19" s="42">
        <f>1/'Forage, input data per ha'!C19*SUM('Forage, input data per ha'!T19:X19)*10000/(No_species/1000000)</f>
        <v>4.7099132656114992E-12</v>
      </c>
      <c r="L19" s="99">
        <f>'Forage, input data per ha'!E19/'Forage, input data per ha'!C19*EF_NH3*N_to_NH3</f>
        <v>1.0598931034482759E-3</v>
      </c>
    </row>
    <row r="21" spans="1:16" ht="18.5" x14ac:dyDescent="0.45">
      <c r="A21" s="260" t="s">
        <v>368</v>
      </c>
      <c r="B21" s="107"/>
      <c r="C21" s="107"/>
      <c r="D21" s="107"/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</row>
    <row r="23" spans="1:16" x14ac:dyDescent="0.35">
      <c r="A23" s="153" t="s">
        <v>215</v>
      </c>
      <c r="B23" s="154"/>
      <c r="C23" s="154"/>
      <c r="D23" s="154"/>
      <c r="E23" s="154"/>
      <c r="F23" s="155" t="s">
        <v>7</v>
      </c>
      <c r="G23" s="155" t="s">
        <v>238</v>
      </c>
      <c r="H23" s="155" t="s">
        <v>8</v>
      </c>
      <c r="I23" s="155" t="s">
        <v>9</v>
      </c>
      <c r="J23" s="156" t="s">
        <v>10</v>
      </c>
      <c r="K23" s="156" t="s">
        <v>11</v>
      </c>
      <c r="L23" s="156" t="s">
        <v>12</v>
      </c>
      <c r="M23" s="280"/>
      <c r="N23" s="281"/>
      <c r="O23" s="281"/>
      <c r="P23" s="282"/>
    </row>
    <row r="24" spans="1:16" ht="43.5" x14ac:dyDescent="0.35">
      <c r="A24" s="158" t="s">
        <v>14</v>
      </c>
      <c r="B24" s="158" t="s">
        <v>215</v>
      </c>
      <c r="C24" s="158" t="s">
        <v>217</v>
      </c>
      <c r="D24" s="158" t="s">
        <v>17</v>
      </c>
      <c r="E24" s="146" t="s">
        <v>18</v>
      </c>
      <c r="F24" s="162" t="s">
        <v>25</v>
      </c>
      <c r="G24" s="162" t="s">
        <v>239</v>
      </c>
      <c r="H24" s="162" t="s">
        <v>240</v>
      </c>
      <c r="I24" s="163" t="s">
        <v>28</v>
      </c>
      <c r="J24" s="164" t="s">
        <v>29</v>
      </c>
      <c r="K24" s="165" t="s">
        <v>30</v>
      </c>
      <c r="L24" s="165" t="s">
        <v>31</v>
      </c>
      <c r="M24" s="281"/>
    </row>
    <row r="25" spans="1:16" x14ac:dyDescent="0.35">
      <c r="A25" s="71"/>
      <c r="B25" s="15" t="s">
        <v>334</v>
      </c>
      <c r="C25" s="15" t="s">
        <v>369</v>
      </c>
      <c r="D25" t="s">
        <v>34</v>
      </c>
      <c r="E25" t="s">
        <v>35</v>
      </c>
      <c r="F25" s="10">
        <f>1/'Forage, input data per ha'!C26*10000</f>
        <v>0.75224590731520991</v>
      </c>
      <c r="G25" s="99">
        <f>('Forage, input data per ha'!E26+'Forage, input data per ha'!G26)/'Forage, input data per ha'!C26</f>
        <v>3.0089836292608398E-3</v>
      </c>
      <c r="H25" s="308">
        <f>'Forage, input data per ha'!I26/'Forage, input data per ha'!C26</f>
        <v>3.9413447538205363E-4</v>
      </c>
      <c r="I25" s="4">
        <f>'Forage, input data per ha'!K26/'Forage, input data per ha'!C26</f>
        <v>4.0318649346164935E-2</v>
      </c>
      <c r="J25" s="42">
        <f>'Forage, input data per ha'!L26/'Forage, input data per ha'!C26</f>
        <v>2.5056963704554087E-5</v>
      </c>
      <c r="K25" s="42">
        <f>1/'Forage, input data per ha'!C26*SUM('Forage, input data per ha'!T26:X26)*10000/(No_species/1000000)</f>
        <v>2.6821313808372367E-12</v>
      </c>
      <c r="L25" s="99">
        <f>'Forage, input data per ha'!E26/'Forage, input data per ha'!C26*EF_NH3*N_to_NH3</f>
        <v>1.8292996426765674E-4</v>
      </c>
    </row>
    <row r="26" spans="1:16" x14ac:dyDescent="0.35">
      <c r="A26" s="71"/>
      <c r="B26" s="15" t="s">
        <v>334</v>
      </c>
      <c r="C26" s="15" t="s">
        <v>369</v>
      </c>
      <c r="D26" t="s">
        <v>36</v>
      </c>
      <c r="E26" t="s">
        <v>37</v>
      </c>
      <c r="F26" s="10">
        <f>1/'Forage, input data per ha'!C27*10000</f>
        <v>0.78354822784250244</v>
      </c>
      <c r="G26" s="99">
        <f>('Forage, input data per ha'!E27+'Forage, input data per ha'!G27)/'Forage, input data per ha'!C27</f>
        <v>4.8579990126235142E-3</v>
      </c>
      <c r="H26" s="308">
        <f>'Forage, input data per ha'!I27/'Forage, input data per ha'!C27</f>
        <v>6.5685620452374282E-4</v>
      </c>
      <c r="I26" s="4">
        <f>'Forage, input data per ha'!K27/'Forage, input data per ha'!C27</f>
        <v>9.0999999999999998E-2</v>
      </c>
      <c r="J26" s="42">
        <f>'Forage, input data per ha'!L27/'Forage, input data per ha'!C27</f>
        <v>6.7567011968587768E-5</v>
      </c>
      <c r="K26" s="42">
        <f>1/'Forage, input data per ha'!C27*SUM('Forage, input data per ha'!T27:X27)*10000/(No_species/1000000)</f>
        <v>9.4193784415180687E-12</v>
      </c>
      <c r="L26" s="99">
        <f>'Forage, input data per ha'!E27/'Forage, input data per ha'!C27*EF_NH3*N_to_NH3</f>
        <v>2.9534011988288379E-4</v>
      </c>
    </row>
    <row r="27" spans="1:16" x14ac:dyDescent="0.35">
      <c r="A27" s="20"/>
      <c r="B27" s="15" t="s">
        <v>334</v>
      </c>
      <c r="C27" s="15" t="s">
        <v>369</v>
      </c>
      <c r="D27" t="s">
        <v>38</v>
      </c>
      <c r="E27" t="s">
        <v>39</v>
      </c>
      <c r="F27" s="10">
        <f>1/'Forage, input data per ha'!C28*10000</f>
        <v>0.63803221792873233</v>
      </c>
      <c r="G27" s="99">
        <f>('Forage, input data per ha'!E28+'Forage, input data per ha'!G28)/'Forage, input data per ha'!C28</f>
        <v>3.2539643114365352E-3</v>
      </c>
      <c r="H27" s="308">
        <f>'Forage, input data per ha'!I28/'Forage, input data per ha'!C28</f>
        <v>2.2286195781172623E-4</v>
      </c>
      <c r="I27" s="4">
        <f>'Forage, input data per ha'!K28/'Forage, input data per ha'!C28</f>
        <v>2.0999999999999998E-2</v>
      </c>
      <c r="J27" s="42">
        <f>'Forage, input data per ha'!L28/'Forage, input data per ha'!C28</f>
        <v>1.0479214179139297E-4</v>
      </c>
      <c r="K27" s="42">
        <f>1/'Forage, input data per ha'!C28*SUM('Forage, input data per ha'!T28:X28)*10000/(No_species/1000000)</f>
        <v>5.8519653024927725E-12</v>
      </c>
      <c r="L27" s="99">
        <f>'Forage, input data per ha'!E28/'Forage, input data per ha'!C28*EF_NH3*N_to_NH3</f>
        <v>1.9782346750937254E-4</v>
      </c>
    </row>
    <row r="28" spans="1:16" x14ac:dyDescent="0.35">
      <c r="A28" s="20"/>
      <c r="B28" s="15" t="s">
        <v>334</v>
      </c>
      <c r="C28" s="15" t="s">
        <v>369</v>
      </c>
      <c r="D28" t="s">
        <v>40</v>
      </c>
      <c r="E28" t="s">
        <v>41</v>
      </c>
      <c r="F28" s="10">
        <f>1/'Forage, input data per ha'!C29*10000</f>
        <v>1.4743513961474723</v>
      </c>
      <c r="G28" s="99">
        <f>('Forage, input data per ha'!E29+'Forage, input data per ha'!G29)/'Forage, input data per ha'!C29</f>
        <v>2.6538325130654503E-2</v>
      </c>
      <c r="H28" s="308">
        <f>'Forage, input data per ha'!I29/'Forage, input data per ha'!C29</f>
        <v>1.4162079608064451E-3</v>
      </c>
      <c r="I28" s="4">
        <f>'Forage, input data per ha'!K29/'Forage, input data per ha'!C29</f>
        <v>0.20600000000000002</v>
      </c>
      <c r="J28" s="42">
        <f>'Forage, input data per ha'!L29/'Forage, input data per ha'!C29</f>
        <v>6.7567011968587768E-5</v>
      </c>
      <c r="K28" s="42">
        <f>1/'Forage, input data per ha'!C29*SUM('Forage, input data per ha'!T29:X29)*10000/(No_species/1000000)</f>
        <v>6.9414276357249014E-11</v>
      </c>
      <c r="L28" s="99">
        <f>'Forage, input data per ha'!E29/'Forage, input data per ha'!C29*EF_NH3*N_to_NH3</f>
        <v>1.6133869326057572E-3</v>
      </c>
    </row>
    <row r="29" spans="1:16" x14ac:dyDescent="0.35">
      <c r="A29" s="20"/>
      <c r="B29" s="15" t="s">
        <v>334</v>
      </c>
      <c r="C29" s="15" t="s">
        <v>369</v>
      </c>
      <c r="D29" t="s">
        <v>42</v>
      </c>
      <c r="E29" t="s">
        <v>43</v>
      </c>
      <c r="F29" s="10">
        <f>1/'Forage, input data per ha'!C30*10000</f>
        <v>1.0253586201655651</v>
      </c>
      <c r="G29" s="99">
        <f>('Forage, input data per ha'!E30+'Forage, input data per ha'!G30)/'Forage, input data per ha'!C30</f>
        <v>1.2271227357465341E-2</v>
      </c>
      <c r="H29" s="308">
        <f>'Forage, input data per ha'!I30/'Forage, input data per ha'!C30</f>
        <v>1.3430753757098248E-4</v>
      </c>
      <c r="I29" s="4">
        <f>'Forage, input data per ha'!K30/'Forage, input data per ha'!C30</f>
        <v>1.9999999999999996E-3</v>
      </c>
      <c r="J29" s="42">
        <f>'Forage, input data per ha'!L30/'Forage, input data per ha'!C30</f>
        <v>1.0479214179139297E-4</v>
      </c>
      <c r="K29" s="42">
        <f>1/'Forage, input data per ha'!C30*SUM('Forage, input data per ha'!T30:X30)*10000/(No_species/1000000)</f>
        <v>1.2876214228064374E-11</v>
      </c>
      <c r="L29" s="99">
        <f>'Forage, input data per ha'!E30/'Forage, input data per ha'!C30*EF_NH3*N_to_NH3</f>
        <v>7.4602439182191841E-4</v>
      </c>
    </row>
    <row r="30" spans="1:16" x14ac:dyDescent="0.35">
      <c r="A30" s="20"/>
      <c r="B30" s="15" t="s">
        <v>334</v>
      </c>
      <c r="C30" s="15" t="s">
        <v>369</v>
      </c>
      <c r="D30" t="s">
        <v>44</v>
      </c>
      <c r="E30" t="s">
        <v>45</v>
      </c>
      <c r="F30" s="10">
        <f>1/'Forage, input data per ha'!C31*10000</f>
        <v>0.61943752006156494</v>
      </c>
      <c r="G30" s="99">
        <f>('Forage, input data per ha'!E31+'Forage, input data per ha'!G31)/'Forage, input data per ha'!C31</f>
        <v>8.6721252808619094E-3</v>
      </c>
      <c r="H30" s="308">
        <f>'Forage, input data per ha'!I31/'Forage, input data per ha'!C31</f>
        <v>2.2919188242277906E-3</v>
      </c>
      <c r="I30" s="4">
        <f>'Forage, input data per ha'!K31/'Forage, input data per ha'!C31</f>
        <v>8.7000000000000008E-2</v>
      </c>
      <c r="J30" s="42">
        <f>'Forage, input data per ha'!L31/'Forage, input data per ha'!C31</f>
        <v>1.3255962929317492E-4</v>
      </c>
      <c r="K30" s="42">
        <f>1/'Forage, input data per ha'!C31*SUM('Forage, input data per ha'!T31:X31)*10000/(No_species/1000000)</f>
        <v>2.7230457417882814E-12</v>
      </c>
      <c r="L30" s="99">
        <f>'Forage, input data per ha'!E31/'Forage, input data per ha'!C31*EF_NH3*N_to_NH3</f>
        <v>5.2721841100292416E-4</v>
      </c>
    </row>
    <row r="31" spans="1:16" x14ac:dyDescent="0.35">
      <c r="A31" s="20"/>
      <c r="B31" s="15" t="s">
        <v>334</v>
      </c>
      <c r="C31" s="15" t="s">
        <v>369</v>
      </c>
      <c r="D31" t="s">
        <v>46</v>
      </c>
      <c r="E31" t="s">
        <v>47</v>
      </c>
      <c r="F31" s="10">
        <f>1/'Forage, input data per ha'!C32*10000</f>
        <v>0.51445196317795561</v>
      </c>
      <c r="G31" s="99">
        <f>('Forage, input data per ha'!E32+'Forage, input data per ha'!G32)/'Forage, input data per ha'!C32</f>
        <v>9.3490444033023819E-3</v>
      </c>
      <c r="H31" s="308">
        <f>'Forage, input data per ha'!I32/'Forage, input data per ha'!C32</f>
        <v>1.3477192274802781E-4</v>
      </c>
      <c r="I31" s="4">
        <f>'Forage, input data per ha'!K32/'Forage, input data per ha'!C32</f>
        <v>0.1</v>
      </c>
      <c r="J31" s="42">
        <f>'Forage, input data per ha'!L32/'Forage, input data per ha'!C32</f>
        <v>6.7567011968587768E-5</v>
      </c>
      <c r="K31" s="42">
        <f>1/'Forage, input data per ha'!C32*SUM('Forage, input data per ha'!T32:X32)*10000/(No_species/1000000)</f>
        <v>2.7684265407222258E-11</v>
      </c>
      <c r="L31" s="99">
        <f>'Forage, input data per ha'!E32/'Forage, input data per ha'!C32*EF_NH3*N_to_NH3</f>
        <v>5.6837144011081197E-4</v>
      </c>
    </row>
    <row r="32" spans="1:16" x14ac:dyDescent="0.35">
      <c r="A32" s="20"/>
      <c r="B32" s="15" t="s">
        <v>334</v>
      </c>
      <c r="C32" s="15" t="s">
        <v>369</v>
      </c>
      <c r="D32" t="s">
        <v>48</v>
      </c>
      <c r="E32" t="s">
        <v>49</v>
      </c>
      <c r="F32" s="10">
        <f>1/'Forage, input data per ha'!C33*10000</f>
        <v>0.61500988697347925</v>
      </c>
      <c r="G32" s="99">
        <f>('Forage, input data per ha'!E33+'Forage, input data per ha'!G33)/'Forage, input data per ha'!C33</f>
        <v>1.024249889357177E-2</v>
      </c>
      <c r="H32" s="308">
        <f>'Forage, input data per ha'!I33/'Forage, input data per ha'!C33</f>
        <v>8.458551473656372E-5</v>
      </c>
      <c r="I32" s="4">
        <f>'Forage, input data per ha'!K33/'Forage, input data per ha'!C33</f>
        <v>6.1690666490291896E-2</v>
      </c>
      <c r="J32" s="42">
        <f>'Forage, input data per ha'!L33/'Forage, input data per ha'!C33</f>
        <v>7.1677920029331065E-5</v>
      </c>
      <c r="K32" s="42">
        <f>1/'Forage, input data per ha'!C33*SUM('Forage, input data per ha'!T33:X33)*10000/(No_species/1000000)</f>
        <v>4.9799456928696098E-12</v>
      </c>
      <c r="L32" s="99">
        <f>'Forage, input data per ha'!E33/'Forage, input data per ha'!C33*EF_NH3*N_to_NH3</f>
        <v>6.2268865087606478E-4</v>
      </c>
    </row>
    <row r="33" spans="1:16" x14ac:dyDescent="0.35">
      <c r="A33" s="20"/>
      <c r="B33" s="15" t="s">
        <v>334</v>
      </c>
      <c r="C33" s="15" t="s">
        <v>369</v>
      </c>
      <c r="D33" t="s">
        <v>50</v>
      </c>
      <c r="E33" t="s">
        <v>51</v>
      </c>
      <c r="F33" s="10">
        <f>1/'Forage, input data per ha'!C34*10000</f>
        <v>0.6336182502296176</v>
      </c>
      <c r="G33" s="99">
        <f>('Forage, input data per ha'!E34+'Forage, input data per ha'!G34)/'Forage, input data per ha'!C34</f>
        <v>8.5049431919481961E-3</v>
      </c>
      <c r="H33" s="308">
        <f>'Forage, input data per ha'!I34/'Forage, input data per ha'!C34</f>
        <v>1.3832511096562076E-3</v>
      </c>
      <c r="I33" s="4">
        <f>'Forage, input data per ha'!K34/'Forage, input data per ha'!C34</f>
        <v>1.2E-2</v>
      </c>
      <c r="J33" s="42">
        <f>'Forage, input data per ha'!L34/'Forage, input data per ha'!C34</f>
        <v>1.0479214179139297E-4</v>
      </c>
      <c r="K33" s="42">
        <f>1/'Forage, input data per ha'!C34*SUM('Forage, input data per ha'!T34:X34)*10000/(No_species/1000000)</f>
        <v>2.5239361658889796E-12</v>
      </c>
      <c r="L33" s="99">
        <f>'Forage, input data per ha'!E34/'Forage, input data per ha'!C34*EF_NH3*N_to_NH3</f>
        <v>5.1705464232908453E-4</v>
      </c>
    </row>
    <row r="34" spans="1:16" x14ac:dyDescent="0.35">
      <c r="A34" s="20"/>
      <c r="B34" s="15" t="s">
        <v>334</v>
      </c>
      <c r="C34" s="15" t="s">
        <v>369</v>
      </c>
      <c r="D34" t="s">
        <v>52</v>
      </c>
      <c r="E34" t="s">
        <v>53</v>
      </c>
      <c r="F34" s="10">
        <f>1/'Forage, input data per ha'!C35*10000</f>
        <v>1.0250102501025009</v>
      </c>
      <c r="G34" s="99">
        <f>('Forage, input data per ha'!E35+'Forage, input data per ha'!G35)/'Forage, input data per ha'!C35</f>
        <v>5.6375563755637556E-3</v>
      </c>
      <c r="H34" s="308">
        <f>'Forage, input data per ha'!I35/'Forage, input data per ha'!C35</f>
        <v>1.3426190599934167E-3</v>
      </c>
      <c r="I34" s="4">
        <f>'Forage, input data per ha'!K35/'Forage, input data per ha'!C35</f>
        <v>0.36057452281463748</v>
      </c>
      <c r="J34" s="42">
        <f>'Forage, input data per ha'!L35/'Forage, input data per ha'!C35</f>
        <v>6.7567011968587768E-5</v>
      </c>
      <c r="K34" s="42">
        <f>1/'Forage, input data per ha'!C35*SUM('Forage, input data per ha'!T35:X35)*10000/(No_species/1000000)</f>
        <v>7.0036243032082879E-11</v>
      </c>
      <c r="L34" s="99">
        <f>'Forage, input data per ha'!E35/'Forage, input data per ha'!C35*EF_NH3*N_to_NH3</f>
        <v>3.427330000436436E-4</v>
      </c>
    </row>
    <row r="35" spans="1:16" x14ac:dyDescent="0.35">
      <c r="A35" s="20"/>
      <c r="B35" s="15" t="s">
        <v>334</v>
      </c>
      <c r="C35" s="15" t="s">
        <v>369</v>
      </c>
      <c r="D35" s="16" t="s">
        <v>54</v>
      </c>
      <c r="E35" t="s">
        <v>55</v>
      </c>
      <c r="F35" s="10">
        <f>1/'Forage, input data per ha'!C36*10000</f>
        <v>0.91421835939926821</v>
      </c>
      <c r="G35" s="99">
        <f>('Forage, input data per ha'!E36+'Forage, input data per ha'!G36)/'Forage, input data per ha'!C36</f>
        <v>6.399528515794878E-3</v>
      </c>
      <c r="H35" s="308">
        <f>'Forage, input data per ha'!I36/'Forage, input data per ha'!C36</f>
        <v>5.4853101563956093E-4</v>
      </c>
      <c r="I35" s="4">
        <f>'Forage, input data per ha'!K36/'Forage, input data per ha'!C36</f>
        <v>5.000000000000001E-2</v>
      </c>
      <c r="J35" s="42">
        <f>'Forage, input data per ha'!L36/'Forage, input data per ha'!C36</f>
        <v>9.1421835939926832E-6</v>
      </c>
      <c r="K35" s="42">
        <f>1/'Forage, input data per ha'!C36*SUM('Forage, input data per ha'!T36:X36)*10000/(No_species/1000000)</f>
        <v>1.8706078991556431E-12</v>
      </c>
      <c r="L35" s="99">
        <f>'Forage, input data per ha'!E36/'Forage, input data per ha'!C36*EF_NH3*N_to_NH3</f>
        <v>3.8905679357643523E-4</v>
      </c>
    </row>
    <row r="36" spans="1:16" x14ac:dyDescent="0.35">
      <c r="A36" s="20"/>
      <c r="B36" s="15" t="s">
        <v>334</v>
      </c>
      <c r="C36" s="15" t="s">
        <v>369</v>
      </c>
      <c r="D36" s="16" t="s">
        <v>493</v>
      </c>
      <c r="E36" t="s">
        <v>495</v>
      </c>
      <c r="F36" s="10">
        <f>1/'Forage, input data per ha'!C37*10000</f>
        <v>0.61943752006156494</v>
      </c>
      <c r="G36" s="99">
        <f>('Forage, input data per ha'!E37+'Forage, input data per ha'!G37)/'Forage, input data per ha'!C37</f>
        <v>1.44E-2</v>
      </c>
      <c r="H36" s="308">
        <f>'Forage, input data per ha'!I37/'Forage, input data per ha'!C37</f>
        <v>2.2919188242277906E-3</v>
      </c>
      <c r="I36" s="4">
        <f>'Forage, input data per ha'!K37/'Forage, input data per ha'!C37</f>
        <v>8.7000000000000008E-2</v>
      </c>
      <c r="J36" s="42">
        <f>'Forage, input data per ha'!L37/'Forage, input data per ha'!C37</f>
        <v>1.3255962929317492E-4</v>
      </c>
      <c r="K36" s="42">
        <f>1/'Forage, input data per ha'!C37*SUM('Forage, input data per ha'!T37:X37)*10000/(No_species/1000000)</f>
        <v>2.6302205707188629E-12</v>
      </c>
      <c r="L36" s="99">
        <f>'Forage, input data per ha'!E36/'Forage, input data per ha'!C37*EF_NH3*N_to_NH3</f>
        <v>2.6360920550146208E-4</v>
      </c>
    </row>
    <row r="37" spans="1:16" x14ac:dyDescent="0.35">
      <c r="A37" s="20"/>
      <c r="B37" s="15"/>
      <c r="C37" s="15"/>
    </row>
    <row r="38" spans="1:16" ht="18.5" x14ac:dyDescent="0.45">
      <c r="A38" s="260" t="s">
        <v>367</v>
      </c>
      <c r="B38" s="107"/>
      <c r="C38" s="107"/>
      <c r="D38" s="107"/>
      <c r="E38" s="107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</row>
    <row r="40" spans="1:16" x14ac:dyDescent="0.35">
      <c r="A40" s="153" t="s">
        <v>215</v>
      </c>
      <c r="B40" s="154"/>
      <c r="C40" s="154"/>
      <c r="D40" s="154"/>
      <c r="E40" s="154"/>
      <c r="F40" s="155" t="s">
        <v>7</v>
      </c>
      <c r="G40" s="155" t="s">
        <v>238</v>
      </c>
      <c r="H40" s="155" t="s">
        <v>8</v>
      </c>
      <c r="I40" s="155" t="s">
        <v>9</v>
      </c>
      <c r="J40" s="156" t="s">
        <v>10</v>
      </c>
      <c r="K40" s="156" t="s">
        <v>11</v>
      </c>
      <c r="L40" s="156" t="s">
        <v>12</v>
      </c>
      <c r="M40" s="280"/>
      <c r="N40" s="281"/>
      <c r="O40" s="281"/>
      <c r="P40" s="282"/>
    </row>
    <row r="41" spans="1:16" ht="43.5" x14ac:dyDescent="0.35">
      <c r="A41" s="158" t="s">
        <v>14</v>
      </c>
      <c r="B41" s="158" t="s">
        <v>215</v>
      </c>
      <c r="C41" s="158" t="s">
        <v>217</v>
      </c>
      <c r="D41" s="158" t="s">
        <v>17</v>
      </c>
      <c r="E41" s="146" t="s">
        <v>18</v>
      </c>
      <c r="F41" s="162" t="s">
        <v>25</v>
      </c>
      <c r="G41" s="162" t="s">
        <v>239</v>
      </c>
      <c r="H41" s="162" t="s">
        <v>240</v>
      </c>
      <c r="I41" s="163" t="s">
        <v>28</v>
      </c>
      <c r="J41" s="164" t="s">
        <v>29</v>
      </c>
      <c r="K41" s="165" t="s">
        <v>30</v>
      </c>
      <c r="L41" s="165" t="s">
        <v>31</v>
      </c>
      <c r="M41" s="281"/>
    </row>
    <row r="42" spans="1:16" x14ac:dyDescent="0.35">
      <c r="A42" s="71"/>
      <c r="B42" s="15" t="s">
        <v>367</v>
      </c>
      <c r="C42" s="15" t="s">
        <v>369</v>
      </c>
      <c r="D42" t="s">
        <v>34</v>
      </c>
      <c r="E42" t="s">
        <v>35</v>
      </c>
      <c r="F42" s="10">
        <f>1/'Forage, input data per ha'!C44*10000</f>
        <v>0.88093534560726605</v>
      </c>
      <c r="G42" s="99">
        <f>('Forage, input data per ha'!E44+'Forage, input data per ha'!G44)/'Forage, input data per ha'!C44</f>
        <v>1.1160547067428667E-2</v>
      </c>
      <c r="H42" s="308">
        <f>'Forage, input data per ha'!I44/'Forage, input data per ha'!C44</f>
        <v>3.8463374244824279E-5</v>
      </c>
      <c r="I42" s="4">
        <f>'Forage, input data per ha'!K44/'Forage, input data per ha'!C44</f>
        <v>0</v>
      </c>
      <c r="J42" s="42">
        <f>'Forage, input data per ha'!L44/'Forage, input data per ha'!C44</f>
        <v>2.9875621464290258E-5</v>
      </c>
      <c r="K42" s="42">
        <f>1/'Forage, input data per ha'!C44*SUM('Forage, input data per ha'!T44:X44)*10000/(No_species/1000000)</f>
        <v>2.1758332674700831E-12</v>
      </c>
      <c r="L42" s="99">
        <f>'Forage, input data per ha'!E44/'Forage, input data per ha'!C44*EF_NH3*N_to_NH3</f>
        <v>1.6346941566851479E-4</v>
      </c>
    </row>
    <row r="43" spans="1:16" x14ac:dyDescent="0.35">
      <c r="A43" s="71"/>
      <c r="B43" s="15" t="s">
        <v>367</v>
      </c>
      <c r="C43" s="15" t="s">
        <v>369</v>
      </c>
      <c r="D43" t="s">
        <v>36</v>
      </c>
      <c r="E43" t="s">
        <v>37</v>
      </c>
      <c r="F43" s="10">
        <f>1/'Forage, input data per ha'!C45*10000</f>
        <v>1.1404108273537923</v>
      </c>
      <c r="G43" s="99">
        <f>('Forage, input data per ha'!E45+'Forage, input data per ha'!G45)/'Forage, input data per ha'!C45</f>
        <v>1.3261392141552593E-2</v>
      </c>
      <c r="H43" s="308">
        <f>'Forage, input data per ha'!I45/'Forage, input data per ha'!C45</f>
        <v>2.9377625397606846E-4</v>
      </c>
      <c r="I43" s="4">
        <f>'Forage, input data per ha'!K45/'Forage, input data per ha'!C45</f>
        <v>0</v>
      </c>
      <c r="J43" s="42">
        <f>'Forage, input data per ha'!L45/'Forage, input data per ha'!C45</f>
        <v>2.9875621464290254E-5</v>
      </c>
      <c r="K43" s="42">
        <f>1/'Forage, input data per ha'!C45*SUM('Forage, input data per ha'!T45:X45)*10000/(No_species/1000000)</f>
        <v>9.3396559792334097E-12</v>
      </c>
      <c r="L43" s="99">
        <f>'Forage, input data per ha'!E45/'Forage, input data per ha'!C45*EF_NH3*N_to_NH3</f>
        <v>2.9118945728129586E-4</v>
      </c>
    </row>
    <row r="44" spans="1:16" x14ac:dyDescent="0.35">
      <c r="A44" s="20"/>
      <c r="B44" s="15" t="s">
        <v>367</v>
      </c>
      <c r="C44" s="15" t="s">
        <v>369</v>
      </c>
      <c r="D44" t="s">
        <v>38</v>
      </c>
      <c r="E44" t="s">
        <v>39</v>
      </c>
      <c r="F44" s="10">
        <f>1/'Forage, input data per ha'!C46*10000</f>
        <v>1.1454889535341086</v>
      </c>
      <c r="G44" s="99">
        <f>('Forage, input data per ha'!E46+'Forage, input data per ha'!G46)/'Forage, input data per ha'!C46</f>
        <v>1.4084562538983799E-2</v>
      </c>
      <c r="H44" s="308">
        <f>'Forage, input data per ha'!I46/'Forage, input data per ha'!C46</f>
        <v>1.5004291926573534E-4</v>
      </c>
      <c r="I44" s="4">
        <f>'Forage, input data per ha'!K46/'Forage, input data per ha'!C46</f>
        <v>0</v>
      </c>
      <c r="J44" s="42">
        <f>'Forage, input data per ha'!L46/'Forage, input data per ha'!C46</f>
        <v>2.9875621464290258E-5</v>
      </c>
      <c r="K44" s="42">
        <f>1/'Forage, input data per ha'!C46*SUM('Forage, input data per ha'!T46:X46)*10000/(No_species/1000000)</f>
        <v>7.1575218380200387E-12</v>
      </c>
      <c r="L44" s="99">
        <f>'Forage, input data per ha'!E46/'Forage, input data per ha'!C46*EF_NH3*N_to_NH3</f>
        <v>3.4123377454641629E-4</v>
      </c>
    </row>
    <row r="45" spans="1:16" x14ac:dyDescent="0.35">
      <c r="A45" s="20"/>
      <c r="B45" s="15" t="s">
        <v>367</v>
      </c>
      <c r="C45" s="15" t="s">
        <v>369</v>
      </c>
      <c r="D45" t="s">
        <v>40</v>
      </c>
      <c r="E45" t="s">
        <v>41</v>
      </c>
      <c r="F45" s="10">
        <f>1/'Forage, input data per ha'!C47*10000</f>
        <v>2.8210147004552306</v>
      </c>
      <c r="G45" s="99">
        <f>('Forage, input data per ha'!E47+'Forage, input data per ha'!G47)/'Forage, input data per ha'!C47</f>
        <v>1.4248888174213355E-2</v>
      </c>
      <c r="H45" s="308">
        <f>'Forage, input data per ha'!I47/'Forage, input data per ha'!C47</f>
        <v>2.3847872238080535E-4</v>
      </c>
      <c r="I45" s="4">
        <f>'Forage, input data per ha'!K47/'Forage, input data per ha'!C47</f>
        <v>0</v>
      </c>
      <c r="J45" s="42">
        <f>'Forage, input data per ha'!L47/'Forage, input data per ha'!C47</f>
        <v>2.9875621464290258E-5</v>
      </c>
      <c r="K45" s="42">
        <f>1/'Forage, input data per ha'!C47*SUM('Forage, input data per ha'!T47:X47)*10000/(No_species/1000000)</f>
        <v>9.0380275303623506E-11</v>
      </c>
      <c r="L45" s="99">
        <f>'Forage, input data per ha'!E47/'Forage, input data per ha'!C47*EF_NH3*N_to_NH3</f>
        <v>3.5122388625340054E-4</v>
      </c>
    </row>
    <row r="46" spans="1:16" x14ac:dyDescent="0.35">
      <c r="A46" s="20"/>
      <c r="B46" s="15" t="s">
        <v>367</v>
      </c>
      <c r="C46" s="15" t="s">
        <v>369</v>
      </c>
      <c r="D46" t="s">
        <v>42</v>
      </c>
      <c r="E46" t="s">
        <v>43</v>
      </c>
      <c r="F46" s="10">
        <f>1/'Forage, input data per ha'!C48*10000</f>
        <v>4.2378485767913219</v>
      </c>
      <c r="G46" s="99">
        <f>('Forage, input data per ha'!E48+'Forage, input data per ha'!G48)/'Forage, input data per ha'!C48</f>
        <v>1.4248888174213355E-2</v>
      </c>
      <c r="H46" s="308">
        <f>'Forage, input data per ha'!I48/'Forage, input data per ha'!C48</f>
        <v>2.3847872238080535E-4</v>
      </c>
      <c r="I46" s="4">
        <f>'Forage, input data per ha'!K48/'Forage, input data per ha'!C48</f>
        <v>0</v>
      </c>
      <c r="J46" s="42">
        <f>'Forage, input data per ha'!L48/'Forage, input data per ha'!C48</f>
        <v>2.9875621464290258E-5</v>
      </c>
      <c r="K46" s="42">
        <f>1/'Forage, input data per ha'!C48*SUM('Forage, input data per ha'!T48:X48)*10000/(No_species/1000000)</f>
        <v>3.6979701257089292E-11</v>
      </c>
      <c r="L46" s="99">
        <f>'Forage, input data per ha'!E48/'Forage, input data per ha'!C48*EF_NH3*N_to_NH3</f>
        <v>3.5122388625340054E-4</v>
      </c>
    </row>
    <row r="47" spans="1:16" x14ac:dyDescent="0.35">
      <c r="A47" s="20"/>
      <c r="B47" s="15" t="s">
        <v>367</v>
      </c>
      <c r="C47" s="15" t="s">
        <v>369</v>
      </c>
      <c r="D47" t="s">
        <v>44</v>
      </c>
      <c r="E47" t="s">
        <v>45</v>
      </c>
      <c r="F47" s="10">
        <f>1/'Forage, input data per ha'!C49*10000</f>
        <v>1.2802356867277591</v>
      </c>
      <c r="G47" s="99">
        <f>('Forage, input data per ha'!E49+'Forage, input data per ha'!G49)/'Forage, input data per ha'!C49</f>
        <v>1.4248888174213353E-2</v>
      </c>
      <c r="H47" s="308">
        <f>'Forage, input data per ha'!I49/'Forage, input data per ha'!C49</f>
        <v>2.3847872238080538E-4</v>
      </c>
      <c r="I47" s="4">
        <f>'Forage, input data per ha'!K49/'Forage, input data per ha'!C49</f>
        <v>0</v>
      </c>
      <c r="J47" s="42">
        <f>'Forage, input data per ha'!L49/'Forage, input data per ha'!C49</f>
        <v>1.1522121180549831E-5</v>
      </c>
      <c r="K47" s="42">
        <f>1/'Forage, input data per ha'!C49*SUM('Forage, input data per ha'!T49:X49)*10000/(No_species/1000000)</f>
        <v>3.9309754074943836E-12</v>
      </c>
      <c r="L47" s="99">
        <f>'Forage, input data per ha'!E49/'Forage, input data per ha'!C49*EF_NH3*N_to_NH3</f>
        <v>3.5122388625340054E-4</v>
      </c>
    </row>
    <row r="48" spans="1:16" x14ac:dyDescent="0.35">
      <c r="A48" s="20"/>
      <c r="B48" s="15" t="s">
        <v>367</v>
      </c>
      <c r="C48" s="15" t="s">
        <v>369</v>
      </c>
      <c r="D48" t="s">
        <v>46</v>
      </c>
      <c r="E48" t="s">
        <v>47</v>
      </c>
      <c r="F48" s="10">
        <f>1/'Forage, input data per ha'!C50*10000</f>
        <v>1.0552029905608613</v>
      </c>
      <c r="G48" s="99">
        <f>('Forage, input data per ha'!E50+'Forage, input data per ha'!G50)/'Forage, input data per ha'!C50</f>
        <v>1.5545547875591511E-2</v>
      </c>
      <c r="H48" s="308">
        <f>'Forage, input data per ha'!I50/'Forage, input data per ha'!C50</f>
        <v>2.3847872238080535E-4</v>
      </c>
      <c r="I48" s="4">
        <f>'Forage, input data per ha'!K50/'Forage, input data per ha'!C50</f>
        <v>0</v>
      </c>
      <c r="J48" s="42">
        <f>'Forage, input data per ha'!L50/'Forage, input data per ha'!C50</f>
        <v>2.9875621464290258E-5</v>
      </c>
      <c r="K48" s="42">
        <f>1/'Forage, input data per ha'!C50*SUM('Forage, input data per ha'!T50:X50)*10000/(No_species/1000000)</f>
        <v>3.8214842852610717E-11</v>
      </c>
      <c r="L48" s="99">
        <f>'Forage, input data per ha'!E50/'Forage, input data per ha'!C50*EF_NH3*N_to_NH3</f>
        <v>4.3005379763403658E-4</v>
      </c>
    </row>
    <row r="49" spans="1:16" x14ac:dyDescent="0.35">
      <c r="A49" s="20"/>
      <c r="B49" s="15" t="s">
        <v>367</v>
      </c>
      <c r="C49" s="15" t="s">
        <v>369</v>
      </c>
      <c r="D49" t="s">
        <v>48</v>
      </c>
      <c r="E49" t="s">
        <v>49</v>
      </c>
      <c r="F49" s="10">
        <f>1/'Forage, input data per ha'!C51*10000</f>
        <v>1.7928439182796601</v>
      </c>
      <c r="G49" s="99">
        <f>('Forage, input data per ha'!E51+'Forage, input data per ha'!G51)/'Forage, input data per ha'!C51</f>
        <v>3.4288619089893765E-2</v>
      </c>
      <c r="H49" s="308">
        <f>'Forage, input data per ha'!I51/'Forage, input data per ha'!C51</f>
        <v>0</v>
      </c>
      <c r="I49" s="4">
        <f>'Forage, input data per ha'!K51/'Forage, input data per ha'!C51</f>
        <v>0</v>
      </c>
      <c r="J49" s="42">
        <f>'Forage, input data per ha'!L51/'Forage, input data per ha'!C51</f>
        <v>2.9875621464290261E-5</v>
      </c>
      <c r="K49" s="42">
        <f>1/'Forage, input data per ha'!C51*SUM('Forage, input data per ha'!T51:X51)*10000/(No_species/1000000)</f>
        <v>9.9883841540653846E-12</v>
      </c>
      <c r="L49" s="99">
        <f>'Forage, input data per ha'!E51/'Forage, input data per ha'!C51*EF_NH3*N_to_NH3</f>
        <v>1.5695313654600586E-3</v>
      </c>
    </row>
    <row r="50" spans="1:16" x14ac:dyDescent="0.35">
      <c r="A50" s="20"/>
      <c r="B50" s="15" t="s">
        <v>367</v>
      </c>
      <c r="C50" s="15" t="s">
        <v>369</v>
      </c>
      <c r="D50" t="s">
        <v>50</v>
      </c>
      <c r="E50" t="s">
        <v>51</v>
      </c>
      <c r="F50" s="10">
        <f>1/'Forage, input data per ha'!C52*10000</f>
        <v>1.3247310735927762</v>
      </c>
      <c r="G50" s="99">
        <f>('Forage, input data per ha'!E52+'Forage, input data per ha'!G52)/'Forage, input data per ha'!C52</f>
        <v>1.4248888174213353E-2</v>
      </c>
      <c r="H50" s="308">
        <f>'Forage, input data per ha'!I52/'Forage, input data per ha'!C52</f>
        <v>2.3847872238080535E-4</v>
      </c>
      <c r="I50" s="4">
        <f>'Forage, input data per ha'!K52/'Forage, input data per ha'!C52</f>
        <v>0</v>
      </c>
      <c r="J50" s="42">
        <f>'Forage, input data per ha'!L52/'Forage, input data per ha'!C52</f>
        <v>2.9875621464290258E-5</v>
      </c>
      <c r="K50" s="42">
        <f>1/'Forage, input data per ha'!C52*SUM('Forage, input data per ha'!T52:X52)*10000/(No_species/1000000)</f>
        <v>3.7240185040764132E-12</v>
      </c>
      <c r="L50" s="99">
        <f>'Forage, input data per ha'!E52/'Forage, input data per ha'!C52*EF_NH3*N_to_NH3</f>
        <v>3.5122388625340054E-4</v>
      </c>
    </row>
    <row r="51" spans="1:16" x14ac:dyDescent="0.35">
      <c r="A51" s="20"/>
      <c r="B51" s="15" t="s">
        <v>367</v>
      </c>
      <c r="C51" s="15" t="s">
        <v>369</v>
      </c>
      <c r="D51" t="s">
        <v>52</v>
      </c>
      <c r="E51" t="s">
        <v>53</v>
      </c>
      <c r="F51" s="10">
        <f>1/'Forage, input data per ha'!C53*10000</f>
        <v>1.9074609744618656</v>
      </c>
      <c r="G51" s="99">
        <f>('Forage, input data per ha'!E53+'Forage, input data per ha'!G53)/'Forage, input data per ha'!C53</f>
        <v>1.4248888174213355E-2</v>
      </c>
      <c r="H51" s="308">
        <f>'Forage, input data per ha'!I53/'Forage, input data per ha'!C53</f>
        <v>2.3847872238080535E-4</v>
      </c>
      <c r="I51" s="4">
        <f>'Forage, input data per ha'!K53/'Forage, input data per ha'!C53</f>
        <v>0</v>
      </c>
      <c r="J51" s="42">
        <f>'Forage, input data per ha'!L53/'Forage, input data per ha'!C53</f>
        <v>2.9875621464290261E-5</v>
      </c>
      <c r="K51" s="42">
        <f>1/'Forage, input data per ha'!C53*SUM('Forage, input data per ha'!T53:X53)*10000/(No_species/1000000)</f>
        <v>8.7561523313164621E-11</v>
      </c>
      <c r="L51" s="99">
        <f>'Forage, input data per ha'!E53/'Forage, input data per ha'!C53*EF_NH3*N_to_NH3</f>
        <v>3.5122388625340054E-4</v>
      </c>
    </row>
    <row r="52" spans="1:16" x14ac:dyDescent="0.35">
      <c r="A52" s="20"/>
      <c r="B52" s="15" t="s">
        <v>367</v>
      </c>
      <c r="C52" s="15" t="s">
        <v>369</v>
      </c>
      <c r="D52" s="16" t="s">
        <v>54</v>
      </c>
      <c r="E52" t="s">
        <v>55</v>
      </c>
      <c r="F52" s="10">
        <f>1/'Forage, input data per ha'!C54*10000</f>
        <v>1.2448175610120942</v>
      </c>
      <c r="G52" s="99">
        <f>('Forage, input data per ha'!E54+'Forage, input data per ha'!G54)/'Forage, input data per ha'!C54</f>
        <v>1.3077491642411421E-2</v>
      </c>
      <c r="H52" s="308">
        <f>'Forage, input data per ha'!I54/'Forage, input data per ha'!C54</f>
        <v>1.8107799593374165E-4</v>
      </c>
      <c r="I52" s="4">
        <f>'Forage, input data per ha'!K54/'Forage, input data per ha'!C54</f>
        <v>0</v>
      </c>
      <c r="J52" s="42">
        <f>'Forage, input data per ha'!L54/'Forage, input data per ha'!C54</f>
        <v>2.9875621464290258E-5</v>
      </c>
      <c r="K52" s="42">
        <f>1/'Forage, input data per ha'!C54*SUM('Forage, input data per ha'!T54:X54)*10000/(No_species/1000000)</f>
        <v>1.8580877935903654E-12</v>
      </c>
      <c r="L52" s="99">
        <f>'Forage, input data per ha'!E54/'Forage, input data per ha'!C54*EF_NH3*N_to_NH3</f>
        <v>2.8000929949992433E-4</v>
      </c>
    </row>
    <row r="53" spans="1:16" x14ac:dyDescent="0.35">
      <c r="A53" s="20"/>
      <c r="B53" s="15" t="s">
        <v>367</v>
      </c>
      <c r="C53" s="15" t="s">
        <v>369</v>
      </c>
      <c r="D53" s="16" t="s">
        <v>493</v>
      </c>
      <c r="E53" t="s">
        <v>495</v>
      </c>
      <c r="F53" s="10">
        <f>1/'Forage, input data per ha'!C55*10000</f>
        <v>1.2802356867277591</v>
      </c>
      <c r="G53" s="99">
        <f>('Forage, input data per ha'!E55+'Forage, input data per ha'!G55)/'Forage, input data per ha'!C55</f>
        <v>2.5905666666666671E-2</v>
      </c>
      <c r="H53" s="308">
        <f>'Forage, input data per ha'!I55/'Forage, input data per ha'!C55</f>
        <v>2.3847872238080538E-4</v>
      </c>
      <c r="I53" s="4">
        <f>'Forage, input data per ha'!K55/'Forage, input data per ha'!C55</f>
        <v>0</v>
      </c>
      <c r="J53" s="42">
        <f>'Forage, input data per ha'!L55/'Forage, input data per ha'!C55</f>
        <v>1.1522121180549831E-5</v>
      </c>
      <c r="K53" s="42">
        <f>1/'Forage, input data per ha'!C55*SUM('Forage, input data per ha'!T55:X55)*10000/(No_species/1000000)</f>
        <v>3.7572955026385361E-12</v>
      </c>
      <c r="L53" s="99">
        <f>'Forage, input data per ha'!E55/'Forage, input data per ha'!C55*EF_NH3*N_to_NH3</f>
        <v>1.0598931034482759E-3</v>
      </c>
    </row>
    <row r="54" spans="1:16" x14ac:dyDescent="0.35">
      <c r="A54" s="20"/>
      <c r="B54" s="15"/>
      <c r="C54" s="15"/>
      <c r="D54" s="16"/>
      <c r="F54" s="10"/>
      <c r="G54" s="99"/>
      <c r="H54" s="308"/>
      <c r="I54" s="4"/>
      <c r="J54" s="42"/>
      <c r="K54" s="42"/>
      <c r="L54" s="99"/>
    </row>
    <row r="55" spans="1:16" ht="18.5" x14ac:dyDescent="0.45">
      <c r="A55" s="260" t="s">
        <v>412</v>
      </c>
      <c r="B55" s="107"/>
      <c r="C55" s="107"/>
      <c r="D55" s="107"/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</row>
    <row r="57" spans="1:16" x14ac:dyDescent="0.35">
      <c r="A57" s="153" t="s">
        <v>215</v>
      </c>
      <c r="B57" s="154"/>
      <c r="C57" s="154"/>
      <c r="D57" s="154"/>
      <c r="E57" s="154"/>
      <c r="F57" s="155" t="s">
        <v>7</v>
      </c>
      <c r="G57" s="155" t="s">
        <v>238</v>
      </c>
      <c r="H57" s="155" t="s">
        <v>8</v>
      </c>
      <c r="I57" s="155" t="s">
        <v>9</v>
      </c>
      <c r="J57" s="156" t="s">
        <v>10</v>
      </c>
      <c r="K57" s="156" t="s">
        <v>11</v>
      </c>
      <c r="L57" s="156" t="s">
        <v>12</v>
      </c>
      <c r="M57" s="280"/>
      <c r="N57" s="281"/>
      <c r="O57" s="281"/>
      <c r="P57" s="282"/>
    </row>
    <row r="58" spans="1:16" ht="43.5" x14ac:dyDescent="0.35">
      <c r="A58" s="158" t="s">
        <v>14</v>
      </c>
      <c r="B58" s="158" t="s">
        <v>215</v>
      </c>
      <c r="C58" s="158" t="s">
        <v>217</v>
      </c>
      <c r="D58" s="158" t="s">
        <v>17</v>
      </c>
      <c r="E58" s="146" t="s">
        <v>18</v>
      </c>
      <c r="F58" s="162" t="s">
        <v>25</v>
      </c>
      <c r="G58" s="162" t="s">
        <v>239</v>
      </c>
      <c r="H58" s="162" t="s">
        <v>240</v>
      </c>
      <c r="I58" s="163" t="s">
        <v>28</v>
      </c>
      <c r="J58" s="164" t="s">
        <v>29</v>
      </c>
      <c r="K58" s="165" t="s">
        <v>30</v>
      </c>
      <c r="L58" s="165" t="s">
        <v>31</v>
      </c>
      <c r="M58" s="281"/>
    </row>
    <row r="59" spans="1:16" x14ac:dyDescent="0.35">
      <c r="A59" s="71"/>
      <c r="B59" s="15" t="s">
        <v>412</v>
      </c>
      <c r="C59" s="15" t="s">
        <v>369</v>
      </c>
      <c r="D59" t="s">
        <v>34</v>
      </c>
      <c r="E59" t="s">
        <v>35</v>
      </c>
      <c r="F59" s="10">
        <f>1/'Forage, input data per ha'!C62*10000</f>
        <v>0.86058319478091305</v>
      </c>
      <c r="G59" s="99">
        <f>('Forage, input data per ha'!E62+'Forage, input data per ha'!G62)/'Forage, input data per ha'!C62</f>
        <v>4.5673333333333337E-2</v>
      </c>
      <c r="H59" s="308">
        <f>'Forage, input data per ha'!I62/'Forage, input data per ha'!C62</f>
        <v>4.5717683839384812E-3</v>
      </c>
      <c r="I59" s="4">
        <f>'Forage, input data per ha'!K62/'Forage, input data per ha'!C62</f>
        <v>0</v>
      </c>
      <c r="J59" s="42">
        <f>'Forage, input data per ha'!L62/'Forage, input data per ha'!C62</f>
        <v>6.2532818319357796E-5</v>
      </c>
      <c r="K59" s="42">
        <f>1/'Forage, input data per ha'!C62*SUM('Forage, input data per ha'!T62:X62)*10000/(No_species/1000000)</f>
        <v>2.1255652346872445E-12</v>
      </c>
      <c r="L59" s="99">
        <f>'Forage, input data per ha'!E62/'Forage, input data per ha'!C62*EF_NH3*N_to_NH3</f>
        <v>0</v>
      </c>
    </row>
    <row r="60" spans="1:16" x14ac:dyDescent="0.35">
      <c r="A60" s="71"/>
      <c r="B60" s="15" t="s">
        <v>412</v>
      </c>
      <c r="C60" s="15" t="s">
        <v>369</v>
      </c>
      <c r="D60" t="s">
        <v>36</v>
      </c>
      <c r="E60" t="s">
        <v>37</v>
      </c>
      <c r="F60" s="10">
        <f>1/'Forage, input data per ha'!C63*10000</f>
        <v>1.1163207827016843</v>
      </c>
      <c r="G60" s="99">
        <f>('Forage, input data per ha'!E63+'Forage, input data per ha'!G63)/'Forage, input data per ha'!C63</f>
        <v>4.5673333333333337E-2</v>
      </c>
      <c r="H60" s="308">
        <f>'Forage, input data per ha'!I63/'Forage, input data per ha'!C63</f>
        <v>3.3619718309859156E-3</v>
      </c>
      <c r="I60" s="4">
        <f>'Forage, input data per ha'!K63/'Forage, input data per ha'!C63</f>
        <v>0</v>
      </c>
      <c r="J60" s="42">
        <f>'Forage, input data per ha'!L63/'Forage, input data per ha'!C63</f>
        <v>6.2532818319357796E-5</v>
      </c>
      <c r="K60" s="42">
        <f>1/'Forage, input data per ha'!C63*SUM('Forage, input data per ha'!T63:X63)*10000/(No_species/1000000)</f>
        <v>9.1423650344454408E-12</v>
      </c>
      <c r="L60" s="99">
        <f>'Forage, input data per ha'!E63/'Forage, input data per ha'!C63*EF_NH3*N_to_NH3</f>
        <v>0</v>
      </c>
    </row>
    <row r="61" spans="1:16" x14ac:dyDescent="0.35">
      <c r="A61" s="20"/>
      <c r="B61" s="15" t="s">
        <v>412</v>
      </c>
      <c r="C61" s="15" t="s">
        <v>369</v>
      </c>
      <c r="D61" t="s">
        <v>38</v>
      </c>
      <c r="E61" t="s">
        <v>39</v>
      </c>
      <c r="F61" s="10">
        <f>1/'Forage, input data per ha'!C64*10000</f>
        <v>1.4705228823146224</v>
      </c>
      <c r="G61" s="99">
        <f>('Forage, input data per ha'!E64+'Forage, input data per ha'!G64)/'Forage, input data per ha'!C64</f>
        <v>4.567333333333333E-2</v>
      </c>
      <c r="H61" s="308">
        <f>'Forage, input data per ha'!I64/'Forage, input data per ha'!C64</f>
        <v>3.3619718309859151E-3</v>
      </c>
      <c r="I61" s="4">
        <f>'Forage, input data per ha'!K64/'Forage, input data per ha'!C64</f>
        <v>0</v>
      </c>
      <c r="J61" s="42">
        <f>'Forage, input data per ha'!L64/'Forage, input data per ha'!C64</f>
        <v>6.2532818319357796E-5</v>
      </c>
      <c r="K61" s="42">
        <f>1/'Forage, input data per ha'!C64*SUM('Forage, input data per ha'!T64:X64)*10000/(No_species/1000000)</f>
        <v>9.1884776461632418E-12</v>
      </c>
      <c r="L61" s="99">
        <f>'Forage, input data per ha'!E64/'Forage, input data per ha'!C64*EF_NH3*N_to_NH3</f>
        <v>0</v>
      </c>
    </row>
    <row r="62" spans="1:16" x14ac:dyDescent="0.35">
      <c r="A62" s="20"/>
      <c r="B62" s="15" t="s">
        <v>412</v>
      </c>
      <c r="C62" s="15" t="s">
        <v>369</v>
      </c>
      <c r="D62" t="s">
        <v>40</v>
      </c>
      <c r="E62" t="s">
        <v>41</v>
      </c>
      <c r="F62" s="10">
        <f>1/'Forage, input data per ha'!C65*10000</f>
        <v>2.2942126795269693</v>
      </c>
      <c r="G62" s="99">
        <f>('Forage, input data per ha'!E65+'Forage, input data per ha'!G65)/'Forage, input data per ha'!C65</f>
        <v>4.5673333333333323E-2</v>
      </c>
      <c r="H62" s="308">
        <f>'Forage, input data per ha'!I65/'Forage, input data per ha'!C65</f>
        <v>3.3619718309859156E-3</v>
      </c>
      <c r="I62" s="4">
        <f>'Forage, input data per ha'!K65/'Forage, input data per ha'!C65</f>
        <v>0</v>
      </c>
      <c r="J62" s="42">
        <f>'Forage, input data per ha'!L65/'Forage, input data per ha'!C65</f>
        <v>6.2532818319357796E-5</v>
      </c>
      <c r="K62" s="42">
        <f>1/'Forage, input data per ha'!C65*SUM('Forage, input data per ha'!T65:X65)*10000/(No_species/1000000)</f>
        <v>7.3502478929744921E-11</v>
      </c>
      <c r="L62" s="99">
        <f>'Forage, input data per ha'!E65/'Forage, input data per ha'!C65*EF_NH3*N_to_NH3</f>
        <v>0</v>
      </c>
    </row>
    <row r="63" spans="1:16" x14ac:dyDescent="0.35">
      <c r="A63" s="20"/>
      <c r="B63" s="15" t="s">
        <v>412</v>
      </c>
      <c r="C63" s="15" t="s">
        <v>369</v>
      </c>
      <c r="D63" t="s">
        <v>42</v>
      </c>
      <c r="E63" t="s">
        <v>43</v>
      </c>
      <c r="F63" s="10">
        <f>1/'Forage, input data per ha'!C66*10000</f>
        <v>2.4033390218840847</v>
      </c>
      <c r="G63" s="99">
        <f>('Forage, input data per ha'!E66+'Forage, input data per ha'!G66)/'Forage, input data per ha'!C66</f>
        <v>4.5673333333333344E-2</v>
      </c>
      <c r="H63" s="308">
        <f>'Forage, input data per ha'!I66/'Forage, input data per ha'!C66</f>
        <v>3.3619718309859156E-3</v>
      </c>
      <c r="I63" s="4">
        <f>'Forage, input data per ha'!K66/'Forage, input data per ha'!C66</f>
        <v>0</v>
      </c>
      <c r="J63" s="42">
        <f>'Forage, input data per ha'!L66/'Forage, input data per ha'!C66</f>
        <v>6.2532818319357796E-5</v>
      </c>
      <c r="K63" s="42">
        <f>1/'Forage, input data per ha'!C66*SUM('Forage, input data per ha'!T66:X66)*10000/(No_species/1000000)</f>
        <v>2.097166933606438E-11</v>
      </c>
      <c r="L63" s="99">
        <f>'Forage, input data per ha'!E66/'Forage, input data per ha'!C66*EF_NH3*N_to_NH3</f>
        <v>0</v>
      </c>
    </row>
    <row r="64" spans="1:16" x14ac:dyDescent="0.35">
      <c r="A64" s="20"/>
      <c r="B64" s="15" t="s">
        <v>412</v>
      </c>
      <c r="C64" s="15" t="s">
        <v>369</v>
      </c>
      <c r="D64" t="s">
        <v>44</v>
      </c>
      <c r="E64" t="s">
        <v>45</v>
      </c>
      <c r="F64" s="10">
        <f>1/'Forage, input data per ha'!C67*10000</f>
        <v>1.3003387075222106</v>
      </c>
      <c r="G64" s="99">
        <f>('Forage, input data per ha'!E67+'Forage, input data per ha'!G67)/'Forage, input data per ha'!C67</f>
        <v>4.5673333333333337E-2</v>
      </c>
      <c r="H64" s="308">
        <f>'Forage, input data per ha'!I67/'Forage, input data per ha'!C67</f>
        <v>3.3619718309859156E-3</v>
      </c>
      <c r="I64" s="4">
        <f>'Forage, input data per ha'!K67/'Forage, input data per ha'!C67</f>
        <v>0</v>
      </c>
      <c r="J64" s="42">
        <f>'Forage, input data per ha'!L67/'Forage, input data per ha'!C67</f>
        <v>6.2532818319357796E-5</v>
      </c>
      <c r="K64" s="42">
        <f>1/'Forage, input data per ha'!C67*SUM('Forage, input data per ha'!T67:X67)*10000/(No_species/1000000)</f>
        <v>3.9927019170571044E-12</v>
      </c>
      <c r="L64" s="99">
        <f>'Forage, input data per ha'!E67/'Forage, input data per ha'!C67*EF_NH3*N_to_NH3</f>
        <v>0</v>
      </c>
    </row>
    <row r="65" spans="1:12" x14ac:dyDescent="0.35">
      <c r="A65" s="20"/>
      <c r="B65" s="15" t="s">
        <v>412</v>
      </c>
      <c r="C65" s="15" t="s">
        <v>369</v>
      </c>
      <c r="D65" t="s">
        <v>46</v>
      </c>
      <c r="E65" t="s">
        <v>47</v>
      </c>
      <c r="F65" s="10">
        <f>1/'Forage, input data per ha'!C68*10000</f>
        <v>1.3762247749482197</v>
      </c>
      <c r="G65" s="99">
        <f>('Forage, input data per ha'!E68+'Forage, input data per ha'!G68)/'Forage, input data per ha'!C68</f>
        <v>4.567333333333333E-2</v>
      </c>
      <c r="H65" s="308">
        <f>'Forage, input data per ha'!I68/'Forage, input data per ha'!C68</f>
        <v>3.3619718309859156E-3</v>
      </c>
      <c r="I65" s="4">
        <f>'Forage, input data per ha'!K68/'Forage, input data per ha'!C68</f>
        <v>0</v>
      </c>
      <c r="J65" s="42">
        <f>'Forage, input data per ha'!L68/'Forage, input data per ha'!C68</f>
        <v>6.2532818319357796E-5</v>
      </c>
      <c r="K65" s="42">
        <f>1/'Forage, input data per ha'!C68*SUM('Forage, input data per ha'!T68:X68)*10000/(No_species/1000000)</f>
        <v>4.9840849556881904E-11</v>
      </c>
      <c r="L65" s="99">
        <f>'Forage, input data per ha'!E68/'Forage, input data per ha'!C68*EF_NH3*N_to_NH3</f>
        <v>0</v>
      </c>
    </row>
    <row r="66" spans="1:12" x14ac:dyDescent="0.35">
      <c r="A66" s="20"/>
      <c r="B66" s="15" t="s">
        <v>412</v>
      </c>
      <c r="C66" s="15" t="s">
        <v>369</v>
      </c>
      <c r="D66" t="s">
        <v>48</v>
      </c>
      <c r="E66" t="s">
        <v>49</v>
      </c>
      <c r="F66" s="10">
        <f>1/'Forage, input data per ha'!C69*10000</f>
        <v>1.4221421084328052</v>
      </c>
      <c r="G66" s="99">
        <f>('Forage, input data per ha'!E69+'Forage, input data per ha'!G69)/'Forage, input data per ha'!C69</f>
        <v>4.5673333333333337E-2</v>
      </c>
      <c r="H66" s="308">
        <f>'Forage, input data per ha'!I69/'Forage, input data per ha'!C69</f>
        <v>4.5717683839384812E-3</v>
      </c>
      <c r="I66" s="4">
        <f>'Forage, input data per ha'!K69/'Forage, input data per ha'!C69</f>
        <v>0</v>
      </c>
      <c r="J66" s="42">
        <f>'Forage, input data per ha'!L69/'Forage, input data per ha'!C69</f>
        <v>6.2532818319357796E-5</v>
      </c>
      <c r="K66" s="42">
        <f>1/'Forage, input data per ha'!C69*SUM('Forage, input data per ha'!T69:X69)*10000/(No_species/1000000)</f>
        <v>7.9231111843410296E-12</v>
      </c>
      <c r="L66" s="99">
        <f>'Forage, input data per ha'!E69/'Forage, input data per ha'!C69*EF_NH3*N_to_NH3</f>
        <v>0</v>
      </c>
    </row>
    <row r="67" spans="1:12" x14ac:dyDescent="0.35">
      <c r="A67" s="20"/>
      <c r="B67" s="15" t="s">
        <v>412</v>
      </c>
      <c r="C67" s="15" t="s">
        <v>369</v>
      </c>
      <c r="D67" t="s">
        <v>50</v>
      </c>
      <c r="E67" t="s">
        <v>51</v>
      </c>
      <c r="F67" s="10">
        <f>1/'Forage, input data per ha'!C70*10000</f>
        <v>1.2813504897096357</v>
      </c>
      <c r="G67" s="99">
        <f>('Forage, input data per ha'!E70+'Forage, input data per ha'!G70)/'Forage, input data per ha'!C70</f>
        <v>4.5673333333333337E-2</v>
      </c>
      <c r="H67" s="308">
        <f>'Forage, input data per ha'!I70/'Forage, input data per ha'!C70</f>
        <v>3.3619718309859156E-3</v>
      </c>
      <c r="I67" s="4">
        <f>'Forage, input data per ha'!K70/'Forage, input data per ha'!C70</f>
        <v>0</v>
      </c>
      <c r="J67" s="42">
        <f>'Forage, input data per ha'!L70/'Forage, input data per ha'!C70</f>
        <v>6.2532818319357796E-5</v>
      </c>
      <c r="K67" s="42">
        <f>1/'Forage, input data per ha'!C70*SUM('Forage, input data per ha'!T70:X70)*10000/(No_species/1000000)</f>
        <v>3.6020691512463945E-12</v>
      </c>
      <c r="L67" s="99">
        <f>'Forage, input data per ha'!E70/'Forage, input data per ha'!C70*EF_NH3*N_to_NH3</f>
        <v>0</v>
      </c>
    </row>
    <row r="68" spans="1:12" x14ac:dyDescent="0.35">
      <c r="A68" s="20"/>
      <c r="B68" s="15" t="s">
        <v>412</v>
      </c>
      <c r="C68" s="15" t="s">
        <v>369</v>
      </c>
      <c r="D68" t="s">
        <v>52</v>
      </c>
      <c r="E68" t="s">
        <v>53</v>
      </c>
      <c r="F68" s="10">
        <f>1/'Forage, input data per ha'!C71*10000</f>
        <v>1.1702617509720095</v>
      </c>
      <c r="G68" s="99">
        <f>('Forage, input data per ha'!E71+'Forage, input data per ha'!G71)/'Forage, input data per ha'!C71</f>
        <v>4.5673333333333337E-2</v>
      </c>
      <c r="H68" s="308">
        <f>'Forage, input data per ha'!I71/'Forage, input data per ha'!C71</f>
        <v>3.3619718309859156E-3</v>
      </c>
      <c r="I68" s="4">
        <f>'Forage, input data per ha'!K71/'Forage, input data per ha'!C71</f>
        <v>0</v>
      </c>
      <c r="J68" s="42">
        <f>'Forage, input data per ha'!L71/'Forage, input data per ha'!C71</f>
        <v>6.2532818319357796E-5</v>
      </c>
      <c r="K68" s="42">
        <f>1/'Forage, input data per ha'!C71*SUM('Forage, input data per ha'!T71:X71)*10000/(No_species/1000000)</f>
        <v>5.3720575656416425E-11</v>
      </c>
      <c r="L68" s="99">
        <f>'Forage, input data per ha'!E71/'Forage, input data per ha'!C71*EF_NH3*N_to_NH3</f>
        <v>0</v>
      </c>
    </row>
    <row r="69" spans="1:12" x14ac:dyDescent="0.35">
      <c r="A69" s="20"/>
      <c r="B69" s="15" t="s">
        <v>412</v>
      </c>
      <c r="C69" s="15" t="s">
        <v>369</v>
      </c>
      <c r="D69" s="16" t="s">
        <v>54</v>
      </c>
      <c r="E69" t="s">
        <v>55</v>
      </c>
      <c r="F69" s="10">
        <f>1/'Forage, input data per ha'!C72*10000</f>
        <v>2.6055340966399085</v>
      </c>
      <c r="G69" s="99">
        <f>('Forage, input data per ha'!E72+'Forage, input data per ha'!G72)/'Forage, input data per ha'!C72</f>
        <v>4.5673333333333344E-2</v>
      </c>
      <c r="H69" s="308">
        <f>'Forage, input data per ha'!I72/'Forage, input data per ha'!C72</f>
        <v>3.3619718309859156E-3</v>
      </c>
      <c r="I69" s="4">
        <f>'Forage, input data per ha'!K72/'Forage, input data per ha'!C72</f>
        <v>0</v>
      </c>
      <c r="J69" s="42">
        <f>'Forage, input data per ha'!L72/'Forage, input data per ha'!C72</f>
        <v>6.2532818319357796E-5</v>
      </c>
      <c r="K69" s="42">
        <f>1/'Forage, input data per ha'!C72*SUM('Forage, input data per ha'!T72:X72)*10000/(No_species/1000000)</f>
        <v>3.8891732028699079E-12</v>
      </c>
      <c r="L69" s="99">
        <f>'Forage, input data per ha'!E72/'Forage, input data per ha'!C72*EF_NH3*N_to_NH3</f>
        <v>0</v>
      </c>
    </row>
    <row r="70" spans="1:12" x14ac:dyDescent="0.35">
      <c r="B70" s="15" t="s">
        <v>412</v>
      </c>
      <c r="C70" s="15" t="s">
        <v>369</v>
      </c>
      <c r="D70" s="16" t="s">
        <v>493</v>
      </c>
      <c r="E70" t="s">
        <v>495</v>
      </c>
      <c r="F70" s="10">
        <f>1/'Forage, input data per ha'!C73*10000</f>
        <v>1.3003387075222106</v>
      </c>
      <c r="G70" s="99">
        <f>('Forage, input data per ha'!E73+'Forage, input data per ha'!G73)/'Forage, input data per ha'!C73</f>
        <v>4.5673333333333337E-2</v>
      </c>
      <c r="H70" s="308">
        <f>'Forage, input data per ha'!I73/'Forage, input data per ha'!C73</f>
        <v>3.3619718309859156E-3</v>
      </c>
      <c r="I70" s="4">
        <f>'Forage, input data per ha'!K73/'Forage, input data per ha'!C73</f>
        <v>0</v>
      </c>
      <c r="J70" s="42">
        <f>'Forage, input data per ha'!L73/'Forage, input data per ha'!C73</f>
        <v>6.2532818319357796E-5</v>
      </c>
      <c r="K70" s="42">
        <f>1/'Forage, input data per ha'!C73*SUM('Forage, input data per ha'!T73:X73)*10000/(No_species/1000000)</f>
        <v>3.8162947872261273E-12</v>
      </c>
      <c r="L70" s="99">
        <f>'Forage, input data per ha'!E73/'Forage, input data per ha'!C73*EF_NH3*N_to_NH3</f>
        <v>0</v>
      </c>
    </row>
    <row r="71" spans="1:12" x14ac:dyDescent="0.35">
      <c r="I71" s="16"/>
    </row>
    <row r="72" spans="1:12" x14ac:dyDescent="0.35">
      <c r="I72" s="16"/>
    </row>
    <row r="73" spans="1:12" x14ac:dyDescent="0.35">
      <c r="I73" s="16"/>
    </row>
    <row r="74" spans="1:12" x14ac:dyDescent="0.35">
      <c r="I74" s="16"/>
    </row>
    <row r="75" spans="1:12" x14ac:dyDescent="0.35">
      <c r="I75" s="16"/>
    </row>
    <row r="76" spans="1:12" x14ac:dyDescent="0.35">
      <c r="I76" s="16"/>
    </row>
    <row r="77" spans="1:12" x14ac:dyDescent="0.35">
      <c r="I77" s="16"/>
    </row>
    <row r="78" spans="1:12" x14ac:dyDescent="0.35">
      <c r="I78" s="16"/>
    </row>
    <row r="79" spans="1:12" x14ac:dyDescent="0.35">
      <c r="I79" s="16"/>
    </row>
    <row r="80" spans="1:12" x14ac:dyDescent="0.35">
      <c r="I80" s="16"/>
    </row>
    <row r="81" spans="9:9" x14ac:dyDescent="0.35">
      <c r="I81" s="16"/>
    </row>
    <row r="82" spans="9:9" x14ac:dyDescent="0.35">
      <c r="I82" s="16"/>
    </row>
    <row r="83" spans="9:9" x14ac:dyDescent="0.35">
      <c r="I83" s="16"/>
    </row>
    <row r="84" spans="9:9" x14ac:dyDescent="0.35">
      <c r="I84" s="16"/>
    </row>
    <row r="85" spans="9:9" x14ac:dyDescent="0.35">
      <c r="I85" s="16"/>
    </row>
    <row r="86" spans="9:9" x14ac:dyDescent="0.35">
      <c r="I86" s="16"/>
    </row>
    <row r="87" spans="9:9" x14ac:dyDescent="0.35">
      <c r="I87" s="16"/>
    </row>
    <row r="88" spans="9:9" x14ac:dyDescent="0.35">
      <c r="I88" s="16"/>
    </row>
  </sheetData>
  <phoneticPr fontId="78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43B48-FC37-4C67-A5F8-D96386155467}">
  <dimension ref="A2:BA135"/>
  <sheetViews>
    <sheetView topLeftCell="P62" zoomScale="80" zoomScaleNormal="80" workbookViewId="0">
      <selection activeCell="T62" sqref="T62:X73"/>
    </sheetView>
  </sheetViews>
  <sheetFormatPr defaultColWidth="8.7265625" defaultRowHeight="14.5" x14ac:dyDescent="0.35"/>
  <cols>
    <col min="1" max="1" width="15.26953125" customWidth="1"/>
    <col min="2" max="2" width="18.26953125" customWidth="1"/>
    <col min="3" max="4" width="12.453125" customWidth="1"/>
    <col min="5" max="6" width="16.7265625" customWidth="1"/>
    <col min="7" max="7" width="12.26953125" customWidth="1"/>
    <col min="8" max="9" width="14.7265625" customWidth="1"/>
    <col min="10" max="10" width="11.26953125" customWidth="1"/>
    <col min="11" max="11" width="12.26953125" customWidth="1"/>
    <col min="12" max="12" width="14.26953125" customWidth="1"/>
    <col min="13" max="13" width="12" customWidth="1"/>
    <col min="14" max="14" width="14.7265625" customWidth="1"/>
    <col min="15" max="15" width="14.26953125" customWidth="1"/>
    <col min="16" max="16" width="15" customWidth="1"/>
    <col min="17" max="17" width="15.453125" customWidth="1"/>
    <col min="18" max="18" width="15" customWidth="1"/>
    <col min="19" max="19" width="17.7265625" customWidth="1"/>
    <col min="20" max="20" width="14" customWidth="1"/>
    <col min="21" max="21" width="8.81640625" bestFit="1" customWidth="1"/>
    <col min="22" max="26" width="10.7265625" customWidth="1"/>
    <col min="27" max="27" width="13.7265625" customWidth="1"/>
    <col min="38" max="38" width="30.453125" customWidth="1"/>
    <col min="39" max="39" width="32.453125" customWidth="1"/>
    <col min="49" max="49" width="12" bestFit="1" customWidth="1"/>
    <col min="51" max="51" width="9.26953125" bestFit="1" customWidth="1"/>
  </cols>
  <sheetData>
    <row r="2" spans="1:40" ht="21" x14ac:dyDescent="0.5">
      <c r="A2" s="2" t="s">
        <v>414</v>
      </c>
    </row>
    <row r="4" spans="1:40" ht="18.5" x14ac:dyDescent="0.45">
      <c r="A4" s="260" t="s">
        <v>285</v>
      </c>
      <c r="B4" s="373" t="s">
        <v>483</v>
      </c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</row>
    <row r="5" spans="1:40" ht="18.5" x14ac:dyDescent="0.45">
      <c r="A5" s="1"/>
      <c r="S5" s="6"/>
    </row>
    <row r="6" spans="1:40" x14ac:dyDescent="0.35">
      <c r="A6" s="374" t="s">
        <v>215</v>
      </c>
      <c r="B6" s="375"/>
      <c r="C6" s="376" t="s">
        <v>335</v>
      </c>
      <c r="D6" s="376"/>
      <c r="E6" s="377" t="s">
        <v>336</v>
      </c>
      <c r="F6" s="377"/>
      <c r="G6" s="378"/>
      <c r="H6" s="379"/>
      <c r="I6" s="379"/>
      <c r="J6" s="380" t="s">
        <v>337</v>
      </c>
      <c r="K6" s="380" t="s">
        <v>9</v>
      </c>
      <c r="L6" s="381" t="s">
        <v>10</v>
      </c>
      <c r="M6" s="382" t="s">
        <v>338</v>
      </c>
      <c r="N6" s="379"/>
      <c r="O6" s="379"/>
      <c r="P6" s="378"/>
      <c r="Q6" s="383"/>
      <c r="R6" s="383"/>
      <c r="S6" s="383"/>
      <c r="T6" s="381" t="s">
        <v>339</v>
      </c>
      <c r="U6" s="383"/>
      <c r="V6" s="383"/>
      <c r="W6" s="383"/>
      <c r="X6" s="383"/>
      <c r="Y6" s="381" t="s">
        <v>13</v>
      </c>
      <c r="Z6" s="384" t="s">
        <v>335</v>
      </c>
      <c r="AA6" s="385" t="s">
        <v>336</v>
      </c>
      <c r="AB6" s="386"/>
      <c r="AC6" s="387"/>
      <c r="AD6" s="387"/>
      <c r="AE6" s="388" t="s">
        <v>337</v>
      </c>
      <c r="AF6" s="388" t="s">
        <v>9</v>
      </c>
      <c r="AG6" s="389" t="s">
        <v>10</v>
      </c>
      <c r="AH6" s="390" t="s">
        <v>338</v>
      </c>
      <c r="AI6" s="387"/>
      <c r="AJ6" s="387"/>
      <c r="AK6" s="389" t="s">
        <v>11</v>
      </c>
      <c r="AL6" s="391"/>
    </row>
    <row r="7" spans="1:40" ht="58" x14ac:dyDescent="0.35">
      <c r="A7" s="392" t="s">
        <v>365</v>
      </c>
      <c r="B7" s="297" t="s">
        <v>17</v>
      </c>
      <c r="C7" s="296" t="s">
        <v>340</v>
      </c>
      <c r="D7" s="296"/>
      <c r="E7" s="296" t="s">
        <v>341</v>
      </c>
      <c r="F7" s="296"/>
      <c r="G7" s="298" t="s">
        <v>342</v>
      </c>
      <c r="H7" s="296" t="s">
        <v>343</v>
      </c>
      <c r="I7" s="298" t="s">
        <v>344</v>
      </c>
      <c r="J7" s="298" t="s">
        <v>345</v>
      </c>
      <c r="K7" s="393" t="s">
        <v>346</v>
      </c>
      <c r="L7" s="394" t="s">
        <v>347</v>
      </c>
      <c r="M7" s="299" t="s">
        <v>348</v>
      </c>
      <c r="N7" s="299" t="s">
        <v>349</v>
      </c>
      <c r="O7" s="299" t="s">
        <v>350</v>
      </c>
      <c r="P7" s="299" t="s">
        <v>351</v>
      </c>
      <c r="Q7" s="299" t="s">
        <v>352</v>
      </c>
      <c r="R7" s="299" t="s">
        <v>353</v>
      </c>
      <c r="S7" s="299" t="s">
        <v>354</v>
      </c>
      <c r="T7" s="300" t="s">
        <v>355</v>
      </c>
      <c r="U7" s="300" t="s">
        <v>356</v>
      </c>
      <c r="V7" s="300" t="s">
        <v>357</v>
      </c>
      <c r="W7" s="300" t="s">
        <v>358</v>
      </c>
      <c r="X7" s="300" t="s">
        <v>359</v>
      </c>
      <c r="Y7" s="300" t="s">
        <v>360</v>
      </c>
      <c r="Z7" s="301" t="s">
        <v>340</v>
      </c>
      <c r="AA7" s="301" t="s">
        <v>361</v>
      </c>
      <c r="AB7" s="302" t="s">
        <v>342</v>
      </c>
      <c r="AC7" s="301" t="s">
        <v>343</v>
      </c>
      <c r="AD7" s="302" t="s">
        <v>344</v>
      </c>
      <c r="AE7" s="302" t="s">
        <v>345</v>
      </c>
      <c r="AF7" s="303" t="s">
        <v>28</v>
      </c>
      <c r="AG7" s="304" t="s">
        <v>347</v>
      </c>
      <c r="AH7" s="305" t="s">
        <v>362</v>
      </c>
      <c r="AI7" s="305" t="s">
        <v>386</v>
      </c>
      <c r="AJ7" s="305" t="s">
        <v>398</v>
      </c>
      <c r="AK7" s="306" t="s">
        <v>363</v>
      </c>
      <c r="AL7" s="306"/>
    </row>
    <row r="8" spans="1:40" x14ac:dyDescent="0.35">
      <c r="A8" t="s">
        <v>285</v>
      </c>
      <c r="B8" t="s">
        <v>34</v>
      </c>
      <c r="C8" s="116">
        <f>C44/2</f>
        <v>5675.7854307154503</v>
      </c>
      <c r="D8" s="116"/>
      <c r="E8" s="116">
        <f>E44/2</f>
        <v>15.26150820358132</v>
      </c>
      <c r="F8" s="116"/>
      <c r="G8" s="116">
        <f t="shared" ref="G8:K8" si="0">G44/2</f>
        <v>48.083362240544346</v>
      </c>
      <c r="H8" s="116">
        <f t="shared" si="0"/>
        <v>17.347470590438704</v>
      </c>
      <c r="I8" s="116">
        <f t="shared" si="0"/>
        <v>0.21830985915492954</v>
      </c>
      <c r="J8" s="116">
        <f t="shared" si="0"/>
        <v>21.5</v>
      </c>
      <c r="K8" s="116">
        <f t="shared" si="0"/>
        <v>0</v>
      </c>
      <c r="L8" s="116">
        <v>0</v>
      </c>
      <c r="T8" s="565">
        <v>2.5000000000000001E-14</v>
      </c>
      <c r="U8" s="565">
        <v>8.8700000000000003E-14</v>
      </c>
      <c r="V8" s="565">
        <v>2.3100000000000001E-15</v>
      </c>
      <c r="W8" s="565">
        <v>7.6299999999999997E-16</v>
      </c>
      <c r="X8" s="565">
        <v>5.9899999999999997E-13</v>
      </c>
      <c r="Y8" s="119">
        <f>Y44/2</f>
        <v>8.9649999999999999</v>
      </c>
      <c r="Z8" s="6" t="s">
        <v>486</v>
      </c>
      <c r="AH8" t="s">
        <v>397</v>
      </c>
      <c r="AI8" t="s">
        <v>385</v>
      </c>
      <c r="AJ8" t="s">
        <v>385</v>
      </c>
    </row>
    <row r="9" spans="1:40" x14ac:dyDescent="0.35">
      <c r="A9" t="s">
        <v>285</v>
      </c>
      <c r="B9" t="s">
        <v>36</v>
      </c>
      <c r="C9" s="116">
        <f t="shared" ref="C9:K9" si="1">C45/2</f>
        <v>4384.3848901382262</v>
      </c>
      <c r="D9" s="116"/>
      <c r="E9" s="116">
        <f t="shared" si="1"/>
        <v>21</v>
      </c>
      <c r="F9" s="116"/>
      <c r="G9" s="116">
        <f t="shared" si="1"/>
        <v>37.143047327620998</v>
      </c>
      <c r="H9" s="116">
        <f t="shared" si="1"/>
        <v>13.400433978218475</v>
      </c>
      <c r="I9" s="116">
        <f t="shared" si="1"/>
        <v>1.2880281690140845</v>
      </c>
      <c r="J9" s="116">
        <f t="shared" si="1"/>
        <v>21.5</v>
      </c>
      <c r="K9" s="116">
        <f t="shared" si="1"/>
        <v>0</v>
      </c>
      <c r="L9" s="116">
        <v>0</v>
      </c>
      <c r="T9" s="565">
        <v>8.5500000000000002E-14</v>
      </c>
      <c r="U9" s="565">
        <v>1.0199999999999999E-13</v>
      </c>
      <c r="V9" s="565">
        <v>3.3099999999999999E-14</v>
      </c>
      <c r="W9" s="565">
        <v>3.1499999999999998E-14</v>
      </c>
      <c r="X9" s="565">
        <v>4.7300000000000002E-12</v>
      </c>
      <c r="Y9" s="119">
        <f t="shared" ref="Y9:Y19" si="2">Y45/2</f>
        <v>13.56</v>
      </c>
      <c r="Z9" s="6" t="s">
        <v>487</v>
      </c>
      <c r="AH9" t="s">
        <v>397</v>
      </c>
      <c r="AI9" t="s">
        <v>387</v>
      </c>
      <c r="AJ9" t="s">
        <v>385</v>
      </c>
    </row>
    <row r="10" spans="1:40" x14ac:dyDescent="0.35">
      <c r="A10" t="s">
        <v>285</v>
      </c>
      <c r="B10" t="s">
        <v>38</v>
      </c>
      <c r="C10" s="116">
        <f t="shared" ref="C10:K10" si="3">C46/2</f>
        <v>4364.9482472736199</v>
      </c>
      <c r="D10" s="116"/>
      <c r="E10" s="116">
        <f t="shared" si="3"/>
        <v>24.5</v>
      </c>
      <c r="F10" s="116"/>
      <c r="G10" s="116">
        <f t="shared" si="3"/>
        <v>36.97838656815302</v>
      </c>
      <c r="H10" s="116">
        <f t="shared" si="3"/>
        <v>13.341027822967092</v>
      </c>
      <c r="I10" s="116">
        <f t="shared" si="3"/>
        <v>0.65492957746478875</v>
      </c>
      <c r="J10" s="116">
        <f t="shared" si="3"/>
        <v>21.5</v>
      </c>
      <c r="K10" s="116">
        <f t="shared" si="3"/>
        <v>0</v>
      </c>
      <c r="L10" s="116">
        <v>0</v>
      </c>
      <c r="T10" s="565">
        <v>6.1199999999999994E-14</v>
      </c>
      <c r="U10" s="565">
        <v>9.29E-14</v>
      </c>
      <c r="V10" s="565">
        <v>5.6499999999999999E-15</v>
      </c>
      <c r="W10" s="565">
        <v>2.11E-15</v>
      </c>
      <c r="X10" s="565">
        <v>1.9199999999999999E-12</v>
      </c>
      <c r="Y10" s="119">
        <f t="shared" si="2"/>
        <v>15.31</v>
      </c>
      <c r="AH10" t="s">
        <v>397</v>
      </c>
      <c r="AI10" t="s">
        <v>388</v>
      </c>
      <c r="AJ10" t="s">
        <v>385</v>
      </c>
    </row>
    <row r="11" spans="1:40" x14ac:dyDescent="0.35">
      <c r="A11" t="s">
        <v>285</v>
      </c>
      <c r="B11" t="s">
        <v>40</v>
      </c>
      <c r="C11" s="116">
        <f t="shared" ref="C11:K11" si="4">C47/2</f>
        <v>1772.4118910805903</v>
      </c>
      <c r="D11" s="116"/>
      <c r="E11" s="116">
        <f t="shared" si="4"/>
        <v>10.239616097382282</v>
      </c>
      <c r="F11" s="116"/>
      <c r="G11" s="116">
        <f t="shared" si="4"/>
        <v>15.01528273727107</v>
      </c>
      <c r="H11" s="116">
        <f t="shared" si="4"/>
        <v>5.4171997038987172</v>
      </c>
      <c r="I11" s="116">
        <f t="shared" si="4"/>
        <v>0.42268252331744632</v>
      </c>
      <c r="J11" s="116">
        <f t="shared" si="4"/>
        <v>21.5</v>
      </c>
      <c r="K11" s="116">
        <f t="shared" si="4"/>
        <v>0</v>
      </c>
      <c r="L11" s="116">
        <v>0</v>
      </c>
      <c r="T11" s="565">
        <v>2.0899999999999999E-13</v>
      </c>
      <c r="U11" s="565">
        <v>1.3199999999999999E-13</v>
      </c>
      <c r="V11" s="565">
        <v>7.8399999999999999E-14</v>
      </c>
      <c r="W11" s="565">
        <v>2.4199999999999998E-13</v>
      </c>
      <c r="X11" s="565">
        <v>1.0199999999999999E-11</v>
      </c>
      <c r="Y11" s="119">
        <f t="shared" si="2"/>
        <v>10.06</v>
      </c>
      <c r="AH11" t="s">
        <v>397</v>
      </c>
      <c r="AI11" t="s">
        <v>389</v>
      </c>
      <c r="AJ11" t="s">
        <v>385</v>
      </c>
    </row>
    <row r="12" spans="1:40" x14ac:dyDescent="0.35">
      <c r="A12" t="s">
        <v>285</v>
      </c>
      <c r="B12" t="s">
        <v>42</v>
      </c>
      <c r="C12" s="116">
        <f t="shared" ref="C12:K12" si="5">C48/2</f>
        <v>1179.8439489751045</v>
      </c>
      <c r="D12" s="116"/>
      <c r="E12" s="116">
        <f t="shared" si="5"/>
        <v>6.8162198375677896</v>
      </c>
      <c r="F12" s="116"/>
      <c r="G12" s="116">
        <f t="shared" si="5"/>
        <v>9.9952446544007607</v>
      </c>
      <c r="H12" s="116">
        <f t="shared" si="5"/>
        <v>3.6060750456475099</v>
      </c>
      <c r="I12" s="116">
        <f t="shared" si="5"/>
        <v>0.28136767756030701</v>
      </c>
      <c r="J12" s="116">
        <f t="shared" si="5"/>
        <v>21.5</v>
      </c>
      <c r="K12" s="116">
        <f t="shared" si="5"/>
        <v>0</v>
      </c>
      <c r="L12" s="116">
        <v>0</v>
      </c>
      <c r="T12" s="565">
        <v>2.1499999999999999E-13</v>
      </c>
      <c r="U12" s="565">
        <v>7.2199999999999998E-14</v>
      </c>
      <c r="V12" s="565">
        <v>5.7199999999999999E-15</v>
      </c>
      <c r="W12" s="565">
        <v>2.6099999999999998E-15</v>
      </c>
      <c r="X12" s="565">
        <v>1.8699999999999999E-12</v>
      </c>
      <c r="Y12" s="119">
        <f t="shared" si="2"/>
        <v>43.954999999999998</v>
      </c>
      <c r="AH12" t="s">
        <v>397</v>
      </c>
      <c r="AI12" t="s">
        <v>390</v>
      </c>
      <c r="AJ12" t="s">
        <v>385</v>
      </c>
    </row>
    <row r="13" spans="1:40" x14ac:dyDescent="0.35">
      <c r="A13" t="s">
        <v>285</v>
      </c>
      <c r="B13" t="s">
        <v>44</v>
      </c>
      <c r="C13" s="116">
        <f t="shared" ref="C13:K13" si="6">C49/2</f>
        <v>3905.5308736001866</v>
      </c>
      <c r="D13" s="116"/>
      <c r="E13" s="116">
        <f t="shared" si="6"/>
        <v>22.563116961350598</v>
      </c>
      <c r="F13" s="116"/>
      <c r="G13" s="116">
        <f t="shared" si="6"/>
        <v>33.086355717516248</v>
      </c>
      <c r="H13" s="116">
        <f t="shared" si="6"/>
        <v>11.936864562071611</v>
      </c>
      <c r="I13" s="116">
        <f t="shared" si="6"/>
        <v>0.93138601295496315</v>
      </c>
      <c r="J13" s="116">
        <f t="shared" si="6"/>
        <v>21.5</v>
      </c>
      <c r="K13" s="116">
        <f t="shared" si="6"/>
        <v>0</v>
      </c>
      <c r="L13" s="116">
        <v>0</v>
      </c>
      <c r="T13" s="580">
        <f>0.00000000000000695*0.7</f>
        <v>4.8649999999999992E-15</v>
      </c>
      <c r="U13" s="580">
        <f>0.000000000000137*0.7</f>
        <v>9.5899999999999988E-14</v>
      </c>
      <c r="V13" s="580">
        <f>0.000000000000000166*0.7</f>
        <v>1.1619999999999999E-16</v>
      </c>
      <c r="W13" s="580">
        <f>0.000000000000000596*0.7</f>
        <v>4.172E-16</v>
      </c>
      <c r="X13" s="580">
        <f>0.000000000000551*0.7</f>
        <v>3.8569999999999996E-13</v>
      </c>
      <c r="Y13" s="119">
        <f t="shared" si="2"/>
        <v>29.305</v>
      </c>
      <c r="AH13" t="s">
        <v>397</v>
      </c>
      <c r="AI13" t="s">
        <v>391</v>
      </c>
      <c r="AJ13" t="s">
        <v>385</v>
      </c>
    </row>
    <row r="14" spans="1:40" x14ac:dyDescent="0.35">
      <c r="A14" t="s">
        <v>285</v>
      </c>
      <c r="B14" t="s">
        <v>46</v>
      </c>
      <c r="C14" s="116">
        <f t="shared" ref="C14:K14" si="7">C50/2</f>
        <v>4738.4247815127983</v>
      </c>
      <c r="D14" s="116"/>
      <c r="E14" s="116">
        <f t="shared" si="7"/>
        <v>33.51905402184719</v>
      </c>
      <c r="F14" s="116"/>
      <c r="G14" s="116">
        <f t="shared" si="7"/>
        <v>40.142355274049258</v>
      </c>
      <c r="H14" s="116">
        <f t="shared" si="7"/>
        <v>14.482521502215718</v>
      </c>
      <c r="I14" s="116">
        <f t="shared" si="7"/>
        <v>1.1300134879927188</v>
      </c>
      <c r="J14" s="116">
        <f t="shared" si="7"/>
        <v>21.5</v>
      </c>
      <c r="K14" s="116">
        <f t="shared" si="7"/>
        <v>0</v>
      </c>
      <c r="L14" s="116">
        <v>0</v>
      </c>
      <c r="T14" s="565">
        <v>2.13E-13</v>
      </c>
      <c r="U14" s="565">
        <v>1.6400000000000001E-13</v>
      </c>
      <c r="V14" s="565">
        <v>1.5200000000000001E-13</v>
      </c>
      <c r="W14" s="565">
        <v>8.7699999999999995E-14</v>
      </c>
      <c r="X14" s="565">
        <v>1.39E-11</v>
      </c>
      <c r="Y14" s="119">
        <f t="shared" si="2"/>
        <v>14.215</v>
      </c>
      <c r="AH14" t="s">
        <v>397</v>
      </c>
      <c r="AI14" t="s">
        <v>392</v>
      </c>
      <c r="AJ14" t="s">
        <v>385</v>
      </c>
    </row>
    <row r="15" spans="1:40" x14ac:dyDescent="0.35">
      <c r="A15" t="s">
        <v>285</v>
      </c>
      <c r="B15" t="s">
        <v>48</v>
      </c>
      <c r="C15" s="116">
        <f t="shared" ref="C15:K15" si="8">C51/2</f>
        <v>2788.8651929041298</v>
      </c>
      <c r="D15" s="116"/>
      <c r="E15" s="116">
        <f t="shared" si="8"/>
        <v>72</v>
      </c>
      <c r="F15" s="116"/>
      <c r="G15" s="116">
        <f t="shared" si="8"/>
        <v>23.626336292552807</v>
      </c>
      <c r="H15" s="116">
        <f t="shared" si="8"/>
        <v>8.5238875755921839</v>
      </c>
      <c r="I15" s="116">
        <f t="shared" si="8"/>
        <v>0</v>
      </c>
      <c r="J15" s="116">
        <f t="shared" si="8"/>
        <v>21.5</v>
      </c>
      <c r="K15" s="116">
        <f t="shared" si="8"/>
        <v>0</v>
      </c>
      <c r="L15" s="116">
        <v>0</v>
      </c>
      <c r="T15" s="565">
        <v>5.3800000000000002E-14</v>
      </c>
      <c r="U15" s="565">
        <v>1.48E-13</v>
      </c>
      <c r="V15" s="565">
        <v>4.8500000000000003E-15</v>
      </c>
      <c r="W15" s="565">
        <v>2.1900000000000001E-15</v>
      </c>
      <c r="X15" s="565">
        <v>1.2100000000000001E-12</v>
      </c>
      <c r="Y15" s="119">
        <f t="shared" si="2"/>
        <v>18.37</v>
      </c>
      <c r="AH15" t="s">
        <v>397</v>
      </c>
      <c r="AI15" t="s">
        <v>393</v>
      </c>
      <c r="AJ15" t="s">
        <v>385</v>
      </c>
    </row>
    <row r="16" spans="1:40" x14ac:dyDescent="0.35">
      <c r="A16" t="s">
        <v>484</v>
      </c>
      <c r="B16" t="s">
        <v>50</v>
      </c>
      <c r="C16" s="116">
        <f t="shared" ref="C16:K16" si="9">C52/2</f>
        <v>3774.350960485589</v>
      </c>
      <c r="D16" s="116"/>
      <c r="E16" s="116">
        <f t="shared" si="9"/>
        <v>21.805261545946841</v>
      </c>
      <c r="F16" s="116"/>
      <c r="G16" s="116">
        <f t="shared" si="9"/>
        <v>31.975043220247084</v>
      </c>
      <c r="H16" s="116">
        <f t="shared" si="9"/>
        <v>11.535926275628153</v>
      </c>
      <c r="I16" s="116">
        <f t="shared" si="9"/>
        <v>0.90010239487336885</v>
      </c>
      <c r="J16" s="116">
        <f t="shared" si="9"/>
        <v>21.5</v>
      </c>
      <c r="K16" s="116">
        <f t="shared" si="9"/>
        <v>0</v>
      </c>
      <c r="L16" s="116">
        <v>0</v>
      </c>
      <c r="T16" s="565">
        <v>6.5900000000000002E-14</v>
      </c>
      <c r="U16" s="565">
        <v>7.0900000000000006E-14</v>
      </c>
      <c r="V16" s="565">
        <v>2.21E-15</v>
      </c>
      <c r="W16" s="565">
        <v>4.5899999999999996E-16</v>
      </c>
      <c r="X16" s="565">
        <v>6.17E-13</v>
      </c>
      <c r="Y16" s="119">
        <f t="shared" si="2"/>
        <v>46.36</v>
      </c>
      <c r="AH16" t="s">
        <v>397</v>
      </c>
      <c r="AI16" t="s">
        <v>394</v>
      </c>
      <c r="AJ16" t="s">
        <v>385</v>
      </c>
      <c r="AK16" s="88" t="s">
        <v>488</v>
      </c>
      <c r="AL16" s="88"/>
      <c r="AN16" t="s">
        <v>489</v>
      </c>
    </row>
    <row r="17" spans="1:53" x14ac:dyDescent="0.35">
      <c r="A17" t="s">
        <v>285</v>
      </c>
      <c r="B17" t="s">
        <v>52</v>
      </c>
      <c r="C17" s="116">
        <f t="shared" ref="C17:K17" si="10">C53/2</f>
        <v>2621.2856079063972</v>
      </c>
      <c r="D17" s="116"/>
      <c r="E17" s="116">
        <f t="shared" si="10"/>
        <v>15.14374759141943</v>
      </c>
      <c r="F17" s="116"/>
      <c r="G17" s="116">
        <f t="shared" si="10"/>
        <v>22.206657908313698</v>
      </c>
      <c r="H17" s="116">
        <f t="shared" si="10"/>
        <v>8.011697332005113</v>
      </c>
      <c r="I17" s="116">
        <f t="shared" si="10"/>
        <v>0.62512084276871027</v>
      </c>
      <c r="J17" s="116">
        <f t="shared" si="10"/>
        <v>21.5</v>
      </c>
      <c r="K17" s="116">
        <f t="shared" si="10"/>
        <v>0</v>
      </c>
      <c r="L17" s="116">
        <v>0</v>
      </c>
      <c r="T17" s="565">
        <v>1.3E-13</v>
      </c>
      <c r="U17" s="565">
        <v>1.66E-13</v>
      </c>
      <c r="V17" s="565">
        <v>2.5400000000000001E-14</v>
      </c>
      <c r="W17" s="565">
        <v>1.06E-13</v>
      </c>
      <c r="X17" s="565">
        <v>1.0399999999999999E-11</v>
      </c>
      <c r="Y17" s="119">
        <f t="shared" si="2"/>
        <v>4.375</v>
      </c>
      <c r="AH17" t="s">
        <v>397</v>
      </c>
      <c r="AI17" t="s">
        <v>395</v>
      </c>
      <c r="AJ17" t="s">
        <v>385</v>
      </c>
      <c r="AK17" s="88" t="s">
        <v>488</v>
      </c>
      <c r="AL17" s="88"/>
    </row>
    <row r="18" spans="1:53" x14ac:dyDescent="0.35">
      <c r="A18" t="s">
        <v>285</v>
      </c>
      <c r="B18" s="16" t="s">
        <v>54</v>
      </c>
      <c r="C18" s="402">
        <v>1739</v>
      </c>
      <c r="D18" s="402"/>
      <c r="E18" s="402">
        <v>0</v>
      </c>
      <c r="F18" s="402"/>
      <c r="G18" s="403">
        <f t="shared" ref="G18:J18" si="11">G54/2</f>
        <v>34.027744032542472</v>
      </c>
      <c r="H18" s="119">
        <f t="shared" si="11"/>
        <v>12.276497760503178</v>
      </c>
      <c r="I18" s="402">
        <v>0</v>
      </c>
      <c r="J18" s="403">
        <f t="shared" si="11"/>
        <v>21.5</v>
      </c>
      <c r="K18" s="402">
        <v>0</v>
      </c>
      <c r="L18" s="367">
        <v>0</v>
      </c>
      <c r="T18" s="404"/>
      <c r="U18" s="404"/>
      <c r="V18" s="404"/>
      <c r="W18" s="404"/>
      <c r="X18" s="404">
        <f>AV23</f>
        <v>-9.8522726666666674E-13</v>
      </c>
      <c r="Y18" s="119">
        <f t="shared" si="2"/>
        <v>8.9649999999999999</v>
      </c>
      <c r="Z18" t="s">
        <v>485</v>
      </c>
      <c r="AH18" t="s">
        <v>397</v>
      </c>
      <c r="AI18" t="s">
        <v>396</v>
      </c>
      <c r="AJ18" t="s">
        <v>399</v>
      </c>
      <c r="AK18" s="88" t="s">
        <v>490</v>
      </c>
      <c r="AL18" s="88"/>
      <c r="AV18" t="s">
        <v>603</v>
      </c>
      <c r="AX18" t="s">
        <v>604</v>
      </c>
    </row>
    <row r="19" spans="1:53" x14ac:dyDescent="0.35">
      <c r="A19" t="s">
        <v>285</v>
      </c>
      <c r="B19" s="16" t="s">
        <v>493</v>
      </c>
      <c r="C19" s="119">
        <f>C55/2</f>
        <v>3905.5308736001866</v>
      </c>
      <c r="D19" s="119"/>
      <c r="E19" s="119">
        <f t="shared" ref="E19:K19" si="12">E55/2</f>
        <v>68.089025250345657</v>
      </c>
      <c r="F19" s="119"/>
      <c r="G19" s="119">
        <f t="shared" si="12"/>
        <v>33.086355717516248</v>
      </c>
      <c r="H19" s="119">
        <f t="shared" si="12"/>
        <v>11.936864562071611</v>
      </c>
      <c r="I19" s="119">
        <f t="shared" si="12"/>
        <v>0.93138601295496315</v>
      </c>
      <c r="J19" s="119">
        <f t="shared" si="12"/>
        <v>21.5</v>
      </c>
      <c r="K19" s="119">
        <f t="shared" si="12"/>
        <v>0</v>
      </c>
      <c r="L19" s="407">
        <v>0</v>
      </c>
      <c r="M19" s="417"/>
      <c r="N19" s="417"/>
      <c r="O19" s="417"/>
      <c r="P19" s="418"/>
      <c r="Q19" s="419"/>
      <c r="R19" s="418"/>
      <c r="S19" s="418"/>
      <c r="T19" s="565">
        <v>6.4099999999999996E-15</v>
      </c>
      <c r="U19" s="565">
        <v>1.2900000000000001E-13</v>
      </c>
      <c r="V19" s="565">
        <v>1.7200000000000001E-16</v>
      </c>
      <c r="W19" s="565">
        <v>5.0600000000000004E-16</v>
      </c>
      <c r="X19" s="565">
        <v>5.1200000000000004E-13</v>
      </c>
      <c r="Y19" s="119">
        <f t="shared" si="2"/>
        <v>0</v>
      </c>
      <c r="AK19" s="88"/>
      <c r="AL19" s="88"/>
      <c r="AX19" t="s">
        <v>491</v>
      </c>
      <c r="AZ19" t="s">
        <v>492</v>
      </c>
    </row>
    <row r="21" spans="1:53" x14ac:dyDescent="0.35">
      <c r="AV21">
        <v>7.2089800000000004E-13</v>
      </c>
      <c r="AX21" s="405">
        <f>0.000000000000499+0.000000000000762+0.0000000000000694+0.00000000000000714+0.00000000000153</f>
        <v>2.8675399999999997E-12</v>
      </c>
      <c r="AZ21">
        <v>9.4</v>
      </c>
    </row>
    <row r="22" spans="1:53" ht="18.5" x14ac:dyDescent="0.45">
      <c r="A22" s="260" t="s">
        <v>368</v>
      </c>
      <c r="B22" s="107"/>
      <c r="C22" s="107"/>
      <c r="D22" s="107"/>
      <c r="E22" s="107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  <c r="AI22" s="107"/>
      <c r="AJ22" s="107"/>
      <c r="AK22" s="107"/>
      <c r="AL22" s="107"/>
      <c r="AV22">
        <v>0</v>
      </c>
      <c r="AX22" s="116">
        <v>0</v>
      </c>
      <c r="AZ22">
        <v>0</v>
      </c>
    </row>
    <row r="23" spans="1:53" x14ac:dyDescent="0.35">
      <c r="AV23" s="578">
        <f>-AV21/3000*4100</f>
        <v>-9.8522726666666674E-13</v>
      </c>
      <c r="AX23" s="406">
        <f>-AX21/3000*4100</f>
        <v>-3.9189713333333335E-12</v>
      </c>
      <c r="AY23" s="74"/>
      <c r="AZ23" s="108">
        <f>-9.4/3000*4100</f>
        <v>-12.846666666666668</v>
      </c>
      <c r="BA23" s="579"/>
    </row>
    <row r="24" spans="1:53" x14ac:dyDescent="0.35">
      <c r="A24" s="374" t="s">
        <v>215</v>
      </c>
      <c r="B24" s="375"/>
      <c r="C24" s="376" t="s">
        <v>335</v>
      </c>
      <c r="D24" s="376" t="s">
        <v>556</v>
      </c>
      <c r="E24" s="377" t="s">
        <v>336</v>
      </c>
      <c r="F24" s="377"/>
      <c r="G24" s="378"/>
      <c r="H24" s="379"/>
      <c r="I24" s="379"/>
      <c r="J24" s="380" t="s">
        <v>337</v>
      </c>
      <c r="K24" s="380" t="s">
        <v>9</v>
      </c>
      <c r="L24" s="381" t="s">
        <v>10</v>
      </c>
      <c r="M24" s="382" t="s">
        <v>338</v>
      </c>
      <c r="N24" s="379"/>
      <c r="O24" s="379"/>
      <c r="P24" s="378"/>
      <c r="Q24" s="383"/>
      <c r="R24" s="383"/>
      <c r="S24" s="383"/>
      <c r="T24" s="381" t="s">
        <v>339</v>
      </c>
      <c r="U24" s="383"/>
      <c r="V24" s="383"/>
      <c r="W24" s="383"/>
      <c r="X24" s="383"/>
      <c r="Y24" s="381" t="s">
        <v>13</v>
      </c>
      <c r="Z24" s="384" t="s">
        <v>335</v>
      </c>
      <c r="AA24" s="385" t="s">
        <v>336</v>
      </c>
      <c r="AB24" s="386"/>
      <c r="AC24" s="387"/>
      <c r="AD24" s="387"/>
      <c r="AE24" s="388" t="s">
        <v>337</v>
      </c>
      <c r="AF24" s="388" t="s">
        <v>9</v>
      </c>
      <c r="AG24" s="389" t="s">
        <v>10</v>
      </c>
      <c r="AH24" s="390" t="s">
        <v>338</v>
      </c>
      <c r="AI24" s="387"/>
      <c r="AJ24" s="387"/>
      <c r="AK24" s="389" t="s">
        <v>11</v>
      </c>
      <c r="AL24" s="391"/>
      <c r="AZ24" t="s">
        <v>609</v>
      </c>
    </row>
    <row r="25" spans="1:53" ht="58" x14ac:dyDescent="0.35">
      <c r="A25" s="392" t="s">
        <v>365</v>
      </c>
      <c r="B25" s="297" t="s">
        <v>17</v>
      </c>
      <c r="C25" s="296" t="s">
        <v>340</v>
      </c>
      <c r="D25" s="296"/>
      <c r="E25" s="296" t="s">
        <v>341</v>
      </c>
      <c r="F25" s="296" t="s">
        <v>565</v>
      </c>
      <c r="G25" s="298" t="s">
        <v>342</v>
      </c>
      <c r="H25" s="296" t="s">
        <v>343</v>
      </c>
      <c r="I25" s="298" t="s">
        <v>344</v>
      </c>
      <c r="J25" s="298" t="s">
        <v>345</v>
      </c>
      <c r="K25" s="393" t="s">
        <v>346</v>
      </c>
      <c r="L25" s="394" t="s">
        <v>347</v>
      </c>
      <c r="M25" s="299" t="s">
        <v>348</v>
      </c>
      <c r="N25" s="299" t="s">
        <v>349</v>
      </c>
      <c r="O25" s="299" t="s">
        <v>350</v>
      </c>
      <c r="P25" s="299" t="s">
        <v>351</v>
      </c>
      <c r="Q25" s="299" t="s">
        <v>352</v>
      </c>
      <c r="R25" s="299" t="s">
        <v>353</v>
      </c>
      <c r="S25" s="299" t="s">
        <v>354</v>
      </c>
      <c r="T25" s="300" t="s">
        <v>355</v>
      </c>
      <c r="U25" s="300" t="s">
        <v>356</v>
      </c>
      <c r="V25" s="300" t="s">
        <v>357</v>
      </c>
      <c r="W25" s="300" t="s">
        <v>358</v>
      </c>
      <c r="X25" s="300" t="s">
        <v>359</v>
      </c>
      <c r="Y25" s="300" t="s">
        <v>360</v>
      </c>
      <c r="Z25" s="301" t="s">
        <v>340</v>
      </c>
      <c r="AA25" s="301" t="s">
        <v>361</v>
      </c>
      <c r="AB25" s="302" t="s">
        <v>342</v>
      </c>
      <c r="AC25" s="301" t="s">
        <v>343</v>
      </c>
      <c r="AD25" s="302" t="s">
        <v>344</v>
      </c>
      <c r="AE25" s="302" t="s">
        <v>345</v>
      </c>
      <c r="AF25" s="303" t="s">
        <v>28</v>
      </c>
      <c r="AG25" s="304" t="s">
        <v>347</v>
      </c>
      <c r="AH25" s="305" t="s">
        <v>362</v>
      </c>
      <c r="AI25" s="305" t="s">
        <v>386</v>
      </c>
      <c r="AJ25" s="305" t="s">
        <v>398</v>
      </c>
      <c r="AK25" s="306" t="s">
        <v>363</v>
      </c>
      <c r="AL25" s="306" t="s">
        <v>364</v>
      </c>
    </row>
    <row r="26" spans="1:53" x14ac:dyDescent="0.35">
      <c r="A26" t="s">
        <v>366</v>
      </c>
      <c r="B26" t="s">
        <v>34</v>
      </c>
      <c r="C26" s="217">
        <v>13293.52529904792</v>
      </c>
      <c r="D26" s="217">
        <f>C26*'Parameters, general'!$B$38/100</f>
        <v>159.52230358857503</v>
      </c>
      <c r="E26" s="395">
        <f>IF((D26-G26-Manure!B154)*N_leak_deni_factor&lt;F26,F26,(D26-G26-Manure!$B$154)*N_leak_deni_factor)</f>
        <v>40</v>
      </c>
      <c r="F26" s="446">
        <v>40</v>
      </c>
      <c r="G26" s="12"/>
      <c r="H26" s="396">
        <f t="shared" ref="H26:H36" si="13">((C26*R26*O26)*S26*N26*(1-M26))+((C26*R26)+(C26*R26*O26))*P26*S26*Q26</f>
        <v>23.991729066912114</v>
      </c>
      <c r="I26" s="397">
        <v>5.23943661971831</v>
      </c>
      <c r="J26" s="398">
        <v>78.5</v>
      </c>
      <c r="K26" s="217">
        <v>535.97698510668545</v>
      </c>
      <c r="L26" s="14">
        <v>0.33309538092381524</v>
      </c>
      <c r="M26" s="399">
        <v>0</v>
      </c>
      <c r="N26" s="399">
        <v>6.0000000000000001E-3</v>
      </c>
      <c r="O26" s="399">
        <v>0.04</v>
      </c>
      <c r="P26" s="400">
        <v>0.22</v>
      </c>
      <c r="Q26" s="401">
        <v>7.0000000000000001E-3</v>
      </c>
      <c r="R26" s="400">
        <v>0.98</v>
      </c>
      <c r="S26" s="400">
        <v>1</v>
      </c>
      <c r="T26" s="565">
        <v>3.0300000000000001E-14</v>
      </c>
      <c r="U26" s="565">
        <v>7.3000000000000004E-14</v>
      </c>
      <c r="V26" s="565">
        <v>2.1200000000000001E-15</v>
      </c>
      <c r="W26" s="565">
        <v>7.8699999999999997E-16</v>
      </c>
      <c r="X26" s="565">
        <v>1.1499999999999999E-12</v>
      </c>
      <c r="Y26" s="217">
        <v>16.63</v>
      </c>
      <c r="Z26" t="s">
        <v>408</v>
      </c>
      <c r="AA26" t="s">
        <v>408</v>
      </c>
      <c r="AC26" t="s">
        <v>206</v>
      </c>
      <c r="AD26" t="s">
        <v>408</v>
      </c>
      <c r="AE26" t="s">
        <v>384</v>
      </c>
      <c r="AF26" t="s">
        <v>409</v>
      </c>
      <c r="AG26" t="s">
        <v>383</v>
      </c>
      <c r="AH26" t="s">
        <v>397</v>
      </c>
      <c r="AI26" t="s">
        <v>385</v>
      </c>
      <c r="AJ26" t="s">
        <v>385</v>
      </c>
      <c r="AK26" s="88" t="s">
        <v>370</v>
      </c>
      <c r="AL26" s="88" t="s">
        <v>407</v>
      </c>
    </row>
    <row r="27" spans="1:53" x14ac:dyDescent="0.35">
      <c r="A27" t="s">
        <v>366</v>
      </c>
      <c r="B27" t="s">
        <v>36</v>
      </c>
      <c r="C27" s="217">
        <v>12762.456278581561</v>
      </c>
      <c r="D27" s="217">
        <f>C27*'Parameters, general'!$B$38/100</f>
        <v>153.14947534297872</v>
      </c>
      <c r="E27" s="395">
        <f>IF((D27-G27-Manure!D154)*N_leak_deni_factor&lt;F27,F27,(D27-G27-Manure!$D$154)*N_leak_deni_factor)</f>
        <v>61.999999999999993</v>
      </c>
      <c r="F27" s="446">
        <v>61.999999999999993</v>
      </c>
      <c r="G27" s="12"/>
      <c r="H27" s="396">
        <f t="shared" si="13"/>
        <v>23.033272692983086</v>
      </c>
      <c r="I27" s="397">
        <v>8.3830985915492953</v>
      </c>
      <c r="J27" s="398">
        <v>78.5</v>
      </c>
      <c r="K27" s="217">
        <v>1161.3835213509221</v>
      </c>
      <c r="L27" s="14">
        <v>0.86232103612349842</v>
      </c>
      <c r="M27" s="399">
        <v>0</v>
      </c>
      <c r="N27" s="399">
        <v>6.0000000000000001E-3</v>
      </c>
      <c r="O27" s="399">
        <v>0.04</v>
      </c>
      <c r="P27" s="400">
        <v>0.22</v>
      </c>
      <c r="Q27" s="401">
        <v>7.0000000000000001E-3</v>
      </c>
      <c r="R27" s="400">
        <v>0.98</v>
      </c>
      <c r="S27" s="400">
        <v>1</v>
      </c>
      <c r="T27" s="565">
        <v>7.7900000000000001E-14</v>
      </c>
      <c r="U27" s="565">
        <v>1.1099999999999999E-13</v>
      </c>
      <c r="V27" s="565">
        <v>9.5299999999999998E-15</v>
      </c>
      <c r="W27" s="565">
        <v>7.0000000000000001E-15</v>
      </c>
      <c r="X27" s="565">
        <v>4.0300000000000004E-12</v>
      </c>
      <c r="Y27" s="217">
        <v>25.14</v>
      </c>
      <c r="Z27" t="s">
        <v>408</v>
      </c>
      <c r="AA27" t="s">
        <v>404</v>
      </c>
      <c r="AC27" t="s">
        <v>206</v>
      </c>
      <c r="AD27" t="s">
        <v>404</v>
      </c>
      <c r="AE27" t="s">
        <v>384</v>
      </c>
      <c r="AF27" t="s">
        <v>409</v>
      </c>
      <c r="AG27" t="s">
        <v>383</v>
      </c>
      <c r="AH27" t="s">
        <v>397</v>
      </c>
      <c r="AI27" t="s">
        <v>387</v>
      </c>
      <c r="AJ27" t="s">
        <v>385</v>
      </c>
      <c r="AK27" s="88" t="s">
        <v>370</v>
      </c>
      <c r="AL27" s="88" t="s">
        <v>407</v>
      </c>
    </row>
    <row r="28" spans="1:53" x14ac:dyDescent="0.35">
      <c r="A28" t="s">
        <v>366</v>
      </c>
      <c r="B28" t="s">
        <v>38</v>
      </c>
      <c r="C28" s="217">
        <v>15673.189721458533</v>
      </c>
      <c r="D28" s="217">
        <f>C28*'Parameters, general'!$B$38/100</f>
        <v>188.07827665750239</v>
      </c>
      <c r="E28" s="395">
        <f>IF((D28-G28-Manure!F154)*N_leak_deni_factor&lt;F28,F28,(D28-G28-Manure!$F$154)*N_leak_deni_factor)</f>
        <v>51</v>
      </c>
      <c r="F28" s="446">
        <v>51</v>
      </c>
      <c r="G28" s="12"/>
      <c r="H28" s="396">
        <f t="shared" si="13"/>
        <v>28.286471267217276</v>
      </c>
      <c r="I28" s="397">
        <v>3.492957746478873</v>
      </c>
      <c r="J28" s="398">
        <v>78.5</v>
      </c>
      <c r="K28" s="217">
        <v>329.13698415062919</v>
      </c>
      <c r="L28" s="14">
        <v>1.6424271196144855</v>
      </c>
      <c r="M28" s="399">
        <v>0</v>
      </c>
      <c r="N28" s="399">
        <v>6.0000000000000001E-3</v>
      </c>
      <c r="O28" s="399">
        <v>0.04</v>
      </c>
      <c r="P28" s="400">
        <v>0.22</v>
      </c>
      <c r="Q28" s="401">
        <v>7.0000000000000001E-3</v>
      </c>
      <c r="R28" s="400">
        <v>0.98</v>
      </c>
      <c r="S28" s="400">
        <v>1</v>
      </c>
      <c r="T28" s="565">
        <v>7.5499999999999994E-14</v>
      </c>
      <c r="U28" s="565">
        <v>7.9399999999999995E-14</v>
      </c>
      <c r="V28" s="565">
        <v>4.5200000000000001E-15</v>
      </c>
      <c r="W28" s="565">
        <v>2.0500000000000002E-15</v>
      </c>
      <c r="X28" s="565">
        <v>3.07E-12</v>
      </c>
      <c r="Y28" s="217">
        <v>28.38</v>
      </c>
      <c r="Z28" t="s">
        <v>408</v>
      </c>
      <c r="AA28" t="s">
        <v>404</v>
      </c>
      <c r="AC28" t="s">
        <v>206</v>
      </c>
      <c r="AD28" t="s">
        <v>404</v>
      </c>
      <c r="AE28" t="s">
        <v>384</v>
      </c>
      <c r="AF28" t="s">
        <v>409</v>
      </c>
      <c r="AG28" t="s">
        <v>383</v>
      </c>
      <c r="AH28" t="s">
        <v>397</v>
      </c>
      <c r="AI28" t="s">
        <v>388</v>
      </c>
      <c r="AJ28" t="s">
        <v>385</v>
      </c>
      <c r="AK28" s="88" t="s">
        <v>370</v>
      </c>
      <c r="AL28" s="88" t="s">
        <v>407</v>
      </c>
    </row>
    <row r="29" spans="1:53" x14ac:dyDescent="0.35">
      <c r="A29" t="s">
        <v>366</v>
      </c>
      <c r="B29" t="s">
        <v>40</v>
      </c>
      <c r="C29" s="217">
        <v>6782.6435584693863</v>
      </c>
      <c r="D29" s="217">
        <f>C29*'Parameters, general'!$B$38/100</f>
        <v>81.391722701632631</v>
      </c>
      <c r="E29" s="395">
        <f>IF((D29-G29-Manure!H154)*N_leak_deni_factor&lt;F29,F29,(D29-G29-Manure!$H$154)*N_leak_deni_factor)</f>
        <v>180</v>
      </c>
      <c r="F29" s="446">
        <v>180</v>
      </c>
      <c r="G29" s="12"/>
      <c r="H29" s="396">
        <f t="shared" si="13"/>
        <v>12.241098049731676</v>
      </c>
      <c r="I29" s="397">
        <v>9.6056338028169002</v>
      </c>
      <c r="J29" s="398">
        <v>78.5</v>
      </c>
      <c r="K29" s="217">
        <v>1397.2245730446937</v>
      </c>
      <c r="L29" s="14">
        <f>$L$27/$C$27*C29</f>
        <v>0.45828295849376577</v>
      </c>
      <c r="M29" s="399">
        <v>0</v>
      </c>
      <c r="N29" s="399">
        <v>6.0000000000000001E-3</v>
      </c>
      <c r="O29" s="399">
        <v>0.04</v>
      </c>
      <c r="P29" s="400">
        <v>0.22</v>
      </c>
      <c r="Q29" s="401">
        <v>7.0000000000000001E-3</v>
      </c>
      <c r="R29" s="400">
        <v>0.98</v>
      </c>
      <c r="S29" s="400">
        <v>1</v>
      </c>
      <c r="T29" s="565">
        <v>2.1499999999999999E-13</v>
      </c>
      <c r="U29" s="565">
        <v>1.31E-13</v>
      </c>
      <c r="V29" s="565">
        <v>9.5800000000000006E-14</v>
      </c>
      <c r="W29" s="565">
        <v>2.4600000000000001E-13</v>
      </c>
      <c r="X29" s="565">
        <v>1.5900000000000001E-11</v>
      </c>
      <c r="Y29" s="217">
        <v>18.649999999999999</v>
      </c>
      <c r="Z29" t="s">
        <v>408</v>
      </c>
      <c r="AA29" t="s">
        <v>404</v>
      </c>
      <c r="AC29" t="s">
        <v>206</v>
      </c>
      <c r="AD29" t="s">
        <v>404</v>
      </c>
      <c r="AE29" t="s">
        <v>384</v>
      </c>
      <c r="AF29" t="s">
        <v>409</v>
      </c>
      <c r="AG29" t="s">
        <v>410</v>
      </c>
      <c r="AH29" t="s">
        <v>397</v>
      </c>
      <c r="AI29" t="s">
        <v>389</v>
      </c>
      <c r="AJ29" t="s">
        <v>385</v>
      </c>
      <c r="AK29" s="88" t="s">
        <v>370</v>
      </c>
      <c r="AL29" s="88" t="s">
        <v>407</v>
      </c>
    </row>
    <row r="30" spans="1:53" x14ac:dyDescent="0.35">
      <c r="A30" t="s">
        <v>366</v>
      </c>
      <c r="B30" t="s">
        <v>42</v>
      </c>
      <c r="C30" s="217">
        <v>9752.6853564514786</v>
      </c>
      <c r="D30" s="217">
        <f>C30*'Parameters, general'!$B$38/100</f>
        <v>117.03222427741774</v>
      </c>
      <c r="E30" s="395">
        <f>IF((D30-G30-Manure!J154)*N_leak_deni_factor&lt;F30,F30,(D30-G30-Manure!$J$154)*N_leak_deni_factor)</f>
        <v>119.677419354839</v>
      </c>
      <c r="F30" s="446">
        <v>119.677419354839</v>
      </c>
      <c r="G30" s="12"/>
      <c r="H30" s="396">
        <f t="shared" si="13"/>
        <v>17.601334445392226</v>
      </c>
      <c r="I30" s="397">
        <v>1.3098591549295777</v>
      </c>
      <c r="J30" s="398">
        <v>78.5</v>
      </c>
      <c r="K30" s="217">
        <v>19.505370712902955</v>
      </c>
      <c r="L30" s="14">
        <f>$L$28/$C$28*C30</f>
        <v>1.0220047867201052</v>
      </c>
      <c r="M30" s="399">
        <v>0</v>
      </c>
      <c r="N30" s="399">
        <v>6.0000000000000001E-3</v>
      </c>
      <c r="O30" s="399">
        <v>0.04</v>
      </c>
      <c r="P30" s="400">
        <v>0.22</v>
      </c>
      <c r="Q30" s="401">
        <v>7.0000000000000001E-3</v>
      </c>
      <c r="R30" s="400">
        <v>0.98</v>
      </c>
      <c r="S30" s="400">
        <v>1</v>
      </c>
      <c r="T30" s="565">
        <v>3.0099999999999998E-13</v>
      </c>
      <c r="U30" s="565">
        <v>6.3499999999999994E-14</v>
      </c>
      <c r="V30" s="565">
        <v>6.5900000000000002E-15</v>
      </c>
      <c r="W30" s="565">
        <v>3.3E-15</v>
      </c>
      <c r="X30" s="565">
        <v>4.0499999999999999E-12</v>
      </c>
      <c r="Y30" s="217">
        <v>81.510000000000005</v>
      </c>
      <c r="Z30" t="s">
        <v>408</v>
      </c>
      <c r="AA30" t="s">
        <v>404</v>
      </c>
      <c r="AC30" t="s">
        <v>206</v>
      </c>
      <c r="AD30" t="s">
        <v>404</v>
      </c>
      <c r="AE30" t="s">
        <v>384</v>
      </c>
      <c r="AF30" t="s">
        <v>409</v>
      </c>
      <c r="AG30" t="s">
        <v>403</v>
      </c>
      <c r="AH30" t="s">
        <v>397</v>
      </c>
      <c r="AI30" t="s">
        <v>390</v>
      </c>
      <c r="AJ30" t="s">
        <v>385</v>
      </c>
      <c r="AK30" s="88" t="s">
        <v>370</v>
      </c>
      <c r="AL30" s="88" t="s">
        <v>407</v>
      </c>
    </row>
    <row r="31" spans="1:53" x14ac:dyDescent="0.35">
      <c r="A31" t="s">
        <v>366</v>
      </c>
      <c r="B31" t="s">
        <v>44</v>
      </c>
      <c r="C31" s="217">
        <v>16143.678217951852</v>
      </c>
      <c r="D31" s="217">
        <f>C31*'Parameters, general'!$B$38/100</f>
        <v>193.72413861542225</v>
      </c>
      <c r="E31" s="395">
        <f>IF((D31-G31-Manure!L154)*N_leak_deni_factor&lt;F31,F31,(D31-G31-Manure!$L$154)*N_leak_deni_factor)</f>
        <v>140</v>
      </c>
      <c r="F31" s="446">
        <v>140</v>
      </c>
      <c r="G31" s="12"/>
      <c r="H31" s="396">
        <f t="shared" si="13"/>
        <v>29.135593850056534</v>
      </c>
      <c r="I31" s="397">
        <v>37</v>
      </c>
      <c r="J31" s="398">
        <v>78.5</v>
      </c>
      <c r="K31" s="217">
        <v>1404.5000049618113</v>
      </c>
      <c r="L31" s="14">
        <v>2.14</v>
      </c>
      <c r="M31" s="399">
        <v>0</v>
      </c>
      <c r="N31" s="399">
        <v>6.0000000000000001E-3</v>
      </c>
      <c r="O31" s="399">
        <v>0.04</v>
      </c>
      <c r="P31" s="400">
        <v>0.22</v>
      </c>
      <c r="Q31" s="401">
        <v>7.0000000000000001E-3</v>
      </c>
      <c r="R31" s="400">
        <v>0.98</v>
      </c>
      <c r="S31" s="400">
        <v>1</v>
      </c>
      <c r="T31" s="565">
        <v>9.7499999999999995E-15</v>
      </c>
      <c r="U31" s="565">
        <v>1.2800000000000001E-13</v>
      </c>
      <c r="V31" s="565">
        <v>2E-16</v>
      </c>
      <c r="W31" s="565">
        <v>8.6099999999999999E-16</v>
      </c>
      <c r="X31" s="565">
        <v>1.4100000000000001E-12</v>
      </c>
      <c r="Y31" s="217">
        <v>54.34</v>
      </c>
      <c r="Z31" t="s">
        <v>408</v>
      </c>
      <c r="AA31" t="s">
        <v>404</v>
      </c>
      <c r="AC31" t="s">
        <v>206</v>
      </c>
      <c r="AD31" t="s">
        <v>404</v>
      </c>
      <c r="AE31" t="s">
        <v>384</v>
      </c>
      <c r="AF31" t="s">
        <v>409</v>
      </c>
      <c r="AG31" t="s">
        <v>381</v>
      </c>
      <c r="AH31" t="s">
        <v>397</v>
      </c>
      <c r="AI31" t="s">
        <v>391</v>
      </c>
      <c r="AJ31" t="s">
        <v>385</v>
      </c>
      <c r="AK31" s="88" t="s">
        <v>370</v>
      </c>
      <c r="AL31" s="88" t="s">
        <v>407</v>
      </c>
    </row>
    <row r="32" spans="1:53" x14ac:dyDescent="0.35">
      <c r="A32" t="s">
        <v>366</v>
      </c>
      <c r="B32" t="s">
        <v>46</v>
      </c>
      <c r="C32" s="217">
        <v>19438.160830850731</v>
      </c>
      <c r="D32" s="217">
        <f>C32*'Parameters, general'!$B$38/100</f>
        <v>233.25792997020875</v>
      </c>
      <c r="E32" s="395">
        <f>IF((D32-G32-Manure!N154)*N_leak_deni_factor&lt;F32,F32,(D32-G32-Manure!$N$154)*N_leak_deni_factor)</f>
        <v>181.7282287261566</v>
      </c>
      <c r="F32" s="446">
        <v>149.127659574468</v>
      </c>
      <c r="G32" s="12"/>
      <c r="H32" s="396">
        <f t="shared" si="13"/>
        <v>35.081370646372811</v>
      </c>
      <c r="I32" s="397">
        <v>2.619718309859155</v>
      </c>
      <c r="J32" s="398">
        <v>78.5</v>
      </c>
      <c r="K32" s="217">
        <v>1943.8160830850732</v>
      </c>
      <c r="L32" s="14">
        <f>$L$27/$C$27*C32</f>
        <v>1.3133784455054254</v>
      </c>
      <c r="M32" s="399">
        <v>0</v>
      </c>
      <c r="N32" s="399">
        <v>6.0000000000000001E-3</v>
      </c>
      <c r="O32" s="399">
        <v>0.04</v>
      </c>
      <c r="P32" s="400">
        <v>0.22</v>
      </c>
      <c r="Q32" s="401">
        <v>7.0000000000000001E-3</v>
      </c>
      <c r="R32" s="400">
        <v>0.98</v>
      </c>
      <c r="S32" s="400">
        <v>1</v>
      </c>
      <c r="T32" s="565">
        <v>1.4999999999999999E-13</v>
      </c>
      <c r="U32" s="565">
        <v>1.2900000000000001E-13</v>
      </c>
      <c r="V32" s="565">
        <v>1.1499999999999999E-13</v>
      </c>
      <c r="W32" s="565">
        <v>6.5600000000000006E-14</v>
      </c>
      <c r="X32" s="565">
        <v>1.8500000000000001E-11</v>
      </c>
      <c r="Y32" s="217">
        <v>26.36</v>
      </c>
      <c r="Z32" t="s">
        <v>408</v>
      </c>
      <c r="AA32" t="s">
        <v>404</v>
      </c>
      <c r="AC32" t="s">
        <v>206</v>
      </c>
      <c r="AD32" t="s">
        <v>404</v>
      </c>
      <c r="AE32" t="s">
        <v>384</v>
      </c>
      <c r="AF32" t="s">
        <v>409</v>
      </c>
      <c r="AG32" t="s">
        <v>410</v>
      </c>
      <c r="AH32" t="s">
        <v>397</v>
      </c>
      <c r="AI32" t="s">
        <v>392</v>
      </c>
      <c r="AJ32" t="s">
        <v>385</v>
      </c>
      <c r="AK32" s="88" t="s">
        <v>370</v>
      </c>
      <c r="AL32" s="88" t="s">
        <v>407</v>
      </c>
    </row>
    <row r="33" spans="1:39" x14ac:dyDescent="0.35">
      <c r="A33" t="s">
        <v>366</v>
      </c>
      <c r="B33" t="s">
        <v>48</v>
      </c>
      <c r="C33" s="217">
        <v>16259.901201281378</v>
      </c>
      <c r="D33" s="217">
        <f>C33*'Parameters, general'!$B$38/100</f>
        <v>195.11881441537653</v>
      </c>
      <c r="E33" s="395">
        <f>IF((D33-G33-Manure!P154)*N_leak_deni_factor&lt;F33,F33,(D33-G33-Manure!$P$154)*N_leak_deni_factor)</f>
        <v>166.54202006371079</v>
      </c>
      <c r="F33" s="446">
        <v>5.0999999999999996</v>
      </c>
      <c r="G33" s="12"/>
      <c r="H33" s="396">
        <f t="shared" si="13"/>
        <v>29.345349371234189</v>
      </c>
      <c r="I33" s="397">
        <v>1.3753521126760562</v>
      </c>
      <c r="J33" s="398">
        <v>78.5</v>
      </c>
      <c r="K33" s="217">
        <v>1003.0841421733461</v>
      </c>
      <c r="L33" s="14">
        <v>1.1654758979902708</v>
      </c>
      <c r="M33" s="399">
        <v>0</v>
      </c>
      <c r="N33" s="399">
        <v>6.0000000000000001E-3</v>
      </c>
      <c r="O33" s="399">
        <v>0.04</v>
      </c>
      <c r="P33" s="400">
        <v>0.22</v>
      </c>
      <c r="Q33" s="401">
        <v>7.0000000000000001E-3</v>
      </c>
      <c r="R33" s="400">
        <v>0.98</v>
      </c>
      <c r="S33" s="400">
        <v>1</v>
      </c>
      <c r="T33" s="565">
        <v>7.2899999999999997E-14</v>
      </c>
      <c r="U33" s="565">
        <v>1.3199999999999999E-13</v>
      </c>
      <c r="V33" s="565">
        <v>5.0799999999999997E-15</v>
      </c>
      <c r="W33" s="565">
        <v>2.9000000000000002E-15</v>
      </c>
      <c r="X33" s="565">
        <v>2.6400000000000001E-12</v>
      </c>
      <c r="Y33" s="217">
        <v>34.06</v>
      </c>
      <c r="Z33" t="s">
        <v>408</v>
      </c>
      <c r="AA33" t="s">
        <v>408</v>
      </c>
      <c r="AC33" t="s">
        <v>206</v>
      </c>
      <c r="AD33" t="s">
        <v>408</v>
      </c>
      <c r="AE33" t="s">
        <v>384</v>
      </c>
      <c r="AF33" t="s">
        <v>409</v>
      </c>
      <c r="AG33" t="s">
        <v>383</v>
      </c>
      <c r="AH33" t="s">
        <v>397</v>
      </c>
      <c r="AI33" t="s">
        <v>393</v>
      </c>
      <c r="AJ33" t="s">
        <v>385</v>
      </c>
      <c r="AK33" s="88" t="s">
        <v>370</v>
      </c>
      <c r="AL33" s="88" t="s">
        <v>407</v>
      </c>
    </row>
    <row r="34" spans="1:39" x14ac:dyDescent="0.35">
      <c r="A34" t="s">
        <v>366</v>
      </c>
      <c r="B34" t="s">
        <v>50</v>
      </c>
      <c r="C34" s="217">
        <v>15782.373686957546</v>
      </c>
      <c r="D34" s="217">
        <f>C34*'Parameters, general'!$B$38/100</f>
        <v>189.38848424349052</v>
      </c>
      <c r="E34" s="395">
        <f>IF((D34-G34-Manure!R154)*N_leak_deni_factor&lt;F34,F34,(D34-G34-Manure!$R$154)*N_leak_deni_factor)</f>
        <v>134.22819164167194</v>
      </c>
      <c r="F34" s="446">
        <v>125.99999999999999</v>
      </c>
      <c r="G34" s="12"/>
      <c r="H34" s="396">
        <f t="shared" si="13"/>
        <v>28.483522994262998</v>
      </c>
      <c r="I34" s="397">
        <v>21.830985915492956</v>
      </c>
      <c r="J34" s="398">
        <v>78.5</v>
      </c>
      <c r="K34" s="217">
        <v>189.38848424349055</v>
      </c>
      <c r="L34" s="14">
        <f>$L$28/$C$28*C34</f>
        <v>1.6538687412084045</v>
      </c>
      <c r="M34" s="399">
        <v>0</v>
      </c>
      <c r="N34" s="399">
        <v>6.0000000000000001E-3</v>
      </c>
      <c r="O34" s="399">
        <v>0.04</v>
      </c>
      <c r="P34" s="400">
        <v>0.22</v>
      </c>
      <c r="Q34" s="401">
        <v>7.0000000000000001E-3</v>
      </c>
      <c r="R34" s="400">
        <v>0.98</v>
      </c>
      <c r="S34" s="400">
        <v>1</v>
      </c>
      <c r="T34" s="565">
        <v>8.8799999999999998E-14</v>
      </c>
      <c r="U34" s="565">
        <v>6.2000000000000001E-14</v>
      </c>
      <c r="V34" s="565">
        <v>2.1200000000000001E-15</v>
      </c>
      <c r="W34" s="565">
        <v>5.1299999999999995E-16</v>
      </c>
      <c r="X34" s="565">
        <v>1.2499999999999999E-12</v>
      </c>
      <c r="Y34" s="217">
        <v>85.97</v>
      </c>
      <c r="Z34" t="s">
        <v>408</v>
      </c>
      <c r="AA34" t="s">
        <v>404</v>
      </c>
      <c r="AC34" t="s">
        <v>206</v>
      </c>
      <c r="AD34" t="s">
        <v>404</v>
      </c>
      <c r="AE34" t="s">
        <v>384</v>
      </c>
      <c r="AF34" t="s">
        <v>409</v>
      </c>
      <c r="AG34" t="s">
        <v>403</v>
      </c>
      <c r="AH34" t="s">
        <v>397</v>
      </c>
      <c r="AI34" t="s">
        <v>394</v>
      </c>
      <c r="AJ34" t="s">
        <v>385</v>
      </c>
      <c r="AK34" s="88" t="s">
        <v>370</v>
      </c>
      <c r="AL34" s="88" t="s">
        <v>407</v>
      </c>
    </row>
    <row r="35" spans="1:39" x14ac:dyDescent="0.35">
      <c r="A35" t="s">
        <v>366</v>
      </c>
      <c r="B35" t="s">
        <v>52</v>
      </c>
      <c r="C35" s="217">
        <v>9756</v>
      </c>
      <c r="D35" s="217">
        <f>C35*'Parameters, general'!$B$38/100</f>
        <v>117.07199999999999</v>
      </c>
      <c r="E35" s="395">
        <f>IF((D35-G35-Manure!T154)*N_leak_deni_factor&lt;F35,F35,(D35-G35-Manure!$T$154)*N_leak_deni_factor)</f>
        <v>55</v>
      </c>
      <c r="F35" s="446">
        <v>55</v>
      </c>
      <c r="G35" s="12"/>
      <c r="H35" s="396">
        <f t="shared" si="13"/>
        <v>17.607316608000001</v>
      </c>
      <c r="I35" s="397">
        <v>13.098591549295774</v>
      </c>
      <c r="J35" s="398">
        <v>78.5</v>
      </c>
      <c r="K35" s="217">
        <v>3517.765044579603</v>
      </c>
      <c r="L35" s="14">
        <f>$L$27/$C$27*C35</f>
        <v>0.6591837687655423</v>
      </c>
      <c r="M35" s="399">
        <v>0</v>
      </c>
      <c r="N35" s="399">
        <v>6.0000000000000001E-3</v>
      </c>
      <c r="O35" s="399">
        <v>0.04</v>
      </c>
      <c r="P35" s="400">
        <v>0.22</v>
      </c>
      <c r="Q35" s="401">
        <v>7.0000000000000001E-3</v>
      </c>
      <c r="R35" s="400">
        <v>0.98</v>
      </c>
      <c r="S35" s="400">
        <v>1</v>
      </c>
      <c r="T35" s="565">
        <v>1.7500000000000001E-13</v>
      </c>
      <c r="U35" s="565">
        <v>1.6E-13</v>
      </c>
      <c r="V35" s="565">
        <v>3.0300000000000001E-14</v>
      </c>
      <c r="W35" s="565">
        <v>1.0799999999999999E-13</v>
      </c>
      <c r="X35" s="565">
        <v>2.3600000000000001E-11</v>
      </c>
      <c r="Y35" s="217">
        <v>8.11</v>
      </c>
      <c r="Z35" t="s">
        <v>408</v>
      </c>
      <c r="AA35" t="s">
        <v>404</v>
      </c>
      <c r="AC35" t="s">
        <v>206</v>
      </c>
      <c r="AD35" t="s">
        <v>404</v>
      </c>
      <c r="AE35" t="s">
        <v>384</v>
      </c>
      <c r="AF35" t="s">
        <v>409</v>
      </c>
      <c r="AG35" t="s">
        <v>410</v>
      </c>
      <c r="AH35" t="s">
        <v>397</v>
      </c>
      <c r="AI35" t="s">
        <v>395</v>
      </c>
      <c r="AJ35" t="s">
        <v>385</v>
      </c>
      <c r="AK35" s="88" t="s">
        <v>370</v>
      </c>
      <c r="AL35" s="88" t="s">
        <v>407</v>
      </c>
    </row>
    <row r="36" spans="1:39" x14ac:dyDescent="0.35">
      <c r="A36" t="s">
        <v>366</v>
      </c>
      <c r="B36" s="16" t="s">
        <v>54</v>
      </c>
      <c r="C36" s="217">
        <v>10938.305818503784</v>
      </c>
      <c r="D36" s="217">
        <f>C36*'Parameters, general'!$B$38/100</f>
        <v>131.25966982204542</v>
      </c>
      <c r="E36" s="395">
        <f>IF((D36-G36-Manure!V154)*N_leak_deni_factor&lt;F36,F36,(D36-G36-Manure!$V$154)*N_leak_deni_factor)</f>
        <v>70</v>
      </c>
      <c r="F36" s="446">
        <v>70</v>
      </c>
      <c r="G36" s="12"/>
      <c r="H36" s="396">
        <f t="shared" si="13"/>
        <v>19.741104315449441</v>
      </c>
      <c r="I36" s="397">
        <v>6</v>
      </c>
      <c r="J36" s="398">
        <v>78.5</v>
      </c>
      <c r="K36" s="217">
        <v>546.91529092518931</v>
      </c>
      <c r="L36" s="14">
        <v>0.1</v>
      </c>
      <c r="M36" s="399">
        <v>0</v>
      </c>
      <c r="N36" s="399">
        <v>6.0000000000000001E-3</v>
      </c>
      <c r="O36" s="399">
        <v>0.04</v>
      </c>
      <c r="P36" s="400">
        <v>0.22</v>
      </c>
      <c r="Q36" s="401">
        <v>7.0000000000000001E-3</v>
      </c>
      <c r="R36" s="400">
        <v>0.98</v>
      </c>
      <c r="S36" s="400">
        <v>1</v>
      </c>
      <c r="T36" s="565">
        <v>4.9699999999999999E-14</v>
      </c>
      <c r="U36" s="565">
        <v>8.2700000000000004E-14</v>
      </c>
      <c r="V36" s="565">
        <v>1.36E-15</v>
      </c>
      <c r="W36" s="565">
        <v>1.38E-16</v>
      </c>
      <c r="X36" s="565">
        <v>5.8700000000000002E-13</v>
      </c>
      <c r="Y36" s="217">
        <v>16.63</v>
      </c>
      <c r="Z36" t="s">
        <v>408</v>
      </c>
      <c r="AA36" t="s">
        <v>404</v>
      </c>
      <c r="AC36" t="s">
        <v>206</v>
      </c>
      <c r="AD36" t="s">
        <v>404</v>
      </c>
      <c r="AE36" t="s">
        <v>384</v>
      </c>
      <c r="AF36" t="s">
        <v>409</v>
      </c>
      <c r="AG36" t="s">
        <v>382</v>
      </c>
      <c r="AH36" t="s">
        <v>397</v>
      </c>
      <c r="AI36" t="s">
        <v>396</v>
      </c>
      <c r="AJ36" t="s">
        <v>399</v>
      </c>
      <c r="AK36" s="88" t="s">
        <v>370</v>
      </c>
      <c r="AL36" s="88" t="s">
        <v>407</v>
      </c>
    </row>
    <row r="37" spans="1:39" x14ac:dyDescent="0.35">
      <c r="A37" t="s">
        <v>366</v>
      </c>
      <c r="B37" s="16" t="s">
        <v>493</v>
      </c>
      <c r="C37" s="217">
        <f>C31</f>
        <v>16143.678217951852</v>
      </c>
      <c r="D37" s="217">
        <f>C37*'Parameters, general'!$B$38/100</f>
        <v>193.72413861542225</v>
      </c>
      <c r="E37" s="395">
        <f>IF((D37-G37-Manure!Y154)*N_leak_deni_factor&lt;F37,F37,(D37-G37-Manure!$Y$154)*N_leak_deni_factor)</f>
        <v>232.46896633850668</v>
      </c>
      <c r="F37" s="447">
        <f t="shared" ref="F37" si="14">F31</f>
        <v>140</v>
      </c>
      <c r="G37" s="217"/>
      <c r="H37" s="217">
        <f t="shared" ref="H37:L37" si="15">H31</f>
        <v>29.135593850056534</v>
      </c>
      <c r="I37" s="217">
        <f t="shared" si="15"/>
        <v>37</v>
      </c>
      <c r="J37" s="217">
        <f t="shared" si="15"/>
        <v>78.5</v>
      </c>
      <c r="K37" s="217">
        <f t="shared" si="15"/>
        <v>1404.5000049618113</v>
      </c>
      <c r="L37" s="217">
        <f t="shared" si="15"/>
        <v>2.14</v>
      </c>
      <c r="M37" s="417">
        <v>0</v>
      </c>
      <c r="N37" s="417">
        <v>6.0000000000000001E-3</v>
      </c>
      <c r="O37" s="417">
        <v>0.04</v>
      </c>
      <c r="P37" s="418">
        <v>0.22</v>
      </c>
      <c r="Q37" s="419">
        <v>7.0000000000000001E-3</v>
      </c>
      <c r="R37" s="418">
        <v>0.98</v>
      </c>
      <c r="S37" s="418">
        <v>1</v>
      </c>
      <c r="T37" s="565">
        <v>9.1100000000000001E-15</v>
      </c>
      <c r="U37" s="565">
        <v>1.06E-13</v>
      </c>
      <c r="V37" s="565">
        <v>2.1199999999999999E-16</v>
      </c>
      <c r="W37" s="565">
        <v>6.92E-16</v>
      </c>
      <c r="X37" s="565">
        <v>1.38E-12</v>
      </c>
      <c r="Y37" s="217">
        <f>Y30</f>
        <v>81.510000000000005</v>
      </c>
      <c r="Z37" t="s">
        <v>547</v>
      </c>
      <c r="AK37" s="88"/>
      <c r="AL37" s="88"/>
    </row>
    <row r="40" spans="1:39" ht="18.5" x14ac:dyDescent="0.45">
      <c r="A40" s="260" t="s">
        <v>367</v>
      </c>
      <c r="B40" s="107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  <c r="AA40" s="107"/>
      <c r="AB40" s="107"/>
      <c r="AC40" s="107"/>
      <c r="AD40" s="107"/>
      <c r="AE40" s="107"/>
      <c r="AF40" s="107"/>
      <c r="AG40" s="107"/>
      <c r="AH40" s="107"/>
      <c r="AI40" s="107"/>
      <c r="AJ40" s="107"/>
      <c r="AK40" s="107"/>
      <c r="AL40" s="107"/>
      <c r="AM40" s="107"/>
    </row>
    <row r="41" spans="1:39" ht="18.5" x14ac:dyDescent="0.45">
      <c r="A41" s="1"/>
    </row>
    <row r="42" spans="1:39" x14ac:dyDescent="0.35">
      <c r="A42" s="374" t="s">
        <v>215</v>
      </c>
      <c r="B42" s="375"/>
      <c r="C42" s="376" t="s">
        <v>335</v>
      </c>
      <c r="D42" s="376" t="s">
        <v>556</v>
      </c>
      <c r="E42" s="377" t="s">
        <v>336</v>
      </c>
      <c r="F42" s="377"/>
      <c r="G42" s="378"/>
      <c r="H42" s="379"/>
      <c r="I42" s="379"/>
      <c r="J42" s="380" t="s">
        <v>337</v>
      </c>
      <c r="K42" s="380" t="s">
        <v>9</v>
      </c>
      <c r="L42" s="381" t="s">
        <v>10</v>
      </c>
      <c r="M42" s="382" t="s">
        <v>338</v>
      </c>
      <c r="N42" s="379"/>
      <c r="O42" s="379"/>
      <c r="P42" s="378"/>
      <c r="Q42" s="383"/>
      <c r="R42" s="383"/>
      <c r="S42" s="383"/>
      <c r="T42" s="381" t="s">
        <v>339</v>
      </c>
      <c r="U42" s="383"/>
      <c r="V42" s="383"/>
      <c r="W42" s="383"/>
      <c r="X42" s="383"/>
      <c r="Y42" s="381" t="s">
        <v>13</v>
      </c>
      <c r="Z42" s="384" t="s">
        <v>335</v>
      </c>
      <c r="AA42" s="385" t="s">
        <v>336</v>
      </c>
      <c r="AB42" s="386"/>
      <c r="AC42" s="387"/>
      <c r="AD42" s="387"/>
      <c r="AE42" s="388" t="s">
        <v>337</v>
      </c>
      <c r="AF42" s="388" t="s">
        <v>9</v>
      </c>
      <c r="AG42" s="389" t="s">
        <v>10</v>
      </c>
      <c r="AH42" s="390" t="s">
        <v>338</v>
      </c>
      <c r="AI42" s="387"/>
      <c r="AJ42" s="387"/>
      <c r="AK42" s="389" t="s">
        <v>11</v>
      </c>
      <c r="AL42" s="391"/>
    </row>
    <row r="43" spans="1:39" ht="58" x14ac:dyDescent="0.35">
      <c r="A43" s="392" t="s">
        <v>365</v>
      </c>
      <c r="B43" s="297" t="s">
        <v>17</v>
      </c>
      <c r="C43" s="296" t="s">
        <v>340</v>
      </c>
      <c r="D43" s="296"/>
      <c r="E43" s="296" t="s">
        <v>341</v>
      </c>
      <c r="F43" s="296" t="s">
        <v>565</v>
      </c>
      <c r="G43" s="298" t="s">
        <v>342</v>
      </c>
      <c r="H43" s="296" t="s">
        <v>343</v>
      </c>
      <c r="I43" s="298" t="s">
        <v>344</v>
      </c>
      <c r="J43" s="298" t="s">
        <v>345</v>
      </c>
      <c r="K43" s="393" t="s">
        <v>346</v>
      </c>
      <c r="L43" s="394" t="s">
        <v>347</v>
      </c>
      <c r="M43" s="299" t="s">
        <v>348</v>
      </c>
      <c r="N43" s="299" t="s">
        <v>349</v>
      </c>
      <c r="O43" s="299" t="s">
        <v>350</v>
      </c>
      <c r="P43" s="299" t="s">
        <v>351</v>
      </c>
      <c r="Q43" s="299" t="s">
        <v>352</v>
      </c>
      <c r="R43" s="299" t="s">
        <v>353</v>
      </c>
      <c r="S43" s="299" t="s">
        <v>354</v>
      </c>
      <c r="T43" s="300" t="s">
        <v>355</v>
      </c>
      <c r="U43" s="300" t="s">
        <v>356</v>
      </c>
      <c r="V43" s="300" t="s">
        <v>357</v>
      </c>
      <c r="W43" s="300" t="s">
        <v>358</v>
      </c>
      <c r="X43" s="300" t="s">
        <v>359</v>
      </c>
      <c r="Y43" s="300" t="s">
        <v>360</v>
      </c>
      <c r="Z43" s="301" t="s">
        <v>340</v>
      </c>
      <c r="AA43" s="301" t="s">
        <v>361</v>
      </c>
      <c r="AB43" s="302" t="s">
        <v>342</v>
      </c>
      <c r="AC43" s="301" t="s">
        <v>343</v>
      </c>
      <c r="AD43" s="302" t="s">
        <v>344</v>
      </c>
      <c r="AE43" s="302" t="s">
        <v>345</v>
      </c>
      <c r="AF43" s="303" t="s">
        <v>28</v>
      </c>
      <c r="AG43" s="304" t="s">
        <v>347</v>
      </c>
      <c r="AH43" s="305" t="s">
        <v>362</v>
      </c>
      <c r="AI43" s="305" t="s">
        <v>386</v>
      </c>
      <c r="AJ43" s="305" t="s">
        <v>398</v>
      </c>
      <c r="AK43" s="306" t="s">
        <v>363</v>
      </c>
      <c r="AL43" s="306" t="s">
        <v>364</v>
      </c>
    </row>
    <row r="44" spans="1:39" x14ac:dyDescent="0.35">
      <c r="A44" t="s">
        <v>367</v>
      </c>
      <c r="B44" t="s">
        <v>34</v>
      </c>
      <c r="C44" s="217">
        <v>11351.570861430901</v>
      </c>
      <c r="D44" s="217">
        <f>C44*'Parameters, general'!$B$39/100</f>
        <v>261.08612981291071</v>
      </c>
      <c r="E44" s="448">
        <f>IF((D44-G44-Manure!B154)*N_leak_deni_factor&lt;F44,F44,(D44-G44-Manure!$B$154)*N_leak_deni_factor)</f>
        <v>30.52301640716264</v>
      </c>
      <c r="F44" s="446">
        <v>25.999999999999996</v>
      </c>
      <c r="G44" s="395">
        <v>96.166724481088693</v>
      </c>
      <c r="H44" s="396">
        <f t="shared" ref="H44:H54" si="16">((C44*R44*O44)*S44*N44*(1-M44))+((C44*R44)+(C44*R44*O44))*P44*S44*Q44</f>
        <v>34.694941180877407</v>
      </c>
      <c r="I44" s="397">
        <v>0.43661971830985907</v>
      </c>
      <c r="J44" s="398">
        <v>43</v>
      </c>
      <c r="K44" s="217"/>
      <c r="L44" s="14">
        <f>$L$54/$C$54*C44</f>
        <v>0.33913523408117685</v>
      </c>
      <c r="M44" s="399">
        <v>0</v>
      </c>
      <c r="N44" s="4">
        <v>1.4999999999999999E-2</v>
      </c>
      <c r="O44" s="4">
        <v>0.3</v>
      </c>
      <c r="P44" s="4">
        <v>0.8</v>
      </c>
      <c r="Q44" s="4">
        <v>1.2E-2</v>
      </c>
      <c r="R44" s="4">
        <v>0.9</v>
      </c>
      <c r="S44" s="4">
        <v>0.2</v>
      </c>
      <c r="T44" s="565">
        <v>3.0300000000000001E-14</v>
      </c>
      <c r="U44" s="565">
        <v>7.3000000000000004E-14</v>
      </c>
      <c r="V44" s="565">
        <v>2.1200000000000001E-15</v>
      </c>
      <c r="W44" s="565">
        <v>7.8699999999999997E-16</v>
      </c>
      <c r="X44" s="93">
        <v>7.6399999999999998E-13</v>
      </c>
      <c r="Y44" s="217">
        <v>17.93</v>
      </c>
      <c r="Z44" t="s">
        <v>408</v>
      </c>
      <c r="AA44" t="s">
        <v>480</v>
      </c>
      <c r="AB44" t="s">
        <v>268</v>
      </c>
      <c r="AC44" t="s">
        <v>206</v>
      </c>
      <c r="AD44" t="s">
        <v>480</v>
      </c>
      <c r="AE44" t="s">
        <v>401</v>
      </c>
      <c r="AG44" t="s">
        <v>268</v>
      </c>
      <c r="AH44" t="s">
        <v>397</v>
      </c>
      <c r="AI44" t="s">
        <v>397</v>
      </c>
      <c r="AJ44" t="s">
        <v>399</v>
      </c>
      <c r="AK44" s="88" t="s">
        <v>370</v>
      </c>
      <c r="AL44" s="88" t="s">
        <v>406</v>
      </c>
    </row>
    <row r="45" spans="1:39" x14ac:dyDescent="0.35">
      <c r="A45" t="s">
        <v>367</v>
      </c>
      <c r="B45" t="s">
        <v>36</v>
      </c>
      <c r="C45" s="217">
        <v>8768.7697802764524</v>
      </c>
      <c r="D45" s="217">
        <f>C45*'Parameters, general'!$B$39/100</f>
        <v>201.68170494635839</v>
      </c>
      <c r="E45" s="448">
        <f>IF((D45-G45-Manure!D154)*N_leak_deni_factor&lt;F45,F45,(D45-G45-Manure!$D$154)*N_leak_deni_factor)</f>
        <v>42</v>
      </c>
      <c r="F45" s="446">
        <v>42</v>
      </c>
      <c r="G45" s="395">
        <v>74.286094655241996</v>
      </c>
      <c r="H45" s="396">
        <f t="shared" si="16"/>
        <v>26.800867956436949</v>
      </c>
      <c r="I45" s="397">
        <v>2.5760563380281689</v>
      </c>
      <c r="J45" s="398">
        <v>43</v>
      </c>
      <c r="K45" s="217"/>
      <c r="L45" s="14">
        <f>$L$54/$C$54*C45</f>
        <v>0.26197244666304692</v>
      </c>
      <c r="M45" s="399">
        <v>0</v>
      </c>
      <c r="N45" s="4">
        <v>1.4999999999999999E-2</v>
      </c>
      <c r="O45" s="4">
        <v>0.3</v>
      </c>
      <c r="P45" s="4">
        <v>0.8</v>
      </c>
      <c r="Q45" s="4">
        <v>1.2E-2</v>
      </c>
      <c r="R45" s="4">
        <v>0.9</v>
      </c>
      <c r="S45" s="4">
        <v>0.2</v>
      </c>
      <c r="T45" s="565">
        <v>7.7900000000000001E-14</v>
      </c>
      <c r="U45" s="565">
        <v>1.1099999999999999E-13</v>
      </c>
      <c r="V45" s="565">
        <v>9.5299999999999998E-15</v>
      </c>
      <c r="W45" s="565">
        <v>7.0000000000000001E-15</v>
      </c>
      <c r="X45" s="12">
        <v>2.6799999999999999E-12</v>
      </c>
      <c r="Y45" s="217">
        <v>27.12</v>
      </c>
      <c r="Z45" t="s">
        <v>408</v>
      </c>
      <c r="AA45" t="s">
        <v>404</v>
      </c>
      <c r="AB45" t="s">
        <v>408</v>
      </c>
      <c r="AC45" t="s">
        <v>206</v>
      </c>
      <c r="AD45" t="s">
        <v>404</v>
      </c>
      <c r="AE45" t="s">
        <v>401</v>
      </c>
      <c r="AG45" t="s">
        <v>268</v>
      </c>
      <c r="AH45" t="s">
        <v>397</v>
      </c>
      <c r="AI45" t="s">
        <v>397</v>
      </c>
      <c r="AJ45" t="s">
        <v>399</v>
      </c>
      <c r="AK45" s="88" t="s">
        <v>371</v>
      </c>
      <c r="AL45" s="88" t="s">
        <v>406</v>
      </c>
    </row>
    <row r="46" spans="1:39" x14ac:dyDescent="0.35">
      <c r="A46" t="s">
        <v>367</v>
      </c>
      <c r="B46" t="s">
        <v>38</v>
      </c>
      <c r="C46" s="217">
        <v>8729.8964945472399</v>
      </c>
      <c r="D46" s="217">
        <f>C46*'Parameters, general'!$B$39/100</f>
        <v>200.78761937458651</v>
      </c>
      <c r="E46" s="448">
        <f>IF((D46-G46-Manure!$F$154)*N_leak_deni_factor&lt;F46,F46,(D46-G46-Manure!$F$154)*N_leak_deni_factor)</f>
        <v>49</v>
      </c>
      <c r="F46" s="446">
        <v>49</v>
      </c>
      <c r="G46" s="395">
        <v>73.95677313630604</v>
      </c>
      <c r="H46" s="396">
        <f t="shared" si="16"/>
        <v>26.682055645934184</v>
      </c>
      <c r="I46" s="397">
        <v>1.3098591549295775</v>
      </c>
      <c r="J46" s="398">
        <v>43</v>
      </c>
      <c r="K46" s="217"/>
      <c r="L46" s="14">
        <f>$L$54/$C$54*C46</f>
        <v>0.2608110830935278</v>
      </c>
      <c r="M46" s="399">
        <v>0</v>
      </c>
      <c r="N46" s="4">
        <v>1.4999999999999999E-2</v>
      </c>
      <c r="O46" s="4">
        <v>0.3</v>
      </c>
      <c r="P46" s="4">
        <v>0.8</v>
      </c>
      <c r="Q46" s="4">
        <v>1.2E-2</v>
      </c>
      <c r="R46" s="4">
        <v>0.9</v>
      </c>
      <c r="S46" s="4">
        <v>0.2</v>
      </c>
      <c r="T46" s="565">
        <v>7.5499999999999994E-14</v>
      </c>
      <c r="U46" s="565">
        <v>7.9399999999999995E-14</v>
      </c>
      <c r="V46" s="565">
        <v>4.5200000000000001E-15</v>
      </c>
      <c r="W46" s="565">
        <v>2.0500000000000002E-15</v>
      </c>
      <c r="X46" s="93">
        <v>2.0400000000000002E-12</v>
      </c>
      <c r="Y46" s="217">
        <v>30.62</v>
      </c>
      <c r="Z46" t="s">
        <v>408</v>
      </c>
      <c r="AA46" t="s">
        <v>404</v>
      </c>
      <c r="AB46" t="s">
        <v>408</v>
      </c>
      <c r="AC46" t="s">
        <v>206</v>
      </c>
      <c r="AD46" t="s">
        <v>404</v>
      </c>
      <c r="AE46" t="s">
        <v>401</v>
      </c>
      <c r="AG46" t="s">
        <v>268</v>
      </c>
      <c r="AH46" t="s">
        <v>397</v>
      </c>
      <c r="AI46" t="s">
        <v>397</v>
      </c>
      <c r="AJ46" t="s">
        <v>399</v>
      </c>
      <c r="AK46" s="88" t="s">
        <v>372</v>
      </c>
      <c r="AL46" s="88" t="s">
        <v>406</v>
      </c>
    </row>
    <row r="47" spans="1:39" x14ac:dyDescent="0.35">
      <c r="A47" t="s">
        <v>367</v>
      </c>
      <c r="B47" t="s">
        <v>40</v>
      </c>
      <c r="C47" s="217">
        <v>3544.8237821611806</v>
      </c>
      <c r="D47" s="217">
        <f>C47*'Parameters, general'!$B$39/100</f>
        <v>81.530946989707147</v>
      </c>
      <c r="E47" s="448">
        <f>IF((D47-G47-Manure!$H$154)*N_leak_deni_factor,F47,(D47-G47-Manure!$H$154)*N_leak_deni_factor)</f>
        <v>20.479232194764563</v>
      </c>
      <c r="F47" s="446">
        <v>20.479232194764563</v>
      </c>
      <c r="G47" s="395">
        <v>30.03056547454214</v>
      </c>
      <c r="H47" s="396">
        <f t="shared" si="16"/>
        <v>10.834399407797434</v>
      </c>
      <c r="I47" s="397">
        <v>0.84536504663489265</v>
      </c>
      <c r="J47" s="398">
        <v>43</v>
      </c>
      <c r="K47" s="217"/>
      <c r="L47" s="14">
        <f>$L$54/$C$54*C47</f>
        <v>0.10590381347346114</v>
      </c>
      <c r="M47" s="399">
        <v>0</v>
      </c>
      <c r="N47" s="4">
        <v>1.4999999999999999E-2</v>
      </c>
      <c r="O47" s="4">
        <v>0.3</v>
      </c>
      <c r="P47" s="4">
        <v>0.8</v>
      </c>
      <c r="Q47" s="4">
        <v>1.2E-2</v>
      </c>
      <c r="R47" s="4">
        <v>0.9</v>
      </c>
      <c r="S47" s="4">
        <v>0.2</v>
      </c>
      <c r="T47" s="565">
        <v>2.1499999999999999E-13</v>
      </c>
      <c r="U47" s="565">
        <v>1.31E-13</v>
      </c>
      <c r="V47" s="565">
        <v>9.5800000000000006E-14</v>
      </c>
      <c r="W47" s="565">
        <v>2.4600000000000001E-13</v>
      </c>
      <c r="X47" s="93">
        <v>1.0599999999999999E-11</v>
      </c>
      <c r="Y47" s="217">
        <v>20.12</v>
      </c>
      <c r="Z47" t="s">
        <v>408</v>
      </c>
      <c r="AA47" t="s">
        <v>404</v>
      </c>
      <c r="AB47" t="s">
        <v>408</v>
      </c>
      <c r="AC47" t="s">
        <v>206</v>
      </c>
      <c r="AD47" t="s">
        <v>404</v>
      </c>
      <c r="AE47" t="s">
        <v>401</v>
      </c>
      <c r="AG47" t="s">
        <v>268</v>
      </c>
      <c r="AH47" t="s">
        <v>397</v>
      </c>
      <c r="AI47" t="s">
        <v>397</v>
      </c>
      <c r="AJ47" t="s">
        <v>399</v>
      </c>
      <c r="AK47" s="88" t="s">
        <v>373</v>
      </c>
      <c r="AL47" s="88" t="s">
        <v>406</v>
      </c>
    </row>
    <row r="48" spans="1:39" x14ac:dyDescent="0.35">
      <c r="A48" t="s">
        <v>367</v>
      </c>
      <c r="B48" t="s">
        <v>42</v>
      </c>
      <c r="C48" s="217">
        <v>2359.6878979502089</v>
      </c>
      <c r="D48" s="217">
        <f>C48*'Parameters, general'!$B$39/100</f>
        <v>54.272821652854802</v>
      </c>
      <c r="E48" s="448">
        <f>IF((D48-G48-Manure!$J$154)*N_leak_deni_factor&lt;F48,F48,(D48-G48-Manure!$J$154)*N_leak_deni_factor)</f>
        <v>13.632439675135579</v>
      </c>
      <c r="F48" s="446">
        <v>13.632439675135579</v>
      </c>
      <c r="G48" s="395">
        <v>19.990489308801521</v>
      </c>
      <c r="H48" s="396">
        <f t="shared" si="16"/>
        <v>7.2121500912950198</v>
      </c>
      <c r="I48" s="397">
        <v>0.56273535512061401</v>
      </c>
      <c r="J48" s="398">
        <v>43</v>
      </c>
      <c r="K48" s="217"/>
      <c r="L48" s="14">
        <f>$L$54/$C$54*C48</f>
        <v>7.0497142413027222E-2</v>
      </c>
      <c r="M48" s="399">
        <v>0</v>
      </c>
      <c r="N48" s="4">
        <v>1.4999999999999999E-2</v>
      </c>
      <c r="O48" s="4">
        <v>0.3</v>
      </c>
      <c r="P48" s="4">
        <v>0.8</v>
      </c>
      <c r="Q48" s="4">
        <v>1.2E-2</v>
      </c>
      <c r="R48" s="4">
        <v>0.9</v>
      </c>
      <c r="S48" s="4">
        <v>0.2</v>
      </c>
      <c r="T48" s="565">
        <v>3.0099999999999998E-13</v>
      </c>
      <c r="U48" s="565">
        <v>6.3499999999999994E-14</v>
      </c>
      <c r="V48" s="565">
        <v>6.5900000000000002E-15</v>
      </c>
      <c r="W48" s="565">
        <v>3.3E-15</v>
      </c>
      <c r="X48" s="12">
        <v>2.6999999999999998E-12</v>
      </c>
      <c r="Y48" s="217">
        <v>87.91</v>
      </c>
      <c r="Z48" t="s">
        <v>408</v>
      </c>
      <c r="AA48" t="s">
        <v>404</v>
      </c>
      <c r="AB48" t="s">
        <v>408</v>
      </c>
      <c r="AC48" t="s">
        <v>206</v>
      </c>
      <c r="AD48" t="s">
        <v>404</v>
      </c>
      <c r="AE48" t="s">
        <v>401</v>
      </c>
      <c r="AG48" t="s">
        <v>268</v>
      </c>
      <c r="AH48" t="s">
        <v>397</v>
      </c>
      <c r="AI48" t="s">
        <v>397</v>
      </c>
      <c r="AJ48" t="s">
        <v>399</v>
      </c>
      <c r="AK48" s="88" t="s">
        <v>374</v>
      </c>
      <c r="AL48" s="88" t="s">
        <v>406</v>
      </c>
    </row>
    <row r="49" spans="1:39" x14ac:dyDescent="0.35">
      <c r="A49" t="s">
        <v>367</v>
      </c>
      <c r="B49" t="s">
        <v>44</v>
      </c>
      <c r="C49" s="217">
        <v>7811.0617472003732</v>
      </c>
      <c r="D49" s="217">
        <f>C49*'Parameters, general'!$B$39/100</f>
        <v>179.65442018560859</v>
      </c>
      <c r="E49" s="448">
        <f>IF((D49-G49-Manure!$L$154)*N_leak_deni_factor&lt;F49,F49, (D49-G49-Manure!$L$154)*N_leak_deni_factor)</f>
        <v>45.126233922701196</v>
      </c>
      <c r="F49" s="446">
        <v>45.126233922701196</v>
      </c>
      <c r="G49" s="395">
        <v>66.172711435032497</v>
      </c>
      <c r="H49" s="396">
        <f t="shared" si="16"/>
        <v>23.873729124143221</v>
      </c>
      <c r="I49" s="397">
        <v>1.8627720259099263</v>
      </c>
      <c r="J49" s="398">
        <v>43</v>
      </c>
      <c r="K49" s="217"/>
      <c r="L49" s="14">
        <v>0.09</v>
      </c>
      <c r="M49" s="399">
        <v>0</v>
      </c>
      <c r="N49" s="4">
        <v>1.4999999999999999E-2</v>
      </c>
      <c r="O49" s="4">
        <v>0.3</v>
      </c>
      <c r="P49" s="4">
        <v>0.8</v>
      </c>
      <c r="Q49" s="4">
        <v>1.2E-2</v>
      </c>
      <c r="R49" s="4">
        <v>0.9</v>
      </c>
      <c r="S49" s="4">
        <v>0.2</v>
      </c>
      <c r="T49" s="565">
        <v>9.7499999999999995E-15</v>
      </c>
      <c r="U49" s="565">
        <v>1.2800000000000001E-13</v>
      </c>
      <c r="V49" s="565">
        <v>2E-16</v>
      </c>
      <c r="W49" s="565">
        <v>8.6099999999999999E-16</v>
      </c>
      <c r="X49" s="93">
        <v>9.4299999999999992E-13</v>
      </c>
      <c r="Y49" s="217">
        <v>58.61</v>
      </c>
      <c r="Z49" t="s">
        <v>408</v>
      </c>
      <c r="AA49" t="s">
        <v>404</v>
      </c>
      <c r="AB49" t="s">
        <v>408</v>
      </c>
      <c r="AC49" t="s">
        <v>206</v>
      </c>
      <c r="AD49" t="s">
        <v>404</v>
      </c>
      <c r="AE49" t="s">
        <v>401</v>
      </c>
      <c r="AG49" t="s">
        <v>411</v>
      </c>
      <c r="AH49" t="s">
        <v>397</v>
      </c>
      <c r="AI49" t="s">
        <v>397</v>
      </c>
      <c r="AJ49" t="s">
        <v>399</v>
      </c>
      <c r="AK49" s="88" t="s">
        <v>375</v>
      </c>
      <c r="AL49" s="88" t="s">
        <v>406</v>
      </c>
    </row>
    <row r="50" spans="1:39" x14ac:dyDescent="0.35">
      <c r="A50" t="s">
        <v>367</v>
      </c>
      <c r="B50" t="s">
        <v>46</v>
      </c>
      <c r="C50" s="217">
        <v>9476.8495630255966</v>
      </c>
      <c r="D50" s="217">
        <f>C50*'Parameters, general'!$B$39/100</f>
        <v>217.96753994958871</v>
      </c>
      <c r="E50" s="448">
        <f>IF((D50-G50-Manure!$N$154)*N_leak_deni_factor&lt;F50,F50,(D50-G50-Manure!$N$154)*N_leak_deni_factor)</f>
        <v>67.038108043694379</v>
      </c>
      <c r="F50" s="446">
        <v>54.749859119295898</v>
      </c>
      <c r="G50" s="395">
        <v>80.284710548098516</v>
      </c>
      <c r="H50" s="396">
        <f t="shared" si="16"/>
        <v>28.965043004431436</v>
      </c>
      <c r="I50" s="397">
        <v>2.2600269759854377</v>
      </c>
      <c r="J50" s="398">
        <v>43</v>
      </c>
      <c r="K50" s="217"/>
      <c r="L50" s="14">
        <f>$L$54/$C$54*C50</f>
        <v>0.28312677021897725</v>
      </c>
      <c r="M50" s="399">
        <v>0</v>
      </c>
      <c r="N50" s="4">
        <v>1.4999999999999999E-2</v>
      </c>
      <c r="O50" s="4">
        <v>0.3</v>
      </c>
      <c r="P50" s="4">
        <v>0.8</v>
      </c>
      <c r="Q50" s="4">
        <v>1.2E-2</v>
      </c>
      <c r="R50" s="4">
        <v>0.9</v>
      </c>
      <c r="S50" s="4">
        <v>0.2</v>
      </c>
      <c r="T50" s="565">
        <v>1.4999999999999999E-13</v>
      </c>
      <c r="U50" s="565">
        <v>1.2900000000000001E-13</v>
      </c>
      <c r="V50" s="565">
        <v>1.1499999999999999E-13</v>
      </c>
      <c r="W50" s="565">
        <v>6.5600000000000006E-14</v>
      </c>
      <c r="X50" s="93">
        <v>1.23E-11</v>
      </c>
      <c r="Y50" s="217">
        <v>28.43</v>
      </c>
      <c r="Z50" t="s">
        <v>408</v>
      </c>
      <c r="AA50" t="s">
        <v>404</v>
      </c>
      <c r="AB50" t="s">
        <v>408</v>
      </c>
      <c r="AC50" t="s">
        <v>206</v>
      </c>
      <c r="AD50" t="s">
        <v>404</v>
      </c>
      <c r="AE50" t="s">
        <v>401</v>
      </c>
      <c r="AG50" t="s">
        <v>268</v>
      </c>
      <c r="AH50" t="s">
        <v>397</v>
      </c>
      <c r="AI50" t="s">
        <v>397</v>
      </c>
      <c r="AJ50" t="s">
        <v>399</v>
      </c>
      <c r="AK50" s="88" t="s">
        <v>376</v>
      </c>
      <c r="AL50" s="88" t="s">
        <v>406</v>
      </c>
    </row>
    <row r="51" spans="1:39" x14ac:dyDescent="0.35">
      <c r="A51" t="s">
        <v>367</v>
      </c>
      <c r="B51" t="s">
        <v>48</v>
      </c>
      <c r="C51" s="217">
        <v>5577.7303858082596</v>
      </c>
      <c r="D51" s="217">
        <f>C51*'Parameters, general'!$B$39/100</f>
        <v>128.28779887358996</v>
      </c>
      <c r="E51" s="448">
        <f>IF((D51-G51-Manure!$P$154)*N_leak_deni_factor&lt;F51,F51,(D51-G51-Manure!$P$154)*N_leak_deni_factor)</f>
        <v>144</v>
      </c>
      <c r="F51" s="446">
        <v>144</v>
      </c>
      <c r="G51" s="395">
        <v>47.252672585105614</v>
      </c>
      <c r="H51" s="396">
        <f t="shared" si="16"/>
        <v>17.047775151184368</v>
      </c>
      <c r="I51" s="397">
        <v>0</v>
      </c>
      <c r="J51" s="398">
        <v>43</v>
      </c>
      <c r="K51" s="217"/>
      <c r="L51" s="14">
        <f>$L$54/$C$54*C51</f>
        <v>0.16663816163627723</v>
      </c>
      <c r="M51" s="399">
        <v>0</v>
      </c>
      <c r="N51" s="4">
        <v>1.4999999999999999E-2</v>
      </c>
      <c r="O51" s="4">
        <v>0.3</v>
      </c>
      <c r="P51" s="4">
        <v>0.8</v>
      </c>
      <c r="Q51" s="4">
        <v>1.2E-2</v>
      </c>
      <c r="R51" s="4">
        <v>0.9</v>
      </c>
      <c r="S51" s="4">
        <v>0.2</v>
      </c>
      <c r="T51" s="565">
        <v>7.2899999999999997E-14</v>
      </c>
      <c r="U51" s="565">
        <v>1.3199999999999999E-13</v>
      </c>
      <c r="V51" s="565">
        <v>5.0799999999999997E-15</v>
      </c>
      <c r="W51" s="565">
        <v>2.9000000000000002E-15</v>
      </c>
      <c r="X51" s="93">
        <v>1.75E-12</v>
      </c>
      <c r="Y51" s="217">
        <v>36.74</v>
      </c>
      <c r="Z51" t="s">
        <v>408</v>
      </c>
      <c r="AA51" t="s">
        <v>408</v>
      </c>
      <c r="AC51" t="s">
        <v>206</v>
      </c>
      <c r="AD51" t="s">
        <v>408</v>
      </c>
      <c r="AE51" t="s">
        <v>401</v>
      </c>
      <c r="AG51" t="s">
        <v>268</v>
      </c>
      <c r="AH51" t="s">
        <v>397</v>
      </c>
      <c r="AI51" t="s">
        <v>397</v>
      </c>
      <c r="AJ51" t="s">
        <v>399</v>
      </c>
      <c r="AK51" s="88" t="s">
        <v>377</v>
      </c>
      <c r="AL51" s="88" t="s">
        <v>406</v>
      </c>
    </row>
    <row r="52" spans="1:39" x14ac:dyDescent="0.35">
      <c r="A52" t="s">
        <v>367</v>
      </c>
      <c r="B52" t="s">
        <v>50</v>
      </c>
      <c r="C52" s="217">
        <v>7548.701920971178</v>
      </c>
      <c r="D52" s="217">
        <f>C52*'Parameters, general'!$B$39/100</f>
        <v>173.62014418233707</v>
      </c>
      <c r="E52" s="448">
        <f>IF((D52-G52-Manure!$R$154)*N_leak_deni_factor&lt;F52,F52,(D52-G52-Manure!$R$154)*N_leak_deni_factor)</f>
        <v>43.610523091893683</v>
      </c>
      <c r="F52" s="446">
        <v>43.610523091893683</v>
      </c>
      <c r="G52" s="395">
        <v>63.950086440494168</v>
      </c>
      <c r="H52" s="396">
        <f t="shared" si="16"/>
        <v>23.071852551256306</v>
      </c>
      <c r="I52" s="397">
        <v>1.8002047897467377</v>
      </c>
      <c r="J52" s="398">
        <v>43</v>
      </c>
      <c r="K52" s="217"/>
      <c r="L52" s="14">
        <f>$L$54/$C$54*C52</f>
        <v>0.22552216113769563</v>
      </c>
      <c r="M52" s="399">
        <v>0</v>
      </c>
      <c r="N52" s="4">
        <v>1.4999999999999999E-2</v>
      </c>
      <c r="O52" s="4">
        <v>0.3</v>
      </c>
      <c r="P52" s="4">
        <v>0.8</v>
      </c>
      <c r="Q52" s="4">
        <v>1.2E-2</v>
      </c>
      <c r="R52" s="4">
        <v>0.9</v>
      </c>
      <c r="S52" s="4">
        <v>0.2</v>
      </c>
      <c r="T52" s="565">
        <v>8.8799999999999998E-14</v>
      </c>
      <c r="U52" s="565">
        <v>6.2000000000000001E-14</v>
      </c>
      <c r="V52" s="565">
        <v>2.1200000000000001E-15</v>
      </c>
      <c r="W52" s="565">
        <v>5.1299999999999995E-16</v>
      </c>
      <c r="X52" s="12">
        <v>8.3699999999999997E-13</v>
      </c>
      <c r="Y52" s="217">
        <v>92.72</v>
      </c>
      <c r="Z52" t="s">
        <v>408</v>
      </c>
      <c r="AA52" t="s">
        <v>404</v>
      </c>
      <c r="AB52" t="s">
        <v>408</v>
      </c>
      <c r="AC52" t="s">
        <v>206</v>
      </c>
      <c r="AD52" t="s">
        <v>404</v>
      </c>
      <c r="AE52" t="s">
        <v>401</v>
      </c>
      <c r="AG52" t="s">
        <v>268</v>
      </c>
      <c r="AH52" t="s">
        <v>397</v>
      </c>
      <c r="AI52" t="s">
        <v>397</v>
      </c>
      <c r="AJ52" t="s">
        <v>399</v>
      </c>
      <c r="AK52" s="88" t="s">
        <v>378</v>
      </c>
      <c r="AL52" s="88" t="s">
        <v>406</v>
      </c>
    </row>
    <row r="53" spans="1:39" x14ac:dyDescent="0.35">
      <c r="A53" t="s">
        <v>367</v>
      </c>
      <c r="B53" t="s">
        <v>52</v>
      </c>
      <c r="C53" s="217">
        <v>5242.5712158127944</v>
      </c>
      <c r="D53" s="217">
        <f>C53*'Parameters, general'!$B$39/100</f>
        <v>120.57913796369427</v>
      </c>
      <c r="E53" s="448">
        <f>IF((D53-G53-Manure!$T$154)*N_leak_deni_factor&lt;F53,F53,(D53-G53-Manure!$T$154)*N_leak_deni_factor)</f>
        <v>30.28749518283886</v>
      </c>
      <c r="F53" s="446">
        <v>30.28749518283886</v>
      </c>
      <c r="G53" s="395">
        <v>44.413315816627396</v>
      </c>
      <c r="H53" s="396">
        <f t="shared" si="16"/>
        <v>16.023394664010226</v>
      </c>
      <c r="I53" s="397">
        <v>1.2502416855374205</v>
      </c>
      <c r="J53" s="398">
        <v>43</v>
      </c>
      <c r="K53" s="217"/>
      <c r="L53" s="14">
        <f>$L$54/$C$54*C53</f>
        <v>0.15662507314320701</v>
      </c>
      <c r="M53" s="399">
        <v>0</v>
      </c>
      <c r="N53" s="4">
        <v>1.4999999999999999E-2</v>
      </c>
      <c r="O53" s="4">
        <v>0.3</v>
      </c>
      <c r="P53" s="4">
        <v>0.8</v>
      </c>
      <c r="Q53" s="4">
        <v>1.2E-2</v>
      </c>
      <c r="R53" s="4">
        <v>0.9</v>
      </c>
      <c r="S53" s="4">
        <v>0.2</v>
      </c>
      <c r="T53" s="565">
        <v>1.7500000000000001E-13</v>
      </c>
      <c r="U53" s="565">
        <v>1.6E-13</v>
      </c>
      <c r="V53" s="565">
        <v>3.0300000000000001E-14</v>
      </c>
      <c r="W53" s="565">
        <v>1.0799999999999999E-13</v>
      </c>
      <c r="X53" s="12">
        <v>1.5700000000000001E-11</v>
      </c>
      <c r="Y53" s="217">
        <v>8.75</v>
      </c>
      <c r="Z53" t="s">
        <v>408</v>
      </c>
      <c r="AA53" t="s">
        <v>404</v>
      </c>
      <c r="AB53" t="s">
        <v>408</v>
      </c>
      <c r="AC53" t="s">
        <v>206</v>
      </c>
      <c r="AD53" t="s">
        <v>404</v>
      </c>
      <c r="AE53" t="s">
        <v>401</v>
      </c>
      <c r="AG53" t="s">
        <v>268</v>
      </c>
      <c r="AH53" t="s">
        <v>397</v>
      </c>
      <c r="AI53" t="s">
        <v>397</v>
      </c>
      <c r="AJ53" t="s">
        <v>399</v>
      </c>
      <c r="AK53" s="88" t="s">
        <v>379</v>
      </c>
      <c r="AL53" s="88" t="s">
        <v>406</v>
      </c>
    </row>
    <row r="54" spans="1:39" x14ac:dyDescent="0.35">
      <c r="A54" t="s">
        <v>367</v>
      </c>
      <c r="B54" s="16" t="s">
        <v>54</v>
      </c>
      <c r="C54" s="425">
        <f>5355.53712886759*1.5</f>
        <v>8033.305693301385</v>
      </c>
      <c r="D54" s="217">
        <f>C54*'Parameters, general'!$B$39/100</f>
        <v>184.76603094593185</v>
      </c>
      <c r="E54" s="448">
        <f>IF((D54-G54-Manure!$V$154)*N_leak_deni_factor&lt;F54,F54,(D54-G54-Manure!$V$154)*N_leak_deni_factor)</f>
        <v>37</v>
      </c>
      <c r="F54" s="446">
        <v>37</v>
      </c>
      <c r="G54" s="174">
        <f>45.3703253767233*1.5</f>
        <v>68.055488065084944</v>
      </c>
      <c r="H54" s="396">
        <f t="shared" si="16"/>
        <v>24.552995521006356</v>
      </c>
      <c r="I54" s="397">
        <v>1.4546548956661318</v>
      </c>
      <c r="J54" s="398">
        <v>43</v>
      </c>
      <c r="K54" s="217"/>
      <c r="L54" s="14">
        <v>0.24</v>
      </c>
      <c r="M54" s="399">
        <v>0</v>
      </c>
      <c r="N54" s="4">
        <v>1.4999999999999999E-2</v>
      </c>
      <c r="O54" s="4">
        <v>0.3</v>
      </c>
      <c r="P54" s="4">
        <v>0.8</v>
      </c>
      <c r="Q54" s="4">
        <v>1.2E-2</v>
      </c>
      <c r="R54" s="4">
        <v>0.9</v>
      </c>
      <c r="S54" s="4">
        <v>0.2</v>
      </c>
      <c r="T54" s="565">
        <v>4.9699999999999999E-14</v>
      </c>
      <c r="U54" s="565">
        <v>8.2700000000000004E-14</v>
      </c>
      <c r="V54" s="565">
        <v>1.36E-15</v>
      </c>
      <c r="W54" s="565">
        <v>1.38E-16</v>
      </c>
      <c r="X54" s="93">
        <v>3.92E-13</v>
      </c>
      <c r="Y54" s="217">
        <v>17.93</v>
      </c>
      <c r="Z54" t="s">
        <v>550</v>
      </c>
      <c r="AA54" t="s">
        <v>404</v>
      </c>
      <c r="AB54" t="s">
        <v>408</v>
      </c>
      <c r="AC54" t="s">
        <v>206</v>
      </c>
      <c r="AD54" t="s">
        <v>404</v>
      </c>
      <c r="AE54" t="s">
        <v>401</v>
      </c>
      <c r="AG54" t="s">
        <v>402</v>
      </c>
      <c r="AH54" t="s">
        <v>397</v>
      </c>
      <c r="AI54" t="s">
        <v>397</v>
      </c>
      <c r="AJ54" t="s">
        <v>399</v>
      </c>
      <c r="AK54" s="88" t="s">
        <v>380</v>
      </c>
      <c r="AL54" s="88" t="s">
        <v>406</v>
      </c>
    </row>
    <row r="55" spans="1:39" x14ac:dyDescent="0.35">
      <c r="A55" t="s">
        <v>367</v>
      </c>
      <c r="B55" s="16" t="s">
        <v>493</v>
      </c>
      <c r="C55" s="217">
        <f>C49</f>
        <v>7811.0617472003732</v>
      </c>
      <c r="D55" s="217">
        <f>C55*'Parameters, general'!$B$39/100</f>
        <v>179.65442018560859</v>
      </c>
      <c r="E55" s="448">
        <f>IF((D55-G55-Manure!Y154)*N_leak_deni_factor&lt;F55,F55,(D55-G55-Manure!Y154)*N_leak_deni_factor)</f>
        <v>136.17805050069131</v>
      </c>
      <c r="F55" s="447">
        <f t="shared" ref="F55:M55" si="17">F49</f>
        <v>45.126233922701196</v>
      </c>
      <c r="G55" s="217">
        <f t="shared" si="17"/>
        <v>66.172711435032497</v>
      </c>
      <c r="H55" s="217">
        <f t="shared" si="17"/>
        <v>23.873729124143221</v>
      </c>
      <c r="I55" s="217">
        <f t="shared" si="17"/>
        <v>1.8627720259099263</v>
      </c>
      <c r="J55" s="217">
        <f t="shared" si="17"/>
        <v>43</v>
      </c>
      <c r="K55" s="217"/>
      <c r="L55" s="217">
        <f t="shared" si="17"/>
        <v>0.09</v>
      </c>
      <c r="M55" s="217">
        <f t="shared" si="17"/>
        <v>0</v>
      </c>
      <c r="N55" s="72">
        <f t="shared" ref="N55:S55" si="18">N48</f>
        <v>1.4999999999999999E-2</v>
      </c>
      <c r="O55" s="72">
        <f t="shared" si="18"/>
        <v>0.3</v>
      </c>
      <c r="P55" s="72">
        <f t="shared" si="18"/>
        <v>0.8</v>
      </c>
      <c r="Q55" s="72">
        <f t="shared" si="18"/>
        <v>1.2E-2</v>
      </c>
      <c r="R55" s="72">
        <f t="shared" si="18"/>
        <v>0.9</v>
      </c>
      <c r="S55" s="72">
        <f t="shared" si="18"/>
        <v>0.2</v>
      </c>
      <c r="T55" s="565">
        <v>9.1100000000000001E-15</v>
      </c>
      <c r="U55" s="565">
        <v>1.06E-13</v>
      </c>
      <c r="V55" s="565">
        <v>2.1199999999999999E-16</v>
      </c>
      <c r="W55" s="565">
        <v>6.92E-16</v>
      </c>
      <c r="X55" s="307">
        <v>9.1799999999999993E-13</v>
      </c>
      <c r="Y55" s="217"/>
      <c r="Z55" t="s">
        <v>547</v>
      </c>
      <c r="AK55" s="88"/>
      <c r="AL55" s="88"/>
    </row>
    <row r="56" spans="1:39" x14ac:dyDescent="0.35">
      <c r="E56" s="395"/>
      <c r="F56" s="395"/>
    </row>
    <row r="58" spans="1:39" ht="18.5" x14ac:dyDescent="0.45">
      <c r="A58" s="260" t="s">
        <v>412</v>
      </c>
      <c r="B58" s="107"/>
      <c r="C58" s="107"/>
      <c r="D58" s="107"/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  <c r="Y58" s="107"/>
      <c r="Z58" s="107"/>
      <c r="AA58" s="107"/>
      <c r="AB58" s="107"/>
      <c r="AC58" s="107"/>
      <c r="AD58" s="107"/>
      <c r="AE58" s="107"/>
      <c r="AF58" s="107"/>
      <c r="AG58" s="107"/>
      <c r="AH58" s="107"/>
      <c r="AI58" s="107"/>
      <c r="AJ58" s="107"/>
      <c r="AK58" s="107"/>
      <c r="AL58" s="107"/>
      <c r="AM58" s="107"/>
    </row>
    <row r="60" spans="1:39" x14ac:dyDescent="0.35">
      <c r="A60" s="374" t="s">
        <v>215</v>
      </c>
      <c r="B60" s="375"/>
      <c r="C60" s="376" t="s">
        <v>335</v>
      </c>
      <c r="D60" s="376"/>
      <c r="E60" s="377" t="s">
        <v>336</v>
      </c>
      <c r="F60" s="377"/>
      <c r="G60" s="378"/>
      <c r="H60" s="379"/>
      <c r="I60" s="379"/>
      <c r="J60" s="380" t="s">
        <v>337</v>
      </c>
      <c r="K60" s="380" t="s">
        <v>9</v>
      </c>
      <c r="L60" s="381" t="s">
        <v>10</v>
      </c>
      <c r="M60" s="382" t="s">
        <v>338</v>
      </c>
      <c r="N60" s="379"/>
      <c r="O60" s="379"/>
      <c r="P60" s="378"/>
      <c r="Q60" s="383"/>
      <c r="R60" s="383"/>
      <c r="S60" s="383"/>
      <c r="T60" s="381" t="s">
        <v>339</v>
      </c>
      <c r="U60" s="383"/>
      <c r="V60" s="383"/>
      <c r="W60" s="383"/>
      <c r="X60" s="383"/>
      <c r="Y60" s="381" t="s">
        <v>13</v>
      </c>
      <c r="Z60" s="384" t="s">
        <v>335</v>
      </c>
      <c r="AA60" s="385" t="s">
        <v>336</v>
      </c>
      <c r="AB60" s="386"/>
      <c r="AC60" s="387"/>
      <c r="AD60" s="387"/>
      <c r="AE60" s="388" t="s">
        <v>337</v>
      </c>
      <c r="AF60" s="388" t="s">
        <v>9</v>
      </c>
      <c r="AG60" s="389" t="s">
        <v>10</v>
      </c>
      <c r="AH60" s="390" t="s">
        <v>338</v>
      </c>
      <c r="AI60" s="387"/>
      <c r="AJ60" s="387"/>
      <c r="AK60" s="389" t="s">
        <v>11</v>
      </c>
      <c r="AL60" s="391"/>
    </row>
    <row r="61" spans="1:39" ht="58" x14ac:dyDescent="0.35">
      <c r="A61" s="392" t="s">
        <v>365</v>
      </c>
      <c r="B61" s="297" t="s">
        <v>17</v>
      </c>
      <c r="C61" s="296" t="s">
        <v>340</v>
      </c>
      <c r="D61" s="296"/>
      <c r="E61" s="296" t="s">
        <v>341</v>
      </c>
      <c r="F61" s="296"/>
      <c r="G61" s="298" t="s">
        <v>342</v>
      </c>
      <c r="H61" s="296" t="s">
        <v>343</v>
      </c>
      <c r="I61" s="298" t="s">
        <v>344</v>
      </c>
      <c r="J61" s="298" t="s">
        <v>345</v>
      </c>
      <c r="K61" s="393" t="s">
        <v>346</v>
      </c>
      <c r="L61" s="394" t="s">
        <v>347</v>
      </c>
      <c r="M61" s="299" t="s">
        <v>348</v>
      </c>
      <c r="N61" s="299" t="s">
        <v>349</v>
      </c>
      <c r="O61" s="299" t="s">
        <v>350</v>
      </c>
      <c r="P61" s="299" t="s">
        <v>351</v>
      </c>
      <c r="Q61" s="299" t="s">
        <v>352</v>
      </c>
      <c r="R61" s="299" t="s">
        <v>353</v>
      </c>
      <c r="S61" s="299" t="s">
        <v>354</v>
      </c>
      <c r="T61" s="300" t="s">
        <v>355</v>
      </c>
      <c r="U61" s="300" t="s">
        <v>356</v>
      </c>
      <c r="V61" s="300" t="s">
        <v>357</v>
      </c>
      <c r="W61" s="300" t="s">
        <v>358</v>
      </c>
      <c r="X61" s="300" t="s">
        <v>359</v>
      </c>
      <c r="Y61" s="300" t="s">
        <v>360</v>
      </c>
      <c r="Z61" s="301" t="s">
        <v>340</v>
      </c>
      <c r="AA61" s="301" t="s">
        <v>361</v>
      </c>
      <c r="AB61" s="302" t="s">
        <v>342</v>
      </c>
      <c r="AC61" s="301" t="s">
        <v>343</v>
      </c>
      <c r="AD61" s="302" t="s">
        <v>344</v>
      </c>
      <c r="AE61" s="302" t="s">
        <v>345</v>
      </c>
      <c r="AF61" s="303" t="s">
        <v>28</v>
      </c>
      <c r="AG61" s="304" t="s">
        <v>347</v>
      </c>
      <c r="AH61" s="305" t="s">
        <v>362</v>
      </c>
      <c r="AI61" s="305" t="s">
        <v>386</v>
      </c>
      <c r="AJ61" s="305" t="s">
        <v>398</v>
      </c>
      <c r="AK61" s="306" t="s">
        <v>363</v>
      </c>
      <c r="AL61" s="306" t="s">
        <v>364</v>
      </c>
    </row>
    <row r="62" spans="1:39" x14ac:dyDescent="0.35">
      <c r="A62" t="s">
        <v>412</v>
      </c>
      <c r="B62" t="s">
        <v>34</v>
      </c>
      <c r="C62" s="217">
        <v>11620.027047525366</v>
      </c>
      <c r="D62" s="217"/>
      <c r="E62" s="395">
        <v>0</v>
      </c>
      <c r="F62" s="395"/>
      <c r="G62" s="395">
        <v>530.72536868397526</v>
      </c>
      <c r="H62" s="396">
        <f t="shared" ref="H62:H72" si="19">((C62*R44*O44)*S44*N44*(1-M44))+((C62*R44)+(C62*R44*O44))*P44*S44*Q44</f>
        <v>35.515450668056531</v>
      </c>
      <c r="I62" s="397">
        <v>53.124072276386478</v>
      </c>
      <c r="J62" s="398">
        <v>43</v>
      </c>
      <c r="K62" s="217"/>
      <c r="L62" s="14">
        <f t="shared" ref="L62:L71" si="20">$L$72/$C$72*C62</f>
        <v>0.72663304022892727</v>
      </c>
      <c r="M62" s="399">
        <v>0</v>
      </c>
      <c r="N62" s="4">
        <v>2.7E-2</v>
      </c>
      <c r="O62" s="4">
        <v>0.15</v>
      </c>
      <c r="P62" s="4">
        <v>0.4</v>
      </c>
      <c r="Q62" s="4">
        <v>1.9E-2</v>
      </c>
      <c r="R62" s="4">
        <v>0.9</v>
      </c>
      <c r="S62" s="4">
        <v>1</v>
      </c>
      <c r="T62" s="565">
        <v>3.0300000000000001E-14</v>
      </c>
      <c r="U62" s="565">
        <v>7.3000000000000004E-14</v>
      </c>
      <c r="V62" s="565">
        <v>2.1200000000000001E-15</v>
      </c>
      <c r="W62" s="565">
        <v>7.8699999999999997E-16</v>
      </c>
      <c r="X62" s="93">
        <v>7.6399999999999998E-13</v>
      </c>
      <c r="Y62" s="217">
        <v>17.93</v>
      </c>
      <c r="Z62" t="s">
        <v>408</v>
      </c>
      <c r="AA62" t="s">
        <v>480</v>
      </c>
      <c r="AB62" t="s">
        <v>408</v>
      </c>
      <c r="AC62" t="s">
        <v>206</v>
      </c>
      <c r="AD62" t="s">
        <v>480</v>
      </c>
      <c r="AE62" t="s">
        <v>401</v>
      </c>
      <c r="AG62" t="s">
        <v>268</v>
      </c>
      <c r="AH62" t="s">
        <v>397</v>
      </c>
      <c r="AI62" t="s">
        <v>400</v>
      </c>
      <c r="AJ62" t="s">
        <v>399</v>
      </c>
      <c r="AK62" s="88" t="s">
        <v>370</v>
      </c>
      <c r="AL62" s="88" t="s">
        <v>405</v>
      </c>
    </row>
    <row r="63" spans="1:39" x14ac:dyDescent="0.35">
      <c r="A63" t="s">
        <v>412</v>
      </c>
      <c r="B63" t="s">
        <v>36</v>
      </c>
      <c r="C63" s="217">
        <v>8957.9985923027562</v>
      </c>
      <c r="D63" s="217"/>
      <c r="E63" s="395">
        <v>0</v>
      </c>
      <c r="F63" s="395"/>
      <c r="G63" s="395">
        <v>409.14165570577455</v>
      </c>
      <c r="H63" s="396">
        <f t="shared" si="19"/>
        <v>27.379226897514148</v>
      </c>
      <c r="I63" s="397">
        <v>30.116538929333352</v>
      </c>
      <c r="J63" s="398">
        <v>43</v>
      </c>
      <c r="K63" s="217"/>
      <c r="L63" s="14">
        <f t="shared" si="20"/>
        <v>0.56016889847753115</v>
      </c>
      <c r="M63" s="399">
        <v>0</v>
      </c>
      <c r="N63" s="4">
        <v>2.7E-2</v>
      </c>
      <c r="O63" s="4">
        <v>0.15</v>
      </c>
      <c r="P63" s="4">
        <v>0.4</v>
      </c>
      <c r="Q63" s="4">
        <v>1.9E-2</v>
      </c>
      <c r="R63" s="4">
        <v>0.9</v>
      </c>
      <c r="S63" s="4">
        <v>1</v>
      </c>
      <c r="T63" s="565">
        <v>7.7900000000000001E-14</v>
      </c>
      <c r="U63" s="565">
        <v>1.1099999999999999E-13</v>
      </c>
      <c r="V63" s="565">
        <v>9.5299999999999998E-15</v>
      </c>
      <c r="W63" s="565">
        <v>7.0000000000000001E-15</v>
      </c>
      <c r="X63" s="12">
        <v>2.6799999999999999E-12</v>
      </c>
      <c r="Y63" s="217">
        <v>27.12</v>
      </c>
      <c r="Z63" t="s">
        <v>408</v>
      </c>
      <c r="AA63" t="s">
        <v>404</v>
      </c>
      <c r="AB63" t="s">
        <v>408</v>
      </c>
      <c r="AC63" t="s">
        <v>206</v>
      </c>
      <c r="AD63" t="s">
        <v>404</v>
      </c>
      <c r="AE63" t="s">
        <v>401</v>
      </c>
      <c r="AG63" t="s">
        <v>268</v>
      </c>
      <c r="AH63" t="s">
        <v>397</v>
      </c>
      <c r="AI63" t="s">
        <v>400</v>
      </c>
      <c r="AJ63" t="s">
        <v>399</v>
      </c>
      <c r="AK63" s="88" t="s">
        <v>371</v>
      </c>
      <c r="AL63" s="88" t="s">
        <v>405</v>
      </c>
    </row>
    <row r="64" spans="1:39" x14ac:dyDescent="0.35">
      <c r="A64" t="s">
        <v>412</v>
      </c>
      <c r="B64" t="s">
        <v>38</v>
      </c>
      <c r="C64" s="217">
        <v>6800.3022056072114</v>
      </c>
      <c r="D64" s="217"/>
      <c r="E64" s="395">
        <v>0</v>
      </c>
      <c r="F64" s="395"/>
      <c r="G64" s="395">
        <v>310.59246940410003</v>
      </c>
      <c r="H64" s="396">
        <f t="shared" si="19"/>
        <v>20.784443661217882</v>
      </c>
      <c r="I64" s="397">
        <v>22.862424457442835</v>
      </c>
      <c r="J64" s="398">
        <v>43</v>
      </c>
      <c r="K64" s="217"/>
      <c r="L64" s="14">
        <f t="shared" si="20"/>
        <v>0.42524206233996387</v>
      </c>
      <c r="M64" s="399">
        <v>0</v>
      </c>
      <c r="N64" s="4">
        <v>2.7E-2</v>
      </c>
      <c r="O64" s="4">
        <v>0.15</v>
      </c>
      <c r="P64" s="4">
        <v>0.4</v>
      </c>
      <c r="Q64" s="4">
        <v>1.9E-2</v>
      </c>
      <c r="R64" s="4">
        <v>0.9</v>
      </c>
      <c r="S64" s="4">
        <v>1</v>
      </c>
      <c r="T64" s="565">
        <v>7.5499999999999994E-14</v>
      </c>
      <c r="U64" s="565">
        <v>7.9399999999999995E-14</v>
      </c>
      <c r="V64" s="565">
        <v>4.5200000000000001E-15</v>
      </c>
      <c r="W64" s="565">
        <v>2.0500000000000002E-15</v>
      </c>
      <c r="X64" s="93">
        <v>2.0400000000000002E-12</v>
      </c>
      <c r="Y64" s="217">
        <v>30.62</v>
      </c>
      <c r="Z64" t="s">
        <v>408</v>
      </c>
      <c r="AA64" t="s">
        <v>404</v>
      </c>
      <c r="AB64" t="s">
        <v>408</v>
      </c>
      <c r="AC64" t="s">
        <v>206</v>
      </c>
      <c r="AD64" t="s">
        <v>404</v>
      </c>
      <c r="AE64" t="s">
        <v>401</v>
      </c>
      <c r="AG64" t="s">
        <v>268</v>
      </c>
      <c r="AH64" t="s">
        <v>397</v>
      </c>
      <c r="AI64" t="s">
        <v>400</v>
      </c>
      <c r="AJ64" t="s">
        <v>399</v>
      </c>
      <c r="AK64" s="88" t="s">
        <v>372</v>
      </c>
      <c r="AL64" s="88" t="s">
        <v>405</v>
      </c>
    </row>
    <row r="65" spans="1:38" x14ac:dyDescent="0.35">
      <c r="A65" t="s">
        <v>412</v>
      </c>
      <c r="B65" t="s">
        <v>40</v>
      </c>
      <c r="C65" s="217">
        <v>4358.7937985164663</v>
      </c>
      <c r="D65" s="217"/>
      <c r="E65" s="395">
        <v>0</v>
      </c>
      <c r="F65" s="395"/>
      <c r="G65" s="395">
        <v>199.0806420909087</v>
      </c>
      <c r="H65" s="396">
        <f t="shared" si="19"/>
        <v>13.322217365785729</v>
      </c>
      <c r="I65" s="397">
        <v>14.654141967688458</v>
      </c>
      <c r="J65" s="398">
        <v>43</v>
      </c>
      <c r="K65" s="217"/>
      <c r="L65" s="14">
        <f t="shared" si="20"/>
        <v>0.27256766069417365</v>
      </c>
      <c r="M65" s="399">
        <v>0</v>
      </c>
      <c r="N65" s="4">
        <v>2.7E-2</v>
      </c>
      <c r="O65" s="4">
        <v>0.15</v>
      </c>
      <c r="P65" s="4">
        <v>0.4</v>
      </c>
      <c r="Q65" s="4">
        <v>1.9E-2</v>
      </c>
      <c r="R65" s="4">
        <v>0.9</v>
      </c>
      <c r="S65" s="4">
        <v>1</v>
      </c>
      <c r="T65" s="565">
        <v>2.1499999999999999E-13</v>
      </c>
      <c r="U65" s="565">
        <v>1.31E-13</v>
      </c>
      <c r="V65" s="565">
        <v>9.5800000000000006E-14</v>
      </c>
      <c r="W65" s="565">
        <v>2.4600000000000001E-13</v>
      </c>
      <c r="X65" s="93">
        <v>1.0599999999999999E-11</v>
      </c>
      <c r="Y65" s="217">
        <v>20.12</v>
      </c>
      <c r="Z65" t="s">
        <v>408</v>
      </c>
      <c r="AA65" t="s">
        <v>404</v>
      </c>
      <c r="AB65" t="s">
        <v>408</v>
      </c>
      <c r="AC65" t="s">
        <v>206</v>
      </c>
      <c r="AD65" t="s">
        <v>404</v>
      </c>
      <c r="AE65" t="s">
        <v>401</v>
      </c>
      <c r="AG65" t="s">
        <v>268</v>
      </c>
      <c r="AH65" t="s">
        <v>397</v>
      </c>
      <c r="AI65" t="s">
        <v>400</v>
      </c>
      <c r="AJ65" t="s">
        <v>399</v>
      </c>
      <c r="AK65" s="88" t="s">
        <v>373</v>
      </c>
      <c r="AL65" s="88" t="s">
        <v>405</v>
      </c>
    </row>
    <row r="66" spans="1:38" x14ac:dyDescent="0.35">
      <c r="A66" t="s">
        <v>412</v>
      </c>
      <c r="B66" t="s">
        <v>42</v>
      </c>
      <c r="C66" s="217">
        <v>4160.8778074765978</v>
      </c>
      <c r="D66" s="217"/>
      <c r="E66" s="395">
        <v>0</v>
      </c>
      <c r="F66" s="395"/>
      <c r="G66" s="395">
        <v>190.04115906014786</v>
      </c>
      <c r="H66" s="396">
        <f t="shared" si="19"/>
        <v>12.717306930771473</v>
      </c>
      <c r="I66" s="397">
        <v>13.98875398091076</v>
      </c>
      <c r="J66" s="398">
        <v>43</v>
      </c>
      <c r="K66" s="217"/>
      <c r="L66" s="14">
        <f t="shared" si="20"/>
        <v>0.26019141598398188</v>
      </c>
      <c r="M66" s="399">
        <v>0</v>
      </c>
      <c r="N66" s="4">
        <v>2.7E-2</v>
      </c>
      <c r="O66" s="4">
        <v>0.15</v>
      </c>
      <c r="P66" s="4">
        <v>0.4</v>
      </c>
      <c r="Q66" s="4">
        <v>1.9E-2</v>
      </c>
      <c r="R66" s="4">
        <v>0.9</v>
      </c>
      <c r="S66" s="4">
        <v>1</v>
      </c>
      <c r="T66" s="565">
        <v>3.0099999999999998E-13</v>
      </c>
      <c r="U66" s="565">
        <v>6.3499999999999994E-14</v>
      </c>
      <c r="V66" s="565">
        <v>6.5900000000000002E-15</v>
      </c>
      <c r="W66" s="565">
        <v>3.3E-15</v>
      </c>
      <c r="X66" s="12">
        <v>2.6999999999999998E-12</v>
      </c>
      <c r="Y66" s="217">
        <v>87.91</v>
      </c>
      <c r="Z66" t="s">
        <v>408</v>
      </c>
      <c r="AA66" t="s">
        <v>404</v>
      </c>
      <c r="AB66" t="s">
        <v>408</v>
      </c>
      <c r="AC66" t="s">
        <v>206</v>
      </c>
      <c r="AD66" t="s">
        <v>404</v>
      </c>
      <c r="AE66" t="s">
        <v>401</v>
      </c>
      <c r="AG66" t="s">
        <v>268</v>
      </c>
      <c r="AH66" t="s">
        <v>397</v>
      </c>
      <c r="AI66" t="s">
        <v>400</v>
      </c>
      <c r="AJ66" t="s">
        <v>399</v>
      </c>
      <c r="AK66" s="88" t="s">
        <v>374</v>
      </c>
      <c r="AL66" s="88" t="s">
        <v>405</v>
      </c>
    </row>
    <row r="67" spans="1:38" x14ac:dyDescent="0.35">
      <c r="A67" t="s">
        <v>412</v>
      </c>
      <c r="B67" t="s">
        <v>44</v>
      </c>
      <c r="C67" s="217">
        <v>7690.3040278289909</v>
      </c>
      <c r="D67" s="217"/>
      <c r="E67" s="395">
        <v>0</v>
      </c>
      <c r="F67" s="395"/>
      <c r="G67" s="395">
        <v>351.24181929770947</v>
      </c>
      <c r="H67" s="396">
        <f t="shared" si="19"/>
        <v>23.504645230656532</v>
      </c>
      <c r="I67" s="397">
        <v>25.854585513278593</v>
      </c>
      <c r="J67" s="398">
        <v>43</v>
      </c>
      <c r="K67" s="217"/>
      <c r="L67" s="14">
        <f t="shared" si="20"/>
        <v>0.48089638459285577</v>
      </c>
      <c r="M67" s="399">
        <v>0</v>
      </c>
      <c r="N67" s="4">
        <v>2.7E-2</v>
      </c>
      <c r="O67" s="4">
        <v>0.15</v>
      </c>
      <c r="P67" s="4">
        <v>0.4</v>
      </c>
      <c r="Q67" s="4">
        <v>1.9E-2</v>
      </c>
      <c r="R67" s="4">
        <v>0.9</v>
      </c>
      <c r="S67" s="4">
        <v>1</v>
      </c>
      <c r="T67" s="565">
        <v>9.7499999999999995E-15</v>
      </c>
      <c r="U67" s="565">
        <v>1.2800000000000001E-13</v>
      </c>
      <c r="V67" s="565">
        <v>2E-16</v>
      </c>
      <c r="W67" s="565">
        <v>8.6099999999999999E-16</v>
      </c>
      <c r="X67" s="93">
        <v>9.4299999999999992E-13</v>
      </c>
      <c r="Y67" s="217">
        <v>58.61</v>
      </c>
      <c r="Z67" t="s">
        <v>408</v>
      </c>
      <c r="AA67" t="s">
        <v>404</v>
      </c>
      <c r="AB67" t="s">
        <v>408</v>
      </c>
      <c r="AC67" t="s">
        <v>206</v>
      </c>
      <c r="AD67" t="s">
        <v>404</v>
      </c>
      <c r="AE67" t="s">
        <v>401</v>
      </c>
      <c r="AG67" t="s">
        <v>268</v>
      </c>
      <c r="AH67" t="s">
        <v>397</v>
      </c>
      <c r="AI67" t="s">
        <v>400</v>
      </c>
      <c r="AJ67" t="s">
        <v>399</v>
      </c>
      <c r="AK67" s="88" t="s">
        <v>375</v>
      </c>
      <c r="AL67" s="88" t="s">
        <v>405</v>
      </c>
    </row>
    <row r="68" spans="1:38" x14ac:dyDescent="0.35">
      <c r="A68" t="s">
        <v>412</v>
      </c>
      <c r="B68" t="s">
        <v>46</v>
      </c>
      <c r="C68" s="217">
        <v>7266.2548894865295</v>
      </c>
      <c r="D68" s="217"/>
      <c r="E68" s="395">
        <v>0</v>
      </c>
      <c r="F68" s="395"/>
      <c r="G68" s="395">
        <v>331.87408165248138</v>
      </c>
      <c r="H68" s="396">
        <f t="shared" si="19"/>
        <v>22.208581444226631</v>
      </c>
      <c r="I68" s="397">
        <v>24.428944255217388</v>
      </c>
      <c r="J68" s="398">
        <v>43</v>
      </c>
      <c r="K68" s="217"/>
      <c r="L68" s="14">
        <f t="shared" si="20"/>
        <v>0.45437939686640638</v>
      </c>
      <c r="M68" s="399">
        <v>0</v>
      </c>
      <c r="N68" s="4">
        <v>2.7E-2</v>
      </c>
      <c r="O68" s="4">
        <v>0.15</v>
      </c>
      <c r="P68" s="4">
        <v>0.4</v>
      </c>
      <c r="Q68" s="4">
        <v>1.9E-2</v>
      </c>
      <c r="R68" s="4">
        <v>0.9</v>
      </c>
      <c r="S68" s="4">
        <v>1</v>
      </c>
      <c r="T68" s="565">
        <v>1.4999999999999999E-13</v>
      </c>
      <c r="U68" s="565">
        <v>1.2900000000000001E-13</v>
      </c>
      <c r="V68" s="565">
        <v>1.1499999999999999E-13</v>
      </c>
      <c r="W68" s="565">
        <v>6.5600000000000006E-14</v>
      </c>
      <c r="X68" s="93">
        <v>1.23E-11</v>
      </c>
      <c r="Y68" s="217">
        <v>28.43</v>
      </c>
      <c r="Z68" t="s">
        <v>408</v>
      </c>
      <c r="AA68" t="s">
        <v>404</v>
      </c>
      <c r="AB68" t="s">
        <v>408</v>
      </c>
      <c r="AC68" t="s">
        <v>206</v>
      </c>
      <c r="AD68" t="s">
        <v>404</v>
      </c>
      <c r="AE68" t="s">
        <v>401</v>
      </c>
      <c r="AG68" t="s">
        <v>268</v>
      </c>
      <c r="AH68" t="s">
        <v>397</v>
      </c>
      <c r="AI68" t="s">
        <v>400</v>
      </c>
      <c r="AJ68" t="s">
        <v>399</v>
      </c>
      <c r="AK68" s="88" t="s">
        <v>376</v>
      </c>
      <c r="AL68" s="88" t="s">
        <v>405</v>
      </c>
    </row>
    <row r="69" spans="1:38" x14ac:dyDescent="0.35">
      <c r="A69" t="s">
        <v>412</v>
      </c>
      <c r="B69" t="s">
        <v>48</v>
      </c>
      <c r="C69" s="217">
        <v>7031.6460926819464</v>
      </c>
      <c r="D69" s="217"/>
      <c r="E69" s="395">
        <v>0</v>
      </c>
      <c r="F69" s="395"/>
      <c r="G69" s="395">
        <v>321.15871587309346</v>
      </c>
      <c r="H69" s="396">
        <f t="shared" si="19"/>
        <v>21.491523117673104</v>
      </c>
      <c r="I69" s="397">
        <v>32.147057293567876</v>
      </c>
      <c r="J69" s="398">
        <v>43</v>
      </c>
      <c r="K69" s="217"/>
      <c r="L69" s="14">
        <f t="shared" si="20"/>
        <v>0.4397086475997023</v>
      </c>
      <c r="M69" s="399">
        <v>0</v>
      </c>
      <c r="N69" s="4">
        <v>2.7E-2</v>
      </c>
      <c r="O69" s="4">
        <v>0.15</v>
      </c>
      <c r="P69" s="4">
        <v>0.4</v>
      </c>
      <c r="Q69" s="4">
        <v>1.9E-2</v>
      </c>
      <c r="R69" s="4">
        <v>0.9</v>
      </c>
      <c r="S69" s="4">
        <v>1</v>
      </c>
      <c r="T69" s="565">
        <v>7.2899999999999997E-14</v>
      </c>
      <c r="U69" s="565">
        <v>1.3199999999999999E-13</v>
      </c>
      <c r="V69" s="565">
        <v>5.0799999999999997E-15</v>
      </c>
      <c r="W69" s="565">
        <v>2.9000000000000002E-15</v>
      </c>
      <c r="X69" s="93">
        <v>1.75E-12</v>
      </c>
      <c r="Y69" s="217">
        <v>36.74</v>
      </c>
      <c r="Z69" t="s">
        <v>408</v>
      </c>
      <c r="AA69" t="s">
        <v>408</v>
      </c>
      <c r="AC69" t="s">
        <v>206</v>
      </c>
      <c r="AD69" t="s">
        <v>408</v>
      </c>
      <c r="AE69" t="s">
        <v>401</v>
      </c>
      <c r="AG69" t="s">
        <v>268</v>
      </c>
      <c r="AH69" t="s">
        <v>397</v>
      </c>
      <c r="AI69" t="s">
        <v>400</v>
      </c>
      <c r="AJ69" t="s">
        <v>399</v>
      </c>
      <c r="AK69" s="88" t="s">
        <v>377</v>
      </c>
      <c r="AL69" s="88" t="s">
        <v>405</v>
      </c>
    </row>
    <row r="70" spans="1:38" x14ac:dyDescent="0.35">
      <c r="A70" t="s">
        <v>412</v>
      </c>
      <c r="B70" t="s">
        <v>50</v>
      </c>
      <c r="C70" s="217">
        <v>7804.2659524530864</v>
      </c>
      <c r="D70" s="217"/>
      <c r="E70" s="395">
        <v>0</v>
      </c>
      <c r="F70" s="395"/>
      <c r="G70" s="395">
        <v>356.44684026837399</v>
      </c>
      <c r="H70" s="396">
        <f t="shared" si="19"/>
        <v>23.852958457077616</v>
      </c>
      <c r="I70" s="397">
        <v>26.237722293669744</v>
      </c>
      <c r="J70" s="398">
        <v>43</v>
      </c>
      <c r="K70" s="217"/>
      <c r="L70" s="14">
        <f t="shared" si="20"/>
        <v>0.48802274492069869</v>
      </c>
      <c r="M70" s="399">
        <v>0</v>
      </c>
      <c r="N70" s="4">
        <v>2.7E-2</v>
      </c>
      <c r="O70" s="4">
        <v>0.15</v>
      </c>
      <c r="P70" s="4">
        <v>0.4</v>
      </c>
      <c r="Q70" s="4">
        <v>1.9E-2</v>
      </c>
      <c r="R70" s="4">
        <v>0.9</v>
      </c>
      <c r="S70" s="4">
        <v>1</v>
      </c>
      <c r="T70" s="565">
        <v>8.8799999999999998E-14</v>
      </c>
      <c r="U70" s="565">
        <v>6.2000000000000001E-14</v>
      </c>
      <c r="V70" s="565">
        <v>2.1200000000000001E-15</v>
      </c>
      <c r="W70" s="565">
        <v>5.1299999999999995E-16</v>
      </c>
      <c r="X70" s="12">
        <v>8.3699999999999997E-13</v>
      </c>
      <c r="Y70" s="217">
        <v>92.72</v>
      </c>
      <c r="Z70" t="s">
        <v>408</v>
      </c>
      <c r="AA70" t="s">
        <v>404</v>
      </c>
      <c r="AB70" t="s">
        <v>408</v>
      </c>
      <c r="AC70" t="s">
        <v>206</v>
      </c>
      <c r="AD70" t="s">
        <v>404</v>
      </c>
      <c r="AE70" t="s">
        <v>401</v>
      </c>
      <c r="AG70" t="s">
        <v>268</v>
      </c>
      <c r="AH70" t="s">
        <v>397</v>
      </c>
      <c r="AI70" t="s">
        <v>400</v>
      </c>
      <c r="AJ70" t="s">
        <v>399</v>
      </c>
      <c r="AK70" s="88" t="s">
        <v>378</v>
      </c>
      <c r="AL70" s="88" t="s">
        <v>405</v>
      </c>
    </row>
    <row r="71" spans="1:38" x14ac:dyDescent="0.35">
      <c r="A71" t="s">
        <v>412</v>
      </c>
      <c r="B71" t="s">
        <v>52</v>
      </c>
      <c r="C71" s="217">
        <v>8545.0968483709603</v>
      </c>
      <c r="D71" s="217"/>
      <c r="E71" s="395">
        <v>0</v>
      </c>
      <c r="F71" s="395"/>
      <c r="G71" s="395">
        <v>390.28305672126299</v>
      </c>
      <c r="H71" s="396">
        <f t="shared" si="19"/>
        <v>26.117234007361006</v>
      </c>
      <c r="I71" s="397">
        <v>28.728374897269696</v>
      </c>
      <c r="J71" s="398">
        <v>43</v>
      </c>
      <c r="K71" s="217"/>
      <c r="L71" s="14">
        <f t="shared" si="20"/>
        <v>0.53434898874049819</v>
      </c>
      <c r="M71" s="399">
        <v>0</v>
      </c>
      <c r="N71" s="4">
        <v>2.7E-2</v>
      </c>
      <c r="O71" s="4">
        <v>0.15</v>
      </c>
      <c r="P71" s="4">
        <v>0.4</v>
      </c>
      <c r="Q71" s="4">
        <v>1.9E-2</v>
      </c>
      <c r="R71" s="4">
        <v>0.9</v>
      </c>
      <c r="S71" s="4">
        <v>1</v>
      </c>
      <c r="T71" s="565">
        <v>1.7500000000000001E-13</v>
      </c>
      <c r="U71" s="565">
        <v>1.6E-13</v>
      </c>
      <c r="V71" s="565">
        <v>3.0300000000000001E-14</v>
      </c>
      <c r="W71" s="565">
        <v>1.0799999999999999E-13</v>
      </c>
      <c r="X71" s="12">
        <v>1.5700000000000001E-11</v>
      </c>
      <c r="Y71" s="217">
        <v>8.75</v>
      </c>
      <c r="Z71" t="s">
        <v>408</v>
      </c>
      <c r="AA71" t="s">
        <v>404</v>
      </c>
      <c r="AB71" t="s">
        <v>408</v>
      </c>
      <c r="AC71" t="s">
        <v>206</v>
      </c>
      <c r="AD71" t="s">
        <v>404</v>
      </c>
      <c r="AE71" t="s">
        <v>401</v>
      </c>
      <c r="AG71" t="s">
        <v>268</v>
      </c>
      <c r="AH71" t="s">
        <v>397</v>
      </c>
      <c r="AI71" t="s">
        <v>400</v>
      </c>
      <c r="AJ71" t="s">
        <v>399</v>
      </c>
      <c r="AK71" s="88" t="s">
        <v>379</v>
      </c>
      <c r="AL71" s="88" t="s">
        <v>405</v>
      </c>
    </row>
    <row r="72" spans="1:38" x14ac:dyDescent="0.35">
      <c r="A72" t="s">
        <v>412</v>
      </c>
      <c r="B72" s="16" t="s">
        <v>54</v>
      </c>
      <c r="C72" s="217">
        <v>3837.9847006784448</v>
      </c>
      <c r="D72" s="217"/>
      <c r="E72" s="395">
        <v>0</v>
      </c>
      <c r="F72" s="395"/>
      <c r="G72" s="395">
        <v>175.2935545623202</v>
      </c>
      <c r="H72" s="396">
        <f t="shared" si="19"/>
        <v>11.730416439153601</v>
      </c>
      <c r="I72" s="397">
        <v>12.903196451435843</v>
      </c>
      <c r="J72" s="398">
        <v>43</v>
      </c>
      <c r="K72" s="217"/>
      <c r="L72" s="14">
        <v>0.24</v>
      </c>
      <c r="M72" s="399">
        <v>0</v>
      </c>
      <c r="N72" s="4">
        <v>2.7E-2</v>
      </c>
      <c r="O72" s="4">
        <v>0.15</v>
      </c>
      <c r="P72" s="4">
        <v>0.4</v>
      </c>
      <c r="Q72" s="4">
        <v>1.9E-2</v>
      </c>
      <c r="R72" s="4">
        <v>0.9</v>
      </c>
      <c r="S72" s="4">
        <v>1</v>
      </c>
      <c r="T72" s="565">
        <v>4.9699999999999999E-14</v>
      </c>
      <c r="U72" s="565">
        <v>8.2700000000000004E-14</v>
      </c>
      <c r="V72" s="565">
        <v>1.36E-15</v>
      </c>
      <c r="W72" s="565">
        <v>1.38E-16</v>
      </c>
      <c r="X72" s="93">
        <v>3.92E-13</v>
      </c>
      <c r="Y72" s="217">
        <v>17.93</v>
      </c>
      <c r="Z72" t="s">
        <v>408</v>
      </c>
      <c r="AA72" t="s">
        <v>404</v>
      </c>
      <c r="AB72" t="s">
        <v>408</v>
      </c>
      <c r="AC72" t="s">
        <v>206</v>
      </c>
      <c r="AD72" t="s">
        <v>404</v>
      </c>
      <c r="AE72" t="s">
        <v>401</v>
      </c>
      <c r="AG72" t="s">
        <v>402</v>
      </c>
      <c r="AH72" t="s">
        <v>397</v>
      </c>
      <c r="AI72" t="s">
        <v>400</v>
      </c>
      <c r="AJ72" t="s">
        <v>399</v>
      </c>
      <c r="AK72" s="88" t="s">
        <v>380</v>
      </c>
      <c r="AL72" s="88" t="s">
        <v>405</v>
      </c>
    </row>
    <row r="73" spans="1:38" x14ac:dyDescent="0.35">
      <c r="A73" t="s">
        <v>412</v>
      </c>
      <c r="B73" t="s">
        <v>493</v>
      </c>
      <c r="C73" s="116">
        <f>C67</f>
        <v>7690.3040278289909</v>
      </c>
      <c r="D73" s="217"/>
      <c r="E73" s="116">
        <f t="shared" ref="E73:L73" si="21">E67</f>
        <v>0</v>
      </c>
      <c r="F73" s="116"/>
      <c r="G73" s="116">
        <f t="shared" si="21"/>
        <v>351.24181929770947</v>
      </c>
      <c r="H73" s="116">
        <f t="shared" si="21"/>
        <v>23.504645230656532</v>
      </c>
      <c r="I73" s="116">
        <f t="shared" si="21"/>
        <v>25.854585513278593</v>
      </c>
      <c r="J73" s="116">
        <f t="shared" si="21"/>
        <v>43</v>
      </c>
      <c r="K73" s="116"/>
      <c r="L73" s="116">
        <f t="shared" si="21"/>
        <v>0.48089638459285577</v>
      </c>
      <c r="M73" s="72">
        <f t="shared" ref="M73:S73" si="22">M66</f>
        <v>0</v>
      </c>
      <c r="N73" s="72">
        <f t="shared" si="22"/>
        <v>2.7E-2</v>
      </c>
      <c r="O73" s="72">
        <f t="shared" si="22"/>
        <v>0.15</v>
      </c>
      <c r="P73" s="72">
        <f t="shared" si="22"/>
        <v>0.4</v>
      </c>
      <c r="Q73" s="72">
        <f t="shared" si="22"/>
        <v>1.9E-2</v>
      </c>
      <c r="R73" s="72">
        <f t="shared" si="22"/>
        <v>0.9</v>
      </c>
      <c r="S73" s="72">
        <f t="shared" si="22"/>
        <v>1</v>
      </c>
      <c r="T73" s="565">
        <v>9.1100000000000001E-15</v>
      </c>
      <c r="U73" s="565">
        <v>1.06E-13</v>
      </c>
      <c r="V73" s="565">
        <v>2.1199999999999999E-16</v>
      </c>
      <c r="W73" s="565">
        <v>6.92E-16</v>
      </c>
      <c r="X73" s="307">
        <v>9.1799999999999993E-13</v>
      </c>
      <c r="Z73" t="s">
        <v>547</v>
      </c>
    </row>
    <row r="75" spans="1:38" ht="21" x14ac:dyDescent="0.5">
      <c r="A75" s="2" t="s">
        <v>422</v>
      </c>
      <c r="H75" s="361"/>
    </row>
    <row r="76" spans="1:38" x14ac:dyDescent="0.35">
      <c r="K76" s="16"/>
    </row>
    <row r="77" spans="1:38" x14ac:dyDescent="0.35">
      <c r="A77" s="420"/>
      <c r="B77" s="420" t="s">
        <v>424</v>
      </c>
      <c r="C77" s="420" t="s">
        <v>423</v>
      </c>
      <c r="D77" s="420"/>
      <c r="E77" s="420" t="s">
        <v>425</v>
      </c>
      <c r="F77" s="420"/>
      <c r="G77" s="420" t="s">
        <v>426</v>
      </c>
      <c r="I77" s="167" t="s">
        <v>363</v>
      </c>
      <c r="K77" s="16"/>
      <c r="L77" t="s">
        <v>444</v>
      </c>
    </row>
    <row r="78" spans="1:38" x14ac:dyDescent="0.35">
      <c r="A78" t="s">
        <v>34</v>
      </c>
      <c r="B78" s="119">
        <v>1059276</v>
      </c>
      <c r="C78" s="119">
        <v>484.00000000000006</v>
      </c>
      <c r="D78" s="119"/>
      <c r="E78" s="10">
        <f t="shared" ref="E78:E88" si="23">B78/SUM($B78:$C78)</f>
        <v>0.99954329282101606</v>
      </c>
      <c r="F78" s="10"/>
      <c r="G78" s="10">
        <f t="shared" ref="G78:G88" si="24">C78/SUM($B78:$C78)</f>
        <v>4.5670717898392094E-4</v>
      </c>
      <c r="I78" t="s">
        <v>443</v>
      </c>
      <c r="K78" s="16"/>
    </row>
    <row r="79" spans="1:38" x14ac:dyDescent="0.35">
      <c r="A79" t="s">
        <v>36</v>
      </c>
      <c r="B79" s="119">
        <v>2852134.0000000005</v>
      </c>
      <c r="C79" s="119">
        <v>295444.91935483797</v>
      </c>
      <c r="D79" s="119"/>
      <c r="E79" s="10">
        <f t="shared" si="23"/>
        <v>0.90613581837833779</v>
      </c>
      <c r="F79" s="10"/>
      <c r="G79" s="10">
        <f t="shared" si="24"/>
        <v>9.3864181621662254E-2</v>
      </c>
      <c r="I79" t="s">
        <v>408</v>
      </c>
      <c r="J79" s="9"/>
      <c r="K79" s="16"/>
    </row>
    <row r="80" spans="1:38" x14ac:dyDescent="0.35">
      <c r="A80" t="s">
        <v>38</v>
      </c>
      <c r="B80" s="119">
        <v>286100</v>
      </c>
      <c r="C80" s="119">
        <v>44886.792304672119</v>
      </c>
      <c r="D80" s="119"/>
      <c r="E80" s="10">
        <f t="shared" si="23"/>
        <v>0.86438494420842626</v>
      </c>
      <c r="F80" s="10"/>
      <c r="G80" s="10">
        <f t="shared" si="24"/>
        <v>0.13561505579157368</v>
      </c>
      <c r="I80" t="s">
        <v>408</v>
      </c>
      <c r="J80" s="9"/>
      <c r="K80" s="16"/>
    </row>
    <row r="81" spans="1:19" x14ac:dyDescent="0.35">
      <c r="A81" t="s">
        <v>40</v>
      </c>
      <c r="B81" s="119">
        <v>108490</v>
      </c>
      <c r="C81" s="119">
        <v>149600</v>
      </c>
      <c r="D81" s="119"/>
      <c r="E81" s="10">
        <f t="shared" si="23"/>
        <v>0.42035723972257738</v>
      </c>
      <c r="F81" s="10"/>
      <c r="G81" s="10">
        <f t="shared" si="24"/>
        <v>0.57964276027742256</v>
      </c>
      <c r="I81" t="s">
        <v>408</v>
      </c>
      <c r="J81" s="9"/>
      <c r="K81" s="16"/>
    </row>
    <row r="82" spans="1:19" x14ac:dyDescent="0.35">
      <c r="A82" t="s">
        <v>42</v>
      </c>
      <c r="B82" s="119">
        <v>36106.000000000007</v>
      </c>
      <c r="C82" s="119">
        <v>185007.9999999998</v>
      </c>
      <c r="D82" s="119"/>
      <c r="E82" s="10">
        <f t="shared" si="23"/>
        <v>0.16329133388207007</v>
      </c>
      <c r="F82" s="10"/>
      <c r="G82" s="10">
        <f t="shared" si="24"/>
        <v>0.83670866611792993</v>
      </c>
      <c r="I82" t="s">
        <v>408</v>
      </c>
      <c r="J82" s="9"/>
      <c r="K82" s="16"/>
    </row>
    <row r="83" spans="1:19" x14ac:dyDescent="0.35">
      <c r="A83" t="s">
        <v>44</v>
      </c>
      <c r="B83" s="119">
        <v>94045.999999999985</v>
      </c>
      <c r="C83" s="119">
        <v>8.0000000000000018</v>
      </c>
      <c r="D83" s="119"/>
      <c r="E83" s="10">
        <f t="shared" si="23"/>
        <v>0.99991494247985202</v>
      </c>
      <c r="F83" s="10"/>
      <c r="G83" s="10">
        <f t="shared" si="24"/>
        <v>8.505752014800012E-5</v>
      </c>
      <c r="I83" t="s">
        <v>408</v>
      </c>
      <c r="J83" s="9"/>
      <c r="K83" s="16"/>
    </row>
    <row r="84" spans="1:19" x14ac:dyDescent="0.35">
      <c r="A84" t="s">
        <v>46</v>
      </c>
      <c r="B84" s="119">
        <v>818844</v>
      </c>
      <c r="C84" s="119">
        <v>691136</v>
      </c>
      <c r="D84" s="119"/>
      <c r="E84" s="10">
        <f t="shared" si="23"/>
        <v>0.54228797732420297</v>
      </c>
      <c r="F84" s="10"/>
      <c r="G84" s="10">
        <f t="shared" si="24"/>
        <v>0.45771202267579703</v>
      </c>
      <c r="I84" t="s">
        <v>408</v>
      </c>
      <c r="J84" s="9"/>
      <c r="K84" s="16"/>
    </row>
    <row r="85" spans="1:19" x14ac:dyDescent="0.35">
      <c r="A85" t="s">
        <v>48</v>
      </c>
      <c r="B85" s="119">
        <v>286100</v>
      </c>
      <c r="C85" s="119">
        <v>44886.792304672119</v>
      </c>
      <c r="D85" s="119"/>
      <c r="E85" s="10">
        <f t="shared" si="23"/>
        <v>0.86438494420842626</v>
      </c>
      <c r="F85" s="10"/>
      <c r="G85" s="10">
        <f t="shared" si="24"/>
        <v>0.13561505579157368</v>
      </c>
      <c r="I85" t="s">
        <v>442</v>
      </c>
      <c r="K85" s="16"/>
    </row>
    <row r="86" spans="1:19" x14ac:dyDescent="0.35">
      <c r="A86" t="s">
        <v>50</v>
      </c>
      <c r="B86" s="119">
        <v>201026</v>
      </c>
      <c r="C86" s="119">
        <v>54147.999999999993</v>
      </c>
      <c r="D86" s="119"/>
      <c r="E86" s="10">
        <f t="shared" si="23"/>
        <v>0.78779969746134015</v>
      </c>
      <c r="F86" s="10"/>
      <c r="G86" s="10">
        <f t="shared" si="24"/>
        <v>0.21220030253865987</v>
      </c>
      <c r="I86" t="s">
        <v>408</v>
      </c>
      <c r="J86" s="9"/>
      <c r="K86" s="16"/>
    </row>
    <row r="87" spans="1:19" x14ac:dyDescent="0.35">
      <c r="A87" t="s">
        <v>52</v>
      </c>
      <c r="B87" s="119">
        <v>286312</v>
      </c>
      <c r="C87" s="119">
        <v>262695.99999999983</v>
      </c>
      <c r="D87" s="119"/>
      <c r="E87" s="10">
        <f t="shared" si="23"/>
        <v>0.52150788330953302</v>
      </c>
      <c r="F87" s="10"/>
      <c r="G87" s="10">
        <f t="shared" si="24"/>
        <v>0.47849211669046704</v>
      </c>
      <c r="I87" t="s">
        <v>408</v>
      </c>
      <c r="J87" s="9"/>
      <c r="K87" s="16"/>
    </row>
    <row r="88" spans="1:19" x14ac:dyDescent="0.35">
      <c r="A88" s="16" t="s">
        <v>54</v>
      </c>
      <c r="B88" s="119">
        <v>1059276</v>
      </c>
      <c r="C88" s="119">
        <v>484.00000000000006</v>
      </c>
      <c r="D88" s="119"/>
      <c r="E88" s="10">
        <f t="shared" si="23"/>
        <v>0.99954329282101606</v>
      </c>
      <c r="F88" s="10"/>
      <c r="G88" s="10">
        <f t="shared" si="24"/>
        <v>4.5670717898392094E-4</v>
      </c>
      <c r="H88" s="16"/>
      <c r="I88" t="s">
        <v>408</v>
      </c>
      <c r="J88" s="9"/>
      <c r="K88" s="16"/>
    </row>
    <row r="89" spans="1:19" x14ac:dyDescent="0.35">
      <c r="A89" t="s">
        <v>493</v>
      </c>
      <c r="B89" s="119">
        <f>B83</f>
        <v>94045.999999999985</v>
      </c>
      <c r="C89" s="119">
        <f>C83</f>
        <v>8.0000000000000018</v>
      </c>
      <c r="D89" s="119"/>
      <c r="E89" s="10">
        <f t="shared" ref="E89:G89" si="25">E82</f>
        <v>0.16329133388207007</v>
      </c>
      <c r="F89" s="10"/>
      <c r="G89" s="10">
        <f t="shared" si="25"/>
        <v>0.83670866611792993</v>
      </c>
      <c r="I89" s="6" t="s">
        <v>548</v>
      </c>
      <c r="K89" s="16"/>
      <c r="S89" s="16"/>
    </row>
    <row r="90" spans="1:19" x14ac:dyDescent="0.35">
      <c r="A90" s="6"/>
      <c r="K90" s="16"/>
    </row>
    <row r="91" spans="1:19" x14ac:dyDescent="0.35">
      <c r="K91" s="16"/>
    </row>
    <row r="92" spans="1:19" x14ac:dyDescent="0.35">
      <c r="K92" s="16"/>
    </row>
    <row r="93" spans="1:19" x14ac:dyDescent="0.35">
      <c r="K93" s="16"/>
    </row>
    <row r="94" spans="1:19" x14ac:dyDescent="0.35">
      <c r="K94" s="16"/>
    </row>
    <row r="95" spans="1:19" x14ac:dyDescent="0.35">
      <c r="K95" s="16"/>
    </row>
    <row r="96" spans="1:19" x14ac:dyDescent="0.35">
      <c r="K96" s="16"/>
    </row>
    <row r="101" spans="20:22" x14ac:dyDescent="0.35">
      <c r="T101" s="102"/>
      <c r="U101" s="9"/>
      <c r="V101" s="9"/>
    </row>
    <row r="102" spans="20:22" x14ac:dyDescent="0.35">
      <c r="T102" s="102"/>
      <c r="U102" s="9"/>
      <c r="V102" s="9"/>
    </row>
    <row r="103" spans="20:22" x14ac:dyDescent="0.35">
      <c r="T103" s="102"/>
      <c r="U103" s="9"/>
      <c r="V103" s="9"/>
    </row>
    <row r="104" spans="20:22" x14ac:dyDescent="0.35">
      <c r="T104" s="102"/>
      <c r="U104" s="9"/>
      <c r="V104" s="9"/>
    </row>
    <row r="105" spans="20:22" x14ac:dyDescent="0.35">
      <c r="T105" s="102"/>
      <c r="U105" s="9"/>
      <c r="V105" s="9"/>
    </row>
    <row r="106" spans="20:22" x14ac:dyDescent="0.35">
      <c r="T106" s="102"/>
      <c r="U106" s="9"/>
      <c r="V106" s="9"/>
    </row>
    <row r="108" spans="20:22" x14ac:dyDescent="0.35">
      <c r="T108" s="102"/>
      <c r="U108" s="9"/>
      <c r="V108" s="9"/>
    </row>
    <row r="109" spans="20:22" x14ac:dyDescent="0.35">
      <c r="T109" s="102"/>
      <c r="U109" s="9"/>
      <c r="V109" s="9"/>
    </row>
    <row r="110" spans="20:22" x14ac:dyDescent="0.35">
      <c r="T110" s="102"/>
      <c r="U110" s="9"/>
      <c r="V110" s="9"/>
    </row>
    <row r="118" spans="11:11" x14ac:dyDescent="0.35">
      <c r="K118" s="16"/>
    </row>
    <row r="119" spans="11:11" x14ac:dyDescent="0.35">
      <c r="K119" s="16"/>
    </row>
    <row r="120" spans="11:11" x14ac:dyDescent="0.35">
      <c r="K120" s="16"/>
    </row>
    <row r="121" spans="11:11" x14ac:dyDescent="0.35">
      <c r="K121" s="16"/>
    </row>
    <row r="122" spans="11:11" x14ac:dyDescent="0.35">
      <c r="K122" s="16"/>
    </row>
    <row r="123" spans="11:11" x14ac:dyDescent="0.35">
      <c r="K123" s="16"/>
    </row>
    <row r="124" spans="11:11" x14ac:dyDescent="0.35">
      <c r="K124" s="16"/>
    </row>
    <row r="125" spans="11:11" x14ac:dyDescent="0.35">
      <c r="K125" s="16"/>
    </row>
    <row r="126" spans="11:11" x14ac:dyDescent="0.35">
      <c r="K126" s="16"/>
    </row>
    <row r="127" spans="11:11" x14ac:dyDescent="0.35">
      <c r="K127" s="16"/>
    </row>
    <row r="128" spans="11:11" x14ac:dyDescent="0.35">
      <c r="K128" s="16"/>
    </row>
    <row r="129" spans="11:11" x14ac:dyDescent="0.35">
      <c r="K129" s="16"/>
    </row>
    <row r="130" spans="11:11" x14ac:dyDescent="0.35">
      <c r="K130" s="16"/>
    </row>
    <row r="131" spans="11:11" x14ac:dyDescent="0.35">
      <c r="K131" s="16"/>
    </row>
    <row r="132" spans="11:11" x14ac:dyDescent="0.35">
      <c r="K132" s="16"/>
    </row>
    <row r="133" spans="11:11" x14ac:dyDescent="0.35">
      <c r="K133" s="16"/>
    </row>
    <row r="134" spans="11:11" x14ac:dyDescent="0.35">
      <c r="K134" s="16"/>
    </row>
    <row r="135" spans="11:11" x14ac:dyDescent="0.35">
      <c r="K135" s="16"/>
    </row>
  </sheetData>
  <phoneticPr fontId="78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F04F3-FD34-439B-98A8-BE0BA5C72459}">
  <dimension ref="A2:S98"/>
  <sheetViews>
    <sheetView zoomScale="72" workbookViewId="0">
      <selection activeCell="K90" sqref="K90"/>
    </sheetView>
  </sheetViews>
  <sheetFormatPr defaultColWidth="8.7265625" defaultRowHeight="14.5" x14ac:dyDescent="0.35"/>
  <cols>
    <col min="1" max="1" width="10.7265625" customWidth="1"/>
    <col min="2" max="2" width="18.26953125" customWidth="1"/>
    <col min="3" max="3" width="11.7265625" customWidth="1"/>
    <col min="4" max="4" width="16.7265625" customWidth="1"/>
    <col min="5" max="5" width="12.26953125" customWidth="1"/>
    <col min="6" max="7" width="14.7265625" customWidth="1"/>
    <col min="8" max="8" width="11.26953125" customWidth="1"/>
    <col min="9" max="9" width="12.26953125" customWidth="1"/>
    <col min="10" max="10" width="14.26953125" customWidth="1"/>
    <col min="11" max="11" width="12" customWidth="1"/>
    <col min="12" max="12" width="14.7265625" customWidth="1"/>
    <col min="13" max="13" width="14.26953125" customWidth="1"/>
    <col min="14" max="14" width="15" customWidth="1"/>
    <col min="15" max="15" width="15.453125" customWidth="1"/>
    <col min="16" max="16" width="15" customWidth="1"/>
    <col min="17" max="17" width="17.7265625" customWidth="1"/>
    <col min="18" max="18" width="24.7265625" customWidth="1"/>
  </cols>
  <sheetData>
    <row r="2" spans="1:19" ht="21" x14ac:dyDescent="0.5">
      <c r="A2" s="2" t="s">
        <v>289</v>
      </c>
    </row>
    <row r="4" spans="1:19" ht="18.5" x14ac:dyDescent="0.45">
      <c r="A4" s="260" t="s">
        <v>232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</row>
    <row r="6" spans="1:19" ht="18.5" x14ac:dyDescent="0.45">
      <c r="A6" s="1" t="s">
        <v>290</v>
      </c>
    </row>
    <row r="8" spans="1:19" x14ac:dyDescent="0.35">
      <c r="A8" s="261" t="s">
        <v>215</v>
      </c>
      <c r="B8" s="262"/>
      <c r="C8" s="262"/>
      <c r="D8" s="262"/>
      <c r="E8" s="263" t="s">
        <v>60</v>
      </c>
      <c r="F8" s="263" t="s">
        <v>61</v>
      </c>
      <c r="G8" s="264"/>
      <c r="H8" s="263" t="s">
        <v>62</v>
      </c>
      <c r="I8" s="265"/>
      <c r="J8" s="266" t="s">
        <v>63</v>
      </c>
      <c r="K8" s="265"/>
      <c r="L8" s="265"/>
      <c r="M8" s="265"/>
      <c r="N8" s="266" t="s">
        <v>64</v>
      </c>
      <c r="O8" s="266" t="s">
        <v>291</v>
      </c>
      <c r="P8" s="266" t="s">
        <v>65</v>
      </c>
    </row>
    <row r="9" spans="1:19" ht="43.5" x14ac:dyDescent="0.35">
      <c r="A9" s="267" t="s">
        <v>14</v>
      </c>
      <c r="B9" s="267" t="s">
        <v>215</v>
      </c>
      <c r="C9" s="267" t="s">
        <v>69</v>
      </c>
      <c r="D9" s="268" t="s">
        <v>292</v>
      </c>
      <c r="E9" s="269"/>
      <c r="F9" s="46" t="s">
        <v>218</v>
      </c>
      <c r="G9" s="46" t="s">
        <v>71</v>
      </c>
      <c r="H9" s="46" t="s">
        <v>219</v>
      </c>
      <c r="I9" s="46" t="s">
        <v>220</v>
      </c>
      <c r="J9" s="46" t="s">
        <v>72</v>
      </c>
      <c r="K9" s="46" t="s">
        <v>73</v>
      </c>
      <c r="L9" s="46" t="s">
        <v>74</v>
      </c>
      <c r="M9" s="46" t="s">
        <v>75</v>
      </c>
      <c r="N9" s="46" t="s">
        <v>76</v>
      </c>
      <c r="O9" s="46"/>
      <c r="P9" s="46"/>
      <c r="R9" s="270" t="s">
        <v>255</v>
      </c>
    </row>
    <row r="10" spans="1:19" ht="18" customHeight="1" x14ac:dyDescent="0.35">
      <c r="A10" t="s">
        <v>293</v>
      </c>
      <c r="B10" t="s">
        <v>294</v>
      </c>
      <c r="C10" t="s">
        <v>90</v>
      </c>
      <c r="D10" t="s">
        <v>295</v>
      </c>
      <c r="E10" s="4">
        <f t="shared" ref="E10:E20" si="0">SUM(F10:P10)</f>
        <v>1.2947363945588042</v>
      </c>
      <c r="F10" s="4">
        <v>6.3780206352419501E-3</v>
      </c>
      <c r="G10" s="4">
        <v>3.01313E-2</v>
      </c>
      <c r="H10" s="4">
        <v>0.36167247211622844</v>
      </c>
      <c r="I10" s="4">
        <v>4.3198581779485433E-3</v>
      </c>
      <c r="J10" s="4">
        <v>5.168680555007258E-2</v>
      </c>
      <c r="K10" s="4">
        <v>0</v>
      </c>
      <c r="L10" s="4">
        <v>8.3348896151578009E-5</v>
      </c>
      <c r="M10" s="4">
        <v>3.9645293683161227E-2</v>
      </c>
      <c r="N10" s="4">
        <v>0.80081929549999997</v>
      </c>
      <c r="O10" s="4">
        <v>0</v>
      </c>
      <c r="P10" s="4">
        <v>0</v>
      </c>
      <c r="R10" s="122" t="s">
        <v>296</v>
      </c>
      <c r="S10" s="6"/>
    </row>
    <row r="11" spans="1:19" x14ac:dyDescent="0.35">
      <c r="A11" t="s">
        <v>293</v>
      </c>
      <c r="B11" t="s">
        <v>294</v>
      </c>
      <c r="C11" t="s">
        <v>86</v>
      </c>
      <c r="D11" t="s">
        <v>295</v>
      </c>
      <c r="E11" s="4">
        <f t="shared" si="0"/>
        <v>0.92073417828065618</v>
      </c>
      <c r="F11" s="4">
        <v>3.8012291590112874E-3</v>
      </c>
      <c r="G11" s="4">
        <v>2.7E-2</v>
      </c>
      <c r="H11" s="4"/>
      <c r="I11" s="4"/>
      <c r="J11" s="4">
        <v>5.0646723842195554E-2</v>
      </c>
      <c r="K11" s="4"/>
      <c r="L11" s="4">
        <v>7.5028151531290012E-5</v>
      </c>
      <c r="M11" s="4">
        <v>3.8391901627918008E-2</v>
      </c>
      <c r="N11" s="4">
        <v>0.80081929549999997</v>
      </c>
      <c r="O11" s="4"/>
      <c r="P11" s="4"/>
    </row>
    <row r="12" spans="1:19" x14ac:dyDescent="0.35">
      <c r="A12" t="s">
        <v>293</v>
      </c>
      <c r="B12" t="s">
        <v>294</v>
      </c>
      <c r="C12" t="s">
        <v>87</v>
      </c>
      <c r="D12" t="s">
        <v>295</v>
      </c>
      <c r="E12" s="4">
        <f t="shared" si="0"/>
        <v>1.549735128053641E-4</v>
      </c>
      <c r="F12" s="4">
        <v>8.1660966199362198E-6</v>
      </c>
      <c r="G12" s="4">
        <v>9.5000000000000005E-5</v>
      </c>
      <c r="H12" s="4"/>
      <c r="I12" s="4"/>
      <c r="J12" s="4">
        <v>2.2434790869507859E-5</v>
      </c>
      <c r="K12" s="4"/>
      <c r="L12" s="4">
        <v>2.5092881999999999E-7</v>
      </c>
      <c r="M12" s="4">
        <v>2.9121696495920008E-5</v>
      </c>
      <c r="N12" s="4"/>
      <c r="O12" s="4"/>
      <c r="P12" s="4"/>
    </row>
    <row r="13" spans="1:19" x14ac:dyDescent="0.35">
      <c r="A13" t="s">
        <v>293</v>
      </c>
      <c r="B13" t="s">
        <v>294</v>
      </c>
      <c r="C13" t="s">
        <v>297</v>
      </c>
      <c r="D13" t="s">
        <v>295</v>
      </c>
      <c r="E13" s="4">
        <f t="shared" si="0"/>
        <v>0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9" x14ac:dyDescent="0.35">
      <c r="A14" t="s">
        <v>293</v>
      </c>
      <c r="B14" t="s">
        <v>294</v>
      </c>
      <c r="C14" t="s">
        <v>89</v>
      </c>
      <c r="D14" t="s">
        <v>295</v>
      </c>
      <c r="E14" s="4">
        <f t="shared" si="0"/>
        <v>1.8648393868060559E-4</v>
      </c>
      <c r="F14" s="4">
        <v>8.5474058496577423E-6</v>
      </c>
      <c r="G14" s="4">
        <v>1.1000000000000001E-6</v>
      </c>
      <c r="H14" s="4">
        <v>1.5823656329481842E-4</v>
      </c>
      <c r="I14" s="4">
        <v>1.5823656329481842E-5</v>
      </c>
      <c r="J14" s="4">
        <v>1.360897215991556E-6</v>
      </c>
      <c r="K14" s="4"/>
      <c r="L14" s="4">
        <v>3.0881530559999997E-9</v>
      </c>
      <c r="M14" s="4">
        <v>1.4123278376000001E-6</v>
      </c>
      <c r="N14" s="4"/>
      <c r="O14" s="4"/>
      <c r="P14" s="4"/>
    </row>
    <row r="15" spans="1:19" x14ac:dyDescent="0.35"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19" x14ac:dyDescent="0.35">
      <c r="A16" t="s">
        <v>293</v>
      </c>
      <c r="B16" t="s">
        <v>294</v>
      </c>
      <c r="C16" t="s">
        <v>90</v>
      </c>
      <c r="D16" t="s">
        <v>298</v>
      </c>
      <c r="E16" s="4">
        <v>0.52633119479302792</v>
      </c>
      <c r="F16" s="4">
        <v>2.4370510521528055E-2</v>
      </c>
      <c r="G16" s="4">
        <v>3.01313E-2</v>
      </c>
      <c r="H16" s="4">
        <v>0.36711611109208486</v>
      </c>
      <c r="I16" s="4">
        <v>4.8642220755341862E-3</v>
      </c>
      <c r="J16" s="4">
        <v>5.9248812939961648E-2</v>
      </c>
      <c r="K16" s="4">
        <v>0</v>
      </c>
      <c r="L16" s="4">
        <v>4.1674448075789007E-4</v>
      </c>
      <c r="M16" s="4">
        <v>3.9645293683161227E-2</v>
      </c>
      <c r="N16" s="4">
        <v>5.3819999999999996E-4</v>
      </c>
      <c r="O16" s="4">
        <v>0</v>
      </c>
      <c r="P16" s="4">
        <v>0</v>
      </c>
      <c r="R16" s="122" t="s">
        <v>296</v>
      </c>
      <c r="S16" s="6"/>
    </row>
    <row r="17" spans="1:18" x14ac:dyDescent="0.35">
      <c r="A17" t="s">
        <v>293</v>
      </c>
      <c r="B17" t="s">
        <v>294</v>
      </c>
      <c r="C17" t="s">
        <v>86</v>
      </c>
      <c r="D17" t="s">
        <v>298</v>
      </c>
      <c r="E17" s="4">
        <f t="shared" si="0"/>
        <v>0.13888635752648032</v>
      </c>
      <c r="F17" s="4">
        <v>1.4524552445401365E-2</v>
      </c>
      <c r="G17" s="4">
        <v>2.7E-2</v>
      </c>
      <c r="H17" s="4"/>
      <c r="I17" s="4"/>
      <c r="J17" s="4">
        <v>5.8056562695504521E-2</v>
      </c>
      <c r="K17" s="4"/>
      <c r="L17" s="4">
        <v>3.7514075765645005E-4</v>
      </c>
      <c r="M17" s="4">
        <v>3.8391901627918008E-2</v>
      </c>
      <c r="N17" s="271">
        <v>5.3819999999999996E-4</v>
      </c>
      <c r="O17" s="4"/>
      <c r="P17" s="4"/>
    </row>
    <row r="18" spans="1:18" x14ac:dyDescent="0.35">
      <c r="A18" t="s">
        <v>293</v>
      </c>
      <c r="B18" t="s">
        <v>294</v>
      </c>
      <c r="C18" t="s">
        <v>87</v>
      </c>
      <c r="D18" t="s">
        <v>298</v>
      </c>
      <c r="E18" s="4">
        <f t="shared" si="0"/>
        <v>1.8229621534045906E-4</v>
      </c>
      <c r="F18" s="4">
        <v>3.1202775120595208E-5</v>
      </c>
      <c r="G18" s="4">
        <v>9.5000000000000005E-5</v>
      </c>
      <c r="H18" s="4"/>
      <c r="I18" s="4"/>
      <c r="J18" s="4">
        <v>2.5717099623943848E-5</v>
      </c>
      <c r="K18" s="4"/>
      <c r="L18" s="4">
        <v>1.2546440999999999E-6</v>
      </c>
      <c r="M18" s="4">
        <v>2.9121696495920008E-5</v>
      </c>
      <c r="N18" s="4"/>
      <c r="O18" s="4"/>
      <c r="P18" s="4"/>
    </row>
    <row r="19" spans="1:18" x14ac:dyDescent="0.35">
      <c r="A19" t="s">
        <v>293</v>
      </c>
      <c r="B19" t="s">
        <v>294</v>
      </c>
      <c r="C19" t="s">
        <v>297</v>
      </c>
      <c r="D19" t="s">
        <v>298</v>
      </c>
      <c r="E19" s="4">
        <f t="shared" si="0"/>
        <v>0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spans="1:18" x14ac:dyDescent="0.35">
      <c r="A20" t="s">
        <v>293</v>
      </c>
      <c r="B20" t="s">
        <v>294</v>
      </c>
      <c r="C20" t="s">
        <v>89</v>
      </c>
      <c r="D20" t="s">
        <v>298</v>
      </c>
      <c r="E20" s="4">
        <f t="shared" si="0"/>
        <v>2.3274183044929981E-4</v>
      </c>
      <c r="F20" s="4">
        <v>3.2659763287666505E-5</v>
      </c>
      <c r="G20" s="4">
        <v>1.1000000000000001E-6</v>
      </c>
      <c r="H20" s="4">
        <v>1.7817663280345004E-4</v>
      </c>
      <c r="I20" s="4">
        <v>1.7817663280345004E-5</v>
      </c>
      <c r="J20" s="4">
        <v>1.5600024749582352E-6</v>
      </c>
      <c r="K20" s="4"/>
      <c r="L20" s="4">
        <v>1.5440765279999996E-8</v>
      </c>
      <c r="M20" s="4">
        <v>1.4123278376000001E-6</v>
      </c>
      <c r="N20" s="4"/>
      <c r="O20" s="4"/>
      <c r="P20" s="4"/>
    </row>
    <row r="21" spans="1:18" x14ac:dyDescent="0.35"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8" x14ac:dyDescent="0.35">
      <c r="A22" t="s">
        <v>299</v>
      </c>
      <c r="B22" t="s">
        <v>232</v>
      </c>
      <c r="C22" t="s">
        <v>90</v>
      </c>
      <c r="D22" t="s">
        <v>300</v>
      </c>
      <c r="E22" s="4">
        <v>1.0241565454522199</v>
      </c>
      <c r="F22" s="4">
        <v>1.2186917836524699E-2</v>
      </c>
      <c r="G22" s="4">
        <v>2.3884567073170736E-2</v>
      </c>
      <c r="H22" s="4">
        <v>0.28884913358866082</v>
      </c>
      <c r="I22" s="4">
        <v>3.6400318077827896E-3</v>
      </c>
      <c r="J22" s="4">
        <v>4.3968385377147715E-2</v>
      </c>
      <c r="K22" s="4">
        <v>0</v>
      </c>
      <c r="L22" s="4">
        <v>1.9820774084826478E-4</v>
      </c>
      <c r="M22" s="4">
        <v>3.1426147431774146E-2</v>
      </c>
      <c r="N22" s="4">
        <v>0.31761120248475611</v>
      </c>
      <c r="O22" s="4">
        <v>4.265297238182502E-2</v>
      </c>
      <c r="P22" s="4">
        <v>0.2597389797297297</v>
      </c>
    </row>
    <row r="23" spans="1:18" x14ac:dyDescent="0.35">
      <c r="A23" s="272" t="s">
        <v>299</v>
      </c>
      <c r="B23" s="273" t="s">
        <v>232</v>
      </c>
      <c r="C23" s="273" t="s">
        <v>86</v>
      </c>
      <c r="D23" s="273" t="s">
        <v>300</v>
      </c>
      <c r="E23" s="274">
        <f>SUM(F23:P23)</f>
        <v>0.7061171705997602</v>
      </c>
      <c r="F23" s="274">
        <f>$C$40*(AVERAGE(F11,F17))/$C$39</f>
        <v>7.2632670993098931E-3</v>
      </c>
      <c r="G23" s="274">
        <f t="shared" ref="G23:M23" si="1">$C$40*(AVERAGE(G11,G17))/$C$39</f>
        <v>2.1402439024390246E-2</v>
      </c>
      <c r="H23" s="274"/>
      <c r="I23" s="274"/>
      <c r="J23" s="274">
        <f t="shared" si="1"/>
        <v>4.308361966433235E-2</v>
      </c>
      <c r="K23" s="274"/>
      <c r="L23" s="274">
        <f t="shared" si="1"/>
        <v>1.7842060425123844E-4</v>
      </c>
      <c r="M23" s="274">
        <f t="shared" si="1"/>
        <v>3.0432604948959403E-2</v>
      </c>
      <c r="N23" s="274">
        <f>$C$40*(AVERAGE(N11,N17))/$C$39</f>
        <v>0.31761120248475611</v>
      </c>
      <c r="O23" s="274">
        <v>3.5145616773760872E-2</v>
      </c>
      <c r="P23" s="275">
        <v>0.251</v>
      </c>
      <c r="R23" t="s">
        <v>256</v>
      </c>
    </row>
    <row r="24" spans="1:18" x14ac:dyDescent="0.35">
      <c r="A24" s="191" t="s">
        <v>299</v>
      </c>
      <c r="B24" t="s">
        <v>232</v>
      </c>
      <c r="C24" t="s">
        <v>87</v>
      </c>
      <c r="D24" t="s">
        <v>300</v>
      </c>
      <c r="E24" s="276">
        <f>SUM(F24:P24)</f>
        <v>4.7266553697523981E-4</v>
      </c>
      <c r="F24" s="276">
        <f t="shared" ref="F24:M24" si="2">$C$40*(AVERAGE(F12,F18))/$C$39</f>
        <v>1.5603516238625262E-5</v>
      </c>
      <c r="G24" s="276">
        <f t="shared" si="2"/>
        <v>7.5304878048780503E-5</v>
      </c>
      <c r="H24" s="276"/>
      <c r="I24" s="276"/>
      <c r="J24" s="276">
        <f t="shared" si="2"/>
        <v>1.908459074435586E-5</v>
      </c>
      <c r="K24" s="276"/>
      <c r="L24" s="276">
        <f t="shared" si="2"/>
        <v>5.9672097439024396E-7</v>
      </c>
      <c r="M24" s="276">
        <f t="shared" si="2"/>
        <v>2.3084271612619523E-5</v>
      </c>
      <c r="N24" s="276"/>
      <c r="O24" s="276">
        <v>1.2899155935646844E-4</v>
      </c>
      <c r="P24" s="277">
        <f>4.83/1000/23</f>
        <v>2.1000000000000001E-4</v>
      </c>
      <c r="R24" t="s">
        <v>257</v>
      </c>
    </row>
    <row r="25" spans="1:18" x14ac:dyDescent="0.35">
      <c r="A25" s="191" t="s">
        <v>299</v>
      </c>
      <c r="B25" t="s">
        <v>232</v>
      </c>
      <c r="C25" t="s">
        <v>297</v>
      </c>
      <c r="D25" t="s">
        <v>300</v>
      </c>
      <c r="E25" s="276">
        <f>SUM(F25:P25)</f>
        <v>0</v>
      </c>
      <c r="F25" s="276"/>
      <c r="G25" s="276"/>
      <c r="H25" s="276"/>
      <c r="I25" s="276"/>
      <c r="J25" s="276"/>
      <c r="K25" s="276"/>
      <c r="L25" s="276"/>
      <c r="M25" s="276"/>
      <c r="N25" s="276"/>
      <c r="O25" s="276"/>
      <c r="P25" s="277"/>
    </row>
    <row r="26" spans="1:18" x14ac:dyDescent="0.35">
      <c r="A26" s="226" t="s">
        <v>299</v>
      </c>
      <c r="B26" s="227" t="s">
        <v>232</v>
      </c>
      <c r="C26" s="227" t="s">
        <v>89</v>
      </c>
      <c r="D26" s="227" t="s">
        <v>300</v>
      </c>
      <c r="E26" s="278">
        <f>SUM(F26:P26)</f>
        <v>1.8866346644602505E-4</v>
      </c>
      <c r="F26" s="278">
        <f t="shared" ref="F26:M26" si="3">$C$40*(AVERAGE(F14,F20))/$C$39</f>
        <v>1.6332109719061441E-5</v>
      </c>
      <c r="G26" s="278">
        <f t="shared" si="3"/>
        <v>8.7195121951219526E-7</v>
      </c>
      <c r="H26" s="278">
        <f t="shared" si="3"/>
        <v>1.3333449845358202E-4</v>
      </c>
      <c r="I26" s="278">
        <f t="shared" si="3"/>
        <v>1.3333449845358203E-5</v>
      </c>
      <c r="J26" s="278">
        <f t="shared" si="3"/>
        <v>1.1576736579983931E-6</v>
      </c>
      <c r="K26" s="278"/>
      <c r="L26" s="278">
        <f t="shared" si="3"/>
        <v>7.3437786087804866E-9</v>
      </c>
      <c r="M26" s="278">
        <f t="shared" si="3"/>
        <v>1.1195281639512197E-6</v>
      </c>
      <c r="N26" s="278"/>
      <c r="O26" s="278">
        <v>1.3419073770114991E-5</v>
      </c>
      <c r="P26" s="279">
        <f>2.69/1000/296</f>
        <v>9.087837837837838E-6</v>
      </c>
      <c r="R26" t="s">
        <v>257</v>
      </c>
    </row>
    <row r="29" spans="1:18" ht="18.5" x14ac:dyDescent="0.45">
      <c r="A29" s="1" t="s">
        <v>301</v>
      </c>
    </row>
    <row r="31" spans="1:18" x14ac:dyDescent="0.35">
      <c r="A31" s="153" t="s">
        <v>215</v>
      </c>
      <c r="B31" s="154"/>
      <c r="C31" s="154"/>
      <c r="D31" s="154"/>
      <c r="E31" s="154"/>
      <c r="F31" s="155" t="s">
        <v>7</v>
      </c>
      <c r="G31" s="155" t="s">
        <v>238</v>
      </c>
      <c r="H31" s="155" t="s">
        <v>8</v>
      </c>
      <c r="I31" s="155" t="s">
        <v>9</v>
      </c>
      <c r="J31" s="156" t="s">
        <v>10</v>
      </c>
      <c r="K31" s="156" t="s">
        <v>11</v>
      </c>
      <c r="L31" s="156" t="s">
        <v>12</v>
      </c>
      <c r="M31" s="280"/>
      <c r="N31" s="281"/>
      <c r="O31" s="281"/>
      <c r="P31" s="282"/>
    </row>
    <row r="32" spans="1:18" ht="43.5" x14ac:dyDescent="0.35">
      <c r="A32" s="158" t="s">
        <v>14</v>
      </c>
      <c r="B32" s="158" t="s">
        <v>215</v>
      </c>
      <c r="C32" s="158" t="s">
        <v>217</v>
      </c>
      <c r="D32" s="158" t="s">
        <v>17</v>
      </c>
      <c r="E32" s="146" t="s">
        <v>18</v>
      </c>
      <c r="F32" s="162" t="s">
        <v>25</v>
      </c>
      <c r="G32" s="162" t="s">
        <v>239</v>
      </c>
      <c r="H32" s="162" t="s">
        <v>240</v>
      </c>
      <c r="I32" s="163" t="s">
        <v>28</v>
      </c>
      <c r="J32" s="164" t="s">
        <v>29</v>
      </c>
      <c r="K32" s="165" t="s">
        <v>30</v>
      </c>
      <c r="L32" s="165" t="s">
        <v>31</v>
      </c>
      <c r="M32" s="281"/>
    </row>
    <row r="33" spans="1:18" x14ac:dyDescent="0.35">
      <c r="A33" s="71" t="s">
        <v>293</v>
      </c>
      <c r="B33" s="15" t="s">
        <v>294</v>
      </c>
      <c r="C33" s="15" t="s">
        <v>302</v>
      </c>
      <c r="D33" t="s">
        <v>295</v>
      </c>
      <c r="E33" t="s">
        <v>303</v>
      </c>
      <c r="F33">
        <v>2.9987165493168901</v>
      </c>
      <c r="G33">
        <v>7.5567657042785605E-2</v>
      </c>
      <c r="H33">
        <v>6.5971764084971603E-3</v>
      </c>
      <c r="I33">
        <v>8.3191495512068404E-4</v>
      </c>
      <c r="J33">
        <v>0.33775822794753002</v>
      </c>
      <c r="K33" s="42">
        <v>3.3104588739787198E-10</v>
      </c>
      <c r="L33">
        <v>5.4691734366476702E-5</v>
      </c>
      <c r="N33" t="s">
        <v>606</v>
      </c>
    </row>
    <row r="34" spans="1:18" x14ac:dyDescent="0.35">
      <c r="A34" s="71" t="s">
        <v>293</v>
      </c>
      <c r="B34" s="15" t="s">
        <v>294</v>
      </c>
      <c r="C34" s="15" t="s">
        <v>302</v>
      </c>
      <c r="D34" t="s">
        <v>298</v>
      </c>
      <c r="E34" t="s">
        <v>304</v>
      </c>
      <c r="F34">
        <v>3.43744199316636</v>
      </c>
      <c r="G34">
        <v>3.1968210536447099E-2</v>
      </c>
      <c r="H34">
        <v>1.7187209965831801E-3</v>
      </c>
      <c r="I34">
        <v>5.3124997988455601E-3</v>
      </c>
      <c r="J34">
        <v>0.31624466337130502</v>
      </c>
      <c r="K34" s="42">
        <v>3.6158592458834303E-11</v>
      </c>
      <c r="L34">
        <v>2.0897792027420699E-4</v>
      </c>
      <c r="N34" t="s">
        <v>608</v>
      </c>
    </row>
    <row r="36" spans="1:18" x14ac:dyDescent="0.35">
      <c r="A36" s="283" t="s">
        <v>299</v>
      </c>
      <c r="B36" s="284" t="s">
        <v>232</v>
      </c>
      <c r="C36" s="284" t="s">
        <v>305</v>
      </c>
      <c r="D36" s="284" t="s">
        <v>300</v>
      </c>
      <c r="E36" s="284"/>
      <c r="F36" s="285">
        <f>$C$40*AVERAGE(F33:F34)/$C$39</f>
        <v>2.5509164954964105</v>
      </c>
      <c r="G36" s="285">
        <f t="shared" ref="G36:L36" si="4">$C$40*AVERAGE(G33:G34)/$C$39</f>
        <v>4.2620923125915401E-2</v>
      </c>
      <c r="H36" s="286">
        <f t="shared" si="4"/>
        <v>3.2959349471355006E-3</v>
      </c>
      <c r="I36" s="286">
        <f t="shared" si="4"/>
        <v>2.435286335413451E-3</v>
      </c>
      <c r="J36" s="285">
        <f t="shared" si="4"/>
        <v>0.25920846302270906</v>
      </c>
      <c r="K36" s="287">
        <f t="shared" si="4"/>
        <v>1.4553836091881654E-10</v>
      </c>
      <c r="L36" s="287">
        <f t="shared" si="4"/>
        <v>1.0450321677831977E-4</v>
      </c>
    </row>
    <row r="38" spans="1:18" x14ac:dyDescent="0.35">
      <c r="A38" s="107" t="s">
        <v>306</v>
      </c>
      <c r="B38" s="107"/>
      <c r="C38" s="107"/>
      <c r="D38" s="107"/>
      <c r="E38" s="107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</row>
    <row r="39" spans="1:18" x14ac:dyDescent="0.35">
      <c r="A39" t="s">
        <v>307</v>
      </c>
      <c r="C39">
        <v>0.82</v>
      </c>
      <c r="R39" t="s">
        <v>308</v>
      </c>
    </row>
    <row r="40" spans="1:18" x14ac:dyDescent="0.35">
      <c r="A40" t="s">
        <v>309</v>
      </c>
      <c r="C40">
        <v>0.65</v>
      </c>
      <c r="R40" t="s">
        <v>308</v>
      </c>
    </row>
    <row r="42" spans="1:18" x14ac:dyDescent="0.35">
      <c r="A42" t="s">
        <v>310</v>
      </c>
    </row>
    <row r="43" spans="1:18" x14ac:dyDescent="0.35">
      <c r="A43" t="s">
        <v>311</v>
      </c>
      <c r="C43">
        <v>0.16600000000000001</v>
      </c>
      <c r="D43" t="s">
        <v>312</v>
      </c>
      <c r="R43" t="s">
        <v>313</v>
      </c>
    </row>
    <row r="44" spans="1:18" x14ac:dyDescent="0.35">
      <c r="A44" t="s">
        <v>314</v>
      </c>
      <c r="C44">
        <v>0.97299999999999998</v>
      </c>
      <c r="D44" t="s">
        <v>312</v>
      </c>
      <c r="R44" t="s">
        <v>313</v>
      </c>
    </row>
    <row r="46" spans="1:18" x14ac:dyDescent="0.35">
      <c r="A46" t="s">
        <v>315</v>
      </c>
      <c r="R46" t="s">
        <v>316</v>
      </c>
    </row>
    <row r="49" spans="1:18" ht="18.5" x14ac:dyDescent="0.45">
      <c r="A49" s="260" t="s">
        <v>317</v>
      </c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</row>
    <row r="51" spans="1:18" ht="18.5" x14ac:dyDescent="0.45">
      <c r="A51" s="1" t="s">
        <v>290</v>
      </c>
    </row>
    <row r="53" spans="1:18" x14ac:dyDescent="0.35">
      <c r="A53" s="261" t="s">
        <v>215</v>
      </c>
      <c r="B53" s="262"/>
      <c r="C53" s="262"/>
      <c r="D53" s="262"/>
      <c r="E53" s="263" t="s">
        <v>60</v>
      </c>
      <c r="F53" s="263" t="s">
        <v>61</v>
      </c>
      <c r="G53" s="264"/>
      <c r="H53" s="263" t="s">
        <v>62</v>
      </c>
      <c r="I53" s="265"/>
      <c r="J53" s="266" t="s">
        <v>63</v>
      </c>
      <c r="K53" s="265"/>
      <c r="L53" s="265"/>
      <c r="M53" s="265"/>
      <c r="N53" s="266" t="s">
        <v>64</v>
      </c>
      <c r="O53" s="266" t="s">
        <v>291</v>
      </c>
      <c r="P53" s="266" t="s">
        <v>65</v>
      </c>
    </row>
    <row r="54" spans="1:18" ht="43.5" x14ac:dyDescent="0.35">
      <c r="A54" s="267" t="s">
        <v>14</v>
      </c>
      <c r="B54" s="267" t="s">
        <v>215</v>
      </c>
      <c r="C54" s="267" t="s">
        <v>69</v>
      </c>
      <c r="D54" s="268" t="s">
        <v>292</v>
      </c>
      <c r="E54" s="269"/>
      <c r="F54" s="46" t="s">
        <v>218</v>
      </c>
      <c r="G54" s="46" t="s">
        <v>71</v>
      </c>
      <c r="H54" s="46" t="s">
        <v>219</v>
      </c>
      <c r="I54" s="46" t="s">
        <v>220</v>
      </c>
      <c r="J54" s="46" t="s">
        <v>72</v>
      </c>
      <c r="K54" s="46" t="s">
        <v>73</v>
      </c>
      <c r="L54" s="46" t="s">
        <v>74</v>
      </c>
      <c r="M54" s="46" t="s">
        <v>75</v>
      </c>
      <c r="N54" s="46" t="s">
        <v>76</v>
      </c>
      <c r="O54" s="46"/>
      <c r="P54" s="46"/>
      <c r="R54" s="270" t="s">
        <v>255</v>
      </c>
    </row>
    <row r="55" spans="1:18" x14ac:dyDescent="0.35">
      <c r="A55" t="s">
        <v>318</v>
      </c>
      <c r="B55" t="s">
        <v>319</v>
      </c>
      <c r="C55" t="s">
        <v>90</v>
      </c>
      <c r="D55" t="s">
        <v>36</v>
      </c>
      <c r="E55" s="4">
        <f t="shared" ref="E55:E59" si="5">SUM(F55:P55)</f>
        <v>1.6947107071173246</v>
      </c>
      <c r="F55" s="4">
        <v>0.54718153809761028</v>
      </c>
      <c r="G55" s="4">
        <v>3.01313E-2</v>
      </c>
      <c r="H55" s="4">
        <v>0.93617948957863406</v>
      </c>
      <c r="I55" s="4">
        <v>6.0825760565840097E-2</v>
      </c>
      <c r="J55" s="4">
        <v>4.9915761667236082E-2</v>
      </c>
      <c r="K55" s="4">
        <v>0</v>
      </c>
      <c r="L55" s="4">
        <v>1.0835356499705141E-3</v>
      </c>
      <c r="M55" s="4">
        <v>6.9393321558033794E-2</v>
      </c>
      <c r="N55" s="4">
        <v>0</v>
      </c>
      <c r="O55" s="4">
        <v>0</v>
      </c>
      <c r="P55" s="4">
        <v>0</v>
      </c>
      <c r="R55" s="122"/>
    </row>
    <row r="56" spans="1:18" x14ac:dyDescent="0.35">
      <c r="A56" t="s">
        <v>318</v>
      </c>
      <c r="B56" t="s">
        <v>319</v>
      </c>
      <c r="C56" t="s">
        <v>86</v>
      </c>
      <c r="D56" t="s">
        <v>36</v>
      </c>
      <c r="E56" s="4">
        <f t="shared" si="5"/>
        <v>0.47425566700327737</v>
      </c>
      <c r="F56" s="4">
        <v>0.32956752885768148</v>
      </c>
      <c r="G56" s="4">
        <v>2.7E-2</v>
      </c>
      <c r="H56" s="4"/>
      <c r="I56" s="4"/>
      <c r="J56" s="4">
        <v>4.891131826833911E-2</v>
      </c>
      <c r="K56" s="4"/>
      <c r="L56" s="4">
        <v>9.7536596990677009E-4</v>
      </c>
      <c r="M56" s="4">
        <v>6.7801453907350012E-2</v>
      </c>
      <c r="N56" s="5"/>
      <c r="O56" s="4"/>
      <c r="P56" s="4"/>
    </row>
    <row r="57" spans="1:18" x14ac:dyDescent="0.35">
      <c r="A57" t="s">
        <v>318</v>
      </c>
      <c r="B57" t="s">
        <v>319</v>
      </c>
      <c r="C57" t="s">
        <v>87</v>
      </c>
      <c r="D57" t="s">
        <v>36</v>
      </c>
      <c r="E57" s="4">
        <f t="shared" si="5"/>
        <v>7.8066436125071416E-4</v>
      </c>
      <c r="F57" s="33">
        <v>6.3024269760943272E-4</v>
      </c>
      <c r="G57" s="33">
        <v>9.5000000000000005E-5</v>
      </c>
      <c r="H57" s="33"/>
      <c r="I57" s="33"/>
      <c r="J57" s="33">
        <v>2.1666064717653378E-5</v>
      </c>
      <c r="K57" s="33"/>
      <c r="L57" s="33">
        <v>3.2620746600000001E-6</v>
      </c>
      <c r="M57" s="33">
        <v>3.0493524263628008E-5</v>
      </c>
      <c r="N57" s="33"/>
      <c r="O57" s="33"/>
      <c r="P57" s="33"/>
    </row>
    <row r="58" spans="1:18" x14ac:dyDescent="0.35">
      <c r="A58" t="s">
        <v>318</v>
      </c>
      <c r="B58" t="s">
        <v>319</v>
      </c>
      <c r="C58" t="s">
        <v>297</v>
      </c>
      <c r="D58" t="s">
        <v>36</v>
      </c>
      <c r="E58" s="4">
        <f t="shared" si="5"/>
        <v>0</v>
      </c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</row>
    <row r="59" spans="1:18" x14ac:dyDescent="0.35">
      <c r="A59" t="s">
        <v>318</v>
      </c>
      <c r="B59" t="s">
        <v>319</v>
      </c>
      <c r="C59" t="s">
        <v>89</v>
      </c>
      <c r="D59" t="s">
        <v>36</v>
      </c>
      <c r="E59" s="4">
        <f t="shared" si="5"/>
        <v>3.1841368433279966E-3</v>
      </c>
      <c r="F59" s="33">
        <v>7.2832518993101725E-4</v>
      </c>
      <c r="G59" s="33">
        <v>1.1000000000000001E-6</v>
      </c>
      <c r="H59" s="33">
        <v>2.2280498375765604E-3</v>
      </c>
      <c r="I59" s="33">
        <v>2.2280498375765604E-4</v>
      </c>
      <c r="J59" s="33">
        <v>1.314266191615013E-6</v>
      </c>
      <c r="K59" s="33"/>
      <c r="L59" s="33">
        <v>4.014598972799999E-8</v>
      </c>
      <c r="M59" s="33">
        <v>2.50241988142E-6</v>
      </c>
      <c r="N59" s="33"/>
      <c r="O59" s="33"/>
      <c r="P59" s="33"/>
    </row>
    <row r="60" spans="1:18" x14ac:dyDescent="0.35"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</row>
    <row r="61" spans="1:18" x14ac:dyDescent="0.35">
      <c r="A61" t="s">
        <v>318</v>
      </c>
      <c r="B61" t="s">
        <v>319</v>
      </c>
      <c r="C61" t="s">
        <v>90</v>
      </c>
      <c r="D61" t="s">
        <v>38</v>
      </c>
      <c r="E61" s="4">
        <v>1.7006813867746986</v>
      </c>
      <c r="F61" s="4">
        <v>0.54718153809761017</v>
      </c>
      <c r="G61" s="4">
        <v>3.01313E-2</v>
      </c>
      <c r="H61" s="4">
        <v>0.93617948957863384</v>
      </c>
      <c r="I61" s="4">
        <v>6.082576056584009E-2</v>
      </c>
      <c r="J61" s="4">
        <v>4.8839231914042686E-2</v>
      </c>
      <c r="K61" s="4">
        <v>0</v>
      </c>
      <c r="L61" s="4">
        <v>1.6669779230315599E-4</v>
      </c>
      <c r="M61" s="4">
        <v>7.735736882626848E-2</v>
      </c>
      <c r="N61" s="4">
        <v>0</v>
      </c>
      <c r="O61" s="4">
        <v>0</v>
      </c>
      <c r="P61" s="4">
        <v>0</v>
      </c>
      <c r="R61" s="122"/>
    </row>
    <row r="62" spans="1:18" x14ac:dyDescent="0.35">
      <c r="A62" t="s">
        <v>318</v>
      </c>
      <c r="B62" t="s">
        <v>319</v>
      </c>
      <c r="C62" t="s">
        <v>86</v>
      </c>
      <c r="D62" t="s">
        <v>38</v>
      </c>
      <c r="E62" s="4">
        <f t="shared" ref="E62:E65" si="6">SUM(F62:P62)</f>
        <v>0.47990330436934509</v>
      </c>
      <c r="F62" s="4">
        <v>0.32956752885768148</v>
      </c>
      <c r="G62" s="4">
        <v>2.7E-2</v>
      </c>
      <c r="H62" s="4"/>
      <c r="I62" s="4"/>
      <c r="J62" s="4">
        <v>4.7856451275928968E-2</v>
      </c>
      <c r="K62" s="4"/>
      <c r="L62" s="4">
        <v>1.5005630306258E-4</v>
      </c>
      <c r="M62" s="4">
        <v>7.5329267932672014E-2</v>
      </c>
      <c r="N62" s="5"/>
      <c r="O62" s="4"/>
      <c r="P62" s="4"/>
    </row>
    <row r="63" spans="1:18" x14ac:dyDescent="0.35">
      <c r="A63" t="s">
        <v>318</v>
      </c>
      <c r="B63" t="s">
        <v>319</v>
      </c>
      <c r="C63" t="s">
        <v>87</v>
      </c>
      <c r="D63" t="s">
        <v>38</v>
      </c>
      <c r="E63" s="4">
        <f t="shared" si="6"/>
        <v>7.8976797080013996E-4</v>
      </c>
      <c r="F63" s="276">
        <v>6.302426976094325E-4</v>
      </c>
      <c r="G63" s="276">
        <v>9.5000000000000005E-5</v>
      </c>
      <c r="H63" s="276"/>
      <c r="I63" s="276"/>
      <c r="J63" s="276">
        <v>2.1198794209819431E-5</v>
      </c>
      <c r="K63" s="276"/>
      <c r="L63" s="276">
        <v>5.0185763999999998E-7</v>
      </c>
      <c r="M63" s="276">
        <v>4.2824621340888011E-5</v>
      </c>
      <c r="N63" s="276"/>
      <c r="O63" s="276"/>
      <c r="P63" s="276"/>
    </row>
    <row r="64" spans="1:18" x14ac:dyDescent="0.35">
      <c r="A64" t="s">
        <v>318</v>
      </c>
      <c r="B64" t="s">
        <v>319</v>
      </c>
      <c r="C64" t="s">
        <v>297</v>
      </c>
      <c r="D64" t="s">
        <v>38</v>
      </c>
      <c r="E64" s="4">
        <f t="shared" si="6"/>
        <v>0</v>
      </c>
      <c r="F64" s="276"/>
      <c r="G64" s="276"/>
      <c r="H64" s="276"/>
      <c r="I64" s="276"/>
      <c r="J64" s="276"/>
      <c r="K64" s="276"/>
      <c r="L64" s="276"/>
      <c r="M64" s="276"/>
      <c r="N64" s="276"/>
      <c r="O64" s="276"/>
      <c r="P64" s="276"/>
    </row>
    <row r="65" spans="1:18" x14ac:dyDescent="0.35">
      <c r="A65" t="s">
        <v>318</v>
      </c>
      <c r="B65" t="s">
        <v>319</v>
      </c>
      <c r="C65" t="s">
        <v>89</v>
      </c>
      <c r="D65" t="s">
        <v>38</v>
      </c>
      <c r="E65" s="4">
        <f t="shared" si="6"/>
        <v>3.1843264210815983E-3</v>
      </c>
      <c r="F65" s="276">
        <v>7.2832518993101714E-4</v>
      </c>
      <c r="G65" s="276">
        <v>1.1000000000000001E-6</v>
      </c>
      <c r="H65" s="276">
        <v>2.2280498375765599E-3</v>
      </c>
      <c r="I65" s="276">
        <v>2.2280498375765602E-4</v>
      </c>
      <c r="J65" s="276">
        <v>1.2859215042530965E-6</v>
      </c>
      <c r="K65" s="276"/>
      <c r="L65" s="276">
        <v>6.1763061119999986E-9</v>
      </c>
      <c r="M65" s="276">
        <v>2.7543120060000002E-6</v>
      </c>
      <c r="N65" s="276"/>
      <c r="O65" s="276"/>
      <c r="P65" s="276"/>
    </row>
    <row r="66" spans="1:18" x14ac:dyDescent="0.35"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</row>
    <row r="67" spans="1:18" x14ac:dyDescent="0.35">
      <c r="A67" t="s">
        <v>318</v>
      </c>
      <c r="B67" t="s">
        <v>319</v>
      </c>
      <c r="C67" t="s">
        <v>90</v>
      </c>
      <c r="D67" t="s">
        <v>50</v>
      </c>
      <c r="E67" s="4">
        <v>1.7203907895677788</v>
      </c>
      <c r="F67" s="4">
        <v>0.54718153809761028</v>
      </c>
      <c r="G67" s="4">
        <v>3.01313E-2</v>
      </c>
      <c r="H67" s="4">
        <v>0.93617948957863417</v>
      </c>
      <c r="I67" s="4">
        <v>6.0825760565840117E-2</v>
      </c>
      <c r="J67" s="4">
        <v>5.7818585001554686E-2</v>
      </c>
      <c r="K67" s="4">
        <v>0</v>
      </c>
      <c r="L67" s="4">
        <v>8.3348896151578009E-5</v>
      </c>
      <c r="M67" s="4">
        <v>8.8170767427988142E-2</v>
      </c>
      <c r="N67" s="4"/>
      <c r="O67" s="4">
        <v>0</v>
      </c>
      <c r="P67" s="4">
        <v>0</v>
      </c>
      <c r="R67" s="122"/>
    </row>
    <row r="68" spans="1:18" x14ac:dyDescent="0.35">
      <c r="A68" t="s">
        <v>318</v>
      </c>
      <c r="B68" t="s">
        <v>319</v>
      </c>
      <c r="C68" t="s">
        <v>86</v>
      </c>
      <c r="D68" t="s">
        <v>50</v>
      </c>
      <c r="E68" s="4">
        <f t="shared" ref="E68:E71" si="7">SUM(F68:P68)</f>
        <v>0.49886589312660717</v>
      </c>
      <c r="F68" s="4">
        <v>0.32956752885768148</v>
      </c>
      <c r="G68" s="4">
        <v>2.7E-2</v>
      </c>
      <c r="H68" s="4"/>
      <c r="I68" s="4"/>
      <c r="J68" s="4">
        <v>5.6655114905164373E-2</v>
      </c>
      <c r="K68" s="4"/>
      <c r="L68" s="4">
        <v>7.5028151531290012E-5</v>
      </c>
      <c r="M68" s="4">
        <v>8.5568221212230011E-2</v>
      </c>
      <c r="N68" s="5"/>
      <c r="O68" s="4"/>
      <c r="P68" s="4"/>
    </row>
    <row r="69" spans="1:18" x14ac:dyDescent="0.35">
      <c r="A69" t="s">
        <v>318</v>
      </c>
      <c r="B69" t="s">
        <v>319</v>
      </c>
      <c r="C69" t="s">
        <v>87</v>
      </c>
      <c r="D69" t="s">
        <v>50</v>
      </c>
      <c r="E69" s="4">
        <f t="shared" si="7"/>
        <v>8.1326994831193466E-4</v>
      </c>
      <c r="F69" s="4">
        <v>6.3024269760943261E-4</v>
      </c>
      <c r="G69" s="4">
        <v>9.5000000000000005E-5</v>
      </c>
      <c r="H69" s="4"/>
      <c r="I69" s="4"/>
      <c r="J69" s="4">
        <v>2.5096305509229163E-5</v>
      </c>
      <c r="K69" s="4"/>
      <c r="L69" s="4">
        <v>2.5092882000000005E-7</v>
      </c>
      <c r="M69" s="4">
        <v>6.2680016373272817E-5</v>
      </c>
      <c r="N69" s="4"/>
      <c r="O69" s="4"/>
      <c r="P69" s="4"/>
    </row>
    <row r="70" spans="1:18" x14ac:dyDescent="0.35">
      <c r="A70" t="s">
        <v>318</v>
      </c>
      <c r="B70" t="s">
        <v>319</v>
      </c>
      <c r="C70" t="s">
        <v>297</v>
      </c>
      <c r="D70" t="s">
        <v>50</v>
      </c>
      <c r="E70" s="4">
        <f t="shared" si="7"/>
        <v>0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</row>
    <row r="71" spans="1:18" x14ac:dyDescent="0.35">
      <c r="A71" t="s">
        <v>318</v>
      </c>
      <c r="B71" t="s">
        <v>319</v>
      </c>
      <c r="C71" t="s">
        <v>89</v>
      </c>
      <c r="D71" t="s">
        <v>50</v>
      </c>
      <c r="E71" s="4">
        <f t="shared" si="7"/>
        <v>3.1844965863049202E-3</v>
      </c>
      <c r="F71" s="4">
        <v>7.2832518993101703E-4</v>
      </c>
      <c r="G71" s="4">
        <v>1.1000000000000001E-6</v>
      </c>
      <c r="H71" s="4">
        <v>2.2280498375765608E-3</v>
      </c>
      <c r="I71" s="4">
        <v>2.228049837576561E-4</v>
      </c>
      <c r="J71" s="4">
        <v>1.5223450264296012E-6</v>
      </c>
      <c r="K71" s="4"/>
      <c r="L71" s="4">
        <v>3.0881530559999997E-9</v>
      </c>
      <c r="M71" s="4">
        <v>2.6911418602000003E-6</v>
      </c>
      <c r="N71" s="4"/>
      <c r="O71" s="4"/>
      <c r="P71" s="4"/>
    </row>
    <row r="72" spans="1:18" x14ac:dyDescent="0.35"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</row>
    <row r="73" spans="1:18" x14ac:dyDescent="0.35">
      <c r="A73" t="s">
        <v>320</v>
      </c>
      <c r="B73" t="s">
        <v>317</v>
      </c>
      <c r="C73" t="s">
        <v>90</v>
      </c>
      <c r="D73" t="s">
        <v>321</v>
      </c>
      <c r="E73" s="4">
        <v>0.86957649487402422</v>
      </c>
      <c r="F73" s="4">
        <v>0.26415660459884638</v>
      </c>
      <c r="G73" s="4">
        <v>1.454614482758621E-2</v>
      </c>
      <c r="H73" s="4">
        <v>0.45194871910692686</v>
      </c>
      <c r="I73" s="4">
        <v>2.9364160273164189E-2</v>
      </c>
      <c r="J73" s="4">
        <v>2.5195748277697338E-2</v>
      </c>
      <c r="K73" s="4"/>
      <c r="L73" s="4">
        <v>2.1459945675808594E-4</v>
      </c>
      <c r="M73" s="4">
        <v>3.7803452981288115E-2</v>
      </c>
      <c r="N73" s="4"/>
      <c r="O73" s="4">
        <v>2.9298483418736934E-2</v>
      </c>
      <c r="P73" s="4">
        <v>1.7048581933019974E-2</v>
      </c>
    </row>
    <row r="74" spans="1:18" x14ac:dyDescent="0.35">
      <c r="A74" s="272" t="s">
        <v>320</v>
      </c>
      <c r="B74" s="273" t="s">
        <v>317</v>
      </c>
      <c r="C74" s="273" t="s">
        <v>86</v>
      </c>
      <c r="D74" s="273" t="s">
        <v>321</v>
      </c>
      <c r="E74" s="274">
        <f>SUM(F74:P74)</f>
        <v>0.27628755742228495</v>
      </c>
      <c r="F74" s="274">
        <f>$C$92*(AVERAGE(F56,F62,F68))/$C$91</f>
        <v>0.15910156565543246</v>
      </c>
      <c r="G74" s="274">
        <f>$C$92*(AVERAGE(G56,G62,G68))/$C$91</f>
        <v>1.3034482758620692E-2</v>
      </c>
      <c r="H74" s="274"/>
      <c r="I74" s="274"/>
      <c r="J74" s="274">
        <f>$C$92*(AVERAGE(J56,J62,J68))/$C$91</f>
        <v>2.4688740026345454E-2</v>
      </c>
      <c r="K74" s="274"/>
      <c r="L74" s="274">
        <f>$C$92*(AVERAGE(L56,L62,L68))/$C$91</f>
        <v>1.931759303794134E-4</v>
      </c>
      <c r="M74" s="274">
        <f>$C$92*(AVERAGE(M56,M62,M68))/$C$91</f>
        <v>3.6802128767029069E-2</v>
      </c>
      <c r="N74" s="274"/>
      <c r="O74" s="274">
        <f>C92*(C95*AVERAGE(EF_el_CO2_FR,EF_el_CO2_DE,EF_el_CO2_PL)+C96*EF_biofuels_CO2)</f>
        <v>2.6267464284477883E-2</v>
      </c>
      <c r="P74" s="275">
        <v>1.6199999999999999E-2</v>
      </c>
      <c r="R74" t="s">
        <v>322</v>
      </c>
    </row>
    <row r="75" spans="1:18" x14ac:dyDescent="0.35">
      <c r="A75" s="191" t="s">
        <v>320</v>
      </c>
      <c r="B75" t="s">
        <v>317</v>
      </c>
      <c r="C75" t="s">
        <v>87</v>
      </c>
      <c r="D75" t="s">
        <v>321</v>
      </c>
      <c r="E75" s="276">
        <f>SUM(F75:P75)</f>
        <v>4.6478527325651394E-4</v>
      </c>
      <c r="F75" s="276">
        <f>$C$92*(AVERAGE(F57,F63,F69))/$C$91</f>
        <v>3.0425509539765719E-4</v>
      </c>
      <c r="G75" s="276">
        <f>$C$92*(AVERAGE(G57,G63,G69))/$C$91</f>
        <v>4.5862068965517246E-5</v>
      </c>
      <c r="H75" s="276"/>
      <c r="I75" s="276"/>
      <c r="J75" s="276">
        <f>$C$92*(AVERAGE(J57,J63,J69))/$C$91</f>
        <v>1.0936279334641699E-5</v>
      </c>
      <c r="K75" s="276"/>
      <c r="L75" s="276">
        <f>$C$92*(AVERAGE(L57,L63,L69))/$C$91</f>
        <v>6.4606960551724142E-7</v>
      </c>
      <c r="M75" s="276">
        <f>$C$92*(AVERAGE(M57,M63,M69))/$C$91</f>
        <v>2.1884761697575221E-5</v>
      </c>
      <c r="N75" s="276"/>
      <c r="O75" s="276">
        <f>C92*(C95*AVERAGE(EF_el_CH4_FR,EF_el_CH4_DE,EF_el_CH4_PL)+C96*EF_biofuel_CH4)</f>
        <v>5.7027085212127035E-5</v>
      </c>
      <c r="P75" s="277">
        <f>0.556/1000/23</f>
        <v>2.4173913043478263E-5</v>
      </c>
      <c r="R75" t="s">
        <v>323</v>
      </c>
    </row>
    <row r="76" spans="1:18" x14ac:dyDescent="0.35">
      <c r="A76" s="191" t="s">
        <v>320</v>
      </c>
      <c r="B76" t="s">
        <v>317</v>
      </c>
      <c r="C76" t="s">
        <v>297</v>
      </c>
      <c r="D76" t="s">
        <v>321</v>
      </c>
      <c r="E76" s="276"/>
      <c r="F76" s="276"/>
      <c r="G76" s="276"/>
      <c r="H76" s="276"/>
      <c r="I76" s="276"/>
      <c r="J76" s="276"/>
      <c r="K76" s="276"/>
      <c r="L76" s="276"/>
      <c r="M76" s="276"/>
      <c r="N76" s="276"/>
      <c r="O76" s="276"/>
      <c r="P76" s="277"/>
    </row>
    <row r="77" spans="1:18" x14ac:dyDescent="0.35">
      <c r="A77" s="226" t="s">
        <v>320</v>
      </c>
      <c r="B77" s="227" t="s">
        <v>317</v>
      </c>
      <c r="C77" s="227" t="s">
        <v>89</v>
      </c>
      <c r="D77" s="227" t="s">
        <v>321</v>
      </c>
      <c r="E77" s="278">
        <f>SUM(F77:P77)</f>
        <v>1.5426052012212825E-3</v>
      </c>
      <c r="F77" s="278">
        <f>$C$92*(AVERAGE(F59,F65,F71))/$C$91</f>
        <v>3.5160526410462907E-4</v>
      </c>
      <c r="G77" s="278">
        <f>$C$92*(AVERAGE(G59,G65,G71))/$C$91</f>
        <v>5.3103448275862083E-7</v>
      </c>
      <c r="H77" s="278">
        <f>$C$92*(AVERAGE(H59,H65,H71))/$C$91</f>
        <v>1.0756102664162708E-3</v>
      </c>
      <c r="I77" s="278">
        <f>$C$92*(AVERAGE(I59,I65,I71))/$C$91</f>
        <v>1.0756102664162706E-4</v>
      </c>
      <c r="J77" s="278">
        <f>$C$92*(AVERAGE(J59,J65,J71))/$C$91</f>
        <v>6.6339607025480414E-7</v>
      </c>
      <c r="K77" s="278"/>
      <c r="L77" s="278">
        <f>$C$92*(AVERAGE(L59,L65,L71))/$C$91</f>
        <v>7.9511067188965511E-9</v>
      </c>
      <c r="M77" s="278">
        <f>$C$92*(AVERAGE(M59,M65,M71))/$C$91</f>
        <v>1.2789681892721844E-6</v>
      </c>
      <c r="N77" s="278"/>
      <c r="O77" s="278">
        <f>C92*(C95*AVERAGE(EF_el_N2O_FR,EF_el_N2O_DE,EF_el_N2O_PL)+C96*EF_biofuel_N2O)</f>
        <v>4.8776996151562902E-6</v>
      </c>
      <c r="P77" s="279">
        <f>0.139/1000/296</f>
        <v>4.6959459459459463E-7</v>
      </c>
      <c r="R77" t="s">
        <v>323</v>
      </c>
    </row>
    <row r="80" spans="1:18" ht="18.5" x14ac:dyDescent="0.45">
      <c r="A80" s="1" t="s">
        <v>301</v>
      </c>
    </row>
    <row r="82" spans="1:18" x14ac:dyDescent="0.35">
      <c r="A82" s="153" t="s">
        <v>215</v>
      </c>
      <c r="B82" s="154"/>
      <c r="C82" s="154"/>
      <c r="D82" s="154"/>
      <c r="E82" s="154"/>
      <c r="F82" s="155" t="s">
        <v>7</v>
      </c>
      <c r="G82" s="155" t="s">
        <v>238</v>
      </c>
      <c r="H82" s="155" t="s">
        <v>8</v>
      </c>
      <c r="I82" s="155" t="s">
        <v>9</v>
      </c>
      <c r="J82" s="156" t="s">
        <v>10</v>
      </c>
      <c r="K82" s="156" t="s">
        <v>11</v>
      </c>
      <c r="L82" s="156" t="s">
        <v>12</v>
      </c>
      <c r="M82" s="280"/>
      <c r="N82" s="281"/>
      <c r="O82" s="281"/>
      <c r="P82" s="282"/>
    </row>
    <row r="83" spans="1:18" ht="43.5" x14ac:dyDescent="0.35">
      <c r="A83" s="158" t="s">
        <v>14</v>
      </c>
      <c r="B83" s="158" t="s">
        <v>215</v>
      </c>
      <c r="C83" s="158" t="s">
        <v>217</v>
      </c>
      <c r="D83" s="158" t="s">
        <v>17</v>
      </c>
      <c r="E83" s="146" t="s">
        <v>18</v>
      </c>
      <c r="F83" s="162" t="s">
        <v>25</v>
      </c>
      <c r="G83" s="162" t="s">
        <v>239</v>
      </c>
      <c r="H83" s="162" t="s">
        <v>240</v>
      </c>
      <c r="I83" s="163" t="s">
        <v>28</v>
      </c>
      <c r="J83" s="164" t="s">
        <v>29</v>
      </c>
      <c r="K83" s="165" t="s">
        <v>30</v>
      </c>
      <c r="L83" s="165" t="s">
        <v>31</v>
      </c>
      <c r="M83" s="281"/>
    </row>
    <row r="84" spans="1:18" x14ac:dyDescent="0.35">
      <c r="A84" s="191" t="s">
        <v>320</v>
      </c>
      <c r="B84" t="s">
        <v>319</v>
      </c>
      <c r="C84" s="15" t="s">
        <v>305</v>
      </c>
      <c r="D84" t="s">
        <v>36</v>
      </c>
      <c r="E84" t="s">
        <v>37</v>
      </c>
      <c r="F84">
        <v>3.05041729708624</v>
      </c>
      <c r="G84">
        <v>4.7160731472569703E-2</v>
      </c>
      <c r="H84">
        <v>5.13314084055181E-3</v>
      </c>
      <c r="I84">
        <v>5.0398432162958003E-3</v>
      </c>
      <c r="J84">
        <v>0.66988842289432105</v>
      </c>
      <c r="K84" s="42">
        <v>3.6670410199158097E-11</v>
      </c>
      <c r="L84">
        <v>2.86711793285263E-3</v>
      </c>
      <c r="N84" t="s">
        <v>606</v>
      </c>
    </row>
    <row r="85" spans="1:18" x14ac:dyDescent="0.35">
      <c r="A85" s="191" t="s">
        <v>320</v>
      </c>
      <c r="B85" t="s">
        <v>319</v>
      </c>
      <c r="C85" s="15" t="s">
        <v>305</v>
      </c>
      <c r="D85" t="s">
        <v>38</v>
      </c>
      <c r="E85" t="s">
        <v>39</v>
      </c>
      <c r="F85">
        <v>2.9846291598268899</v>
      </c>
      <c r="G85">
        <v>4.7160731472569703E-2</v>
      </c>
      <c r="H85">
        <v>5.13314084055181E-3</v>
      </c>
      <c r="I85">
        <v>0</v>
      </c>
      <c r="J85">
        <v>0.49457909998667898</v>
      </c>
      <c r="K85" s="42">
        <v>2.7374708977573999E-11</v>
      </c>
      <c r="L85">
        <v>2.86711793285263E-3</v>
      </c>
      <c r="N85" t="s">
        <v>608</v>
      </c>
    </row>
    <row r="86" spans="1:18" x14ac:dyDescent="0.35">
      <c r="A86" s="191" t="s">
        <v>320</v>
      </c>
      <c r="B86" t="s">
        <v>317</v>
      </c>
      <c r="C86" s="15" t="s">
        <v>305</v>
      </c>
      <c r="D86" t="s">
        <v>50</v>
      </c>
      <c r="E86" t="s">
        <v>51</v>
      </c>
      <c r="F86">
        <v>3.5333691381405901</v>
      </c>
      <c r="G86">
        <v>4.7160731472569703E-2</v>
      </c>
      <c r="H86">
        <v>5.13314084055181E-3</v>
      </c>
      <c r="I86">
        <v>0</v>
      </c>
      <c r="J86">
        <v>0.66057946682741997</v>
      </c>
      <c r="K86" s="42">
        <v>1.40747179424791E-11</v>
      </c>
      <c r="L86">
        <v>2.86711793285263E-3</v>
      </c>
    </row>
    <row r="88" spans="1:18" x14ac:dyDescent="0.35">
      <c r="A88" s="288" t="s">
        <v>320</v>
      </c>
      <c r="B88" s="284" t="s">
        <v>317</v>
      </c>
      <c r="C88" s="284" t="s">
        <v>305</v>
      </c>
      <c r="D88" s="284" t="s">
        <v>321</v>
      </c>
      <c r="E88" s="284"/>
      <c r="F88" s="285">
        <f>$C$92*AVERAGE(F84:F86)/$C$91</f>
        <v>1.5397450382845068</v>
      </c>
      <c r="G88" s="285">
        <f t="shared" ref="G88:L88" si="8">$C$92*AVERAGE(G84:G86)/$C$91</f>
        <v>2.276724967641296E-2</v>
      </c>
      <c r="H88" s="286">
        <f t="shared" si="8"/>
        <v>2.4780679919905292E-3</v>
      </c>
      <c r="I88" s="286">
        <f t="shared" si="8"/>
        <v>8.1100925319702543E-4</v>
      </c>
      <c r="J88" s="285">
        <f t="shared" si="8"/>
        <v>0.29368572248181479</v>
      </c>
      <c r="K88" s="287">
        <f t="shared" si="8"/>
        <v>1.2571008272056975E-11</v>
      </c>
      <c r="L88" s="287">
        <f t="shared" si="8"/>
        <v>1.3841258986185109E-3</v>
      </c>
    </row>
    <row r="90" spans="1:18" x14ac:dyDescent="0.35">
      <c r="A90" s="107" t="s">
        <v>324</v>
      </c>
      <c r="B90" s="107"/>
      <c r="C90" s="107"/>
      <c r="D90" s="107"/>
      <c r="E90" s="107"/>
      <c r="F90" s="107"/>
      <c r="G90" s="107"/>
      <c r="H90" s="107"/>
      <c r="I90" s="107"/>
      <c r="J90" s="107"/>
      <c r="K90" s="107"/>
      <c r="L90" s="107"/>
      <c r="M90" s="107"/>
      <c r="N90" s="107"/>
      <c r="O90" s="107"/>
      <c r="P90" s="107"/>
    </row>
    <row r="91" spans="1:18" x14ac:dyDescent="0.35">
      <c r="A91" t="s">
        <v>325</v>
      </c>
      <c r="C91">
        <v>0.57999999999999996</v>
      </c>
      <c r="R91" t="s">
        <v>313</v>
      </c>
    </row>
    <row r="92" spans="1:18" x14ac:dyDescent="0.35">
      <c r="A92" t="s">
        <v>309</v>
      </c>
      <c r="C92">
        <v>0.28000000000000003</v>
      </c>
      <c r="R92" t="s">
        <v>313</v>
      </c>
    </row>
    <row r="94" spans="1:18" x14ac:dyDescent="0.35">
      <c r="A94" t="s">
        <v>310</v>
      </c>
    </row>
    <row r="95" spans="1:18" x14ac:dyDescent="0.35">
      <c r="A95" t="s">
        <v>311</v>
      </c>
      <c r="C95">
        <v>0.16600000000000001</v>
      </c>
      <c r="D95" t="s">
        <v>312</v>
      </c>
      <c r="R95" t="s">
        <v>326</v>
      </c>
    </row>
    <row r="96" spans="1:18" x14ac:dyDescent="0.35">
      <c r="A96" t="s">
        <v>314</v>
      </c>
      <c r="C96">
        <v>0.97299999999999998</v>
      </c>
      <c r="D96" t="s">
        <v>312</v>
      </c>
      <c r="R96" t="s">
        <v>313</v>
      </c>
    </row>
    <row r="98" spans="1:18" x14ac:dyDescent="0.35">
      <c r="A98" t="s">
        <v>327</v>
      </c>
      <c r="R98" t="s">
        <v>328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/>
  </sheetPr>
  <dimension ref="A2"/>
  <sheetViews>
    <sheetView workbookViewId="0">
      <selection activeCell="A4" sqref="A4:A8"/>
    </sheetView>
  </sheetViews>
  <sheetFormatPr defaultColWidth="8.7265625" defaultRowHeight="14.5" x14ac:dyDescent="0.35"/>
  <sheetData>
    <row r="2" spans="1:1" ht="21" x14ac:dyDescent="0.5">
      <c r="A2" s="2" t="s">
        <v>258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603BB68AE5C0F4C908E70EB4D1DDDC3" ma:contentTypeVersion="15" ma:contentTypeDescription="Skapa ett nytt dokument." ma:contentTypeScope="" ma:versionID="bc1901b771652496ef02f4cbdf878f9e">
  <xsd:schema xmlns:xsd="http://www.w3.org/2001/XMLSchema" xmlns:xs="http://www.w3.org/2001/XMLSchema" xmlns:p="http://schemas.microsoft.com/office/2006/metadata/properties" xmlns:ns3="31ffec6e-e0c6-46d3-bf16-e7019fdf1f95" xmlns:ns4="20b5f8f8-e964-4ea5-9bc5-5fa83731a92f" targetNamespace="http://schemas.microsoft.com/office/2006/metadata/properties" ma:root="true" ma:fieldsID="6c61e44642a1e9e2aad865b2f0b39e8f" ns3:_="" ns4:_="">
    <xsd:import namespace="31ffec6e-e0c6-46d3-bf16-e7019fdf1f95"/>
    <xsd:import namespace="20b5f8f8-e964-4ea5-9bc5-5fa83731a92f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ServiceLocation" minOccurs="0"/>
                <xsd:element ref="ns4:MediaLengthInSeconds" minOccurs="0"/>
                <xsd:element ref="ns4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fec6e-e0c6-46d3-bf16-e7019fdf1f9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Delar tips,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b5f8f8-e964-4ea5-9bc5-5fa83731a9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0b5f8f8-e964-4ea5-9bc5-5fa83731a92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466767-CC6B-4313-B005-51AE488866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ffec6e-e0c6-46d3-bf16-e7019fdf1f95"/>
    <ds:schemaRef ds:uri="20b5f8f8-e964-4ea5-9bc5-5fa83731a9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5C14542-2642-452A-849B-1DD08CED073B}">
  <ds:schemaRefs>
    <ds:schemaRef ds:uri="http://schemas.microsoft.com/office/2006/metadata/properties"/>
    <ds:schemaRef ds:uri="20b5f8f8-e964-4ea5-9bc5-5fa83731a92f"/>
    <ds:schemaRef ds:uri="http://schemas.microsoft.com/office/2006/documentManagement/types"/>
    <ds:schemaRef ds:uri="http://purl.org/dc/terms/"/>
    <ds:schemaRef ds:uri="http://purl.org/dc/dcmitype/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31ffec6e-e0c6-46d3-bf16-e7019fdf1f95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95AA8BD2-4DFD-46C4-AB5A-9922D802D05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21</vt:i4>
      </vt:variant>
      <vt:variant>
        <vt:lpstr>Namngivna områden</vt:lpstr>
      </vt:variant>
      <vt:variant>
        <vt:i4>187</vt:i4>
      </vt:variant>
    </vt:vector>
  </HeadingPairs>
  <TitlesOfParts>
    <vt:vector size="208" baseType="lpstr">
      <vt:lpstr>README</vt:lpstr>
      <vt:lpstr>Figures</vt:lpstr>
      <vt:lpstr>Footprints, results per kg</vt:lpstr>
      <vt:lpstr>GHG detailed, results per kg</vt:lpstr>
      <vt:lpstr>Footprints, only calves</vt:lpstr>
      <vt:lpstr>GHG detailed, only calves</vt:lpstr>
      <vt:lpstr>Footprints, mother animal</vt:lpstr>
      <vt:lpstr>GHG detailed, mother animal</vt:lpstr>
      <vt:lpstr>Production</vt:lpstr>
      <vt:lpstr>Parameters, country spec</vt:lpstr>
      <vt:lpstr>Manure</vt:lpstr>
      <vt:lpstr>CO2 per kg feed</vt:lpstr>
      <vt:lpstr>CH4 per kg feed</vt:lpstr>
      <vt:lpstr>N2O per kg feed</vt:lpstr>
      <vt:lpstr>EFP per kg feed</vt:lpstr>
      <vt:lpstr>Parameters, general</vt:lpstr>
      <vt:lpstr>Forage crops, CF</vt:lpstr>
      <vt:lpstr>Forage crops, footprints</vt:lpstr>
      <vt:lpstr>Forage, input data per ha</vt:lpstr>
      <vt:lpstr>Off-farm feed</vt:lpstr>
      <vt:lpstr>References</vt:lpstr>
      <vt:lpstr>CF_GWP_CH4_biog</vt:lpstr>
      <vt:lpstr>CF_GWP_CH4_biogenic</vt:lpstr>
      <vt:lpstr>CF_GWP_CH4_fossil</vt:lpstr>
      <vt:lpstr>CF_GWP_N2O</vt:lpstr>
      <vt:lpstr>'Forage crops, CF'!Crop_data</vt:lpstr>
      <vt:lpstr>Crop_data</vt:lpstr>
      <vt:lpstr>'Forage crops, CF'!Crop_data_codes</vt:lpstr>
      <vt:lpstr>Crop_data_codes</vt:lpstr>
      <vt:lpstr>EF_biofuel_CH4</vt:lpstr>
      <vt:lpstr>EF_biofuel_N2O</vt:lpstr>
      <vt:lpstr>EF_biofuels_CO2</vt:lpstr>
      <vt:lpstr>EF_capital_goods_CH4</vt:lpstr>
      <vt:lpstr>EF_capital_goods_CO2</vt:lpstr>
      <vt:lpstr>EF_capital_goods_N2O</vt:lpstr>
      <vt:lpstr>EF_diesel_CH4</vt:lpstr>
      <vt:lpstr>EF_diesel_CO2</vt:lpstr>
      <vt:lpstr>EF_diesel_N2O</vt:lpstr>
      <vt:lpstr>EF_el_CH4_DE</vt:lpstr>
      <vt:lpstr>EF_el_CH4_DK</vt:lpstr>
      <vt:lpstr>EF_el_CH4_ES</vt:lpstr>
      <vt:lpstr>EF_el_CH4_FR</vt:lpstr>
      <vt:lpstr>EF_el_CH4_GB</vt:lpstr>
      <vt:lpstr>EF_el_CH4_GR</vt:lpstr>
      <vt:lpstr>EF_el_CH4_HU</vt:lpstr>
      <vt:lpstr>EF_el_CH4_IE</vt:lpstr>
      <vt:lpstr>EF_el_CH4_IT</vt:lpstr>
      <vt:lpstr>EF_el_CH4_NL</vt:lpstr>
      <vt:lpstr>EF_el_CH4_PL</vt:lpstr>
      <vt:lpstr>EF_el_CH4_SE</vt:lpstr>
      <vt:lpstr>EF_el_CO2_DE</vt:lpstr>
      <vt:lpstr>EF_el_CO2_DK</vt:lpstr>
      <vt:lpstr>EF_el_CO2_ES</vt:lpstr>
      <vt:lpstr>EF_el_CO2_FR</vt:lpstr>
      <vt:lpstr>EF_el_CO2_GB</vt:lpstr>
      <vt:lpstr>EF_el_CO2_GR</vt:lpstr>
      <vt:lpstr>EF_el_CO2_HU</vt:lpstr>
      <vt:lpstr>EF_el_CO2_IE</vt:lpstr>
      <vt:lpstr>EF_el_CO2_IT</vt:lpstr>
      <vt:lpstr>EF_el_CO2_NL</vt:lpstr>
      <vt:lpstr>EF_el_CO2_PL</vt:lpstr>
      <vt:lpstr>EF_el_CO2_SE</vt:lpstr>
      <vt:lpstr>EF_el_N2O_DE</vt:lpstr>
      <vt:lpstr>EF_el_N2O_DK</vt:lpstr>
      <vt:lpstr>EF_el_N2O_ES</vt:lpstr>
      <vt:lpstr>EF_el_N2O_FR</vt:lpstr>
      <vt:lpstr>EF_el_N2O_GB</vt:lpstr>
      <vt:lpstr>EF_el_N2O_GR</vt:lpstr>
      <vt:lpstr>EF_el_N2O_HU</vt:lpstr>
      <vt:lpstr>EF_el_N2O_IE</vt:lpstr>
      <vt:lpstr>EF_el_N2O_IT</vt:lpstr>
      <vt:lpstr>EF_el_N2O_NL</vt:lpstr>
      <vt:lpstr>EF_el_N2O_PL</vt:lpstr>
      <vt:lpstr>EF_el_N2O_SE</vt:lpstr>
      <vt:lpstr>EF_electricity</vt:lpstr>
      <vt:lpstr>EF_ent_ferm_DE</vt:lpstr>
      <vt:lpstr>EF_ent_ferm_DK</vt:lpstr>
      <vt:lpstr>EF_ent_ferm_ES</vt:lpstr>
      <vt:lpstr>EF_ent_ferm_FR</vt:lpstr>
      <vt:lpstr>EF_ent_ferm_GR</vt:lpstr>
      <vt:lpstr>EF_ent_ferm_HU</vt:lpstr>
      <vt:lpstr>EF_ent_ferm_IE</vt:lpstr>
      <vt:lpstr>EF_ent_ferm_IT</vt:lpstr>
      <vt:lpstr>EF_ent_ferm_NL</vt:lpstr>
      <vt:lpstr>EF_ent_ferm_PL</vt:lpstr>
      <vt:lpstr>EF_ent_ferm_SE</vt:lpstr>
      <vt:lpstr>EF_GWP_CH4_biog</vt:lpstr>
      <vt:lpstr>EF_indirect_N2O_DE</vt:lpstr>
      <vt:lpstr>EF_indirect_N2O_DK</vt:lpstr>
      <vt:lpstr>EF_indirect_N2O_ES</vt:lpstr>
      <vt:lpstr>EF_indirect_N2O_FR</vt:lpstr>
      <vt:lpstr>EF_indirect_N2O_GR</vt:lpstr>
      <vt:lpstr>EF_indirect_N2O_HU</vt:lpstr>
      <vt:lpstr>EF_indirect_N2O_IE</vt:lpstr>
      <vt:lpstr>EF_indirect_N2O_IT</vt:lpstr>
      <vt:lpstr>EF_indirect_N2O_NL</vt:lpstr>
      <vt:lpstr>EF_indirect_N2O_PL</vt:lpstr>
      <vt:lpstr>EF_indirect_N2O_SE</vt:lpstr>
      <vt:lpstr>EF_min_fert_AN_CH4</vt:lpstr>
      <vt:lpstr>EF_min_fert_AN_CO2</vt:lpstr>
      <vt:lpstr>EF_min_fert_AN_N2O</vt:lpstr>
      <vt:lpstr>EF_min_fert_BAT_CH4</vt:lpstr>
      <vt:lpstr>EF_min_fert_BAT_CO2</vt:lpstr>
      <vt:lpstr>EF_min_fert_BAT_N2O</vt:lpstr>
      <vt:lpstr>EF_N2O_diff_DE</vt:lpstr>
      <vt:lpstr>EF_N2O_diff_DK</vt:lpstr>
      <vt:lpstr>EF_N2O_diff_ES</vt:lpstr>
      <vt:lpstr>EF_N2O_diff_FR</vt:lpstr>
      <vt:lpstr>EF_N2O_diff_GB</vt:lpstr>
      <vt:lpstr>EF_N2O_diff_GR</vt:lpstr>
      <vt:lpstr>EF_N2O_diff_HU</vt:lpstr>
      <vt:lpstr>EF_N2O_diff_IE</vt:lpstr>
      <vt:lpstr>EF_N2O_diff_IT</vt:lpstr>
      <vt:lpstr>EF_N2O_diff_NL</vt:lpstr>
      <vt:lpstr>EF_N2O_diff_PL</vt:lpstr>
      <vt:lpstr>EF_N2O_diff_SE</vt:lpstr>
      <vt:lpstr>EF_NH3</vt:lpstr>
      <vt:lpstr>EF_oil_CH4</vt:lpstr>
      <vt:lpstr>EF_oil_CO2</vt:lpstr>
      <vt:lpstr>EF_oil_N2O</vt:lpstr>
      <vt:lpstr>Energy_slaughter_el_DE</vt:lpstr>
      <vt:lpstr>Energy_slaughter_el_DK</vt:lpstr>
      <vt:lpstr>Energy_slaughter_el_ES</vt:lpstr>
      <vt:lpstr>Energy_slaughter_el_FR</vt:lpstr>
      <vt:lpstr>Energy_slaughter_el_GB</vt:lpstr>
      <vt:lpstr>Energy_slaughter_el_GR</vt:lpstr>
      <vt:lpstr>Energy_slaughter_el_HU</vt:lpstr>
      <vt:lpstr>Energy_slaughter_el_IE</vt:lpstr>
      <vt:lpstr>Energy_slaughter_el_IT</vt:lpstr>
      <vt:lpstr>Energy_slaughter_el_NL</vt:lpstr>
      <vt:lpstr>Energy_slaughter_el_PL</vt:lpstr>
      <vt:lpstr>Energy_slaughter_el_SE</vt:lpstr>
      <vt:lpstr>Energy_slaughter_oil_DE</vt:lpstr>
      <vt:lpstr>Energy_slaughter_oil_DK</vt:lpstr>
      <vt:lpstr>Energy_slaughter_oil_ES</vt:lpstr>
      <vt:lpstr>Energy_slaughter_oil_FR</vt:lpstr>
      <vt:lpstr>Energy_slaughter_oil_GB</vt:lpstr>
      <vt:lpstr>Energy_slaughter_oil_GR</vt:lpstr>
      <vt:lpstr>Energy_slaughter_oil_HU</vt:lpstr>
      <vt:lpstr>Energy_slaughter_oil_IE</vt:lpstr>
      <vt:lpstr>Energy_slaughter_oil_IT</vt:lpstr>
      <vt:lpstr>Energy_slaughter_oil_NL</vt:lpstr>
      <vt:lpstr>Energy_slaughter_oil_PL</vt:lpstr>
      <vt:lpstr>Energy_slaughter_oil_SE</vt:lpstr>
      <vt:lpstr>Excreted_N_after_losses_DE</vt:lpstr>
      <vt:lpstr>Excreted_N_after_losses_DK</vt:lpstr>
      <vt:lpstr>Excreted_N_after_losses_ES</vt:lpstr>
      <vt:lpstr>Excreted_N_after_losses_FR</vt:lpstr>
      <vt:lpstr>Excreted_N_after_losses_GB</vt:lpstr>
      <vt:lpstr>Excreted_N_after_losses_GR</vt:lpstr>
      <vt:lpstr>Excreted_N_after_losses_HU</vt:lpstr>
      <vt:lpstr>Excreted_N_after_losses_IE</vt:lpstr>
      <vt:lpstr>Excreted_N_after_losses_IT</vt:lpstr>
      <vt:lpstr>Excreted_N_after_losses_NL</vt:lpstr>
      <vt:lpstr>Excreted_N_after_losses_PL</vt:lpstr>
      <vt:lpstr>Excreted_N_after_losses_SE</vt:lpstr>
      <vt:lpstr>Frac_AN_DE</vt:lpstr>
      <vt:lpstr>Frac_AN_DK</vt:lpstr>
      <vt:lpstr>Frac_AN_ES</vt:lpstr>
      <vt:lpstr>Frac_AN_FR</vt:lpstr>
      <vt:lpstr>Frac_AN_GB</vt:lpstr>
      <vt:lpstr>Frac_AN_GR</vt:lpstr>
      <vt:lpstr>Frac_AN_HU</vt:lpstr>
      <vt:lpstr>Frac_AN_IE</vt:lpstr>
      <vt:lpstr>Frac_AN_IT</vt:lpstr>
      <vt:lpstr>Frac_AN_NL</vt:lpstr>
      <vt:lpstr>Frac_AN_PL</vt:lpstr>
      <vt:lpstr>Frac_AN_SE</vt:lpstr>
      <vt:lpstr>Frac_BAT_DE</vt:lpstr>
      <vt:lpstr>Frac_BAT_DK</vt:lpstr>
      <vt:lpstr>Frac_BAT_ES</vt:lpstr>
      <vt:lpstr>Frac_BAT_FR</vt:lpstr>
      <vt:lpstr>Frac_BAT_GB</vt:lpstr>
      <vt:lpstr>Frac_BAT_GR</vt:lpstr>
      <vt:lpstr>Frac_BAT_HU</vt:lpstr>
      <vt:lpstr>Frac_BAT_IE</vt:lpstr>
      <vt:lpstr>Frac_BAT_IT</vt:lpstr>
      <vt:lpstr>Frac_BAT_NL</vt:lpstr>
      <vt:lpstr>Frac_BAT_PL</vt:lpstr>
      <vt:lpstr>Frac_BAT_SE</vt:lpstr>
      <vt:lpstr>GRAT</vt:lpstr>
      <vt:lpstr>Heating_value_diesel</vt:lpstr>
      <vt:lpstr>Manure_repl_factor_DE</vt:lpstr>
      <vt:lpstr>Manure_repl_factor_DK</vt:lpstr>
      <vt:lpstr>Manure_repl_factor_ES</vt:lpstr>
      <vt:lpstr>Manure_repl_factor_FR</vt:lpstr>
      <vt:lpstr>Manure_repl_factor_GB</vt:lpstr>
      <vt:lpstr>Manure_repl_factor_GR</vt:lpstr>
      <vt:lpstr>Manure_repl_factor_HU</vt:lpstr>
      <vt:lpstr>Manure_repl_factor_IE</vt:lpstr>
      <vt:lpstr>Manure_repl_factor_IT</vt:lpstr>
      <vt:lpstr>Manure_repl_factor_NL</vt:lpstr>
      <vt:lpstr>Manure_repl_factor_PL</vt:lpstr>
      <vt:lpstr>Manure_repl_factor_SE</vt:lpstr>
      <vt:lpstr>N_leak_deni_factor</vt:lpstr>
      <vt:lpstr>N_to_NH3</vt:lpstr>
      <vt:lpstr>No_species</vt:lpstr>
      <vt:lpstr>Water_stables_DE</vt:lpstr>
      <vt:lpstr>Water_stables_DK</vt:lpstr>
      <vt:lpstr>Water_stables_ES</vt:lpstr>
      <vt:lpstr>Water_stables_FR</vt:lpstr>
      <vt:lpstr>Water_stables_GR</vt:lpstr>
      <vt:lpstr>Water_stables_HU</vt:lpstr>
      <vt:lpstr>Water_stables_IE</vt:lpstr>
      <vt:lpstr>Water_stables_IT</vt:lpstr>
      <vt:lpstr>Water_stables_NL</vt:lpstr>
      <vt:lpstr>Water_stables_PL</vt:lpstr>
      <vt:lpstr>Water_stables_SE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Elin Röös</dc:creator>
  <cp:keywords/>
  <dc:description/>
  <cp:lastModifiedBy>Elin Röös</cp:lastModifiedBy>
  <cp:revision/>
  <dcterms:created xsi:type="dcterms:W3CDTF">2015-06-05T18:19:34Z</dcterms:created>
  <dcterms:modified xsi:type="dcterms:W3CDTF">2025-10-19T07:12:09Z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0x010100A603BB68AE5C0F4C908E70EB4D1DDDC3</vt:lpwstr>
  </property>
</Properties>
</file>